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rhipova\Desktop\Отчеты за 2019г\Отчет за 2024г Иван\"/>
    </mc:Choice>
  </mc:AlternateContent>
  <workbookProtection workbookAlgorithmName="SHA-512" workbookHashValue="G5rRaIib2E7UfGn68F0kQ+SrVwNROOyNCsTHp51JL0DG5wS4ow7mkaMheBycmEDeWHlThzKGLfEc19SGLvMWSg==" workbookSaltValue="zpJ2aVNOIOaWhbNkkF9inQ==" workbookSpinCount="100000" lockStructure="1"/>
  <bookViews>
    <workbookView xWindow="0" yWindow="0" windowWidth="38400" windowHeight="17100"/>
  </bookViews>
  <sheets>
    <sheet name="2024" sheetId="15" r:id="rId1"/>
    <sheet name="Супер" sheetId="1" state="hidden" r:id="rId2"/>
    <sheet name="Оборот" sheetId="13" state="hidden" r:id="rId3"/>
    <sheet name="Сальдо" sheetId="14" state="hidden" r:id="rId4"/>
    <sheet name="20Ф" sheetId="5" state="hidden" r:id="rId5"/>
    <sheet name="25Ф" sheetId="6" state="hidden" r:id="rId6"/>
    <sheet name="26Ф" sheetId="7" state="hidden" r:id="rId7"/>
    <sheet name="План" sheetId="2" state="hidden" r:id="rId8"/>
    <sheet name="План ВНИИССОК" sheetId="3" state="hidden" r:id="rId9"/>
    <sheet name="Page 1" sheetId="4" state="hidden" r:id="rId10"/>
    <sheet name="60Ф" sheetId="12" state="hidden" r:id="rId11"/>
    <sheet name="91Ф" sheetId="8" state="hidden" r:id="rId12"/>
    <sheet name="91.1Ф" sheetId="9" state="hidden" r:id="rId13"/>
    <sheet name="отчёт" sheetId="10" state="hidden" r:id="rId14"/>
    <sheet name="2023" sheetId="11" state="hidden" r:id="rId15"/>
  </sheets>
  <definedNames>
    <definedName name="_xlnm._FilterDatabase" localSheetId="14" hidden="1">'2023'!$A$1:$D$4</definedName>
    <definedName name="_xlnm._FilterDatabase" localSheetId="0" hidden="1">'2024'!$A$1:$D$4</definedName>
    <definedName name="_xlnm._FilterDatabase" localSheetId="4" hidden="1">'20Ф'!$A$6:$BD$1340</definedName>
    <definedName name="_xlnm._FilterDatabase" localSheetId="9" hidden="1">'Page 1'!$B$7:$W$2791</definedName>
    <definedName name="_xlnm._FilterDatabase" localSheetId="13" hidden="1">отчёт!$A$4:$CW$281</definedName>
    <definedName name="_xlnm._FilterDatabase" localSheetId="7" hidden="1">План!$A$4:$AS$39</definedName>
    <definedName name="_xlnm._FilterDatabase" localSheetId="8" hidden="1">'План ВНИИССОК'!$A$3:$D$3</definedName>
    <definedName name="_xlnm._FilterDatabase" localSheetId="1" hidden="1">Супер!$A$4:$FF$284</definedName>
    <definedName name="_xlnm.Database" localSheetId="14">#REF!</definedName>
    <definedName name="_xlnm.Database" localSheetId="0">#REF!</definedName>
    <definedName name="_xlnm.Database" localSheetId="7">#REF!</definedName>
    <definedName name="_xlnm.Database" localSheetId="8">#REF!</definedName>
    <definedName name="_xlnm.Database" localSheetId="1">#REF!</definedName>
    <definedName name="_xlnm.Database">#REF!</definedName>
    <definedName name="_xlnm.Print_Area" localSheetId="14">'2023'!$A$1:$D$59</definedName>
    <definedName name="_xlnm.Print_Area" localSheetId="0">'2024'!$A$1:$D$72</definedName>
    <definedName name="_xlnm.Print_Area" localSheetId="9">'Page 1'!$B$1:$I$2793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B284" i="1" l="1"/>
  <c r="EB283" i="1"/>
  <c r="D251" i="1" l="1"/>
  <c r="C64" i="15" l="1"/>
  <c r="C63" i="15"/>
  <c r="C54" i="15"/>
  <c r="C53" i="15"/>
  <c r="C52" i="15"/>
  <c r="C51" i="15"/>
  <c r="C50" i="15"/>
  <c r="C49" i="15"/>
  <c r="C48" i="15"/>
  <c r="C47" i="15"/>
  <c r="C45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G279" i="1"/>
  <c r="CG278" i="1"/>
  <c r="CG277" i="1"/>
  <c r="CG276" i="1"/>
  <c r="CG275" i="1"/>
  <c r="CG274" i="1"/>
  <c r="CG273" i="1"/>
  <c r="CG272" i="1"/>
  <c r="CG271" i="1"/>
  <c r="CG270" i="1"/>
  <c r="CG269" i="1"/>
  <c r="CG268" i="1"/>
  <c r="CG267" i="1"/>
  <c r="CG266" i="1"/>
  <c r="CG265" i="1"/>
  <c r="CG264" i="1"/>
  <c r="CG263" i="1"/>
  <c r="CG262" i="1"/>
  <c r="CG261" i="1"/>
  <c r="CG260" i="1"/>
  <c r="CG259" i="1"/>
  <c r="CG258" i="1"/>
  <c r="CG257" i="1"/>
  <c r="CG256" i="1"/>
  <c r="CG255" i="1"/>
  <c r="CG254" i="1"/>
  <c r="CG253" i="1"/>
  <c r="CG252" i="1"/>
  <c r="CG251" i="1"/>
  <c r="CG250" i="1"/>
  <c r="CG249" i="1"/>
  <c r="CG248" i="1"/>
  <c r="CG247" i="1"/>
  <c r="CG246" i="1"/>
  <c r="CG245" i="1"/>
  <c r="CG244" i="1"/>
  <c r="CG243" i="1"/>
  <c r="CG242" i="1"/>
  <c r="CG241" i="1"/>
  <c r="CG240" i="1"/>
  <c r="CG239" i="1"/>
  <c r="CG238" i="1"/>
  <c r="CG237" i="1"/>
  <c r="CG236" i="1"/>
  <c r="CG235" i="1"/>
  <c r="CG234" i="1"/>
  <c r="CG233" i="1"/>
  <c r="CG232" i="1"/>
  <c r="CG231" i="1"/>
  <c r="CG230" i="1"/>
  <c r="CG229" i="1"/>
  <c r="CG228" i="1"/>
  <c r="CG227" i="1"/>
  <c r="CG226" i="1"/>
  <c r="CG225" i="1"/>
  <c r="CG224" i="1"/>
  <c r="CG223" i="1"/>
  <c r="CG222" i="1"/>
  <c r="CG221" i="1"/>
  <c r="CG220" i="1"/>
  <c r="CG219" i="1"/>
  <c r="CG218" i="1"/>
  <c r="CG217" i="1"/>
  <c r="CG216" i="1"/>
  <c r="CG215" i="1"/>
  <c r="CG214" i="1"/>
  <c r="CG213" i="1"/>
  <c r="CG212" i="1"/>
  <c r="CG211" i="1"/>
  <c r="CG210" i="1"/>
  <c r="CG209" i="1"/>
  <c r="CG208" i="1"/>
  <c r="CG207" i="1"/>
  <c r="CG206" i="1"/>
  <c r="CG205" i="1"/>
  <c r="CG204" i="1"/>
  <c r="CG203" i="1"/>
  <c r="CG202" i="1"/>
  <c r="CG201" i="1"/>
  <c r="CG200" i="1"/>
  <c r="CG199" i="1"/>
  <c r="CG198" i="1"/>
  <c r="CG197" i="1"/>
  <c r="CG196" i="1"/>
  <c r="CG195" i="1"/>
  <c r="CG194" i="1"/>
  <c r="CG193" i="1"/>
  <c r="CG192" i="1"/>
  <c r="CG191" i="1"/>
  <c r="CG190" i="1"/>
  <c r="CG189" i="1"/>
  <c r="CG188" i="1"/>
  <c r="CG187" i="1"/>
  <c r="CG186" i="1"/>
  <c r="CG185" i="1"/>
  <c r="CG184" i="1"/>
  <c r="CG183" i="1"/>
  <c r="CG182" i="1"/>
  <c r="CG181" i="1"/>
  <c r="CG180" i="1"/>
  <c r="CG179" i="1"/>
  <c r="CG178" i="1"/>
  <c r="CG177" i="1"/>
  <c r="CG176" i="1"/>
  <c r="CG175" i="1"/>
  <c r="CG174" i="1"/>
  <c r="CG173" i="1"/>
  <c r="CG172" i="1"/>
  <c r="CG171" i="1"/>
  <c r="CG170" i="1"/>
  <c r="CG169" i="1"/>
  <c r="CG168" i="1"/>
  <c r="CG167" i="1"/>
  <c r="CG166" i="1"/>
  <c r="CG165" i="1"/>
  <c r="CG164" i="1"/>
  <c r="CG163" i="1"/>
  <c r="CG162" i="1"/>
  <c r="CG161" i="1"/>
  <c r="CG160" i="1"/>
  <c r="CG159" i="1"/>
  <c r="CG158" i="1"/>
  <c r="CG157" i="1"/>
  <c r="CG156" i="1"/>
  <c r="CG155" i="1"/>
  <c r="CG154" i="1"/>
  <c r="CG153" i="1"/>
  <c r="CG152" i="1"/>
  <c r="CG151" i="1"/>
  <c r="CG150" i="1"/>
  <c r="CG149" i="1"/>
  <c r="CG148" i="1"/>
  <c r="CG147" i="1"/>
  <c r="CG146" i="1"/>
  <c r="CG145" i="1"/>
  <c r="CG144" i="1"/>
  <c r="CG143" i="1"/>
  <c r="CG142" i="1"/>
  <c r="CG141" i="1"/>
  <c r="CG140" i="1"/>
  <c r="CG139" i="1"/>
  <c r="CG138" i="1"/>
  <c r="CG137" i="1"/>
  <c r="CG136" i="1"/>
  <c r="CG135" i="1"/>
  <c r="CG134" i="1"/>
  <c r="CG133" i="1"/>
  <c r="CG132" i="1"/>
  <c r="CG131" i="1"/>
  <c r="CG130" i="1"/>
  <c r="CG129" i="1"/>
  <c r="CG128" i="1"/>
  <c r="CG127" i="1"/>
  <c r="CG126" i="1"/>
  <c r="CG125" i="1"/>
  <c r="CG124" i="1"/>
  <c r="CG123" i="1"/>
  <c r="CG122" i="1"/>
  <c r="CG121" i="1"/>
  <c r="CG120" i="1"/>
  <c r="CG119" i="1"/>
  <c r="CG118" i="1"/>
  <c r="CG117" i="1"/>
  <c r="CG116" i="1"/>
  <c r="CG115" i="1"/>
  <c r="CG114" i="1"/>
  <c r="CG113" i="1"/>
  <c r="CG112" i="1"/>
  <c r="CG111" i="1"/>
  <c r="CG110" i="1"/>
  <c r="CG109" i="1"/>
  <c r="CG108" i="1"/>
  <c r="CG107" i="1"/>
  <c r="CG106" i="1"/>
  <c r="CG105" i="1"/>
  <c r="CG104" i="1"/>
  <c r="CG103" i="1"/>
  <c r="CG102" i="1"/>
  <c r="CG101" i="1"/>
  <c r="CG100" i="1"/>
  <c r="CG99" i="1"/>
  <c r="CG98" i="1"/>
  <c r="CG97" i="1"/>
  <c r="CG96" i="1"/>
  <c r="CG95" i="1"/>
  <c r="CG94" i="1"/>
  <c r="CG93" i="1"/>
  <c r="CG92" i="1"/>
  <c r="CG91" i="1"/>
  <c r="CG90" i="1"/>
  <c r="CG89" i="1"/>
  <c r="CG88" i="1"/>
  <c r="CG87" i="1"/>
  <c r="CG86" i="1"/>
  <c r="CG85" i="1"/>
  <c r="CG84" i="1"/>
  <c r="CG83" i="1"/>
  <c r="CG82" i="1"/>
  <c r="CG81" i="1"/>
  <c r="CG80" i="1"/>
  <c r="CG79" i="1"/>
  <c r="CG78" i="1"/>
  <c r="CG77" i="1"/>
  <c r="CG76" i="1"/>
  <c r="CG75" i="1"/>
  <c r="CG74" i="1"/>
  <c r="CG73" i="1"/>
  <c r="CG72" i="1"/>
  <c r="CG71" i="1"/>
  <c r="CG70" i="1"/>
  <c r="CG69" i="1"/>
  <c r="CG68" i="1"/>
  <c r="CG67" i="1"/>
  <c r="CG66" i="1"/>
  <c r="CG65" i="1"/>
  <c r="CG64" i="1"/>
  <c r="CG63" i="1"/>
  <c r="CG62" i="1"/>
  <c r="CG61" i="1"/>
  <c r="CG60" i="1"/>
  <c r="CG59" i="1"/>
  <c r="CG58" i="1"/>
  <c r="CG57" i="1"/>
  <c r="CG56" i="1"/>
  <c r="CG55" i="1"/>
  <c r="CG54" i="1"/>
  <c r="CG53" i="1"/>
  <c r="CG52" i="1"/>
  <c r="CG51" i="1"/>
  <c r="CG50" i="1"/>
  <c r="CG49" i="1"/>
  <c r="CG48" i="1"/>
  <c r="CG47" i="1"/>
  <c r="CG46" i="1"/>
  <c r="CG45" i="1"/>
  <c r="CG44" i="1"/>
  <c r="CG43" i="1"/>
  <c r="CG42" i="1"/>
  <c r="CG41" i="1"/>
  <c r="CG40" i="1"/>
  <c r="CG39" i="1"/>
  <c r="CG38" i="1"/>
  <c r="CG37" i="1"/>
  <c r="CG36" i="1"/>
  <c r="CG35" i="1"/>
  <c r="CG34" i="1"/>
  <c r="CG33" i="1"/>
  <c r="CG32" i="1"/>
  <c r="CG31" i="1"/>
  <c r="CG30" i="1"/>
  <c r="CG29" i="1"/>
  <c r="CG28" i="1"/>
  <c r="CG27" i="1"/>
  <c r="CG26" i="1"/>
  <c r="CG25" i="1"/>
  <c r="CG24" i="1"/>
  <c r="CG23" i="1"/>
  <c r="CG22" i="1"/>
  <c r="CG21" i="1"/>
  <c r="CG20" i="1"/>
  <c r="CG19" i="1"/>
  <c r="CG18" i="1"/>
  <c r="CG17" i="1"/>
  <c r="CG16" i="1"/>
  <c r="CG15" i="1"/>
  <c r="CG14" i="1"/>
  <c r="C9" i="15" s="1"/>
  <c r="CG13" i="1"/>
  <c r="CG12" i="1"/>
  <c r="CG11" i="1"/>
  <c r="CG10" i="1"/>
  <c r="CG9" i="1"/>
  <c r="CG8" i="1"/>
  <c r="CG7" i="1"/>
  <c r="CG6" i="1"/>
  <c r="CG5" i="1"/>
  <c r="CG280" i="1"/>
  <c r="C7" i="15"/>
  <c r="C6" i="15"/>
  <c r="I509" i="5"/>
  <c r="DW116" i="1"/>
  <c r="D37" i="6"/>
  <c r="D36" i="6"/>
  <c r="D36" i="7"/>
  <c r="FB280" i="1"/>
  <c r="FB279" i="1"/>
  <c r="FB278" i="1"/>
  <c r="FB277" i="1"/>
  <c r="FB276" i="1"/>
  <c r="FB275" i="1"/>
  <c r="FB274" i="1"/>
  <c r="FB273" i="1"/>
  <c r="FB272" i="1"/>
  <c r="FB271" i="1"/>
  <c r="FB270" i="1"/>
  <c r="FB269" i="1"/>
  <c r="FB268" i="1"/>
  <c r="FB267" i="1"/>
  <c r="FB266" i="1"/>
  <c r="FB265" i="1"/>
  <c r="FB264" i="1"/>
  <c r="FB263" i="1"/>
  <c r="FB262" i="1"/>
  <c r="FB261" i="1"/>
  <c r="FB260" i="1"/>
  <c r="FB259" i="1"/>
  <c r="FB258" i="1"/>
  <c r="FB257" i="1"/>
  <c r="FB256" i="1"/>
  <c r="FB255" i="1"/>
  <c r="FB254" i="1"/>
  <c r="FB253" i="1"/>
  <c r="FB252" i="1"/>
  <c r="FB251" i="1"/>
  <c r="FB250" i="1"/>
  <c r="FB249" i="1"/>
  <c r="FB248" i="1"/>
  <c r="FB247" i="1"/>
  <c r="FB246" i="1"/>
  <c r="FB245" i="1"/>
  <c r="FB244" i="1"/>
  <c r="FB243" i="1"/>
  <c r="FB242" i="1"/>
  <c r="FB241" i="1"/>
  <c r="FB240" i="1"/>
  <c r="FB239" i="1"/>
  <c r="FB238" i="1"/>
  <c r="FB237" i="1"/>
  <c r="FB236" i="1"/>
  <c r="FB235" i="1"/>
  <c r="FB234" i="1"/>
  <c r="FB233" i="1"/>
  <c r="FB232" i="1"/>
  <c r="FB231" i="1"/>
  <c r="FB230" i="1"/>
  <c r="FB229" i="1"/>
  <c r="FB228" i="1"/>
  <c r="FB227" i="1"/>
  <c r="FB226" i="1"/>
  <c r="FB225" i="1"/>
  <c r="FB224" i="1"/>
  <c r="FB223" i="1"/>
  <c r="FB222" i="1"/>
  <c r="FB221" i="1"/>
  <c r="FB220" i="1"/>
  <c r="FB219" i="1"/>
  <c r="FB218" i="1"/>
  <c r="FB217" i="1"/>
  <c r="FB216" i="1"/>
  <c r="FB215" i="1"/>
  <c r="FB214" i="1"/>
  <c r="FB213" i="1"/>
  <c r="FB212" i="1"/>
  <c r="FB211" i="1"/>
  <c r="FB210" i="1"/>
  <c r="FB209" i="1"/>
  <c r="FB208" i="1"/>
  <c r="FB207" i="1"/>
  <c r="FB206" i="1"/>
  <c r="FB205" i="1"/>
  <c r="FB204" i="1"/>
  <c r="FB203" i="1"/>
  <c r="FB202" i="1"/>
  <c r="FB201" i="1"/>
  <c r="FB200" i="1"/>
  <c r="FB199" i="1"/>
  <c r="FB198" i="1"/>
  <c r="FB197" i="1"/>
  <c r="FB196" i="1"/>
  <c r="FB195" i="1"/>
  <c r="FB194" i="1"/>
  <c r="FB193" i="1"/>
  <c r="FB192" i="1"/>
  <c r="FB191" i="1"/>
  <c r="FB190" i="1"/>
  <c r="FB189" i="1"/>
  <c r="FB188" i="1"/>
  <c r="FB187" i="1"/>
  <c r="FB186" i="1"/>
  <c r="FB185" i="1"/>
  <c r="FB184" i="1"/>
  <c r="FB183" i="1"/>
  <c r="FB182" i="1"/>
  <c r="FB181" i="1"/>
  <c r="FB180" i="1"/>
  <c r="FB179" i="1"/>
  <c r="FB178" i="1"/>
  <c r="FB177" i="1"/>
  <c r="FB176" i="1"/>
  <c r="FB175" i="1"/>
  <c r="FB174" i="1"/>
  <c r="FB173" i="1"/>
  <c r="FB172" i="1"/>
  <c r="FB171" i="1"/>
  <c r="FB170" i="1"/>
  <c r="FB169" i="1"/>
  <c r="FB168" i="1"/>
  <c r="FB167" i="1"/>
  <c r="FB166" i="1"/>
  <c r="FB165" i="1"/>
  <c r="FB164" i="1"/>
  <c r="FB163" i="1"/>
  <c r="FB162" i="1"/>
  <c r="FB161" i="1"/>
  <c r="FB160" i="1"/>
  <c r="FB159" i="1"/>
  <c r="FB158" i="1"/>
  <c r="FB157" i="1"/>
  <c r="FB156" i="1"/>
  <c r="FB155" i="1"/>
  <c r="FB154" i="1"/>
  <c r="FB153" i="1"/>
  <c r="FB152" i="1"/>
  <c r="FB151" i="1"/>
  <c r="FB150" i="1"/>
  <c r="FB149" i="1"/>
  <c r="FB148" i="1"/>
  <c r="FB147" i="1"/>
  <c r="FB146" i="1"/>
  <c r="FB145" i="1"/>
  <c r="FB144" i="1"/>
  <c r="FB143" i="1"/>
  <c r="FB142" i="1"/>
  <c r="FB141" i="1"/>
  <c r="FB140" i="1"/>
  <c r="FB139" i="1"/>
  <c r="FB138" i="1"/>
  <c r="FB137" i="1"/>
  <c r="FB136" i="1"/>
  <c r="FB135" i="1"/>
  <c r="FB134" i="1"/>
  <c r="FB133" i="1"/>
  <c r="FB132" i="1"/>
  <c r="FB131" i="1"/>
  <c r="FB130" i="1"/>
  <c r="FB129" i="1"/>
  <c r="FB128" i="1"/>
  <c r="FB127" i="1"/>
  <c r="FB126" i="1"/>
  <c r="FB125" i="1"/>
  <c r="FB124" i="1"/>
  <c r="FB123" i="1"/>
  <c r="FB122" i="1"/>
  <c r="FB121" i="1"/>
  <c r="FB120" i="1"/>
  <c r="FB119" i="1"/>
  <c r="FB118" i="1"/>
  <c r="FB117" i="1"/>
  <c r="FB116" i="1"/>
  <c r="FB115" i="1"/>
  <c r="FB114" i="1"/>
  <c r="FB113" i="1"/>
  <c r="FB112" i="1"/>
  <c r="FB111" i="1"/>
  <c r="FB110" i="1"/>
  <c r="FB109" i="1"/>
  <c r="FB108" i="1"/>
  <c r="FB107" i="1"/>
  <c r="FB106" i="1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C10" i="15" s="1"/>
  <c r="FB13" i="1"/>
  <c r="FB12" i="1"/>
  <c r="FB11" i="1"/>
  <c r="FB10" i="1"/>
  <c r="FB9" i="1"/>
  <c r="FB8" i="1"/>
  <c r="FB7" i="1"/>
  <c r="FB6" i="1"/>
  <c r="FB5" i="1"/>
  <c r="D35" i="6"/>
  <c r="D34" i="6"/>
  <c r="D40" i="7"/>
  <c r="D41" i="8"/>
  <c r="EY280" i="1"/>
  <c r="EY279" i="1"/>
  <c r="EY278" i="1"/>
  <c r="EY277" i="1"/>
  <c r="EX277" i="1" s="1"/>
  <c r="EY276" i="1"/>
  <c r="EY275" i="1"/>
  <c r="EY274" i="1"/>
  <c r="EY273" i="1"/>
  <c r="EX273" i="1" s="1"/>
  <c r="EY272" i="1"/>
  <c r="EY271" i="1"/>
  <c r="EY270" i="1"/>
  <c r="EY269" i="1"/>
  <c r="EX269" i="1" s="1"/>
  <c r="EY268" i="1"/>
  <c r="EY267" i="1"/>
  <c r="EY266" i="1"/>
  <c r="EY265" i="1"/>
  <c r="EX265" i="1" s="1"/>
  <c r="EY264" i="1"/>
  <c r="EY263" i="1"/>
  <c r="EY262" i="1"/>
  <c r="EY261" i="1"/>
  <c r="EX261" i="1" s="1"/>
  <c r="EY260" i="1"/>
  <c r="EY259" i="1"/>
  <c r="EY258" i="1"/>
  <c r="EY257" i="1"/>
  <c r="EY256" i="1"/>
  <c r="EY255" i="1"/>
  <c r="EY254" i="1"/>
  <c r="EY253" i="1"/>
  <c r="EX253" i="1" s="1"/>
  <c r="EY252" i="1"/>
  <c r="EY251" i="1"/>
  <c r="EY250" i="1"/>
  <c r="EY249" i="1"/>
  <c r="EX249" i="1" s="1"/>
  <c r="EY248" i="1"/>
  <c r="EY247" i="1"/>
  <c r="EY246" i="1"/>
  <c r="EY245" i="1"/>
  <c r="EX245" i="1" s="1"/>
  <c r="EY244" i="1"/>
  <c r="EY243" i="1"/>
  <c r="EY242" i="1"/>
  <c r="EY241" i="1"/>
  <c r="EX241" i="1" s="1"/>
  <c r="EY240" i="1"/>
  <c r="EY239" i="1"/>
  <c r="EY238" i="1"/>
  <c r="EY237" i="1"/>
  <c r="EY236" i="1"/>
  <c r="EY235" i="1"/>
  <c r="EY234" i="1"/>
  <c r="EY233" i="1"/>
  <c r="EY232" i="1"/>
  <c r="EY231" i="1"/>
  <c r="EY230" i="1"/>
  <c r="EY229" i="1"/>
  <c r="EY228" i="1"/>
  <c r="EY227" i="1"/>
  <c r="EY226" i="1"/>
  <c r="EX226" i="1" s="1"/>
  <c r="EY225" i="1"/>
  <c r="EX225" i="1" s="1"/>
  <c r="EY224" i="1"/>
  <c r="EY223" i="1"/>
  <c r="EX223" i="1" s="1"/>
  <c r="EY222" i="1"/>
  <c r="EY221" i="1"/>
  <c r="EY220" i="1"/>
  <c r="EY219" i="1"/>
  <c r="EY218" i="1"/>
  <c r="EY217" i="1"/>
  <c r="EY216" i="1"/>
  <c r="EY215" i="1"/>
  <c r="EY214" i="1"/>
  <c r="EX214" i="1" s="1"/>
  <c r="EY213" i="1"/>
  <c r="EY212" i="1"/>
  <c r="EY211" i="1"/>
  <c r="EY210" i="1"/>
  <c r="EY209" i="1"/>
  <c r="EY208" i="1"/>
  <c r="EY207" i="1"/>
  <c r="EY206" i="1"/>
  <c r="EY205" i="1"/>
  <c r="EY204" i="1"/>
  <c r="EY203" i="1"/>
  <c r="EX203" i="1" s="1"/>
  <c r="EY202" i="1"/>
  <c r="EY201" i="1"/>
  <c r="EY200" i="1"/>
  <c r="EY199" i="1"/>
  <c r="EY198" i="1"/>
  <c r="EY197" i="1"/>
  <c r="EY196" i="1"/>
  <c r="EY195" i="1"/>
  <c r="EY194" i="1"/>
  <c r="EY193" i="1"/>
  <c r="EY192" i="1"/>
  <c r="EY191" i="1"/>
  <c r="EX191" i="1" s="1"/>
  <c r="EY190" i="1"/>
  <c r="EY189" i="1"/>
  <c r="EY188" i="1"/>
  <c r="EY187" i="1"/>
  <c r="EX187" i="1" s="1"/>
  <c r="EY186" i="1"/>
  <c r="EX186" i="1" s="1"/>
  <c r="EY185" i="1"/>
  <c r="EX185" i="1" s="1"/>
  <c r="EY184" i="1"/>
  <c r="EY183" i="1"/>
  <c r="EX183" i="1" s="1"/>
  <c r="EY182" i="1"/>
  <c r="EY181" i="1"/>
  <c r="EX181" i="1" s="1"/>
  <c r="EY180" i="1"/>
  <c r="EY179" i="1"/>
  <c r="EY178" i="1"/>
  <c r="EY177" i="1"/>
  <c r="EY176" i="1"/>
  <c r="EY175" i="1"/>
  <c r="EX175" i="1" s="1"/>
  <c r="EY174" i="1"/>
  <c r="EY173" i="1"/>
  <c r="EY172" i="1"/>
  <c r="EY171" i="1"/>
  <c r="EY170" i="1"/>
  <c r="EY169" i="1"/>
  <c r="EY168" i="1"/>
  <c r="EY167" i="1"/>
  <c r="EY166" i="1"/>
  <c r="EY165" i="1"/>
  <c r="EX165" i="1" s="1"/>
  <c r="EY164" i="1"/>
  <c r="EY163" i="1"/>
  <c r="EY162" i="1"/>
  <c r="EY161" i="1"/>
  <c r="EY160" i="1"/>
  <c r="EY159" i="1"/>
  <c r="EY158" i="1"/>
  <c r="EY157" i="1"/>
  <c r="EY156" i="1"/>
  <c r="EY155" i="1"/>
  <c r="EY154" i="1"/>
  <c r="EY153" i="1"/>
  <c r="EY152" i="1"/>
  <c r="EY151" i="1"/>
  <c r="EY150" i="1"/>
  <c r="EY149" i="1"/>
  <c r="EY148" i="1"/>
  <c r="EY147" i="1"/>
  <c r="EY146" i="1"/>
  <c r="EY145" i="1"/>
  <c r="EY144" i="1"/>
  <c r="EY143" i="1"/>
  <c r="EY142" i="1"/>
  <c r="EY141" i="1"/>
  <c r="EX141" i="1" s="1"/>
  <c r="EY140" i="1"/>
  <c r="EY139" i="1"/>
  <c r="EY138" i="1"/>
  <c r="EY137" i="1"/>
  <c r="EY136" i="1"/>
  <c r="EY135" i="1"/>
  <c r="EY134" i="1"/>
  <c r="EY133" i="1"/>
  <c r="EY132" i="1"/>
  <c r="EY131" i="1"/>
  <c r="EY130" i="1"/>
  <c r="EY129" i="1"/>
  <c r="EX129" i="1" s="1"/>
  <c r="EY128" i="1"/>
  <c r="EY127" i="1"/>
  <c r="EY126" i="1"/>
  <c r="EY125" i="1"/>
  <c r="EY124" i="1"/>
  <c r="EY123" i="1"/>
  <c r="EY122" i="1"/>
  <c r="EY121" i="1"/>
  <c r="EY120" i="1"/>
  <c r="EY119" i="1"/>
  <c r="EY118" i="1"/>
  <c r="EY117" i="1"/>
  <c r="EY116" i="1"/>
  <c r="EY115" i="1"/>
  <c r="EY114" i="1"/>
  <c r="EY113" i="1"/>
  <c r="EY112" i="1"/>
  <c r="EY111" i="1"/>
  <c r="EY110" i="1"/>
  <c r="EY109" i="1"/>
  <c r="EY108" i="1"/>
  <c r="EY107" i="1"/>
  <c r="EY106" i="1"/>
  <c r="EY105" i="1"/>
  <c r="EY104" i="1"/>
  <c r="EY103" i="1"/>
  <c r="EX103" i="1" s="1"/>
  <c r="EY102" i="1"/>
  <c r="EY101" i="1"/>
  <c r="EY100" i="1"/>
  <c r="EY99" i="1"/>
  <c r="EY98" i="1"/>
  <c r="EY97" i="1"/>
  <c r="EY96" i="1"/>
  <c r="EY95" i="1"/>
  <c r="EY94" i="1"/>
  <c r="EY93" i="1"/>
  <c r="EY92" i="1"/>
  <c r="EY91" i="1"/>
  <c r="EY90" i="1"/>
  <c r="EY89" i="1"/>
  <c r="EY88" i="1"/>
  <c r="EY87" i="1"/>
  <c r="EY86" i="1"/>
  <c r="EX86" i="1" s="1"/>
  <c r="EY85" i="1"/>
  <c r="EY84" i="1"/>
  <c r="EY83" i="1"/>
  <c r="EY82" i="1"/>
  <c r="EX82" i="1" s="1"/>
  <c r="EY81" i="1"/>
  <c r="EY80" i="1"/>
  <c r="EY79" i="1"/>
  <c r="EY78" i="1"/>
  <c r="EY77" i="1"/>
  <c r="EY76" i="1"/>
  <c r="EY75" i="1"/>
  <c r="EY74" i="1"/>
  <c r="EY73" i="1"/>
  <c r="EX73" i="1" s="1"/>
  <c r="EY72" i="1"/>
  <c r="EY71" i="1"/>
  <c r="EY70" i="1"/>
  <c r="EY69" i="1"/>
  <c r="EY68" i="1"/>
  <c r="EY67" i="1"/>
  <c r="EY66" i="1"/>
  <c r="EY65" i="1"/>
  <c r="EX65" i="1" s="1"/>
  <c r="EY64" i="1"/>
  <c r="EX64" i="1" s="1"/>
  <c r="EY63" i="1"/>
  <c r="EX63" i="1" s="1"/>
  <c r="EY62" i="1"/>
  <c r="EX62" i="1" s="1"/>
  <c r="EY61" i="1"/>
  <c r="EY60" i="1"/>
  <c r="EX60" i="1" s="1"/>
  <c r="EY59" i="1"/>
  <c r="EY58" i="1"/>
  <c r="EX58" i="1" s="1"/>
  <c r="EY57" i="1"/>
  <c r="EX57" i="1" s="1"/>
  <c r="EY56" i="1"/>
  <c r="EY55" i="1"/>
  <c r="EY54" i="1"/>
  <c r="EY53" i="1"/>
  <c r="EY52" i="1"/>
  <c r="EY51" i="1"/>
  <c r="EY50" i="1"/>
  <c r="EY49" i="1"/>
  <c r="EY48" i="1"/>
  <c r="EY47" i="1"/>
  <c r="EY46" i="1"/>
  <c r="EY45" i="1"/>
  <c r="EX45" i="1" s="1"/>
  <c r="EY44" i="1"/>
  <c r="EY43" i="1"/>
  <c r="EY42" i="1"/>
  <c r="EY41" i="1"/>
  <c r="EY40" i="1"/>
  <c r="EY39" i="1"/>
  <c r="EX39" i="1" s="1"/>
  <c r="EY38" i="1"/>
  <c r="EX38" i="1" s="1"/>
  <c r="EY37" i="1"/>
  <c r="EX37" i="1" s="1"/>
  <c r="EY36" i="1"/>
  <c r="EX36" i="1" s="1"/>
  <c r="EY35" i="1"/>
  <c r="EY34" i="1"/>
  <c r="EY33" i="1"/>
  <c r="EY32" i="1"/>
  <c r="EX32" i="1" s="1"/>
  <c r="EY31" i="1"/>
  <c r="EX31" i="1" s="1"/>
  <c r="EY30" i="1"/>
  <c r="EY29" i="1"/>
  <c r="EY28" i="1"/>
  <c r="EX28" i="1" s="1"/>
  <c r="EY27" i="1"/>
  <c r="EY26" i="1"/>
  <c r="EY25" i="1"/>
  <c r="EY24" i="1"/>
  <c r="EY23" i="1"/>
  <c r="EY22" i="1"/>
  <c r="EY21" i="1"/>
  <c r="EY20" i="1"/>
  <c r="EY19" i="1"/>
  <c r="EY18" i="1"/>
  <c r="EY17" i="1"/>
  <c r="EY16" i="1"/>
  <c r="EY15" i="1"/>
  <c r="EY14" i="1"/>
  <c r="EY13" i="1"/>
  <c r="EY12" i="1"/>
  <c r="EY11" i="1"/>
  <c r="EY10" i="1"/>
  <c r="EY9" i="1"/>
  <c r="EY8" i="1"/>
  <c r="EY7" i="1"/>
  <c r="EY6" i="1"/>
  <c r="EY5" i="1"/>
  <c r="EX279" i="1"/>
  <c r="EX278" i="1"/>
  <c r="EX276" i="1"/>
  <c r="EX275" i="1"/>
  <c r="EX274" i="1"/>
  <c r="EX272" i="1"/>
  <c r="EX271" i="1"/>
  <c r="EX270" i="1"/>
  <c r="EX268" i="1"/>
  <c r="EX267" i="1"/>
  <c r="EX266" i="1"/>
  <c r="EX264" i="1"/>
  <c r="EX263" i="1"/>
  <c r="EX262" i="1"/>
  <c r="EX260" i="1"/>
  <c r="EX259" i="1"/>
  <c r="EX256" i="1"/>
  <c r="EX255" i="1"/>
  <c r="EX254" i="1"/>
  <c r="EX252" i="1"/>
  <c r="EX251" i="1"/>
  <c r="EX250" i="1"/>
  <c r="EX248" i="1"/>
  <c r="EX247" i="1"/>
  <c r="EX246" i="1"/>
  <c r="EX238" i="1"/>
  <c r="EX235" i="1"/>
  <c r="EX232" i="1"/>
  <c r="EX231" i="1"/>
  <c r="EX230" i="1"/>
  <c r="EX228" i="1"/>
  <c r="EX202" i="1"/>
  <c r="EX188" i="1"/>
  <c r="EX184" i="1"/>
  <c r="EX182" i="1"/>
  <c r="EX180" i="1"/>
  <c r="EX177" i="1"/>
  <c r="EX176" i="1"/>
  <c r="EX172" i="1"/>
  <c r="EX116" i="1"/>
  <c r="EX280" i="1"/>
  <c r="CF25" i="1"/>
  <c r="CF24" i="1"/>
  <c r="CF6" i="1"/>
  <c r="CF7" i="1"/>
  <c r="CF8" i="1"/>
  <c r="CF9" i="1"/>
  <c r="CF10" i="1"/>
  <c r="CF11" i="1"/>
  <c r="CF12" i="1"/>
  <c r="CF13" i="1"/>
  <c r="CF14" i="1"/>
  <c r="C8" i="15" s="1"/>
  <c r="CF15" i="1"/>
  <c r="CF16" i="1"/>
  <c r="CF17" i="1"/>
  <c r="CF18" i="1"/>
  <c r="CF19" i="1"/>
  <c r="CF20" i="1"/>
  <c r="CF21" i="1"/>
  <c r="CF22" i="1"/>
  <c r="CF23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5" i="1"/>
  <c r="D48" i="15" l="1"/>
  <c r="D52" i="15"/>
  <c r="D18" i="15"/>
  <c r="D22" i="15"/>
  <c r="D26" i="15"/>
  <c r="D30" i="15"/>
  <c r="D34" i="15"/>
  <c r="D38" i="15"/>
  <c r="D42" i="15"/>
  <c r="D47" i="15"/>
  <c r="D51" i="15"/>
  <c r="D20" i="15"/>
  <c r="D24" i="15"/>
  <c r="D28" i="15"/>
  <c r="D32" i="15"/>
  <c r="D36" i="15"/>
  <c r="D40" i="15"/>
  <c r="D49" i="15"/>
  <c r="D53" i="15"/>
  <c r="D19" i="15"/>
  <c r="D21" i="15"/>
  <c r="D25" i="15"/>
  <c r="D29" i="15"/>
  <c r="D33" i="15"/>
  <c r="D37" i="15"/>
  <c r="D41" i="15"/>
  <c r="D50" i="15"/>
  <c r="D54" i="15"/>
  <c r="D39" i="15"/>
  <c r="D35" i="15"/>
  <c r="D31" i="15"/>
  <c r="D27" i="15"/>
  <c r="D23" i="15"/>
  <c r="D16" i="15"/>
  <c r="D17" i="15"/>
  <c r="D15" i="15"/>
  <c r="FB281" i="1"/>
  <c r="CG281" i="1"/>
  <c r="D63" i="15"/>
  <c r="D66" i="15"/>
  <c r="D45" i="15"/>
  <c r="CF281" i="1"/>
  <c r="DS116" i="1"/>
  <c r="ES116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C11" i="15" s="1"/>
  <c r="FA13" i="1"/>
  <c r="FA12" i="1"/>
  <c r="FA11" i="1"/>
  <c r="FA10" i="1"/>
  <c r="FA9" i="1"/>
  <c r="FA8" i="1"/>
  <c r="FA7" i="1"/>
  <c r="FA6" i="1"/>
  <c r="FA5" i="1"/>
  <c r="I1341" i="5"/>
  <c r="I1105" i="5"/>
  <c r="I1316" i="5"/>
  <c r="I1286" i="5"/>
  <c r="FA281" i="1" l="1"/>
  <c r="D31" i="6"/>
  <c r="D30" i="6"/>
  <c r="D29" i="6"/>
  <c r="D37" i="7"/>
  <c r="D38" i="7"/>
  <c r="D39" i="7"/>
  <c r="H218" i="5"/>
  <c r="I218" i="5"/>
  <c r="BZ295" i="10"/>
  <c r="BZ294" i="10" s="1"/>
  <c r="EN276" i="1" s="1"/>
  <c r="BY295" i="10"/>
  <c r="BY294" i="10" s="1"/>
  <c r="BX294" i="10"/>
  <c r="BY296" i="10"/>
  <c r="BZ296" i="10"/>
  <c r="BX296" i="10"/>
  <c r="EN5" i="1"/>
  <c r="EN116" i="1"/>
  <c r="I381" i="5"/>
  <c r="I1098" i="5"/>
  <c r="EN6" i="1"/>
  <c r="EN7" i="1"/>
  <c r="EN8" i="1"/>
  <c r="EN9" i="1"/>
  <c r="EN10" i="1"/>
  <c r="EN11" i="1"/>
  <c r="EN12" i="1"/>
  <c r="EN13" i="1"/>
  <c r="EN17" i="1"/>
  <c r="EN18" i="1"/>
  <c r="EN19" i="1"/>
  <c r="EN20" i="1"/>
  <c r="EN21" i="1"/>
  <c r="EN22" i="1"/>
  <c r="EN23" i="1"/>
  <c r="EN24" i="1"/>
  <c r="EN25" i="1"/>
  <c r="EN33" i="1"/>
  <c r="EN34" i="1"/>
  <c r="EN35" i="1"/>
  <c r="EN37" i="1"/>
  <c r="EN38" i="1"/>
  <c r="EN39" i="1"/>
  <c r="EN46" i="1"/>
  <c r="EN47" i="1"/>
  <c r="EN48" i="1"/>
  <c r="EN49" i="1"/>
  <c r="EN50" i="1"/>
  <c r="EN51" i="1"/>
  <c r="EN52" i="1"/>
  <c r="EN53" i="1"/>
  <c r="EN54" i="1"/>
  <c r="EN55" i="1"/>
  <c r="EN56" i="1"/>
  <c r="EN81" i="1"/>
  <c r="EN83" i="1"/>
  <c r="EN84" i="1"/>
  <c r="EN87" i="1"/>
  <c r="EN88" i="1"/>
  <c r="EN89" i="1"/>
  <c r="EN93" i="1"/>
  <c r="EN94" i="1"/>
  <c r="EN95" i="1"/>
  <c r="EN96" i="1"/>
  <c r="EN104" i="1"/>
  <c r="EN107" i="1"/>
  <c r="EN108" i="1"/>
  <c r="EN109" i="1"/>
  <c r="EN110" i="1"/>
  <c r="EN111" i="1"/>
  <c r="EN112" i="1"/>
  <c r="EN113" i="1"/>
  <c r="EN114" i="1"/>
  <c r="EN115" i="1"/>
  <c r="EN122" i="1"/>
  <c r="EN123" i="1"/>
  <c r="EN124" i="1"/>
  <c r="EN125" i="1"/>
  <c r="EN126" i="1"/>
  <c r="EN127" i="1"/>
  <c r="EN128" i="1"/>
  <c r="EN130" i="1"/>
  <c r="EN131" i="1"/>
  <c r="EN132" i="1"/>
  <c r="EN133" i="1"/>
  <c r="EN134" i="1"/>
  <c r="EN137" i="1"/>
  <c r="EN139" i="1"/>
  <c r="EN145" i="1"/>
  <c r="EN152" i="1"/>
  <c r="EN153" i="1"/>
  <c r="EN154" i="1"/>
  <c r="EN155" i="1"/>
  <c r="EN156" i="1"/>
  <c r="EN157" i="1"/>
  <c r="EN158" i="1"/>
  <c r="EN159" i="1"/>
  <c r="EN162" i="1"/>
  <c r="EN163" i="1"/>
  <c r="EN164" i="1"/>
  <c r="EN166" i="1"/>
  <c r="EN167" i="1"/>
  <c r="EN168" i="1"/>
  <c r="EN169" i="1"/>
  <c r="EN170" i="1"/>
  <c r="EN171" i="1"/>
  <c r="EN176" i="1"/>
  <c r="EN177" i="1"/>
  <c r="EN204" i="1"/>
  <c r="EN205" i="1"/>
  <c r="EN206" i="1"/>
  <c r="EN207" i="1"/>
  <c r="EN208" i="1"/>
  <c r="EN209" i="1"/>
  <c r="EN210" i="1"/>
  <c r="EN213" i="1"/>
  <c r="EN215" i="1"/>
  <c r="EN216" i="1"/>
  <c r="EN217" i="1"/>
  <c r="EN218" i="1"/>
  <c r="EN219" i="1"/>
  <c r="EN220" i="1"/>
  <c r="EN221" i="1"/>
  <c r="EN222" i="1"/>
  <c r="EN223" i="1"/>
  <c r="EN229" i="1"/>
  <c r="EN233" i="1"/>
  <c r="EN234" i="1"/>
  <c r="EN236" i="1"/>
  <c r="EN237" i="1"/>
  <c r="EN239" i="1"/>
  <c r="EN240" i="1"/>
  <c r="EN242" i="1"/>
  <c r="EN243" i="1"/>
  <c r="EN244" i="1"/>
  <c r="EN245" i="1"/>
  <c r="EN246" i="1"/>
  <c r="EN258" i="1"/>
  <c r="BY293" i="10"/>
  <c r="BZ293" i="10"/>
  <c r="BX293" i="10"/>
  <c r="I280" i="1"/>
  <c r="H280" i="1"/>
  <c r="I279" i="1"/>
  <c r="H279" i="1"/>
  <c r="I278" i="1"/>
  <c r="H278" i="1"/>
  <c r="I277" i="1"/>
  <c r="H277" i="1"/>
  <c r="I276" i="1"/>
  <c r="H276" i="1"/>
  <c r="I275" i="1"/>
  <c r="H275" i="1"/>
  <c r="I274" i="1"/>
  <c r="H274" i="1"/>
  <c r="I273" i="1"/>
  <c r="H273" i="1"/>
  <c r="I272" i="1"/>
  <c r="H272" i="1"/>
  <c r="I271" i="1"/>
  <c r="H271" i="1"/>
  <c r="I270" i="1"/>
  <c r="H270" i="1"/>
  <c r="I269" i="1"/>
  <c r="H269" i="1"/>
  <c r="I268" i="1"/>
  <c r="H268" i="1"/>
  <c r="I267" i="1"/>
  <c r="H267" i="1"/>
  <c r="I266" i="1"/>
  <c r="H266" i="1"/>
  <c r="I265" i="1"/>
  <c r="H265" i="1"/>
  <c r="I264" i="1"/>
  <c r="H264" i="1"/>
  <c r="I263" i="1"/>
  <c r="H263" i="1"/>
  <c r="I262" i="1"/>
  <c r="H262" i="1"/>
  <c r="I261" i="1"/>
  <c r="H261" i="1"/>
  <c r="I260" i="1"/>
  <c r="H260" i="1"/>
  <c r="I259" i="1"/>
  <c r="H259" i="1"/>
  <c r="I258" i="1"/>
  <c r="H258" i="1"/>
  <c r="I257" i="1"/>
  <c r="H257" i="1"/>
  <c r="I256" i="1"/>
  <c r="H256" i="1"/>
  <c r="I255" i="1"/>
  <c r="H255" i="1"/>
  <c r="I254" i="1"/>
  <c r="H254" i="1"/>
  <c r="I253" i="1"/>
  <c r="H253" i="1"/>
  <c r="I252" i="1"/>
  <c r="H252" i="1"/>
  <c r="I251" i="1"/>
  <c r="H251" i="1"/>
  <c r="I250" i="1"/>
  <c r="H250" i="1"/>
  <c r="I249" i="1"/>
  <c r="H249" i="1"/>
  <c r="I248" i="1"/>
  <c r="H248" i="1"/>
  <c r="I247" i="1"/>
  <c r="H247" i="1"/>
  <c r="I246" i="1"/>
  <c r="H246" i="1"/>
  <c r="I245" i="1"/>
  <c r="H245" i="1"/>
  <c r="I244" i="1"/>
  <c r="H244" i="1"/>
  <c r="I243" i="1"/>
  <c r="H243" i="1"/>
  <c r="I242" i="1"/>
  <c r="H242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I235" i="1"/>
  <c r="H235" i="1"/>
  <c r="I234" i="1"/>
  <c r="H234" i="1"/>
  <c r="I233" i="1"/>
  <c r="H233" i="1"/>
  <c r="I232" i="1"/>
  <c r="H232" i="1"/>
  <c r="I231" i="1"/>
  <c r="H231" i="1"/>
  <c r="I230" i="1"/>
  <c r="H230" i="1"/>
  <c r="I229" i="1"/>
  <c r="H229" i="1"/>
  <c r="I228" i="1"/>
  <c r="H228" i="1"/>
  <c r="I227" i="1"/>
  <c r="H227" i="1"/>
  <c r="I226" i="1"/>
  <c r="H226" i="1"/>
  <c r="I225" i="1"/>
  <c r="H225" i="1"/>
  <c r="I224" i="1"/>
  <c r="H224" i="1"/>
  <c r="I223" i="1"/>
  <c r="H223" i="1"/>
  <c r="I222" i="1"/>
  <c r="H222" i="1"/>
  <c r="I221" i="1"/>
  <c r="H221" i="1"/>
  <c r="I220" i="1"/>
  <c r="H220" i="1"/>
  <c r="I219" i="1"/>
  <c r="H219" i="1"/>
  <c r="I218" i="1"/>
  <c r="H218" i="1"/>
  <c r="I217" i="1"/>
  <c r="H217" i="1"/>
  <c r="I216" i="1"/>
  <c r="H216" i="1"/>
  <c r="I215" i="1"/>
  <c r="H215" i="1"/>
  <c r="I214" i="1"/>
  <c r="H214" i="1"/>
  <c r="I213" i="1"/>
  <c r="H213" i="1"/>
  <c r="I212" i="1"/>
  <c r="H212" i="1"/>
  <c r="I211" i="1"/>
  <c r="H211" i="1"/>
  <c r="I210" i="1"/>
  <c r="H210" i="1"/>
  <c r="I209" i="1"/>
  <c r="H209" i="1"/>
  <c r="I208" i="1"/>
  <c r="H208" i="1"/>
  <c r="I207" i="1"/>
  <c r="H207" i="1"/>
  <c r="I206" i="1"/>
  <c r="H206" i="1"/>
  <c r="I205" i="1"/>
  <c r="H205" i="1"/>
  <c r="I204" i="1"/>
  <c r="H204" i="1"/>
  <c r="I203" i="1"/>
  <c r="H203" i="1"/>
  <c r="I202" i="1"/>
  <c r="H202" i="1"/>
  <c r="I201" i="1"/>
  <c r="H201" i="1"/>
  <c r="I200" i="1"/>
  <c r="H200" i="1"/>
  <c r="I199" i="1"/>
  <c r="H199" i="1"/>
  <c r="I198" i="1"/>
  <c r="H198" i="1"/>
  <c r="I197" i="1"/>
  <c r="H197" i="1"/>
  <c r="I196" i="1"/>
  <c r="H196" i="1"/>
  <c r="I195" i="1"/>
  <c r="H195" i="1"/>
  <c r="I194" i="1"/>
  <c r="H194" i="1"/>
  <c r="I193" i="1"/>
  <c r="H193" i="1"/>
  <c r="I192" i="1"/>
  <c r="H192" i="1"/>
  <c r="I191" i="1"/>
  <c r="H191" i="1"/>
  <c r="I190" i="1"/>
  <c r="H190" i="1"/>
  <c r="I189" i="1"/>
  <c r="H189" i="1"/>
  <c r="I188" i="1"/>
  <c r="H188" i="1"/>
  <c r="I187" i="1"/>
  <c r="H187" i="1"/>
  <c r="I186" i="1"/>
  <c r="H186" i="1"/>
  <c r="I185" i="1"/>
  <c r="H185" i="1"/>
  <c r="I184" i="1"/>
  <c r="H184" i="1"/>
  <c r="I183" i="1"/>
  <c r="H183" i="1"/>
  <c r="I182" i="1"/>
  <c r="H182" i="1"/>
  <c r="I181" i="1"/>
  <c r="H181" i="1"/>
  <c r="I180" i="1"/>
  <c r="H180" i="1"/>
  <c r="I179" i="1"/>
  <c r="H179" i="1"/>
  <c r="I178" i="1"/>
  <c r="H178" i="1"/>
  <c r="I177" i="1"/>
  <c r="H177" i="1"/>
  <c r="I176" i="1"/>
  <c r="H176" i="1"/>
  <c r="I175" i="1"/>
  <c r="H175" i="1"/>
  <c r="I174" i="1"/>
  <c r="H174" i="1"/>
  <c r="I173" i="1"/>
  <c r="H173" i="1"/>
  <c r="I172" i="1"/>
  <c r="H172" i="1"/>
  <c r="I171" i="1"/>
  <c r="H171" i="1"/>
  <c r="I170" i="1"/>
  <c r="H170" i="1"/>
  <c r="I169" i="1"/>
  <c r="H169" i="1"/>
  <c r="I168" i="1"/>
  <c r="H168" i="1"/>
  <c r="I167" i="1"/>
  <c r="H167" i="1"/>
  <c r="I166" i="1"/>
  <c r="H166" i="1"/>
  <c r="I165" i="1"/>
  <c r="H165" i="1"/>
  <c r="I164" i="1"/>
  <c r="H164" i="1"/>
  <c r="I163" i="1"/>
  <c r="H163" i="1"/>
  <c r="I162" i="1"/>
  <c r="H162" i="1"/>
  <c r="I161" i="1"/>
  <c r="H161" i="1"/>
  <c r="I160" i="1"/>
  <c r="H160" i="1"/>
  <c r="I159" i="1"/>
  <c r="H159" i="1"/>
  <c r="I158" i="1"/>
  <c r="H158" i="1"/>
  <c r="I157" i="1"/>
  <c r="H157" i="1"/>
  <c r="I156" i="1"/>
  <c r="H156" i="1"/>
  <c r="I155" i="1"/>
  <c r="H155" i="1"/>
  <c r="I154" i="1"/>
  <c r="H154" i="1"/>
  <c r="I153" i="1"/>
  <c r="H153" i="1"/>
  <c r="I152" i="1"/>
  <c r="H152" i="1"/>
  <c r="I151" i="1"/>
  <c r="H151" i="1"/>
  <c r="I150" i="1"/>
  <c r="H150" i="1"/>
  <c r="I149" i="1"/>
  <c r="H149" i="1"/>
  <c r="I148" i="1"/>
  <c r="H148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I130" i="1"/>
  <c r="H130" i="1"/>
  <c r="I129" i="1"/>
  <c r="H129" i="1"/>
  <c r="I128" i="1"/>
  <c r="H128" i="1"/>
  <c r="I127" i="1"/>
  <c r="H127" i="1"/>
  <c r="I126" i="1"/>
  <c r="H126" i="1"/>
  <c r="I125" i="1"/>
  <c r="H125" i="1"/>
  <c r="I124" i="1"/>
  <c r="H124" i="1"/>
  <c r="I123" i="1"/>
  <c r="H123" i="1"/>
  <c r="I122" i="1"/>
  <c r="H122" i="1"/>
  <c r="I121" i="1"/>
  <c r="H121" i="1"/>
  <c r="I120" i="1"/>
  <c r="H120" i="1"/>
  <c r="I119" i="1"/>
  <c r="H119" i="1"/>
  <c r="I118" i="1"/>
  <c r="H118" i="1"/>
  <c r="I117" i="1"/>
  <c r="H117" i="1"/>
  <c r="I115" i="1"/>
  <c r="H115" i="1"/>
  <c r="I114" i="1"/>
  <c r="H114" i="1"/>
  <c r="I113" i="1"/>
  <c r="H113" i="1"/>
  <c r="I112" i="1"/>
  <c r="H112" i="1"/>
  <c r="I111" i="1"/>
  <c r="H111" i="1"/>
  <c r="I110" i="1"/>
  <c r="H110" i="1"/>
  <c r="I109" i="1"/>
  <c r="H109" i="1"/>
  <c r="I108" i="1"/>
  <c r="H108" i="1"/>
  <c r="I107" i="1"/>
  <c r="H107" i="1"/>
  <c r="I106" i="1"/>
  <c r="H106" i="1"/>
  <c r="I105" i="1"/>
  <c r="H105" i="1"/>
  <c r="I104" i="1"/>
  <c r="H104" i="1"/>
  <c r="I103" i="1"/>
  <c r="H103" i="1"/>
  <c r="I102" i="1"/>
  <c r="H102" i="1"/>
  <c r="I101" i="1"/>
  <c r="H101" i="1"/>
  <c r="I100" i="1"/>
  <c r="H100" i="1"/>
  <c r="I99" i="1"/>
  <c r="H99" i="1"/>
  <c r="I98" i="1"/>
  <c r="H98" i="1"/>
  <c r="I97" i="1"/>
  <c r="H97" i="1"/>
  <c r="I96" i="1"/>
  <c r="H96" i="1"/>
  <c r="I95" i="1"/>
  <c r="H95" i="1"/>
  <c r="I94" i="1"/>
  <c r="H94" i="1"/>
  <c r="I93" i="1"/>
  <c r="H93" i="1"/>
  <c r="I92" i="1"/>
  <c r="H92" i="1"/>
  <c r="I91" i="1"/>
  <c r="H91" i="1"/>
  <c r="I90" i="1"/>
  <c r="H90" i="1"/>
  <c r="I89" i="1"/>
  <c r="H89" i="1"/>
  <c r="I88" i="1"/>
  <c r="H88" i="1"/>
  <c r="I87" i="1"/>
  <c r="H87" i="1"/>
  <c r="I86" i="1"/>
  <c r="H86" i="1"/>
  <c r="I85" i="1"/>
  <c r="H85" i="1"/>
  <c r="I84" i="1"/>
  <c r="H84" i="1"/>
  <c r="I83" i="1"/>
  <c r="H83" i="1"/>
  <c r="I82" i="1"/>
  <c r="H82" i="1"/>
  <c r="I81" i="1"/>
  <c r="H81" i="1"/>
  <c r="I80" i="1"/>
  <c r="H80" i="1"/>
  <c r="I79" i="1"/>
  <c r="H79" i="1"/>
  <c r="I78" i="1"/>
  <c r="H78" i="1"/>
  <c r="I77" i="1"/>
  <c r="H77" i="1"/>
  <c r="I76" i="1"/>
  <c r="H76" i="1"/>
  <c r="I75" i="1"/>
  <c r="H75" i="1"/>
  <c r="I74" i="1"/>
  <c r="H74" i="1"/>
  <c r="I73" i="1"/>
  <c r="H73" i="1"/>
  <c r="I72" i="1"/>
  <c r="H72" i="1"/>
  <c r="I71" i="1"/>
  <c r="H71" i="1"/>
  <c r="I70" i="1"/>
  <c r="H70" i="1"/>
  <c r="I69" i="1"/>
  <c r="H69" i="1"/>
  <c r="I68" i="1"/>
  <c r="H68" i="1"/>
  <c r="I67" i="1"/>
  <c r="H67" i="1"/>
  <c r="I66" i="1"/>
  <c r="H66" i="1"/>
  <c r="I65" i="1"/>
  <c r="H65" i="1"/>
  <c r="I64" i="1"/>
  <c r="H64" i="1"/>
  <c r="I63" i="1"/>
  <c r="H63" i="1"/>
  <c r="I62" i="1"/>
  <c r="H62" i="1"/>
  <c r="I61" i="1"/>
  <c r="H61" i="1"/>
  <c r="I60" i="1"/>
  <c r="H60" i="1"/>
  <c r="I59" i="1"/>
  <c r="H59" i="1"/>
  <c r="I58" i="1"/>
  <c r="H58" i="1"/>
  <c r="I57" i="1"/>
  <c r="H57" i="1"/>
  <c r="I56" i="1"/>
  <c r="I55" i="1"/>
  <c r="I54" i="1"/>
  <c r="H54" i="1"/>
  <c r="I53" i="1"/>
  <c r="H53" i="1"/>
  <c r="I52" i="1"/>
  <c r="H52" i="1"/>
  <c r="I51" i="1"/>
  <c r="H51" i="1"/>
  <c r="I50" i="1"/>
  <c r="H50" i="1"/>
  <c r="I49" i="1"/>
  <c r="H49" i="1"/>
  <c r="I48" i="1"/>
  <c r="H48" i="1"/>
  <c r="I47" i="1"/>
  <c r="H47" i="1"/>
  <c r="I46" i="1"/>
  <c r="H46" i="1"/>
  <c r="I45" i="1"/>
  <c r="H45" i="1"/>
  <c r="I44" i="1"/>
  <c r="H44" i="1"/>
  <c r="I43" i="1"/>
  <c r="H43" i="1"/>
  <c r="I42" i="1"/>
  <c r="H42" i="1"/>
  <c r="I41" i="1"/>
  <c r="H41" i="1"/>
  <c r="I40" i="1"/>
  <c r="H40" i="1"/>
  <c r="I39" i="1"/>
  <c r="H39" i="1"/>
  <c r="I38" i="1"/>
  <c r="H38" i="1"/>
  <c r="I37" i="1"/>
  <c r="H37" i="1"/>
  <c r="I36" i="1"/>
  <c r="H36" i="1"/>
  <c r="I35" i="1"/>
  <c r="H35" i="1"/>
  <c r="I34" i="1"/>
  <c r="H34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I9" i="1"/>
  <c r="H9" i="1"/>
  <c r="I8" i="1"/>
  <c r="H8" i="1"/>
  <c r="I7" i="1"/>
  <c r="H7" i="1"/>
  <c r="I6" i="1"/>
  <c r="H6" i="1"/>
  <c r="I5" i="1"/>
  <c r="H5" i="1"/>
  <c r="DK280" i="1"/>
  <c r="DJ280" i="1"/>
  <c r="DI280" i="1"/>
  <c r="DQ280" i="1"/>
  <c r="DP280" i="1"/>
  <c r="DN280" i="1"/>
  <c r="DR280" i="1"/>
  <c r="DT280" i="1"/>
  <c r="DH280" i="1"/>
  <c r="DG280" i="1"/>
  <c r="DF280" i="1"/>
  <c r="DE280" i="1"/>
  <c r="DD280" i="1"/>
  <c r="DC280" i="1"/>
  <c r="DB280" i="1"/>
  <c r="CZ280" i="1"/>
  <c r="CY280" i="1"/>
  <c r="CX280" i="1"/>
  <c r="CW280" i="1"/>
  <c r="CV280" i="1"/>
  <c r="CU280" i="1"/>
  <c r="CT280" i="1"/>
  <c r="CS280" i="1"/>
  <c r="DV280" i="1"/>
  <c r="CR280" i="1"/>
  <c r="CQ280" i="1"/>
  <c r="DU280" i="1"/>
  <c r="CO280" i="1"/>
  <c r="CN280" i="1"/>
  <c r="CM280" i="1"/>
  <c r="CL280" i="1"/>
  <c r="CP280" i="1"/>
  <c r="DW280" i="1"/>
  <c r="CJ280" i="1"/>
  <c r="DK279" i="1"/>
  <c r="DJ279" i="1"/>
  <c r="DI279" i="1"/>
  <c r="DQ279" i="1"/>
  <c r="DP279" i="1"/>
  <c r="DN279" i="1"/>
  <c r="DR279" i="1"/>
  <c r="DT279" i="1"/>
  <c r="DH279" i="1"/>
  <c r="DG279" i="1"/>
  <c r="DF279" i="1"/>
  <c r="DE279" i="1"/>
  <c r="DD279" i="1"/>
  <c r="DC279" i="1"/>
  <c r="DB279" i="1"/>
  <c r="CZ279" i="1"/>
  <c r="CY279" i="1"/>
  <c r="CX279" i="1"/>
  <c r="CW279" i="1"/>
  <c r="CV279" i="1"/>
  <c r="CU279" i="1"/>
  <c r="CT279" i="1"/>
  <c r="CS279" i="1"/>
  <c r="DV279" i="1"/>
  <c r="CR279" i="1"/>
  <c r="CQ279" i="1"/>
  <c r="DU279" i="1"/>
  <c r="CO279" i="1"/>
  <c r="CN279" i="1"/>
  <c r="CM279" i="1"/>
  <c r="CL279" i="1"/>
  <c r="CP279" i="1"/>
  <c r="CK279" i="1"/>
  <c r="DW279" i="1"/>
  <c r="CJ279" i="1"/>
  <c r="DK278" i="1"/>
  <c r="DJ278" i="1"/>
  <c r="DI278" i="1"/>
  <c r="DQ278" i="1"/>
  <c r="DP278" i="1"/>
  <c r="DN278" i="1"/>
  <c r="DR278" i="1"/>
  <c r="DT278" i="1"/>
  <c r="DH278" i="1"/>
  <c r="DG278" i="1"/>
  <c r="DF278" i="1"/>
  <c r="DE278" i="1"/>
  <c r="DD278" i="1"/>
  <c r="DB278" i="1"/>
  <c r="CY278" i="1"/>
  <c r="CX278" i="1"/>
  <c r="CW278" i="1"/>
  <c r="CV278" i="1"/>
  <c r="CU278" i="1"/>
  <c r="CT278" i="1"/>
  <c r="CS278" i="1"/>
  <c r="DV278" i="1"/>
  <c r="CR278" i="1"/>
  <c r="CQ278" i="1"/>
  <c r="DU278" i="1"/>
  <c r="CO278" i="1"/>
  <c r="CN278" i="1"/>
  <c r="CM278" i="1"/>
  <c r="CP278" i="1"/>
  <c r="DW278" i="1"/>
  <c r="DK277" i="1"/>
  <c r="DJ277" i="1"/>
  <c r="DI277" i="1"/>
  <c r="DQ277" i="1"/>
  <c r="DP277" i="1"/>
  <c r="DN277" i="1"/>
  <c r="DR277" i="1"/>
  <c r="DT277" i="1"/>
  <c r="DH277" i="1"/>
  <c r="DG277" i="1"/>
  <c r="DF277" i="1"/>
  <c r="DE277" i="1"/>
  <c r="DD277" i="1"/>
  <c r="DC277" i="1"/>
  <c r="DB277" i="1"/>
  <c r="CZ277" i="1"/>
  <c r="CY277" i="1"/>
  <c r="CX277" i="1"/>
  <c r="CW277" i="1"/>
  <c r="CV277" i="1"/>
  <c r="CU277" i="1"/>
  <c r="CT277" i="1"/>
  <c r="CS277" i="1"/>
  <c r="DV277" i="1"/>
  <c r="CR277" i="1"/>
  <c r="CQ277" i="1"/>
  <c r="DU277" i="1"/>
  <c r="CO277" i="1"/>
  <c r="CN277" i="1"/>
  <c r="CM277" i="1"/>
  <c r="CL277" i="1"/>
  <c r="CP277" i="1"/>
  <c r="DW277" i="1"/>
  <c r="CJ277" i="1"/>
  <c r="DK276" i="1"/>
  <c r="DJ276" i="1"/>
  <c r="DI276" i="1"/>
  <c r="DQ276" i="1"/>
  <c r="DP276" i="1"/>
  <c r="DN276" i="1"/>
  <c r="DR276" i="1"/>
  <c r="DT276" i="1"/>
  <c r="DH276" i="1"/>
  <c r="DG276" i="1"/>
  <c r="DF276" i="1"/>
  <c r="DE276" i="1"/>
  <c r="DD276" i="1"/>
  <c r="DC276" i="1"/>
  <c r="DB276" i="1"/>
  <c r="DA276" i="1"/>
  <c r="CY276" i="1"/>
  <c r="CX276" i="1"/>
  <c r="CW276" i="1"/>
  <c r="CV276" i="1"/>
  <c r="CU276" i="1"/>
  <c r="CT276" i="1"/>
  <c r="CS276" i="1"/>
  <c r="DV276" i="1"/>
  <c r="CR276" i="1"/>
  <c r="CQ276" i="1"/>
  <c r="DU276" i="1"/>
  <c r="CO276" i="1"/>
  <c r="CN276" i="1"/>
  <c r="CM276" i="1"/>
  <c r="CP276" i="1"/>
  <c r="DW276" i="1"/>
  <c r="CJ276" i="1"/>
  <c r="DK275" i="1"/>
  <c r="DJ275" i="1"/>
  <c r="DI275" i="1"/>
  <c r="DQ275" i="1"/>
  <c r="DP275" i="1"/>
  <c r="DN275" i="1"/>
  <c r="DR275" i="1"/>
  <c r="DT275" i="1"/>
  <c r="DH275" i="1"/>
  <c r="DG275" i="1"/>
  <c r="DF275" i="1"/>
  <c r="DE275" i="1"/>
  <c r="DD275" i="1"/>
  <c r="DC275" i="1"/>
  <c r="DB275" i="1"/>
  <c r="DA275" i="1"/>
  <c r="CY275" i="1"/>
  <c r="CX275" i="1"/>
  <c r="CW275" i="1"/>
  <c r="CV275" i="1"/>
  <c r="CU275" i="1"/>
  <c r="CT275" i="1"/>
  <c r="CS275" i="1"/>
  <c r="DV275" i="1"/>
  <c r="CR275" i="1"/>
  <c r="CQ275" i="1"/>
  <c r="DU275" i="1"/>
  <c r="CO275" i="1"/>
  <c r="CN275" i="1"/>
  <c r="CM275" i="1"/>
  <c r="CL275" i="1"/>
  <c r="CP275" i="1"/>
  <c r="DW275" i="1"/>
  <c r="DK274" i="1"/>
  <c r="DJ274" i="1"/>
  <c r="DI274" i="1"/>
  <c r="DQ274" i="1"/>
  <c r="DN274" i="1"/>
  <c r="DR274" i="1"/>
  <c r="DT274" i="1"/>
  <c r="DH274" i="1"/>
  <c r="DG274" i="1"/>
  <c r="DF274" i="1"/>
  <c r="DE274" i="1"/>
  <c r="DD274" i="1"/>
  <c r="DC274" i="1"/>
  <c r="DB274" i="1"/>
  <c r="DA274" i="1"/>
  <c r="CY274" i="1"/>
  <c r="CX274" i="1"/>
  <c r="CW274" i="1"/>
  <c r="CV274" i="1"/>
  <c r="CU274" i="1"/>
  <c r="CT274" i="1"/>
  <c r="CS274" i="1"/>
  <c r="DV274" i="1"/>
  <c r="CR274" i="1"/>
  <c r="CQ274" i="1"/>
  <c r="DU274" i="1"/>
  <c r="CO274" i="1"/>
  <c r="CN274" i="1"/>
  <c r="CM274" i="1"/>
  <c r="CL274" i="1"/>
  <c r="CP274" i="1"/>
  <c r="DW274" i="1"/>
  <c r="DK273" i="1"/>
  <c r="DJ273" i="1"/>
  <c r="DI273" i="1"/>
  <c r="DQ273" i="1"/>
  <c r="DP273" i="1"/>
  <c r="DN273" i="1"/>
  <c r="DR273" i="1"/>
  <c r="DT273" i="1"/>
  <c r="DH273" i="1"/>
  <c r="DG273" i="1"/>
  <c r="DF273" i="1"/>
  <c r="DE273" i="1"/>
  <c r="DD273" i="1"/>
  <c r="DC273" i="1"/>
  <c r="DB273" i="1"/>
  <c r="DA273" i="1"/>
  <c r="CY273" i="1"/>
  <c r="CX273" i="1"/>
  <c r="CW273" i="1"/>
  <c r="CV273" i="1"/>
  <c r="CU273" i="1"/>
  <c r="CT273" i="1"/>
  <c r="CS273" i="1"/>
  <c r="DV273" i="1"/>
  <c r="CR273" i="1"/>
  <c r="CQ273" i="1"/>
  <c r="DU273" i="1"/>
  <c r="CO273" i="1"/>
  <c r="CN273" i="1"/>
  <c r="CM273" i="1"/>
  <c r="CL273" i="1"/>
  <c r="CP273" i="1"/>
  <c r="DW273" i="1"/>
  <c r="DK272" i="1"/>
  <c r="DJ272" i="1"/>
  <c r="DI272" i="1"/>
  <c r="DQ272" i="1"/>
  <c r="DP272" i="1"/>
  <c r="DN272" i="1"/>
  <c r="DR272" i="1"/>
  <c r="DT272" i="1"/>
  <c r="DH272" i="1"/>
  <c r="DG272" i="1"/>
  <c r="DF272" i="1"/>
  <c r="DE272" i="1"/>
  <c r="DD272" i="1"/>
  <c r="DC272" i="1"/>
  <c r="DB272" i="1"/>
  <c r="CY272" i="1"/>
  <c r="CX272" i="1"/>
  <c r="CW272" i="1"/>
  <c r="CV272" i="1"/>
  <c r="CU272" i="1"/>
  <c r="CT272" i="1"/>
  <c r="CS272" i="1"/>
  <c r="DV272" i="1"/>
  <c r="CR272" i="1"/>
  <c r="CQ272" i="1"/>
  <c r="DU272" i="1"/>
  <c r="CO272" i="1"/>
  <c r="CN272" i="1"/>
  <c r="CM272" i="1"/>
  <c r="CL272" i="1"/>
  <c r="CP272" i="1"/>
  <c r="DW272" i="1"/>
  <c r="DK271" i="1"/>
  <c r="DJ271" i="1"/>
  <c r="DI271" i="1"/>
  <c r="DQ271" i="1"/>
  <c r="DP271" i="1"/>
  <c r="DN271" i="1"/>
  <c r="DR271" i="1"/>
  <c r="DT271" i="1"/>
  <c r="DH271" i="1"/>
  <c r="DF271" i="1"/>
  <c r="DE271" i="1"/>
  <c r="DD271" i="1"/>
  <c r="DC271" i="1"/>
  <c r="DB271" i="1"/>
  <c r="CY271" i="1"/>
  <c r="CX271" i="1"/>
  <c r="CW271" i="1"/>
  <c r="CV271" i="1"/>
  <c r="CU271" i="1"/>
  <c r="CT271" i="1"/>
  <c r="CS271" i="1"/>
  <c r="DV271" i="1"/>
  <c r="CR271" i="1"/>
  <c r="CQ271" i="1"/>
  <c r="DU271" i="1"/>
  <c r="CO271" i="1"/>
  <c r="CN271" i="1"/>
  <c r="CM271" i="1"/>
  <c r="CL271" i="1"/>
  <c r="CP271" i="1"/>
  <c r="DW271" i="1"/>
  <c r="CJ271" i="1"/>
  <c r="DK270" i="1"/>
  <c r="DJ270" i="1"/>
  <c r="DI270" i="1"/>
  <c r="DQ270" i="1"/>
  <c r="DP270" i="1"/>
  <c r="DN270" i="1"/>
  <c r="DR270" i="1"/>
  <c r="DT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V270" i="1"/>
  <c r="CR270" i="1"/>
  <c r="CQ270" i="1"/>
  <c r="DU270" i="1"/>
  <c r="CO270" i="1"/>
  <c r="CN270" i="1"/>
  <c r="CM270" i="1"/>
  <c r="CL270" i="1"/>
  <c r="CP270" i="1"/>
  <c r="DW270" i="1"/>
  <c r="CJ270" i="1"/>
  <c r="DK269" i="1"/>
  <c r="DJ269" i="1"/>
  <c r="DI269" i="1"/>
  <c r="DQ269" i="1"/>
  <c r="DP269" i="1"/>
  <c r="DN269" i="1"/>
  <c r="DR269" i="1"/>
  <c r="DT269" i="1"/>
  <c r="DH269" i="1"/>
  <c r="DG269" i="1"/>
  <c r="DF269" i="1"/>
  <c r="DE269" i="1"/>
  <c r="DD269" i="1"/>
  <c r="DB269" i="1"/>
  <c r="CZ269" i="1"/>
  <c r="CY269" i="1"/>
  <c r="CX269" i="1"/>
  <c r="CW269" i="1"/>
  <c r="CV269" i="1"/>
  <c r="CU269" i="1"/>
  <c r="CT269" i="1"/>
  <c r="CS269" i="1"/>
  <c r="DV269" i="1"/>
  <c r="CR269" i="1"/>
  <c r="CQ269" i="1"/>
  <c r="DU269" i="1"/>
  <c r="CO269" i="1"/>
  <c r="CN269" i="1"/>
  <c r="CM269" i="1"/>
  <c r="CL269" i="1"/>
  <c r="CP269" i="1"/>
  <c r="DW269" i="1"/>
  <c r="CJ269" i="1"/>
  <c r="DK268" i="1"/>
  <c r="DJ268" i="1"/>
  <c r="DI268" i="1"/>
  <c r="DQ268" i="1"/>
  <c r="DP268" i="1"/>
  <c r="DN268" i="1"/>
  <c r="DR268" i="1"/>
  <c r="DT268" i="1"/>
  <c r="DH268" i="1"/>
  <c r="DG268" i="1"/>
  <c r="DF268" i="1"/>
  <c r="DD268" i="1"/>
  <c r="DC268" i="1"/>
  <c r="DB268" i="1"/>
  <c r="DA268" i="1"/>
  <c r="CY268" i="1"/>
  <c r="CX268" i="1"/>
  <c r="CW268" i="1"/>
  <c r="CV268" i="1"/>
  <c r="CU268" i="1"/>
  <c r="CT268" i="1"/>
  <c r="CS268" i="1"/>
  <c r="DV268" i="1"/>
  <c r="CR268" i="1"/>
  <c r="CQ268" i="1"/>
  <c r="DU268" i="1"/>
  <c r="CO268" i="1"/>
  <c r="CN268" i="1"/>
  <c r="CM268" i="1"/>
  <c r="CL268" i="1"/>
  <c r="CP268" i="1"/>
  <c r="DW268" i="1"/>
  <c r="CJ268" i="1"/>
  <c r="DK267" i="1"/>
  <c r="DJ267" i="1"/>
  <c r="DI267" i="1"/>
  <c r="DQ267" i="1"/>
  <c r="DP267" i="1"/>
  <c r="DN267" i="1"/>
  <c r="DR267" i="1"/>
  <c r="DT267" i="1"/>
  <c r="DH267" i="1"/>
  <c r="DG267" i="1"/>
  <c r="DF267" i="1"/>
  <c r="DE267" i="1"/>
  <c r="DD267" i="1"/>
  <c r="DC267" i="1"/>
  <c r="DB267" i="1"/>
  <c r="DA267" i="1"/>
  <c r="CY267" i="1"/>
  <c r="CX267" i="1"/>
  <c r="CW267" i="1"/>
  <c r="CV267" i="1"/>
  <c r="CU267" i="1"/>
  <c r="CT267" i="1"/>
  <c r="CS267" i="1"/>
  <c r="DV267" i="1"/>
  <c r="CR267" i="1"/>
  <c r="CQ267" i="1"/>
  <c r="DU267" i="1"/>
  <c r="CO267" i="1"/>
  <c r="CN267" i="1"/>
  <c r="CM267" i="1"/>
  <c r="CL267" i="1"/>
  <c r="CP267" i="1"/>
  <c r="DW267" i="1"/>
  <c r="CJ267" i="1"/>
  <c r="DK266" i="1"/>
  <c r="DJ266" i="1"/>
  <c r="DI266" i="1"/>
  <c r="DQ266" i="1"/>
  <c r="DP266" i="1"/>
  <c r="DN266" i="1"/>
  <c r="DR266" i="1"/>
  <c r="DT266" i="1"/>
  <c r="DH266" i="1"/>
  <c r="DG266" i="1"/>
  <c r="DF266" i="1"/>
  <c r="DE266" i="1"/>
  <c r="DD266" i="1"/>
  <c r="DB266" i="1"/>
  <c r="DA266" i="1"/>
  <c r="CZ266" i="1"/>
  <c r="CY266" i="1"/>
  <c r="CX266" i="1"/>
  <c r="CW266" i="1"/>
  <c r="CV266" i="1"/>
  <c r="CU266" i="1"/>
  <c r="CT266" i="1"/>
  <c r="CS266" i="1"/>
  <c r="DV266" i="1"/>
  <c r="CR266" i="1"/>
  <c r="CQ266" i="1"/>
  <c r="DU266" i="1"/>
  <c r="CO266" i="1"/>
  <c r="CN266" i="1"/>
  <c r="CM266" i="1"/>
  <c r="CL266" i="1"/>
  <c r="CP266" i="1"/>
  <c r="DW266" i="1"/>
  <c r="CJ266" i="1"/>
  <c r="DK265" i="1"/>
  <c r="DJ265" i="1"/>
  <c r="DI265" i="1"/>
  <c r="DQ265" i="1"/>
  <c r="DP265" i="1"/>
  <c r="DN265" i="1"/>
  <c r="DR265" i="1"/>
  <c r="DT265" i="1"/>
  <c r="DH265" i="1"/>
  <c r="DG265" i="1"/>
  <c r="DF265" i="1"/>
  <c r="DE265" i="1"/>
  <c r="DD265" i="1"/>
  <c r="DC265" i="1"/>
  <c r="DB265" i="1"/>
  <c r="CZ265" i="1"/>
  <c r="CY265" i="1"/>
  <c r="CX265" i="1"/>
  <c r="CW265" i="1"/>
  <c r="CV265" i="1"/>
  <c r="CU265" i="1"/>
  <c r="CT265" i="1"/>
  <c r="CS265" i="1"/>
  <c r="DV265" i="1"/>
  <c r="CR265" i="1"/>
  <c r="CQ265" i="1"/>
  <c r="DU265" i="1"/>
  <c r="CO265" i="1"/>
  <c r="CN265" i="1"/>
  <c r="CM265" i="1"/>
  <c r="CL265" i="1"/>
  <c r="CP265" i="1"/>
  <c r="CK265" i="1"/>
  <c r="DW265" i="1"/>
  <c r="CJ265" i="1"/>
  <c r="DK264" i="1"/>
  <c r="DJ264" i="1"/>
  <c r="DI264" i="1"/>
  <c r="DQ264" i="1"/>
  <c r="DP264" i="1"/>
  <c r="DN264" i="1"/>
  <c r="DR264" i="1"/>
  <c r="DT264" i="1"/>
  <c r="DH264" i="1"/>
  <c r="DG264" i="1"/>
  <c r="DF264" i="1"/>
  <c r="DE264" i="1"/>
  <c r="DD264" i="1"/>
  <c r="DC264" i="1"/>
  <c r="DB264" i="1"/>
  <c r="CZ264" i="1"/>
  <c r="CY264" i="1"/>
  <c r="CX264" i="1"/>
  <c r="CW264" i="1"/>
  <c r="CV264" i="1"/>
  <c r="CU264" i="1"/>
  <c r="CT264" i="1"/>
  <c r="CS264" i="1"/>
  <c r="DV264" i="1"/>
  <c r="CR264" i="1"/>
  <c r="CQ264" i="1"/>
  <c r="DU264" i="1"/>
  <c r="CO264" i="1"/>
  <c r="CN264" i="1"/>
  <c r="CM264" i="1"/>
  <c r="CL264" i="1"/>
  <c r="CP264" i="1"/>
  <c r="DW264" i="1"/>
  <c r="DK263" i="1"/>
  <c r="DJ263" i="1"/>
  <c r="DI263" i="1"/>
  <c r="DQ263" i="1"/>
  <c r="DP263" i="1"/>
  <c r="DN263" i="1"/>
  <c r="DR263" i="1"/>
  <c r="DT263" i="1"/>
  <c r="DH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V263" i="1"/>
  <c r="CR263" i="1"/>
  <c r="CQ263" i="1"/>
  <c r="DU263" i="1"/>
  <c r="CO263" i="1"/>
  <c r="CN263" i="1"/>
  <c r="CM263" i="1"/>
  <c r="CL263" i="1"/>
  <c r="CP263" i="1"/>
  <c r="DW263" i="1"/>
  <c r="CJ263" i="1"/>
  <c r="DK262" i="1"/>
  <c r="DJ262" i="1"/>
  <c r="DI262" i="1"/>
  <c r="DQ262" i="1"/>
  <c r="DP262" i="1"/>
  <c r="DN262" i="1"/>
  <c r="DR262" i="1"/>
  <c r="DT262" i="1"/>
  <c r="DH262" i="1"/>
  <c r="DG262" i="1"/>
  <c r="DF262" i="1"/>
  <c r="DE262" i="1"/>
  <c r="DD262" i="1"/>
  <c r="DC262" i="1"/>
  <c r="DB262" i="1"/>
  <c r="CY262" i="1"/>
  <c r="CX262" i="1"/>
  <c r="CW262" i="1"/>
  <c r="CV262" i="1"/>
  <c r="CU262" i="1"/>
  <c r="CT262" i="1"/>
  <c r="CS262" i="1"/>
  <c r="DV262" i="1"/>
  <c r="CR262" i="1"/>
  <c r="CQ262" i="1"/>
  <c r="DU262" i="1"/>
  <c r="CO262" i="1"/>
  <c r="CN262" i="1"/>
  <c r="CM262" i="1"/>
  <c r="CL262" i="1"/>
  <c r="CP262" i="1"/>
  <c r="DW262" i="1"/>
  <c r="DJ261" i="1"/>
  <c r="DI261" i="1"/>
  <c r="DQ261" i="1"/>
  <c r="DP261" i="1"/>
  <c r="DN261" i="1"/>
  <c r="DR261" i="1"/>
  <c r="DT261" i="1"/>
  <c r="DH261" i="1"/>
  <c r="DG261" i="1"/>
  <c r="DF261" i="1"/>
  <c r="DE261" i="1"/>
  <c r="DD261" i="1"/>
  <c r="DC261" i="1"/>
  <c r="DB261" i="1"/>
  <c r="CX261" i="1"/>
  <c r="CW261" i="1"/>
  <c r="CV261" i="1"/>
  <c r="CU261" i="1"/>
  <c r="CT261" i="1"/>
  <c r="CS261" i="1"/>
  <c r="DV261" i="1"/>
  <c r="CR261" i="1"/>
  <c r="CQ261" i="1"/>
  <c r="DU261" i="1"/>
  <c r="CO261" i="1"/>
  <c r="CN261" i="1"/>
  <c r="CM261" i="1"/>
  <c r="CL261" i="1"/>
  <c r="CP261" i="1"/>
  <c r="DW261" i="1"/>
  <c r="CJ261" i="1"/>
  <c r="DK260" i="1"/>
  <c r="DJ260" i="1"/>
  <c r="DI260" i="1"/>
  <c r="DQ260" i="1"/>
  <c r="DP260" i="1"/>
  <c r="DN260" i="1"/>
  <c r="DR260" i="1"/>
  <c r="DT260" i="1"/>
  <c r="DH260" i="1"/>
  <c r="DG260" i="1"/>
  <c r="DF260" i="1"/>
  <c r="DD260" i="1"/>
  <c r="DC260" i="1"/>
  <c r="DB260" i="1"/>
  <c r="CZ260" i="1"/>
  <c r="CY260" i="1"/>
  <c r="CX260" i="1"/>
  <c r="CW260" i="1"/>
  <c r="CU260" i="1"/>
  <c r="CT260" i="1"/>
  <c r="CS260" i="1"/>
  <c r="DV260" i="1"/>
  <c r="CR260" i="1"/>
  <c r="CQ260" i="1"/>
  <c r="DU260" i="1"/>
  <c r="CO260" i="1"/>
  <c r="CN260" i="1"/>
  <c r="CM260" i="1"/>
  <c r="CL260" i="1"/>
  <c r="CP260" i="1"/>
  <c r="CK260" i="1"/>
  <c r="DW260" i="1"/>
  <c r="DK259" i="1"/>
  <c r="DJ259" i="1"/>
  <c r="DI259" i="1"/>
  <c r="DQ259" i="1"/>
  <c r="DP259" i="1"/>
  <c r="DN259" i="1"/>
  <c r="DR259" i="1"/>
  <c r="DT259" i="1"/>
  <c r="DH259" i="1"/>
  <c r="DG259" i="1"/>
  <c r="DF259" i="1"/>
  <c r="DE259" i="1"/>
  <c r="DD259" i="1"/>
  <c r="DC259" i="1"/>
  <c r="DB259" i="1"/>
  <c r="CY259" i="1"/>
  <c r="CX259" i="1"/>
  <c r="CW259" i="1"/>
  <c r="CV259" i="1"/>
  <c r="CU259" i="1"/>
  <c r="CT259" i="1"/>
  <c r="CS259" i="1"/>
  <c r="DV259" i="1"/>
  <c r="CR259" i="1"/>
  <c r="CQ259" i="1"/>
  <c r="DU259" i="1"/>
  <c r="CO259" i="1"/>
  <c r="CN259" i="1"/>
  <c r="CM259" i="1"/>
  <c r="CL259" i="1"/>
  <c r="CP259" i="1"/>
  <c r="DW259" i="1"/>
  <c r="CJ259" i="1"/>
  <c r="DK258" i="1"/>
  <c r="DJ258" i="1"/>
  <c r="DP258" i="1"/>
  <c r="DN258" i="1"/>
  <c r="DR258" i="1"/>
  <c r="DT258" i="1"/>
  <c r="DH258" i="1"/>
  <c r="DG258" i="1"/>
  <c r="DF258" i="1"/>
  <c r="DE258" i="1"/>
  <c r="DD258" i="1"/>
  <c r="DC258" i="1"/>
  <c r="DB258" i="1"/>
  <c r="CZ258" i="1"/>
  <c r="CY258" i="1"/>
  <c r="CX258" i="1"/>
  <c r="CW258" i="1"/>
  <c r="CV258" i="1"/>
  <c r="CU258" i="1"/>
  <c r="CT258" i="1"/>
  <c r="CS258" i="1"/>
  <c r="DV258" i="1"/>
  <c r="CR258" i="1"/>
  <c r="CQ258" i="1"/>
  <c r="CO258" i="1"/>
  <c r="EQ258" i="1"/>
  <c r="EP258" i="1"/>
  <c r="CN258" i="1"/>
  <c r="CM258" i="1"/>
  <c r="CP258" i="1"/>
  <c r="CK258" i="1"/>
  <c r="DW258" i="1"/>
  <c r="CJ258" i="1"/>
  <c r="DK257" i="1"/>
  <c r="DI257" i="1"/>
  <c r="DP257" i="1"/>
  <c r="DN257" i="1"/>
  <c r="DR257" i="1"/>
  <c r="DT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V257" i="1"/>
  <c r="CR257" i="1"/>
  <c r="CQ257" i="1"/>
  <c r="DU257" i="1"/>
  <c r="CO257" i="1"/>
  <c r="CN257" i="1"/>
  <c r="CM257" i="1"/>
  <c r="CL257" i="1"/>
  <c r="CP257" i="1"/>
  <c r="CK257" i="1"/>
  <c r="DW257" i="1"/>
  <c r="CJ257" i="1"/>
  <c r="DK256" i="1"/>
  <c r="DJ256" i="1"/>
  <c r="DI256" i="1"/>
  <c r="DQ256" i="1"/>
  <c r="DP256" i="1"/>
  <c r="DN256" i="1"/>
  <c r="DR256" i="1"/>
  <c r="DT256" i="1"/>
  <c r="DH256" i="1"/>
  <c r="DG256" i="1"/>
  <c r="DF256" i="1"/>
  <c r="DE256" i="1"/>
  <c r="DD256" i="1"/>
  <c r="DC256" i="1"/>
  <c r="DB256" i="1"/>
  <c r="CZ256" i="1"/>
  <c r="CY256" i="1"/>
  <c r="CW256" i="1"/>
  <c r="CV256" i="1"/>
  <c r="CU256" i="1"/>
  <c r="CT256" i="1"/>
  <c r="CS256" i="1"/>
  <c r="DV256" i="1"/>
  <c r="CR256" i="1"/>
  <c r="CQ256" i="1"/>
  <c r="DU256" i="1"/>
  <c r="CO256" i="1"/>
  <c r="CN256" i="1"/>
  <c r="CM256" i="1"/>
  <c r="CL256" i="1"/>
  <c r="CP256" i="1"/>
  <c r="DW256" i="1"/>
  <c r="CJ256" i="1"/>
  <c r="DK255" i="1"/>
  <c r="DJ255" i="1"/>
  <c r="DQ255" i="1"/>
  <c r="DP255" i="1"/>
  <c r="DN255" i="1"/>
  <c r="DR255" i="1"/>
  <c r="DT255" i="1"/>
  <c r="DH255" i="1"/>
  <c r="DG255" i="1"/>
  <c r="DF255" i="1"/>
  <c r="DE255" i="1"/>
  <c r="DD255" i="1"/>
  <c r="DC255" i="1"/>
  <c r="DB255" i="1"/>
  <c r="DA255" i="1"/>
  <c r="CY255" i="1"/>
  <c r="CX255" i="1"/>
  <c r="CW255" i="1"/>
  <c r="CV255" i="1"/>
  <c r="CU255" i="1"/>
  <c r="CT255" i="1"/>
  <c r="CS255" i="1"/>
  <c r="DV255" i="1"/>
  <c r="CR255" i="1"/>
  <c r="CQ255" i="1"/>
  <c r="DU255" i="1"/>
  <c r="CO255" i="1"/>
  <c r="CN255" i="1"/>
  <c r="CM255" i="1"/>
  <c r="CP255" i="1"/>
  <c r="DW255" i="1"/>
  <c r="DK254" i="1"/>
  <c r="DJ254" i="1"/>
  <c r="DI254" i="1"/>
  <c r="DQ254" i="1"/>
  <c r="DP254" i="1"/>
  <c r="DN254" i="1"/>
  <c r="DR254" i="1"/>
  <c r="DT254" i="1"/>
  <c r="DH254" i="1"/>
  <c r="DG254" i="1"/>
  <c r="DF254" i="1"/>
  <c r="DE254" i="1"/>
  <c r="DD254" i="1"/>
  <c r="DC254" i="1"/>
  <c r="DB254" i="1"/>
  <c r="CY254" i="1"/>
  <c r="CX254" i="1"/>
  <c r="CW254" i="1"/>
  <c r="CV254" i="1"/>
  <c r="CT254" i="1"/>
  <c r="CS254" i="1"/>
  <c r="DV254" i="1"/>
  <c r="CR254" i="1"/>
  <c r="CQ254" i="1"/>
  <c r="DU254" i="1"/>
  <c r="CO254" i="1"/>
  <c r="CN254" i="1"/>
  <c r="CM254" i="1"/>
  <c r="CL254" i="1"/>
  <c r="CP254" i="1"/>
  <c r="DW254" i="1"/>
  <c r="CJ254" i="1"/>
  <c r="DK253" i="1"/>
  <c r="DJ253" i="1"/>
  <c r="DI253" i="1"/>
  <c r="DQ253" i="1"/>
  <c r="DP253" i="1"/>
  <c r="DN253" i="1"/>
  <c r="DR253" i="1"/>
  <c r="DT253" i="1"/>
  <c r="DH253" i="1"/>
  <c r="DG253" i="1"/>
  <c r="DF253" i="1"/>
  <c r="DE253" i="1"/>
  <c r="DD253" i="1"/>
  <c r="DC253" i="1"/>
  <c r="DB253" i="1"/>
  <c r="DA253" i="1"/>
  <c r="CY253" i="1"/>
  <c r="CX253" i="1"/>
  <c r="CW253" i="1"/>
  <c r="CV253" i="1"/>
  <c r="CU253" i="1"/>
  <c r="CT253" i="1"/>
  <c r="CS253" i="1"/>
  <c r="CR253" i="1"/>
  <c r="CQ253" i="1"/>
  <c r="DU253" i="1"/>
  <c r="CO253" i="1"/>
  <c r="CN253" i="1"/>
  <c r="CM253" i="1"/>
  <c r="CL253" i="1"/>
  <c r="CP253" i="1"/>
  <c r="DW253" i="1"/>
  <c r="DK252" i="1"/>
  <c r="DJ252" i="1"/>
  <c r="DI252" i="1"/>
  <c r="DQ252" i="1"/>
  <c r="DP252" i="1"/>
  <c r="DN252" i="1"/>
  <c r="DR252" i="1"/>
  <c r="DT252" i="1"/>
  <c r="DH252" i="1"/>
  <c r="DG252" i="1"/>
  <c r="DF252" i="1"/>
  <c r="DE252" i="1"/>
  <c r="DC252" i="1"/>
  <c r="DB252" i="1"/>
  <c r="DA252" i="1"/>
  <c r="CY252" i="1"/>
  <c r="CX252" i="1"/>
  <c r="CW252" i="1"/>
  <c r="CV252" i="1"/>
  <c r="CU252" i="1"/>
  <c r="CT252" i="1"/>
  <c r="CS252" i="1"/>
  <c r="DV252" i="1"/>
  <c r="CR252" i="1"/>
  <c r="CQ252" i="1"/>
  <c r="DU252" i="1"/>
  <c r="CO252" i="1"/>
  <c r="CN252" i="1"/>
  <c r="CM252" i="1"/>
  <c r="CL252" i="1"/>
  <c r="CP252" i="1"/>
  <c r="DW252" i="1"/>
  <c r="CJ252" i="1"/>
  <c r="DK251" i="1"/>
  <c r="DJ251" i="1"/>
  <c r="DI251" i="1"/>
  <c r="DQ251" i="1"/>
  <c r="DP251" i="1"/>
  <c r="DN251" i="1"/>
  <c r="DR251" i="1"/>
  <c r="DT251" i="1"/>
  <c r="DH251" i="1"/>
  <c r="DG251" i="1"/>
  <c r="DF251" i="1"/>
  <c r="DE251" i="1"/>
  <c r="DC251" i="1"/>
  <c r="DB251" i="1"/>
  <c r="DA251" i="1"/>
  <c r="CY251" i="1"/>
  <c r="CX251" i="1"/>
  <c r="CW251" i="1"/>
  <c r="CV251" i="1"/>
  <c r="CU251" i="1"/>
  <c r="CT251" i="1"/>
  <c r="CS251" i="1"/>
  <c r="DV251" i="1"/>
  <c r="CR251" i="1"/>
  <c r="CQ251" i="1"/>
  <c r="DU251" i="1"/>
  <c r="CO251" i="1"/>
  <c r="CN251" i="1"/>
  <c r="CM251" i="1"/>
  <c r="CP251" i="1"/>
  <c r="DW251" i="1"/>
  <c r="CJ251" i="1"/>
  <c r="DK250" i="1"/>
  <c r="DJ250" i="1"/>
  <c r="DI250" i="1"/>
  <c r="DQ250" i="1"/>
  <c r="DP250" i="1"/>
  <c r="DN250" i="1"/>
  <c r="DR250" i="1"/>
  <c r="DT250" i="1"/>
  <c r="DH250" i="1"/>
  <c r="DG250" i="1"/>
  <c r="DF250" i="1"/>
  <c r="DE250" i="1"/>
  <c r="DD250" i="1"/>
  <c r="DC250" i="1"/>
  <c r="DB250" i="1"/>
  <c r="DA250" i="1"/>
  <c r="CY250" i="1"/>
  <c r="CX250" i="1"/>
  <c r="CW250" i="1"/>
  <c r="CV250" i="1"/>
  <c r="CT250" i="1"/>
  <c r="CS250" i="1"/>
  <c r="DV250" i="1"/>
  <c r="CR250" i="1"/>
  <c r="CQ250" i="1"/>
  <c r="DU250" i="1"/>
  <c r="CO250" i="1"/>
  <c r="CN250" i="1"/>
  <c r="CM250" i="1"/>
  <c r="CP250" i="1"/>
  <c r="DW250" i="1"/>
  <c r="DK249" i="1"/>
  <c r="DJ249" i="1"/>
  <c r="DI249" i="1"/>
  <c r="DQ249" i="1"/>
  <c r="DP249" i="1"/>
  <c r="DN249" i="1"/>
  <c r="DR249" i="1"/>
  <c r="DT249" i="1"/>
  <c r="DH249" i="1"/>
  <c r="DG249" i="1"/>
  <c r="DF249" i="1"/>
  <c r="DE249" i="1"/>
  <c r="DD249" i="1"/>
  <c r="DC249" i="1"/>
  <c r="DB249" i="1"/>
  <c r="CY249" i="1"/>
  <c r="CX249" i="1"/>
  <c r="CW249" i="1"/>
  <c r="CV249" i="1"/>
  <c r="CT249" i="1"/>
  <c r="CS249" i="1"/>
  <c r="DV249" i="1"/>
  <c r="CR249" i="1"/>
  <c r="CQ249" i="1"/>
  <c r="DU249" i="1"/>
  <c r="CO249" i="1"/>
  <c r="CN249" i="1"/>
  <c r="CM249" i="1"/>
  <c r="CL249" i="1"/>
  <c r="CP249" i="1"/>
  <c r="DW249" i="1"/>
  <c r="DK248" i="1"/>
  <c r="DJ248" i="1"/>
  <c r="DI248" i="1"/>
  <c r="DQ248" i="1"/>
  <c r="DP248" i="1"/>
  <c r="DN248" i="1"/>
  <c r="DR248" i="1"/>
  <c r="DT248" i="1"/>
  <c r="DH248" i="1"/>
  <c r="DG248" i="1"/>
  <c r="DF248" i="1"/>
  <c r="DE248" i="1"/>
  <c r="DD248" i="1"/>
  <c r="DB248" i="1"/>
  <c r="CY248" i="1"/>
  <c r="CX248" i="1"/>
  <c r="CW248" i="1"/>
  <c r="CV248" i="1"/>
  <c r="CU248" i="1"/>
  <c r="CT248" i="1"/>
  <c r="CS248" i="1"/>
  <c r="DV248" i="1"/>
  <c r="CR248" i="1"/>
  <c r="CQ248" i="1"/>
  <c r="DU248" i="1"/>
  <c r="CO248" i="1"/>
  <c r="CN248" i="1"/>
  <c r="CM248" i="1"/>
  <c r="CL248" i="1"/>
  <c r="CP248" i="1"/>
  <c r="DW248" i="1"/>
  <c r="CJ248" i="1"/>
  <c r="DK247" i="1"/>
  <c r="DJ247" i="1"/>
  <c r="DI247" i="1"/>
  <c r="DQ247" i="1"/>
  <c r="DP247" i="1"/>
  <c r="DN247" i="1"/>
  <c r="DR247" i="1"/>
  <c r="DH247" i="1"/>
  <c r="DG247" i="1"/>
  <c r="DF247" i="1"/>
  <c r="DE247" i="1"/>
  <c r="DD247" i="1"/>
  <c r="DC247" i="1"/>
  <c r="DB247" i="1"/>
  <c r="DA247" i="1"/>
  <c r="CY247" i="1"/>
  <c r="CX247" i="1"/>
  <c r="CW247" i="1"/>
  <c r="CV247" i="1"/>
  <c r="CT247" i="1"/>
  <c r="CS247" i="1"/>
  <c r="DV247" i="1"/>
  <c r="CR247" i="1"/>
  <c r="CQ247" i="1"/>
  <c r="DU247" i="1"/>
  <c r="CO247" i="1"/>
  <c r="CN247" i="1"/>
  <c r="CM247" i="1"/>
  <c r="CP247" i="1"/>
  <c r="DW247" i="1"/>
  <c r="CJ247" i="1"/>
  <c r="DK246" i="1"/>
  <c r="DJ246" i="1"/>
  <c r="DI246" i="1"/>
  <c r="DQ246" i="1"/>
  <c r="DP246" i="1"/>
  <c r="DN246" i="1"/>
  <c r="DR246" i="1"/>
  <c r="DT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V246" i="1"/>
  <c r="CR246" i="1"/>
  <c r="CQ246" i="1"/>
  <c r="CO246" i="1"/>
  <c r="EQ246" i="1"/>
  <c r="EP246" i="1"/>
  <c r="CN246" i="1"/>
  <c r="CM246" i="1"/>
  <c r="CL246" i="1"/>
  <c r="CP246" i="1"/>
  <c r="CK246" i="1"/>
  <c r="DW246" i="1"/>
  <c r="CJ246" i="1"/>
  <c r="DK245" i="1"/>
  <c r="DJ245" i="1"/>
  <c r="DI245" i="1"/>
  <c r="DQ245" i="1"/>
  <c r="DP245" i="1"/>
  <c r="DN245" i="1"/>
  <c r="DR245" i="1"/>
  <c r="DT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V245" i="1"/>
  <c r="CR245" i="1"/>
  <c r="CQ245" i="1"/>
  <c r="CO245" i="1"/>
  <c r="EQ245" i="1"/>
  <c r="EP245" i="1"/>
  <c r="CN245" i="1"/>
  <c r="CM245" i="1"/>
  <c r="CL245" i="1"/>
  <c r="CP245" i="1"/>
  <c r="CK245" i="1"/>
  <c r="DW245" i="1"/>
  <c r="CJ245" i="1"/>
  <c r="DK244" i="1"/>
  <c r="DJ244" i="1"/>
  <c r="DI244" i="1"/>
  <c r="DQ244" i="1"/>
  <c r="DP244" i="1"/>
  <c r="DN244" i="1"/>
  <c r="DR244" i="1"/>
  <c r="DT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V244" i="1"/>
  <c r="CR244" i="1"/>
  <c r="CQ244" i="1"/>
  <c r="CO244" i="1"/>
  <c r="EQ244" i="1"/>
  <c r="EP244" i="1"/>
  <c r="CN244" i="1"/>
  <c r="CM244" i="1"/>
  <c r="CL244" i="1"/>
  <c r="CP244" i="1"/>
  <c r="CK244" i="1"/>
  <c r="DW244" i="1"/>
  <c r="CJ244" i="1"/>
  <c r="DK243" i="1"/>
  <c r="DJ243" i="1"/>
  <c r="DI243" i="1"/>
  <c r="DP243" i="1"/>
  <c r="DN243" i="1"/>
  <c r="DR243" i="1"/>
  <c r="DS243" i="1"/>
  <c r="DT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V243" i="1"/>
  <c r="CR243" i="1"/>
  <c r="CQ243" i="1"/>
  <c r="DU243" i="1"/>
  <c r="CO243" i="1"/>
  <c r="EQ243" i="1"/>
  <c r="EP243" i="1"/>
  <c r="CN243" i="1"/>
  <c r="CM243" i="1"/>
  <c r="CL243" i="1"/>
  <c r="CP243" i="1"/>
  <c r="CK243" i="1"/>
  <c r="DW243" i="1"/>
  <c r="CJ243" i="1"/>
  <c r="DK242" i="1"/>
  <c r="DJ242" i="1"/>
  <c r="DI242" i="1"/>
  <c r="DP242" i="1"/>
  <c r="DN242" i="1"/>
  <c r="DR242" i="1"/>
  <c r="DT242" i="1"/>
  <c r="DH242" i="1"/>
  <c r="DG242" i="1"/>
  <c r="DF242" i="1"/>
  <c r="DE242" i="1"/>
  <c r="DD242" i="1"/>
  <c r="DB242" i="1"/>
  <c r="DA242" i="1"/>
  <c r="CZ242" i="1"/>
  <c r="CY242" i="1"/>
  <c r="CX242" i="1"/>
  <c r="CW242" i="1"/>
  <c r="CV242" i="1"/>
  <c r="CU242" i="1"/>
  <c r="CT242" i="1"/>
  <c r="CS242" i="1"/>
  <c r="DV242" i="1"/>
  <c r="CR242" i="1"/>
  <c r="CQ242" i="1"/>
  <c r="CO242" i="1"/>
  <c r="EQ242" i="1"/>
  <c r="EP242" i="1"/>
  <c r="CN242" i="1"/>
  <c r="CM242" i="1"/>
  <c r="CL242" i="1"/>
  <c r="CP242" i="1"/>
  <c r="CK242" i="1"/>
  <c r="DW242" i="1"/>
  <c r="DK241" i="1"/>
  <c r="DJ241" i="1"/>
  <c r="DI241" i="1"/>
  <c r="DQ241" i="1"/>
  <c r="DP241" i="1"/>
  <c r="DN241" i="1"/>
  <c r="DR241" i="1"/>
  <c r="DT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V241" i="1"/>
  <c r="CR241" i="1"/>
  <c r="CQ241" i="1"/>
  <c r="DU241" i="1"/>
  <c r="CO241" i="1"/>
  <c r="CN241" i="1"/>
  <c r="CM241" i="1"/>
  <c r="CL241" i="1"/>
  <c r="CP241" i="1"/>
  <c r="CK241" i="1"/>
  <c r="DW241" i="1"/>
  <c r="CJ241" i="1"/>
  <c r="DK240" i="1"/>
  <c r="DJ240" i="1"/>
  <c r="DI240" i="1"/>
  <c r="DP240" i="1"/>
  <c r="DN240" i="1"/>
  <c r="DR240" i="1"/>
  <c r="DT240" i="1"/>
  <c r="DH240" i="1"/>
  <c r="DG240" i="1"/>
  <c r="DF240" i="1"/>
  <c r="DE240" i="1"/>
  <c r="DD240" i="1"/>
  <c r="DB240" i="1"/>
  <c r="DA240" i="1"/>
  <c r="CZ240" i="1"/>
  <c r="CY240" i="1"/>
  <c r="CX240" i="1"/>
  <c r="CW240" i="1"/>
  <c r="CV240" i="1"/>
  <c r="CU240" i="1"/>
  <c r="CT240" i="1"/>
  <c r="CS240" i="1"/>
  <c r="DV240" i="1"/>
  <c r="CR240" i="1"/>
  <c r="CQ240" i="1"/>
  <c r="CO240" i="1"/>
  <c r="EQ240" i="1"/>
  <c r="EP240" i="1"/>
  <c r="CN240" i="1"/>
  <c r="CM240" i="1"/>
  <c r="CL240" i="1"/>
  <c r="CP240" i="1"/>
  <c r="CK240" i="1"/>
  <c r="DW240" i="1"/>
  <c r="CJ240" i="1"/>
  <c r="DK239" i="1"/>
  <c r="DJ239" i="1"/>
  <c r="DI239" i="1"/>
  <c r="DP239" i="1"/>
  <c r="DN239" i="1"/>
  <c r="DR239" i="1"/>
  <c r="DT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V239" i="1"/>
  <c r="CR239" i="1"/>
  <c r="CQ239" i="1"/>
  <c r="CO239" i="1"/>
  <c r="EQ239" i="1"/>
  <c r="EP239" i="1"/>
  <c r="CN239" i="1"/>
  <c r="CM239" i="1"/>
  <c r="CL239" i="1"/>
  <c r="CP239" i="1"/>
  <c r="CK239" i="1"/>
  <c r="DW239" i="1"/>
  <c r="CJ239" i="1"/>
  <c r="DK238" i="1"/>
  <c r="DJ238" i="1"/>
  <c r="DI238" i="1"/>
  <c r="DQ238" i="1"/>
  <c r="DP238" i="1"/>
  <c r="DN238" i="1"/>
  <c r="DR238" i="1"/>
  <c r="DT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V238" i="1"/>
  <c r="CR238" i="1"/>
  <c r="CQ238" i="1"/>
  <c r="DU238" i="1"/>
  <c r="CO238" i="1"/>
  <c r="CN238" i="1"/>
  <c r="CM238" i="1"/>
  <c r="CL238" i="1"/>
  <c r="CP238" i="1"/>
  <c r="CK238" i="1"/>
  <c r="DW238" i="1"/>
  <c r="CJ238" i="1"/>
  <c r="DK237" i="1"/>
  <c r="DJ237" i="1"/>
  <c r="DI237" i="1"/>
  <c r="DP237" i="1"/>
  <c r="DN237" i="1"/>
  <c r="DR237" i="1"/>
  <c r="DT237" i="1"/>
  <c r="DH237" i="1"/>
  <c r="DG237" i="1"/>
  <c r="DF237" i="1"/>
  <c r="DE237" i="1"/>
  <c r="DD237" i="1"/>
  <c r="DC237" i="1"/>
  <c r="DB237" i="1"/>
  <c r="DA237" i="1"/>
  <c r="CZ237" i="1"/>
  <c r="CY237" i="1"/>
  <c r="CW237" i="1"/>
  <c r="CV237" i="1"/>
  <c r="CU237" i="1"/>
  <c r="CT237" i="1"/>
  <c r="CS237" i="1"/>
  <c r="DV237" i="1"/>
  <c r="CR237" i="1"/>
  <c r="CQ237" i="1"/>
  <c r="CO237" i="1"/>
  <c r="EQ237" i="1"/>
  <c r="EP237" i="1"/>
  <c r="CN237" i="1"/>
  <c r="CM237" i="1"/>
  <c r="CL237" i="1"/>
  <c r="CP237" i="1"/>
  <c r="CK237" i="1"/>
  <c r="DW237" i="1"/>
  <c r="CJ237" i="1"/>
  <c r="DK236" i="1"/>
  <c r="DJ236" i="1"/>
  <c r="DI236" i="1"/>
  <c r="DP236" i="1"/>
  <c r="DN236" i="1"/>
  <c r="DR236" i="1"/>
  <c r="DT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V236" i="1"/>
  <c r="CR236" i="1"/>
  <c r="CQ236" i="1"/>
  <c r="DU236" i="1"/>
  <c r="CO236" i="1"/>
  <c r="EQ236" i="1"/>
  <c r="EP236" i="1"/>
  <c r="CN236" i="1"/>
  <c r="CM236" i="1"/>
  <c r="CL236" i="1"/>
  <c r="CP236" i="1"/>
  <c r="CK236" i="1"/>
  <c r="DW236" i="1"/>
  <c r="CJ236" i="1"/>
  <c r="DK235" i="1"/>
  <c r="DJ235" i="1"/>
  <c r="DI235" i="1"/>
  <c r="DQ235" i="1"/>
  <c r="DP235" i="1"/>
  <c r="DN235" i="1"/>
  <c r="DR235" i="1"/>
  <c r="DT235" i="1"/>
  <c r="DH235" i="1"/>
  <c r="DG235" i="1"/>
  <c r="DF235" i="1"/>
  <c r="DE235" i="1"/>
  <c r="DD235" i="1"/>
  <c r="DB235" i="1"/>
  <c r="DA235" i="1"/>
  <c r="CZ235" i="1"/>
  <c r="CY235" i="1"/>
  <c r="CX235" i="1"/>
  <c r="CW235" i="1"/>
  <c r="CV235" i="1"/>
  <c r="CU235" i="1"/>
  <c r="CT235" i="1"/>
  <c r="CS235" i="1"/>
  <c r="DV235" i="1"/>
  <c r="CR235" i="1"/>
  <c r="CQ235" i="1"/>
  <c r="DU235" i="1"/>
  <c r="CO235" i="1"/>
  <c r="CN235" i="1"/>
  <c r="CM235" i="1"/>
  <c r="CL235" i="1"/>
  <c r="CP235" i="1"/>
  <c r="CK235" i="1"/>
  <c r="DW235" i="1"/>
  <c r="CJ235" i="1"/>
  <c r="DK234" i="1"/>
  <c r="DJ234" i="1"/>
  <c r="DI234" i="1"/>
  <c r="DP234" i="1"/>
  <c r="DN234" i="1"/>
  <c r="DR234" i="1"/>
  <c r="DT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V234" i="1"/>
  <c r="CR234" i="1"/>
  <c r="CQ234" i="1"/>
  <c r="CO234" i="1"/>
  <c r="EQ234" i="1"/>
  <c r="EP234" i="1"/>
  <c r="CN234" i="1"/>
  <c r="CM234" i="1"/>
  <c r="CL234" i="1"/>
  <c r="CP234" i="1"/>
  <c r="CK234" i="1"/>
  <c r="DW234" i="1"/>
  <c r="CJ234" i="1"/>
  <c r="DK233" i="1"/>
  <c r="DJ233" i="1"/>
  <c r="DI233" i="1"/>
  <c r="DP233" i="1"/>
  <c r="DN233" i="1"/>
  <c r="DR233" i="1"/>
  <c r="DT233" i="1"/>
  <c r="DH233" i="1"/>
  <c r="DG233" i="1"/>
  <c r="DF233" i="1"/>
  <c r="DE233" i="1"/>
  <c r="DD233" i="1"/>
  <c r="DC233" i="1"/>
  <c r="DB233" i="1"/>
  <c r="CZ233" i="1"/>
  <c r="CY233" i="1"/>
  <c r="CX233" i="1"/>
  <c r="CW233" i="1"/>
  <c r="CV233" i="1"/>
  <c r="CU233" i="1"/>
  <c r="CT233" i="1"/>
  <c r="CS233" i="1"/>
  <c r="DV233" i="1"/>
  <c r="CR233" i="1"/>
  <c r="CQ233" i="1"/>
  <c r="CO233" i="1"/>
  <c r="EQ233" i="1"/>
  <c r="EP233" i="1"/>
  <c r="CN233" i="1"/>
  <c r="CM233" i="1"/>
  <c r="CL233" i="1"/>
  <c r="CP233" i="1"/>
  <c r="CK233" i="1"/>
  <c r="DW233" i="1"/>
  <c r="CJ233" i="1"/>
  <c r="DK232" i="1"/>
  <c r="DJ232" i="1"/>
  <c r="DI232" i="1"/>
  <c r="DQ232" i="1"/>
  <c r="DP232" i="1"/>
  <c r="DN232" i="1"/>
  <c r="DR232" i="1"/>
  <c r="DT232" i="1"/>
  <c r="DH232" i="1"/>
  <c r="DG232" i="1"/>
  <c r="DF232" i="1"/>
  <c r="DE232" i="1"/>
  <c r="DD232" i="1"/>
  <c r="DB232" i="1"/>
  <c r="DA232" i="1"/>
  <c r="CZ232" i="1"/>
  <c r="CY232" i="1"/>
  <c r="CX232" i="1"/>
  <c r="CW232" i="1"/>
  <c r="CV232" i="1"/>
  <c r="CU232" i="1"/>
  <c r="CT232" i="1"/>
  <c r="CS232" i="1"/>
  <c r="DV232" i="1"/>
  <c r="CR232" i="1"/>
  <c r="CQ232" i="1"/>
  <c r="DU232" i="1"/>
  <c r="CO232" i="1"/>
  <c r="CN232" i="1"/>
  <c r="CM232" i="1"/>
  <c r="CL232" i="1"/>
  <c r="CP232" i="1"/>
  <c r="CK232" i="1"/>
  <c r="DW232" i="1"/>
  <c r="CJ232" i="1"/>
  <c r="DK231" i="1"/>
  <c r="DJ231" i="1"/>
  <c r="DI231" i="1"/>
  <c r="DQ231" i="1"/>
  <c r="DP231" i="1"/>
  <c r="DN231" i="1"/>
  <c r="DR231" i="1"/>
  <c r="DS231" i="1"/>
  <c r="DH231" i="1"/>
  <c r="DG231" i="1"/>
  <c r="DF231" i="1"/>
  <c r="DE231" i="1"/>
  <c r="DD231" i="1"/>
  <c r="DB231" i="1"/>
  <c r="CZ231" i="1"/>
  <c r="CY231" i="1"/>
  <c r="CX231" i="1"/>
  <c r="CW231" i="1"/>
  <c r="CV231" i="1"/>
  <c r="CU231" i="1"/>
  <c r="CT231" i="1"/>
  <c r="CS231" i="1"/>
  <c r="DV231" i="1"/>
  <c r="CR231" i="1"/>
  <c r="CQ231" i="1"/>
  <c r="DU231" i="1"/>
  <c r="CO231" i="1"/>
  <c r="CN231" i="1"/>
  <c r="CM231" i="1"/>
  <c r="CL231" i="1"/>
  <c r="CP231" i="1"/>
  <c r="CK231" i="1"/>
  <c r="DW231" i="1"/>
  <c r="CJ231" i="1"/>
  <c r="DK230" i="1"/>
  <c r="DJ230" i="1"/>
  <c r="DI230" i="1"/>
  <c r="DQ230" i="1"/>
  <c r="DP230" i="1"/>
  <c r="DN230" i="1"/>
  <c r="DR230" i="1"/>
  <c r="DS230" i="1"/>
  <c r="DH230" i="1"/>
  <c r="DG230" i="1"/>
  <c r="DF230" i="1"/>
  <c r="DE230" i="1"/>
  <c r="DD230" i="1"/>
  <c r="DC230" i="1"/>
  <c r="DB230" i="1"/>
  <c r="DA230" i="1"/>
  <c r="CZ230" i="1"/>
  <c r="CX230" i="1"/>
  <c r="CW230" i="1"/>
  <c r="CV230" i="1"/>
  <c r="CU230" i="1"/>
  <c r="CT230" i="1"/>
  <c r="CS230" i="1"/>
  <c r="DV230" i="1"/>
  <c r="CR230" i="1"/>
  <c r="CQ230" i="1"/>
  <c r="DU230" i="1"/>
  <c r="CO230" i="1"/>
  <c r="CN230" i="1"/>
  <c r="CM230" i="1"/>
  <c r="CP230" i="1"/>
  <c r="CK230" i="1"/>
  <c r="DW230" i="1"/>
  <c r="CJ230" i="1"/>
  <c r="DK229" i="1"/>
  <c r="DJ229" i="1"/>
  <c r="DI229" i="1"/>
  <c r="DP229" i="1"/>
  <c r="DN229" i="1"/>
  <c r="DR229" i="1"/>
  <c r="DS229" i="1"/>
  <c r="DH229" i="1"/>
  <c r="DG229" i="1"/>
  <c r="DF229" i="1"/>
  <c r="DE229" i="1"/>
  <c r="DD229" i="1"/>
  <c r="DC229" i="1"/>
  <c r="DB229" i="1"/>
  <c r="CZ229" i="1"/>
  <c r="CY229" i="1"/>
  <c r="CW229" i="1"/>
  <c r="CV229" i="1"/>
  <c r="CU229" i="1"/>
  <c r="CT229" i="1"/>
  <c r="CS229" i="1"/>
  <c r="DV229" i="1"/>
  <c r="CR229" i="1"/>
  <c r="CQ229" i="1"/>
  <c r="DU229" i="1"/>
  <c r="CO229" i="1"/>
  <c r="EQ229" i="1"/>
  <c r="EP229" i="1"/>
  <c r="CN229" i="1"/>
  <c r="CM229" i="1"/>
  <c r="CL229" i="1"/>
  <c r="CP229" i="1"/>
  <c r="CK229" i="1"/>
  <c r="DW229" i="1"/>
  <c r="CJ229" i="1"/>
  <c r="DK228" i="1"/>
  <c r="DJ228" i="1"/>
  <c r="DI228" i="1"/>
  <c r="DQ228" i="1"/>
  <c r="DP228" i="1"/>
  <c r="DN228" i="1"/>
  <c r="DR228" i="1"/>
  <c r="DS228" i="1"/>
  <c r="DH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V228" i="1"/>
  <c r="CR228" i="1"/>
  <c r="CQ228" i="1"/>
  <c r="DU228" i="1"/>
  <c r="CO228" i="1"/>
  <c r="CN228" i="1"/>
  <c r="CM228" i="1"/>
  <c r="CP228" i="1"/>
  <c r="CK228" i="1"/>
  <c r="DW228" i="1"/>
  <c r="CJ228" i="1"/>
  <c r="DK227" i="1"/>
  <c r="DJ227" i="1"/>
  <c r="DI227" i="1"/>
  <c r="DQ227" i="1"/>
  <c r="DP227" i="1"/>
  <c r="DN227" i="1"/>
  <c r="DR227" i="1"/>
  <c r="DS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V227" i="1"/>
  <c r="CR227" i="1"/>
  <c r="CQ227" i="1"/>
  <c r="DU227" i="1"/>
  <c r="CN227" i="1"/>
  <c r="CM227" i="1"/>
  <c r="CL227" i="1"/>
  <c r="CP227" i="1"/>
  <c r="DW227" i="1"/>
  <c r="DK226" i="1"/>
  <c r="DJ226" i="1"/>
  <c r="DI226" i="1"/>
  <c r="DQ226" i="1"/>
  <c r="DP226" i="1"/>
  <c r="DN226" i="1"/>
  <c r="DR226" i="1"/>
  <c r="DS226" i="1"/>
  <c r="DH226" i="1"/>
  <c r="DG226" i="1"/>
  <c r="DF226" i="1"/>
  <c r="DE226" i="1"/>
  <c r="DD226" i="1"/>
  <c r="DA226" i="1"/>
  <c r="CZ226" i="1"/>
  <c r="CY226" i="1"/>
  <c r="CX226" i="1"/>
  <c r="CW226" i="1"/>
  <c r="CV226" i="1"/>
  <c r="CT226" i="1"/>
  <c r="CS226" i="1"/>
  <c r="DV226" i="1"/>
  <c r="CR226" i="1"/>
  <c r="CQ226" i="1"/>
  <c r="DU226" i="1"/>
  <c r="CO226" i="1"/>
  <c r="CN226" i="1"/>
  <c r="CM226" i="1"/>
  <c r="CP226" i="1"/>
  <c r="DW226" i="1"/>
  <c r="CJ226" i="1"/>
  <c r="DK225" i="1"/>
  <c r="DJ225" i="1"/>
  <c r="DI225" i="1"/>
  <c r="DQ225" i="1"/>
  <c r="DP225" i="1"/>
  <c r="DN225" i="1"/>
  <c r="DR225" i="1"/>
  <c r="DS225" i="1"/>
  <c r="DH225" i="1"/>
  <c r="DG225" i="1"/>
  <c r="DF225" i="1"/>
  <c r="DE225" i="1"/>
  <c r="DD225" i="1"/>
  <c r="DC225" i="1"/>
  <c r="DB225" i="1"/>
  <c r="CZ225" i="1"/>
  <c r="CY225" i="1"/>
  <c r="CX225" i="1"/>
  <c r="CW225" i="1"/>
  <c r="CV225" i="1"/>
  <c r="CU225" i="1"/>
  <c r="CT225" i="1"/>
  <c r="CS225" i="1"/>
  <c r="DV225" i="1"/>
  <c r="CR225" i="1"/>
  <c r="CQ225" i="1"/>
  <c r="DU225" i="1"/>
  <c r="CO225" i="1"/>
  <c r="CN225" i="1"/>
  <c r="CM225" i="1"/>
  <c r="CP225" i="1"/>
  <c r="DW225" i="1"/>
  <c r="DK224" i="1"/>
  <c r="DJ224" i="1"/>
  <c r="DI224" i="1"/>
  <c r="DQ224" i="1"/>
  <c r="DP224" i="1"/>
  <c r="DN224" i="1"/>
  <c r="DR224" i="1"/>
  <c r="DS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T224" i="1"/>
  <c r="CS224" i="1"/>
  <c r="DV224" i="1"/>
  <c r="CR224" i="1"/>
  <c r="CQ224" i="1"/>
  <c r="DU224" i="1"/>
  <c r="CO224" i="1"/>
  <c r="CN224" i="1"/>
  <c r="CM224" i="1"/>
  <c r="CL224" i="1"/>
  <c r="CP224" i="1"/>
  <c r="CK224" i="1"/>
  <c r="DW224" i="1"/>
  <c r="DK223" i="1"/>
  <c r="DJ223" i="1"/>
  <c r="DI223" i="1"/>
  <c r="DQ223" i="1"/>
  <c r="DP223" i="1"/>
  <c r="DN223" i="1"/>
  <c r="DR223" i="1"/>
  <c r="DS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V223" i="1"/>
  <c r="CR223" i="1"/>
  <c r="CQ223" i="1"/>
  <c r="DU223" i="1"/>
  <c r="CO223" i="1"/>
  <c r="EQ223" i="1"/>
  <c r="EP223" i="1"/>
  <c r="CN223" i="1"/>
  <c r="CM223" i="1"/>
  <c r="CL223" i="1"/>
  <c r="CP223" i="1"/>
  <c r="CK223" i="1"/>
  <c r="DW223" i="1"/>
  <c r="CJ223" i="1"/>
  <c r="DK222" i="1"/>
  <c r="DJ222" i="1"/>
  <c r="DI222" i="1"/>
  <c r="DQ222" i="1"/>
  <c r="DP222" i="1"/>
  <c r="DN222" i="1"/>
  <c r="DR222" i="1"/>
  <c r="DS222" i="1"/>
  <c r="DH222" i="1"/>
  <c r="DG222" i="1"/>
  <c r="DF222" i="1"/>
  <c r="DE222" i="1"/>
  <c r="DD222" i="1"/>
  <c r="DC222" i="1"/>
  <c r="DB222" i="1"/>
  <c r="DA222" i="1"/>
  <c r="CY222" i="1"/>
  <c r="CX222" i="1"/>
  <c r="CW222" i="1"/>
  <c r="CV222" i="1"/>
  <c r="CU222" i="1"/>
  <c r="CT222" i="1"/>
  <c r="CS222" i="1"/>
  <c r="DV222" i="1"/>
  <c r="CR222" i="1"/>
  <c r="CQ222" i="1"/>
  <c r="CO222" i="1"/>
  <c r="EQ222" i="1"/>
  <c r="EP222" i="1"/>
  <c r="CN222" i="1"/>
  <c r="CM222" i="1"/>
  <c r="CL222" i="1"/>
  <c r="CP222" i="1"/>
  <c r="CK222" i="1"/>
  <c r="DW222" i="1"/>
  <c r="CJ222" i="1"/>
  <c r="DK221" i="1"/>
  <c r="DJ221" i="1"/>
  <c r="DI221" i="1"/>
  <c r="DQ221" i="1"/>
  <c r="DP221" i="1"/>
  <c r="DN221" i="1"/>
  <c r="DR221" i="1"/>
  <c r="DS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V221" i="1"/>
  <c r="CR221" i="1"/>
  <c r="CQ221" i="1"/>
  <c r="DU221" i="1"/>
  <c r="CO221" i="1"/>
  <c r="EQ221" i="1"/>
  <c r="EP221" i="1"/>
  <c r="CN221" i="1"/>
  <c r="CM221" i="1"/>
  <c r="CL221" i="1"/>
  <c r="CP221" i="1"/>
  <c r="CK221" i="1"/>
  <c r="DW221" i="1"/>
  <c r="CJ221" i="1"/>
  <c r="DK220" i="1"/>
  <c r="DJ220" i="1"/>
  <c r="DI220" i="1"/>
  <c r="DQ220" i="1"/>
  <c r="DP220" i="1"/>
  <c r="DN220" i="1"/>
  <c r="DR220" i="1"/>
  <c r="DS220" i="1"/>
  <c r="DH220" i="1"/>
  <c r="DG220" i="1"/>
  <c r="DF220" i="1"/>
  <c r="DE220" i="1"/>
  <c r="DD220" i="1"/>
  <c r="DC220" i="1"/>
  <c r="DB220" i="1"/>
  <c r="DA220" i="1"/>
  <c r="CZ220" i="1"/>
  <c r="CX220" i="1"/>
  <c r="CW220" i="1"/>
  <c r="CV220" i="1"/>
  <c r="CU220" i="1"/>
  <c r="CT220" i="1"/>
  <c r="CS220" i="1"/>
  <c r="DV220" i="1"/>
  <c r="CR220" i="1"/>
  <c r="CQ220" i="1"/>
  <c r="CO220" i="1"/>
  <c r="EQ220" i="1"/>
  <c r="EP220" i="1"/>
  <c r="CN220" i="1"/>
  <c r="CM220" i="1"/>
  <c r="CL220" i="1"/>
  <c r="CP220" i="1"/>
  <c r="CK220" i="1"/>
  <c r="DW220" i="1"/>
  <c r="CJ220" i="1"/>
  <c r="DK219" i="1"/>
  <c r="DJ219" i="1"/>
  <c r="DI219" i="1"/>
  <c r="DQ219" i="1"/>
  <c r="DP219" i="1"/>
  <c r="DN219" i="1"/>
  <c r="DR219" i="1"/>
  <c r="DS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V219" i="1"/>
  <c r="CR219" i="1"/>
  <c r="CQ219" i="1"/>
  <c r="CO219" i="1"/>
  <c r="EQ219" i="1"/>
  <c r="EP219" i="1"/>
  <c r="CN219" i="1"/>
  <c r="CM219" i="1"/>
  <c r="CL219" i="1"/>
  <c r="CP219" i="1"/>
  <c r="CK219" i="1"/>
  <c r="DW219" i="1"/>
  <c r="CJ219" i="1"/>
  <c r="DK218" i="1"/>
  <c r="DJ218" i="1"/>
  <c r="DI218" i="1"/>
  <c r="DQ218" i="1"/>
  <c r="DP218" i="1"/>
  <c r="DN218" i="1"/>
  <c r="DR218" i="1"/>
  <c r="DS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V218" i="1"/>
  <c r="CR218" i="1"/>
  <c r="CQ218" i="1"/>
  <c r="DU218" i="1"/>
  <c r="CO218" i="1"/>
  <c r="EQ218" i="1"/>
  <c r="EP218" i="1"/>
  <c r="CN218" i="1"/>
  <c r="CM218" i="1"/>
  <c r="CL218" i="1"/>
  <c r="CP218" i="1"/>
  <c r="CK218" i="1"/>
  <c r="DW218" i="1"/>
  <c r="CJ218" i="1"/>
  <c r="DK217" i="1"/>
  <c r="DJ217" i="1"/>
  <c r="DI217" i="1"/>
  <c r="DQ217" i="1"/>
  <c r="DP217" i="1"/>
  <c r="DN217" i="1"/>
  <c r="DR217" i="1"/>
  <c r="DS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V217" i="1"/>
  <c r="CR217" i="1"/>
  <c r="CQ217" i="1"/>
  <c r="DU217" i="1"/>
  <c r="CO217" i="1"/>
  <c r="EQ217" i="1"/>
  <c r="EP217" i="1"/>
  <c r="CN217" i="1"/>
  <c r="CM217" i="1"/>
  <c r="CL217" i="1"/>
  <c r="CP217" i="1"/>
  <c r="CK217" i="1"/>
  <c r="DW217" i="1"/>
  <c r="CJ217" i="1"/>
  <c r="DK216" i="1"/>
  <c r="DJ216" i="1"/>
  <c r="DI216" i="1"/>
  <c r="DQ216" i="1"/>
  <c r="DP216" i="1"/>
  <c r="DN216" i="1"/>
  <c r="DR216" i="1"/>
  <c r="DS216" i="1"/>
  <c r="DH216" i="1"/>
  <c r="DG216" i="1"/>
  <c r="DF216" i="1"/>
  <c r="DE216" i="1"/>
  <c r="DD216" i="1"/>
  <c r="DC216" i="1"/>
  <c r="DB216" i="1"/>
  <c r="CZ216" i="1"/>
  <c r="CY216" i="1"/>
  <c r="CX216" i="1"/>
  <c r="CW216" i="1"/>
  <c r="CV216" i="1"/>
  <c r="CU216" i="1"/>
  <c r="CT216" i="1"/>
  <c r="CS216" i="1"/>
  <c r="DV216" i="1"/>
  <c r="CR216" i="1"/>
  <c r="CQ216" i="1"/>
  <c r="CO216" i="1"/>
  <c r="EQ216" i="1"/>
  <c r="EP216" i="1"/>
  <c r="CN216" i="1"/>
  <c r="CM216" i="1"/>
  <c r="CL216" i="1"/>
  <c r="CP216" i="1"/>
  <c r="CK216" i="1"/>
  <c r="DW216" i="1"/>
  <c r="CJ216" i="1"/>
  <c r="DK215" i="1"/>
  <c r="DJ215" i="1"/>
  <c r="DI215" i="1"/>
  <c r="DQ215" i="1"/>
  <c r="DP215" i="1"/>
  <c r="DN215" i="1"/>
  <c r="DR215" i="1"/>
  <c r="DS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T215" i="1"/>
  <c r="CS215" i="1"/>
  <c r="DV215" i="1"/>
  <c r="CR215" i="1"/>
  <c r="CQ215" i="1"/>
  <c r="CO215" i="1"/>
  <c r="EQ215" i="1"/>
  <c r="EP215" i="1"/>
  <c r="CN215" i="1"/>
  <c r="CM215" i="1"/>
  <c r="CL215" i="1"/>
  <c r="CP215" i="1"/>
  <c r="CK215" i="1"/>
  <c r="DW215" i="1"/>
  <c r="CJ215" i="1"/>
  <c r="DK214" i="1"/>
  <c r="DJ214" i="1"/>
  <c r="DI214" i="1"/>
  <c r="DQ214" i="1"/>
  <c r="DP214" i="1"/>
  <c r="DN214" i="1"/>
  <c r="DR214" i="1"/>
  <c r="DT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V214" i="1"/>
  <c r="CR214" i="1"/>
  <c r="CQ214" i="1"/>
  <c r="DU214" i="1"/>
  <c r="CO214" i="1"/>
  <c r="CN214" i="1"/>
  <c r="CM214" i="1"/>
  <c r="CL214" i="1"/>
  <c r="CP214" i="1"/>
  <c r="DW214" i="1"/>
  <c r="CJ214" i="1"/>
  <c r="DK213" i="1"/>
  <c r="DJ213" i="1"/>
  <c r="DP213" i="1"/>
  <c r="DN213" i="1"/>
  <c r="DR213" i="1"/>
  <c r="DT213" i="1"/>
  <c r="DH213" i="1"/>
  <c r="DG213" i="1"/>
  <c r="DF213" i="1"/>
  <c r="DE213" i="1"/>
  <c r="DD213" i="1"/>
  <c r="DB213" i="1"/>
  <c r="CZ213" i="1"/>
  <c r="CY213" i="1"/>
  <c r="CW213" i="1"/>
  <c r="CV213" i="1"/>
  <c r="CU213" i="1"/>
  <c r="CT213" i="1"/>
  <c r="CS213" i="1"/>
  <c r="DV213" i="1"/>
  <c r="CR213" i="1"/>
  <c r="CQ213" i="1"/>
  <c r="CO213" i="1"/>
  <c r="EQ213" i="1"/>
  <c r="EP213" i="1"/>
  <c r="CN213" i="1"/>
  <c r="CM213" i="1"/>
  <c r="CL213" i="1"/>
  <c r="CP213" i="1"/>
  <c r="CK213" i="1"/>
  <c r="DW213" i="1"/>
  <c r="CJ213" i="1"/>
  <c r="DK212" i="1"/>
  <c r="DJ212" i="1"/>
  <c r="DI212" i="1"/>
  <c r="DQ212" i="1"/>
  <c r="DP212" i="1"/>
  <c r="DN212" i="1"/>
  <c r="DR212" i="1"/>
  <c r="DS212" i="1"/>
  <c r="DT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V212" i="1"/>
  <c r="CR212" i="1"/>
  <c r="CQ212" i="1"/>
  <c r="DU212" i="1"/>
  <c r="CO212" i="1"/>
  <c r="EP212" i="1"/>
  <c r="CN212" i="1"/>
  <c r="CM212" i="1"/>
  <c r="CL212" i="1"/>
  <c r="CP212" i="1"/>
  <c r="CK212" i="1"/>
  <c r="DW212" i="1"/>
  <c r="CJ212" i="1"/>
  <c r="DK211" i="1"/>
  <c r="DJ211" i="1"/>
  <c r="DI211" i="1"/>
  <c r="DP211" i="1"/>
  <c r="DN211" i="1"/>
  <c r="DR211" i="1"/>
  <c r="DT211" i="1"/>
  <c r="DH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V211" i="1"/>
  <c r="CR211" i="1"/>
  <c r="CQ211" i="1"/>
  <c r="DU211" i="1"/>
  <c r="CO211" i="1"/>
  <c r="CN211" i="1"/>
  <c r="CM211" i="1"/>
  <c r="CL211" i="1"/>
  <c r="CP211" i="1"/>
  <c r="CK211" i="1"/>
  <c r="DW211" i="1"/>
  <c r="CJ211" i="1"/>
  <c r="DK210" i="1"/>
  <c r="DJ210" i="1"/>
  <c r="DI210" i="1"/>
  <c r="DQ210" i="1"/>
  <c r="DP210" i="1"/>
  <c r="DN210" i="1"/>
  <c r="DR210" i="1"/>
  <c r="DT210" i="1"/>
  <c r="DH210" i="1"/>
  <c r="DF210" i="1"/>
  <c r="DE210" i="1"/>
  <c r="DD210" i="1"/>
  <c r="DB210" i="1"/>
  <c r="DA210" i="1"/>
  <c r="CZ210" i="1"/>
  <c r="CY210" i="1"/>
  <c r="CW210" i="1"/>
  <c r="CV210" i="1"/>
  <c r="CU210" i="1"/>
  <c r="CT210" i="1"/>
  <c r="CS210" i="1"/>
  <c r="DV210" i="1"/>
  <c r="CR210" i="1"/>
  <c r="CQ210" i="1"/>
  <c r="CO210" i="1"/>
  <c r="EQ210" i="1"/>
  <c r="EP210" i="1"/>
  <c r="CN210" i="1"/>
  <c r="CM210" i="1"/>
  <c r="CL210" i="1"/>
  <c r="CP210" i="1"/>
  <c r="CK210" i="1"/>
  <c r="DW210" i="1"/>
  <c r="CJ210" i="1"/>
  <c r="DK209" i="1"/>
  <c r="DJ209" i="1"/>
  <c r="DI209" i="1"/>
  <c r="DQ209" i="1"/>
  <c r="DP209" i="1"/>
  <c r="DN209" i="1"/>
  <c r="DR209" i="1"/>
  <c r="DT209" i="1"/>
  <c r="DH209" i="1"/>
  <c r="DG209" i="1"/>
  <c r="DF209" i="1"/>
  <c r="DD209" i="1"/>
  <c r="DC209" i="1"/>
  <c r="DB209" i="1"/>
  <c r="DA209" i="1"/>
  <c r="CZ209" i="1"/>
  <c r="CX209" i="1"/>
  <c r="CW209" i="1"/>
  <c r="CV209" i="1"/>
  <c r="CU209" i="1"/>
  <c r="CT209" i="1"/>
  <c r="CS209" i="1"/>
  <c r="DV209" i="1"/>
  <c r="CR209" i="1"/>
  <c r="CQ209" i="1"/>
  <c r="CO209" i="1"/>
  <c r="EQ209" i="1"/>
  <c r="EP209" i="1"/>
  <c r="CN209" i="1"/>
  <c r="CM209" i="1"/>
  <c r="CL209" i="1"/>
  <c r="CP209" i="1"/>
  <c r="CK209" i="1"/>
  <c r="DW209" i="1"/>
  <c r="CJ209" i="1"/>
  <c r="DK208" i="1"/>
  <c r="DJ208" i="1"/>
  <c r="DI208" i="1"/>
  <c r="DQ208" i="1"/>
  <c r="DP208" i="1"/>
  <c r="DN208" i="1"/>
  <c r="DR208" i="1"/>
  <c r="DT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V208" i="1"/>
  <c r="CR208" i="1"/>
  <c r="CQ208" i="1"/>
  <c r="CO208" i="1"/>
  <c r="EQ208" i="1"/>
  <c r="EP208" i="1"/>
  <c r="CN208" i="1"/>
  <c r="CM208" i="1"/>
  <c r="CL208" i="1"/>
  <c r="CP208" i="1"/>
  <c r="DW208" i="1"/>
  <c r="CJ208" i="1"/>
  <c r="DK207" i="1"/>
  <c r="DJ207" i="1"/>
  <c r="DI207" i="1"/>
  <c r="DQ207" i="1"/>
  <c r="DP207" i="1"/>
  <c r="DN207" i="1"/>
  <c r="DR207" i="1"/>
  <c r="DT207" i="1"/>
  <c r="DH207" i="1"/>
  <c r="DG207" i="1"/>
  <c r="DF207" i="1"/>
  <c r="DE207" i="1"/>
  <c r="DD207" i="1"/>
  <c r="DC207" i="1"/>
  <c r="DB207" i="1"/>
  <c r="CZ207" i="1"/>
  <c r="CY207" i="1"/>
  <c r="CW207" i="1"/>
  <c r="CV207" i="1"/>
  <c r="CU207" i="1"/>
  <c r="CT207" i="1"/>
  <c r="CS207" i="1"/>
  <c r="DV207" i="1"/>
  <c r="CR207" i="1"/>
  <c r="CQ207" i="1"/>
  <c r="CO207" i="1"/>
  <c r="EQ207" i="1"/>
  <c r="EP207" i="1"/>
  <c r="CN207" i="1"/>
  <c r="CM207" i="1"/>
  <c r="CL207" i="1"/>
  <c r="CP207" i="1"/>
  <c r="CK207" i="1"/>
  <c r="DW207" i="1"/>
  <c r="CJ207" i="1"/>
  <c r="DK206" i="1"/>
  <c r="DJ206" i="1"/>
  <c r="DI206" i="1"/>
  <c r="DQ206" i="1"/>
  <c r="DP206" i="1"/>
  <c r="DN206" i="1"/>
  <c r="DR206" i="1"/>
  <c r="DT206" i="1"/>
  <c r="DG206" i="1"/>
  <c r="DF206" i="1"/>
  <c r="DD206" i="1"/>
  <c r="DC206" i="1"/>
  <c r="DB206" i="1"/>
  <c r="CZ206" i="1"/>
  <c r="CY206" i="1"/>
  <c r="CX206" i="1"/>
  <c r="CW206" i="1"/>
  <c r="CV206" i="1"/>
  <c r="CU206" i="1"/>
  <c r="CT206" i="1"/>
  <c r="CS206" i="1"/>
  <c r="DV206" i="1"/>
  <c r="CR206" i="1"/>
  <c r="CQ206" i="1"/>
  <c r="CO206" i="1"/>
  <c r="EQ206" i="1"/>
  <c r="EP206" i="1"/>
  <c r="CN206" i="1"/>
  <c r="CM206" i="1"/>
  <c r="CL206" i="1"/>
  <c r="CP206" i="1"/>
  <c r="CK206" i="1"/>
  <c r="DW206" i="1"/>
  <c r="CJ206" i="1"/>
  <c r="DK205" i="1"/>
  <c r="DJ205" i="1"/>
  <c r="DI205" i="1"/>
  <c r="DP205" i="1"/>
  <c r="DN205" i="1"/>
  <c r="DR205" i="1"/>
  <c r="DT205" i="1"/>
  <c r="DG205" i="1"/>
  <c r="DF205" i="1"/>
  <c r="DE205" i="1"/>
  <c r="DD205" i="1"/>
  <c r="DC205" i="1"/>
  <c r="DB205" i="1"/>
  <c r="DA205" i="1"/>
  <c r="CZ205" i="1"/>
  <c r="CY205" i="1"/>
  <c r="CW205" i="1"/>
  <c r="CV205" i="1"/>
  <c r="CU205" i="1"/>
  <c r="CT205" i="1"/>
  <c r="CS205" i="1"/>
  <c r="DV205" i="1"/>
  <c r="CR205" i="1"/>
  <c r="CQ205" i="1"/>
  <c r="CO205" i="1"/>
  <c r="EQ205" i="1"/>
  <c r="EP205" i="1"/>
  <c r="CN205" i="1"/>
  <c r="CM205" i="1"/>
  <c r="CL205" i="1"/>
  <c r="CP205" i="1"/>
  <c r="CK205" i="1"/>
  <c r="DW205" i="1"/>
  <c r="CJ205" i="1"/>
  <c r="DK204" i="1"/>
  <c r="DJ204" i="1"/>
  <c r="DI204" i="1"/>
  <c r="DQ204" i="1"/>
  <c r="DP204" i="1"/>
  <c r="DN204" i="1"/>
  <c r="DR204" i="1"/>
  <c r="DT204" i="1"/>
  <c r="DG204" i="1"/>
  <c r="DF204" i="1"/>
  <c r="DE204" i="1"/>
  <c r="DD204" i="1"/>
  <c r="DC204" i="1"/>
  <c r="DB204" i="1"/>
  <c r="DA204" i="1"/>
  <c r="CZ204" i="1"/>
  <c r="CY204" i="1"/>
  <c r="CW204" i="1"/>
  <c r="CV204" i="1"/>
  <c r="CU204" i="1"/>
  <c r="CT204" i="1"/>
  <c r="CS204" i="1"/>
  <c r="DV204" i="1"/>
  <c r="CR204" i="1"/>
  <c r="CQ204" i="1"/>
  <c r="CO204" i="1"/>
  <c r="EQ204" i="1"/>
  <c r="EP204" i="1"/>
  <c r="CN204" i="1"/>
  <c r="CM204" i="1"/>
  <c r="CL204" i="1"/>
  <c r="CP204" i="1"/>
  <c r="CK204" i="1"/>
  <c r="DW204" i="1"/>
  <c r="CJ204" i="1"/>
  <c r="DK203" i="1"/>
  <c r="DJ203" i="1"/>
  <c r="DI203" i="1"/>
  <c r="DQ203" i="1"/>
  <c r="DP203" i="1"/>
  <c r="DN203" i="1"/>
  <c r="DR203" i="1"/>
  <c r="DT203" i="1"/>
  <c r="DH203" i="1"/>
  <c r="DG203" i="1"/>
  <c r="DF203" i="1"/>
  <c r="DD203" i="1"/>
  <c r="DB203" i="1"/>
  <c r="CZ203" i="1"/>
  <c r="CX203" i="1"/>
  <c r="CW203" i="1"/>
  <c r="CV203" i="1"/>
  <c r="CU203" i="1"/>
  <c r="CT203" i="1"/>
  <c r="CS203" i="1"/>
  <c r="DV203" i="1"/>
  <c r="CQ203" i="1"/>
  <c r="DU203" i="1"/>
  <c r="CO203" i="1"/>
  <c r="CN203" i="1"/>
  <c r="CM203" i="1"/>
  <c r="CL203" i="1"/>
  <c r="CP203" i="1"/>
  <c r="DW203" i="1"/>
  <c r="DK202" i="1"/>
  <c r="DJ202" i="1"/>
  <c r="DI202" i="1"/>
  <c r="DQ202" i="1"/>
  <c r="DP202" i="1"/>
  <c r="DN202" i="1"/>
  <c r="DR202" i="1"/>
  <c r="DT202" i="1"/>
  <c r="DH202" i="1"/>
  <c r="DG202" i="1"/>
  <c r="DF202" i="1"/>
  <c r="DE202" i="1"/>
  <c r="DD202" i="1"/>
  <c r="DB202" i="1"/>
  <c r="DA202" i="1"/>
  <c r="CZ202" i="1"/>
  <c r="CY202" i="1"/>
  <c r="CX202" i="1"/>
  <c r="CW202" i="1"/>
  <c r="CV202" i="1"/>
  <c r="CU202" i="1"/>
  <c r="CT202" i="1"/>
  <c r="CS202" i="1"/>
  <c r="DV202" i="1"/>
  <c r="CR202" i="1"/>
  <c r="CQ202" i="1"/>
  <c r="DU202" i="1"/>
  <c r="CO202" i="1"/>
  <c r="CN202" i="1"/>
  <c r="CM202" i="1"/>
  <c r="CP202" i="1"/>
  <c r="DW202" i="1"/>
  <c r="DK201" i="1"/>
  <c r="DJ201" i="1"/>
  <c r="DI201" i="1"/>
  <c r="DQ201" i="1"/>
  <c r="DP201" i="1"/>
  <c r="DN201" i="1"/>
  <c r="DR201" i="1"/>
  <c r="DT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V201" i="1"/>
  <c r="CR201" i="1"/>
  <c r="CQ201" i="1"/>
  <c r="DU201" i="1"/>
  <c r="CO201" i="1"/>
  <c r="CN201" i="1"/>
  <c r="CM201" i="1"/>
  <c r="CL201" i="1"/>
  <c r="CP201" i="1"/>
  <c r="CK201" i="1"/>
  <c r="DW201" i="1"/>
  <c r="CJ201" i="1"/>
  <c r="DK200" i="1"/>
  <c r="DJ200" i="1"/>
  <c r="DI200" i="1"/>
  <c r="DQ200" i="1"/>
  <c r="DP200" i="1"/>
  <c r="DN200" i="1"/>
  <c r="DR200" i="1"/>
  <c r="DT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V200" i="1"/>
  <c r="CR200" i="1"/>
  <c r="CQ200" i="1"/>
  <c r="DU200" i="1"/>
  <c r="CO200" i="1"/>
  <c r="CN200" i="1"/>
  <c r="CM200" i="1"/>
  <c r="CL200" i="1"/>
  <c r="CP200" i="1"/>
  <c r="CK200" i="1"/>
  <c r="DW200" i="1"/>
  <c r="CJ200" i="1"/>
  <c r="DK199" i="1"/>
  <c r="DJ199" i="1"/>
  <c r="DI199" i="1"/>
  <c r="DQ199" i="1"/>
  <c r="DP199" i="1"/>
  <c r="DN199" i="1"/>
  <c r="DR199" i="1"/>
  <c r="DT199" i="1"/>
  <c r="DH199" i="1"/>
  <c r="DF199" i="1"/>
  <c r="DE199" i="1"/>
  <c r="DD199" i="1"/>
  <c r="DC199" i="1"/>
  <c r="DB199" i="1"/>
  <c r="DA199" i="1"/>
  <c r="CZ199" i="1"/>
  <c r="CY199" i="1"/>
  <c r="CX199" i="1"/>
  <c r="CW199" i="1"/>
  <c r="CU199" i="1"/>
  <c r="CT199" i="1"/>
  <c r="CS199" i="1"/>
  <c r="DV199" i="1"/>
  <c r="CR199" i="1"/>
  <c r="CQ199" i="1"/>
  <c r="DU199" i="1"/>
  <c r="CN199" i="1"/>
  <c r="CM199" i="1"/>
  <c r="CL199" i="1"/>
  <c r="CP199" i="1"/>
  <c r="CK199" i="1"/>
  <c r="DW199" i="1"/>
  <c r="CJ199" i="1"/>
  <c r="DK198" i="1"/>
  <c r="DJ198" i="1"/>
  <c r="DI198" i="1"/>
  <c r="DQ198" i="1"/>
  <c r="DP198" i="1"/>
  <c r="DN198" i="1"/>
  <c r="DR198" i="1"/>
  <c r="DT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V198" i="1"/>
  <c r="CR198" i="1"/>
  <c r="CQ198" i="1"/>
  <c r="DU198" i="1"/>
  <c r="CO198" i="1"/>
  <c r="CN198" i="1"/>
  <c r="CM198" i="1"/>
  <c r="CL198" i="1"/>
  <c r="CP198" i="1"/>
  <c r="CK198" i="1"/>
  <c r="DW198" i="1"/>
  <c r="CJ198" i="1"/>
  <c r="DK197" i="1"/>
  <c r="DJ197" i="1"/>
  <c r="DI197" i="1"/>
  <c r="DQ197" i="1"/>
  <c r="DP197" i="1"/>
  <c r="DN197" i="1"/>
  <c r="DR197" i="1"/>
  <c r="DT197" i="1"/>
  <c r="DH197" i="1"/>
  <c r="DF197" i="1"/>
  <c r="DE197" i="1"/>
  <c r="DD197" i="1"/>
  <c r="DC197" i="1"/>
  <c r="DB197" i="1"/>
  <c r="CZ197" i="1"/>
  <c r="CX197" i="1"/>
  <c r="CW197" i="1"/>
  <c r="CV197" i="1"/>
  <c r="CU197" i="1"/>
  <c r="CT197" i="1"/>
  <c r="CS197" i="1"/>
  <c r="DV197" i="1"/>
  <c r="CR197" i="1"/>
  <c r="CQ197" i="1"/>
  <c r="DU197" i="1"/>
  <c r="CO197" i="1"/>
  <c r="CN197" i="1"/>
  <c r="CM197" i="1"/>
  <c r="CL197" i="1"/>
  <c r="CP197" i="1"/>
  <c r="CK197" i="1"/>
  <c r="DW197" i="1"/>
  <c r="CJ197" i="1"/>
  <c r="DK196" i="1"/>
  <c r="DJ196" i="1"/>
  <c r="DI196" i="1"/>
  <c r="DQ196" i="1"/>
  <c r="DP196" i="1"/>
  <c r="DN196" i="1"/>
  <c r="DR196" i="1"/>
  <c r="DT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V196" i="1"/>
  <c r="CR196" i="1"/>
  <c r="CQ196" i="1"/>
  <c r="DU196" i="1"/>
  <c r="CO196" i="1"/>
  <c r="CN196" i="1"/>
  <c r="CM196" i="1"/>
  <c r="CL196" i="1"/>
  <c r="CP196" i="1"/>
  <c r="CK196" i="1"/>
  <c r="DW196" i="1"/>
  <c r="CJ196" i="1"/>
  <c r="DK195" i="1"/>
  <c r="DJ195" i="1"/>
  <c r="DI195" i="1"/>
  <c r="DQ195" i="1"/>
  <c r="DP195" i="1"/>
  <c r="DN195" i="1"/>
  <c r="DR195" i="1"/>
  <c r="DT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V195" i="1"/>
  <c r="CR195" i="1"/>
  <c r="CQ195" i="1"/>
  <c r="DU195" i="1"/>
  <c r="CO195" i="1"/>
  <c r="CN195" i="1"/>
  <c r="CM195" i="1"/>
  <c r="CL195" i="1"/>
  <c r="CP195" i="1"/>
  <c r="CK195" i="1"/>
  <c r="DW195" i="1"/>
  <c r="CJ195" i="1"/>
  <c r="DK194" i="1"/>
  <c r="DJ194" i="1"/>
  <c r="DI194" i="1"/>
  <c r="DQ194" i="1"/>
  <c r="DP194" i="1"/>
  <c r="DN194" i="1"/>
  <c r="DR194" i="1"/>
  <c r="DT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V194" i="1"/>
  <c r="CR194" i="1"/>
  <c r="CQ194" i="1"/>
  <c r="DU194" i="1"/>
  <c r="CO194" i="1"/>
  <c r="CN194" i="1"/>
  <c r="CM194" i="1"/>
  <c r="CL194" i="1"/>
  <c r="CP194" i="1"/>
  <c r="CK194" i="1"/>
  <c r="DW194" i="1"/>
  <c r="CJ194" i="1"/>
  <c r="DK193" i="1"/>
  <c r="DJ193" i="1"/>
  <c r="DI193" i="1"/>
  <c r="DQ193" i="1"/>
  <c r="DP193" i="1"/>
  <c r="DN193" i="1"/>
  <c r="DR193" i="1"/>
  <c r="DT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V193" i="1"/>
  <c r="CR193" i="1"/>
  <c r="CQ193" i="1"/>
  <c r="DU193" i="1"/>
  <c r="CO193" i="1"/>
  <c r="CN193" i="1"/>
  <c r="CM193" i="1"/>
  <c r="CL193" i="1"/>
  <c r="CP193" i="1"/>
  <c r="CK193" i="1"/>
  <c r="DW193" i="1"/>
  <c r="CJ193" i="1"/>
  <c r="DK192" i="1"/>
  <c r="DI192" i="1"/>
  <c r="DQ192" i="1"/>
  <c r="DP192" i="1"/>
  <c r="DN192" i="1"/>
  <c r="DR192" i="1"/>
  <c r="DT192" i="1"/>
  <c r="DH192" i="1"/>
  <c r="DG192" i="1"/>
  <c r="DF192" i="1"/>
  <c r="DE192" i="1"/>
  <c r="DD192" i="1"/>
  <c r="DB192" i="1"/>
  <c r="DA192" i="1"/>
  <c r="CZ192" i="1"/>
  <c r="CY192" i="1"/>
  <c r="CX192" i="1"/>
  <c r="CW192" i="1"/>
  <c r="CV192" i="1"/>
  <c r="CU192" i="1"/>
  <c r="CT192" i="1"/>
  <c r="CS192" i="1"/>
  <c r="DV192" i="1"/>
  <c r="CR192" i="1"/>
  <c r="CQ192" i="1"/>
  <c r="DU192" i="1"/>
  <c r="CO192" i="1"/>
  <c r="CN192" i="1"/>
  <c r="CM192" i="1"/>
  <c r="CL192" i="1"/>
  <c r="CP192" i="1"/>
  <c r="DW192" i="1"/>
  <c r="CJ192" i="1"/>
  <c r="DK191" i="1"/>
  <c r="DQ191" i="1"/>
  <c r="DP191" i="1"/>
  <c r="DN191" i="1"/>
  <c r="DR191" i="1"/>
  <c r="DT191" i="1"/>
  <c r="DH191" i="1"/>
  <c r="DG191" i="1"/>
  <c r="DF191" i="1"/>
  <c r="DE191" i="1"/>
  <c r="DD191" i="1"/>
  <c r="DC191" i="1"/>
  <c r="DB191" i="1"/>
  <c r="DA191" i="1"/>
  <c r="CZ191" i="1"/>
  <c r="CX191" i="1"/>
  <c r="CW191" i="1"/>
  <c r="CV191" i="1"/>
  <c r="CU191" i="1"/>
  <c r="CT191" i="1"/>
  <c r="CS191" i="1"/>
  <c r="DV191" i="1"/>
  <c r="CR191" i="1"/>
  <c r="CQ191" i="1"/>
  <c r="DU191" i="1"/>
  <c r="CN191" i="1"/>
  <c r="CM191" i="1"/>
  <c r="CL191" i="1"/>
  <c r="CP191" i="1"/>
  <c r="DW191" i="1"/>
  <c r="CJ191" i="1"/>
  <c r="DK190" i="1"/>
  <c r="DJ190" i="1"/>
  <c r="DI190" i="1"/>
  <c r="DP190" i="1"/>
  <c r="DN190" i="1"/>
  <c r="DR190" i="1"/>
  <c r="DT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V190" i="1"/>
  <c r="CR190" i="1"/>
  <c r="CQ190" i="1"/>
  <c r="DU190" i="1"/>
  <c r="CO190" i="1"/>
  <c r="CN190" i="1"/>
  <c r="CM190" i="1"/>
  <c r="CL190" i="1"/>
  <c r="CP190" i="1"/>
  <c r="CK190" i="1"/>
  <c r="DW190" i="1"/>
  <c r="CJ190" i="1"/>
  <c r="DK189" i="1"/>
  <c r="DJ189" i="1"/>
  <c r="DI189" i="1"/>
  <c r="DQ189" i="1"/>
  <c r="DP189" i="1"/>
  <c r="DN189" i="1"/>
  <c r="DR189" i="1"/>
  <c r="DT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V189" i="1"/>
  <c r="CR189" i="1"/>
  <c r="CQ189" i="1"/>
  <c r="DU189" i="1"/>
  <c r="CO189" i="1"/>
  <c r="CN189" i="1"/>
  <c r="CM189" i="1"/>
  <c r="CL189" i="1"/>
  <c r="CP189" i="1"/>
  <c r="CK189" i="1"/>
  <c r="DW189" i="1"/>
  <c r="CJ189" i="1"/>
  <c r="DK188" i="1"/>
  <c r="DI188" i="1"/>
  <c r="DQ188" i="1"/>
  <c r="DP188" i="1"/>
  <c r="DN188" i="1"/>
  <c r="DR188" i="1"/>
  <c r="DT188" i="1"/>
  <c r="DH188" i="1"/>
  <c r="DF188" i="1"/>
  <c r="DD188" i="1"/>
  <c r="DB188" i="1"/>
  <c r="DA188" i="1"/>
  <c r="CZ188" i="1"/>
  <c r="CY188" i="1"/>
  <c r="CX188" i="1"/>
  <c r="CW188" i="1"/>
  <c r="CV188" i="1"/>
  <c r="CU188" i="1"/>
  <c r="CT188" i="1"/>
  <c r="CS188" i="1"/>
  <c r="DV188" i="1"/>
  <c r="CQ188" i="1"/>
  <c r="DU188" i="1"/>
  <c r="CO188" i="1"/>
  <c r="CN188" i="1"/>
  <c r="CM188" i="1"/>
  <c r="CL188" i="1"/>
  <c r="CP188" i="1"/>
  <c r="DW188" i="1"/>
  <c r="CJ188" i="1"/>
  <c r="DK187" i="1"/>
  <c r="DI187" i="1"/>
  <c r="DQ187" i="1"/>
  <c r="DP187" i="1"/>
  <c r="DN187" i="1"/>
  <c r="DR187" i="1"/>
  <c r="DT187" i="1"/>
  <c r="DH187" i="1"/>
  <c r="DG187" i="1"/>
  <c r="DF187" i="1"/>
  <c r="DE187" i="1"/>
  <c r="DD187" i="1"/>
  <c r="DB187" i="1"/>
  <c r="DA187" i="1"/>
  <c r="CZ187" i="1"/>
  <c r="CY187" i="1"/>
  <c r="CX187" i="1"/>
  <c r="CW187" i="1"/>
  <c r="CV187" i="1"/>
  <c r="CU187" i="1"/>
  <c r="CT187" i="1"/>
  <c r="CS187" i="1"/>
  <c r="DV187" i="1"/>
  <c r="CQ187" i="1"/>
  <c r="DU187" i="1"/>
  <c r="CO187" i="1"/>
  <c r="CN187" i="1"/>
  <c r="CM187" i="1"/>
  <c r="CL187" i="1"/>
  <c r="CP187" i="1"/>
  <c r="CK187" i="1"/>
  <c r="DW187" i="1"/>
  <c r="CJ187" i="1"/>
  <c r="DK186" i="1"/>
  <c r="DJ186" i="1"/>
  <c r="DI186" i="1"/>
  <c r="DQ186" i="1"/>
  <c r="DP186" i="1"/>
  <c r="DN186" i="1"/>
  <c r="DR186" i="1"/>
  <c r="DT186" i="1"/>
  <c r="DH186" i="1"/>
  <c r="DG186" i="1"/>
  <c r="DF186" i="1"/>
  <c r="DE186" i="1"/>
  <c r="DD186" i="1"/>
  <c r="DB186" i="1"/>
  <c r="DA186" i="1"/>
  <c r="CZ186" i="1"/>
  <c r="CY186" i="1"/>
  <c r="CX186" i="1"/>
  <c r="CW186" i="1"/>
  <c r="CV186" i="1"/>
  <c r="CU186" i="1"/>
  <c r="CT186" i="1"/>
  <c r="CS186" i="1"/>
  <c r="DV186" i="1"/>
  <c r="CR186" i="1"/>
  <c r="CQ186" i="1"/>
  <c r="DU186" i="1"/>
  <c r="CO186" i="1"/>
  <c r="CN186" i="1"/>
  <c r="CM186" i="1"/>
  <c r="CL186" i="1"/>
  <c r="CP186" i="1"/>
  <c r="CK186" i="1"/>
  <c r="DW186" i="1"/>
  <c r="CJ186" i="1"/>
  <c r="DK185" i="1"/>
  <c r="DJ185" i="1"/>
  <c r="DI185" i="1"/>
  <c r="DQ185" i="1"/>
  <c r="DP185" i="1"/>
  <c r="DN185" i="1"/>
  <c r="DR185" i="1"/>
  <c r="DT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V185" i="1"/>
  <c r="CR185" i="1"/>
  <c r="CQ185" i="1"/>
  <c r="DU185" i="1"/>
  <c r="CN185" i="1"/>
  <c r="CM185" i="1"/>
  <c r="CL185" i="1"/>
  <c r="CP185" i="1"/>
  <c r="CK185" i="1"/>
  <c r="DW185" i="1"/>
  <c r="CJ185" i="1"/>
  <c r="DK184" i="1"/>
  <c r="DJ184" i="1"/>
  <c r="DI184" i="1"/>
  <c r="DQ184" i="1"/>
  <c r="DP184" i="1"/>
  <c r="DN184" i="1"/>
  <c r="DR184" i="1"/>
  <c r="DT184" i="1"/>
  <c r="DH184" i="1"/>
  <c r="DG184" i="1"/>
  <c r="DF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V184" i="1"/>
  <c r="CR184" i="1"/>
  <c r="CQ184" i="1"/>
  <c r="DU184" i="1"/>
  <c r="CO184" i="1"/>
  <c r="CN184" i="1"/>
  <c r="CM184" i="1"/>
  <c r="CL184" i="1"/>
  <c r="CP184" i="1"/>
  <c r="CK184" i="1"/>
  <c r="DW184" i="1"/>
  <c r="CJ184" i="1"/>
  <c r="DK183" i="1"/>
  <c r="DJ183" i="1"/>
  <c r="DI183" i="1"/>
  <c r="DQ183" i="1"/>
  <c r="DP183" i="1"/>
  <c r="DN183" i="1"/>
  <c r="DR183" i="1"/>
  <c r="DT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V183" i="1"/>
  <c r="CR183" i="1"/>
  <c r="CQ183" i="1"/>
  <c r="DU183" i="1"/>
  <c r="CO183" i="1"/>
  <c r="CN183" i="1"/>
  <c r="CM183" i="1"/>
  <c r="CL183" i="1"/>
  <c r="CP183" i="1"/>
  <c r="CK183" i="1"/>
  <c r="DW183" i="1"/>
  <c r="CJ183" i="1"/>
  <c r="DK182" i="1"/>
  <c r="DJ182" i="1"/>
  <c r="DI182" i="1"/>
  <c r="DQ182" i="1"/>
  <c r="DP182" i="1"/>
  <c r="DN182" i="1"/>
  <c r="DR182" i="1"/>
  <c r="DT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V182" i="1"/>
  <c r="CR182" i="1"/>
  <c r="CQ182" i="1"/>
  <c r="DU182" i="1"/>
  <c r="CO182" i="1"/>
  <c r="CN182" i="1"/>
  <c r="CM182" i="1"/>
  <c r="CL182" i="1"/>
  <c r="CP182" i="1"/>
  <c r="DW182" i="1"/>
  <c r="CJ182" i="1"/>
  <c r="DK181" i="1"/>
  <c r="DJ181" i="1"/>
  <c r="DI181" i="1"/>
  <c r="DQ181" i="1"/>
  <c r="DN181" i="1"/>
  <c r="DR181" i="1"/>
  <c r="DT181" i="1"/>
  <c r="DH181" i="1"/>
  <c r="DG181" i="1"/>
  <c r="DF181" i="1"/>
  <c r="DE181" i="1"/>
  <c r="DD181" i="1"/>
  <c r="DC181" i="1"/>
  <c r="DB181" i="1"/>
  <c r="CZ181" i="1"/>
  <c r="CY181" i="1"/>
  <c r="CX181" i="1"/>
  <c r="CW181" i="1"/>
  <c r="CV181" i="1"/>
  <c r="CU181" i="1"/>
  <c r="CT181" i="1"/>
  <c r="CS181" i="1"/>
  <c r="DV181" i="1"/>
  <c r="CR181" i="1"/>
  <c r="CQ181" i="1"/>
  <c r="DU181" i="1"/>
  <c r="CO181" i="1"/>
  <c r="CN181" i="1"/>
  <c r="CM181" i="1"/>
  <c r="CL181" i="1"/>
  <c r="CP181" i="1"/>
  <c r="CK181" i="1"/>
  <c r="DW181" i="1"/>
  <c r="CJ181" i="1"/>
  <c r="DK180" i="1"/>
  <c r="DJ180" i="1"/>
  <c r="DI180" i="1"/>
  <c r="DQ180" i="1"/>
  <c r="DP180" i="1"/>
  <c r="DN180" i="1"/>
  <c r="DR180" i="1"/>
  <c r="DT180" i="1"/>
  <c r="DH180" i="1"/>
  <c r="DG180" i="1"/>
  <c r="DF180" i="1"/>
  <c r="DD180" i="1"/>
  <c r="DB180" i="1"/>
  <c r="DA180" i="1"/>
  <c r="CZ180" i="1"/>
  <c r="CY180" i="1"/>
  <c r="CX180" i="1"/>
  <c r="CW180" i="1"/>
  <c r="CV180" i="1"/>
  <c r="CU180" i="1"/>
  <c r="CT180" i="1"/>
  <c r="CS180" i="1"/>
  <c r="DV180" i="1"/>
  <c r="CR180" i="1"/>
  <c r="CQ180" i="1"/>
  <c r="DU180" i="1"/>
  <c r="CO180" i="1"/>
  <c r="CN180" i="1"/>
  <c r="CM180" i="1"/>
  <c r="CP180" i="1"/>
  <c r="CK180" i="1"/>
  <c r="DW180" i="1"/>
  <c r="CJ180" i="1"/>
  <c r="DK179" i="1"/>
  <c r="DJ179" i="1"/>
  <c r="DI179" i="1"/>
  <c r="DP179" i="1"/>
  <c r="DN179" i="1"/>
  <c r="DR179" i="1"/>
  <c r="DT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T179" i="1"/>
  <c r="CS179" i="1"/>
  <c r="DV179" i="1"/>
  <c r="CR179" i="1"/>
  <c r="CQ179" i="1"/>
  <c r="DU179" i="1"/>
  <c r="CO179" i="1"/>
  <c r="CN179" i="1"/>
  <c r="CM179" i="1"/>
  <c r="CL179" i="1"/>
  <c r="CP179" i="1"/>
  <c r="CK179" i="1"/>
  <c r="DW179" i="1"/>
  <c r="CJ179" i="1"/>
  <c r="DK178" i="1"/>
  <c r="DJ178" i="1"/>
  <c r="DI178" i="1"/>
  <c r="DP178" i="1"/>
  <c r="DN178" i="1"/>
  <c r="DR178" i="1"/>
  <c r="DT178" i="1"/>
  <c r="DH178" i="1"/>
  <c r="DF178" i="1"/>
  <c r="DE178" i="1"/>
  <c r="DD178" i="1"/>
  <c r="DC178" i="1"/>
  <c r="DB178" i="1"/>
  <c r="CZ178" i="1"/>
  <c r="CY178" i="1"/>
  <c r="CX178" i="1"/>
  <c r="CW178" i="1"/>
  <c r="CV178" i="1"/>
  <c r="CT178" i="1"/>
  <c r="CS178" i="1"/>
  <c r="DV178" i="1"/>
  <c r="CR178" i="1"/>
  <c r="CQ178" i="1"/>
  <c r="DU178" i="1"/>
  <c r="CO178" i="1"/>
  <c r="CN178" i="1"/>
  <c r="CL178" i="1"/>
  <c r="CP178" i="1"/>
  <c r="CK178" i="1"/>
  <c r="DW178" i="1"/>
  <c r="CJ178" i="1"/>
  <c r="DK177" i="1"/>
  <c r="DJ177" i="1"/>
  <c r="DI177" i="1"/>
  <c r="DQ177" i="1"/>
  <c r="DP177" i="1"/>
  <c r="DN177" i="1"/>
  <c r="DR177" i="1"/>
  <c r="DT177" i="1"/>
  <c r="DH177" i="1"/>
  <c r="DG177" i="1"/>
  <c r="DF177" i="1"/>
  <c r="DE177" i="1"/>
  <c r="DD177" i="1"/>
  <c r="DB177" i="1"/>
  <c r="DA177" i="1"/>
  <c r="CZ177" i="1"/>
  <c r="CY177" i="1"/>
  <c r="CX177" i="1"/>
  <c r="CW177" i="1"/>
  <c r="CV177" i="1"/>
  <c r="CU177" i="1"/>
  <c r="CT177" i="1"/>
  <c r="CS177" i="1"/>
  <c r="DV177" i="1"/>
  <c r="CR177" i="1"/>
  <c r="CQ177" i="1"/>
  <c r="DU177" i="1"/>
  <c r="CO177" i="1"/>
  <c r="EQ177" i="1"/>
  <c r="EP177" i="1"/>
  <c r="CN177" i="1"/>
  <c r="CM177" i="1"/>
  <c r="CL177" i="1"/>
  <c r="CP177" i="1"/>
  <c r="CK177" i="1"/>
  <c r="DW177" i="1"/>
  <c r="CJ177" i="1"/>
  <c r="DK176" i="1"/>
  <c r="DJ176" i="1"/>
  <c r="DI176" i="1"/>
  <c r="DQ176" i="1"/>
  <c r="DP176" i="1"/>
  <c r="DN176" i="1"/>
  <c r="DR176" i="1"/>
  <c r="DT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V176" i="1"/>
  <c r="CR176" i="1"/>
  <c r="CQ176" i="1"/>
  <c r="DU176" i="1"/>
  <c r="CO176" i="1"/>
  <c r="EQ176" i="1"/>
  <c r="EP176" i="1"/>
  <c r="CN176" i="1"/>
  <c r="CM176" i="1"/>
  <c r="CL176" i="1"/>
  <c r="CP176" i="1"/>
  <c r="CK176" i="1"/>
  <c r="DW176" i="1"/>
  <c r="CJ176" i="1"/>
  <c r="DK175" i="1"/>
  <c r="DJ175" i="1"/>
  <c r="DI175" i="1"/>
  <c r="DQ175" i="1"/>
  <c r="DP175" i="1"/>
  <c r="DN175" i="1"/>
  <c r="DR175" i="1"/>
  <c r="DT175" i="1"/>
  <c r="DH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V175" i="1"/>
  <c r="CR175" i="1"/>
  <c r="CQ175" i="1"/>
  <c r="DU175" i="1"/>
  <c r="CO175" i="1"/>
  <c r="CN175" i="1"/>
  <c r="CM175" i="1"/>
  <c r="CL175" i="1"/>
  <c r="CP175" i="1"/>
  <c r="CK175" i="1"/>
  <c r="DW175" i="1"/>
  <c r="CJ175" i="1"/>
  <c r="DK174" i="1"/>
  <c r="DJ174" i="1"/>
  <c r="DI174" i="1"/>
  <c r="DQ174" i="1"/>
  <c r="DP174" i="1"/>
  <c r="DN174" i="1"/>
  <c r="DR174" i="1"/>
  <c r="DT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V174" i="1"/>
  <c r="CR174" i="1"/>
  <c r="CQ174" i="1"/>
  <c r="DU174" i="1"/>
  <c r="CO174" i="1"/>
  <c r="CN174" i="1"/>
  <c r="CM174" i="1"/>
  <c r="CL174" i="1"/>
  <c r="CP174" i="1"/>
  <c r="CK174" i="1"/>
  <c r="DW174" i="1"/>
  <c r="CJ174" i="1"/>
  <c r="DK173" i="1"/>
  <c r="DJ173" i="1"/>
  <c r="DI173" i="1"/>
  <c r="DP173" i="1"/>
  <c r="DN173" i="1"/>
  <c r="DR173" i="1"/>
  <c r="DT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V173" i="1"/>
  <c r="CR173" i="1"/>
  <c r="CQ173" i="1"/>
  <c r="DU173" i="1"/>
  <c r="CO173" i="1"/>
  <c r="CN173" i="1"/>
  <c r="CM173" i="1"/>
  <c r="CL173" i="1"/>
  <c r="CP173" i="1"/>
  <c r="CK173" i="1"/>
  <c r="DW173" i="1"/>
  <c r="CJ173" i="1"/>
  <c r="DK172" i="1"/>
  <c r="DI172" i="1"/>
  <c r="DQ172" i="1"/>
  <c r="DP172" i="1"/>
  <c r="DN172" i="1"/>
  <c r="DR172" i="1"/>
  <c r="DT172" i="1"/>
  <c r="DH172" i="1"/>
  <c r="DF172" i="1"/>
  <c r="DE172" i="1"/>
  <c r="DD172" i="1"/>
  <c r="DB172" i="1"/>
  <c r="DA172" i="1"/>
  <c r="CZ172" i="1"/>
  <c r="CY172" i="1"/>
  <c r="CX172" i="1"/>
  <c r="CW172" i="1"/>
  <c r="CV172" i="1"/>
  <c r="CU172" i="1"/>
  <c r="CT172" i="1"/>
  <c r="CS172" i="1"/>
  <c r="DV172" i="1"/>
  <c r="CR172" i="1"/>
  <c r="CQ172" i="1"/>
  <c r="DU172" i="1"/>
  <c r="CO172" i="1"/>
  <c r="CN172" i="1"/>
  <c r="CM172" i="1"/>
  <c r="CL172" i="1"/>
  <c r="CP172" i="1"/>
  <c r="CK172" i="1"/>
  <c r="DW172" i="1"/>
  <c r="CJ172" i="1"/>
  <c r="DK171" i="1"/>
  <c r="DJ171" i="1"/>
  <c r="DI171" i="1"/>
  <c r="DP171" i="1"/>
  <c r="DN171" i="1"/>
  <c r="DR171" i="1"/>
  <c r="DT171" i="1"/>
  <c r="DH171" i="1"/>
  <c r="DG171" i="1"/>
  <c r="DF171" i="1"/>
  <c r="DE171" i="1"/>
  <c r="DD171" i="1"/>
  <c r="DB171" i="1"/>
  <c r="DA171" i="1"/>
  <c r="CZ171" i="1"/>
  <c r="CY171" i="1"/>
  <c r="CX171" i="1"/>
  <c r="CW171" i="1"/>
  <c r="CV171" i="1"/>
  <c r="CU171" i="1"/>
  <c r="CT171" i="1"/>
  <c r="CS171" i="1"/>
  <c r="DV171" i="1"/>
  <c r="CR171" i="1"/>
  <c r="CQ171" i="1"/>
  <c r="CO171" i="1"/>
  <c r="EQ171" i="1"/>
  <c r="EP171" i="1"/>
  <c r="CN171" i="1"/>
  <c r="CM171" i="1"/>
  <c r="CL171" i="1"/>
  <c r="CK171" i="1"/>
  <c r="DW171" i="1"/>
  <c r="CJ171" i="1"/>
  <c r="DK170" i="1"/>
  <c r="DJ170" i="1"/>
  <c r="DI170" i="1"/>
  <c r="DP170" i="1"/>
  <c r="DN170" i="1"/>
  <c r="DR170" i="1"/>
  <c r="DT170" i="1"/>
  <c r="DH170" i="1"/>
  <c r="DG170" i="1"/>
  <c r="DF170" i="1"/>
  <c r="DE170" i="1"/>
  <c r="DD170" i="1"/>
  <c r="DC170" i="1"/>
  <c r="DB170" i="1"/>
  <c r="DA170" i="1"/>
  <c r="CZ170" i="1"/>
  <c r="CY170" i="1"/>
  <c r="CW170" i="1"/>
  <c r="CV170" i="1"/>
  <c r="CU170" i="1"/>
  <c r="CT170" i="1"/>
  <c r="CS170" i="1"/>
  <c r="DV170" i="1"/>
  <c r="CR170" i="1"/>
  <c r="CQ170" i="1"/>
  <c r="DU170" i="1"/>
  <c r="CO170" i="1"/>
  <c r="EQ170" i="1"/>
  <c r="EP170" i="1"/>
  <c r="CN170" i="1"/>
  <c r="CM170" i="1"/>
  <c r="CL170" i="1"/>
  <c r="CP170" i="1"/>
  <c r="CK170" i="1"/>
  <c r="DW170" i="1"/>
  <c r="CJ170" i="1"/>
  <c r="DK169" i="1"/>
  <c r="DJ169" i="1"/>
  <c r="DI169" i="1"/>
  <c r="DP169" i="1"/>
  <c r="DN169" i="1"/>
  <c r="DR169" i="1"/>
  <c r="DT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V169" i="1"/>
  <c r="CR169" i="1"/>
  <c r="CQ169" i="1"/>
  <c r="DU169" i="1"/>
  <c r="CO169" i="1"/>
  <c r="EQ169" i="1"/>
  <c r="EP169" i="1"/>
  <c r="CN169" i="1"/>
  <c r="CM169" i="1"/>
  <c r="CL169" i="1"/>
  <c r="CP169" i="1"/>
  <c r="CK169" i="1"/>
  <c r="DW169" i="1"/>
  <c r="CJ169" i="1"/>
  <c r="DK168" i="1"/>
  <c r="DJ168" i="1"/>
  <c r="DI168" i="1"/>
  <c r="DP168" i="1"/>
  <c r="DN168" i="1"/>
  <c r="DR168" i="1"/>
  <c r="DT168" i="1"/>
  <c r="DH168" i="1"/>
  <c r="DG168" i="1"/>
  <c r="DF168" i="1"/>
  <c r="DD168" i="1"/>
  <c r="DC168" i="1"/>
  <c r="DB168" i="1"/>
  <c r="CZ168" i="1"/>
  <c r="CY168" i="1"/>
  <c r="CX168" i="1"/>
  <c r="CW168" i="1"/>
  <c r="CV168" i="1"/>
  <c r="CU168" i="1"/>
  <c r="CT168" i="1"/>
  <c r="CS168" i="1"/>
  <c r="DV168" i="1"/>
  <c r="CR168" i="1"/>
  <c r="CQ168" i="1"/>
  <c r="DU168" i="1"/>
  <c r="CO168" i="1"/>
  <c r="EQ168" i="1"/>
  <c r="EP168" i="1"/>
  <c r="CN168" i="1"/>
  <c r="CM168" i="1"/>
  <c r="CL168" i="1"/>
  <c r="CP168" i="1"/>
  <c r="CK168" i="1"/>
  <c r="DW168" i="1"/>
  <c r="CJ168" i="1"/>
  <c r="DK167" i="1"/>
  <c r="DJ167" i="1"/>
  <c r="DI167" i="1"/>
  <c r="DP167" i="1"/>
  <c r="DN167" i="1"/>
  <c r="DR167" i="1"/>
  <c r="DT167" i="1"/>
  <c r="DH167" i="1"/>
  <c r="DG167" i="1"/>
  <c r="DF167" i="1"/>
  <c r="DE167" i="1"/>
  <c r="DD167" i="1"/>
  <c r="DC167" i="1"/>
  <c r="DB167" i="1"/>
  <c r="CZ167" i="1"/>
  <c r="CY167" i="1"/>
  <c r="CX167" i="1"/>
  <c r="CW167" i="1"/>
  <c r="CV167" i="1"/>
  <c r="CU167" i="1"/>
  <c r="CT167" i="1"/>
  <c r="CS167" i="1"/>
  <c r="DV167" i="1"/>
  <c r="CR167" i="1"/>
  <c r="CQ167" i="1"/>
  <c r="DU167" i="1"/>
  <c r="CO167" i="1"/>
  <c r="EQ167" i="1"/>
  <c r="EP167" i="1"/>
  <c r="CN167" i="1"/>
  <c r="CM167" i="1"/>
  <c r="CL167" i="1"/>
  <c r="CP167" i="1"/>
  <c r="CK167" i="1"/>
  <c r="DW167" i="1"/>
  <c r="CJ167" i="1"/>
  <c r="DK166" i="1"/>
  <c r="DJ166" i="1"/>
  <c r="DI166" i="1"/>
  <c r="DP166" i="1"/>
  <c r="DN166" i="1"/>
  <c r="DR166" i="1"/>
  <c r="DT166" i="1"/>
  <c r="DH166" i="1"/>
  <c r="DG166" i="1"/>
  <c r="DF166" i="1"/>
  <c r="DE166" i="1"/>
  <c r="DD166" i="1"/>
  <c r="DC166" i="1"/>
  <c r="DB166" i="1"/>
  <c r="CZ166" i="1"/>
  <c r="CY166" i="1"/>
  <c r="CX166" i="1"/>
  <c r="CW166" i="1"/>
  <c r="CV166" i="1"/>
  <c r="CU166" i="1"/>
  <c r="CT166" i="1"/>
  <c r="CS166" i="1"/>
  <c r="DV166" i="1"/>
  <c r="CR166" i="1"/>
  <c r="CQ166" i="1"/>
  <c r="CO166" i="1"/>
  <c r="EQ166" i="1"/>
  <c r="EP166" i="1"/>
  <c r="CN166" i="1"/>
  <c r="CM166" i="1"/>
  <c r="CL166" i="1"/>
  <c r="CP166" i="1"/>
  <c r="CK166" i="1"/>
  <c r="DW166" i="1"/>
  <c r="CJ166" i="1"/>
  <c r="DK165" i="1"/>
  <c r="DJ165" i="1"/>
  <c r="DI165" i="1"/>
  <c r="DQ165" i="1"/>
  <c r="DP165" i="1"/>
  <c r="DN165" i="1"/>
  <c r="DR165" i="1"/>
  <c r="DT165" i="1"/>
  <c r="DH165" i="1"/>
  <c r="DG165" i="1"/>
  <c r="DF165" i="1"/>
  <c r="DE165" i="1"/>
  <c r="DD165" i="1"/>
  <c r="DC165" i="1"/>
  <c r="DB165" i="1"/>
  <c r="CZ165" i="1"/>
  <c r="CY165" i="1"/>
  <c r="CX165" i="1"/>
  <c r="CW165" i="1"/>
  <c r="CV165" i="1"/>
  <c r="CU165" i="1"/>
  <c r="CT165" i="1"/>
  <c r="CS165" i="1"/>
  <c r="DV165" i="1"/>
  <c r="CR165" i="1"/>
  <c r="CQ165" i="1"/>
  <c r="DU165" i="1"/>
  <c r="CO165" i="1"/>
  <c r="CN165" i="1"/>
  <c r="CM165" i="1"/>
  <c r="CL165" i="1"/>
  <c r="CP165" i="1"/>
  <c r="CK165" i="1"/>
  <c r="DW165" i="1"/>
  <c r="CJ165" i="1"/>
  <c r="DK164" i="1"/>
  <c r="DJ164" i="1"/>
  <c r="DI164" i="1"/>
  <c r="DQ164" i="1"/>
  <c r="DP164" i="1"/>
  <c r="DN164" i="1"/>
  <c r="DR164" i="1"/>
  <c r="DT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V164" i="1"/>
  <c r="CR164" i="1"/>
  <c r="CQ164" i="1"/>
  <c r="CO164" i="1"/>
  <c r="EQ164" i="1"/>
  <c r="EP164" i="1"/>
  <c r="CN164" i="1"/>
  <c r="CM164" i="1"/>
  <c r="CL164" i="1"/>
  <c r="CP164" i="1"/>
  <c r="CK164" i="1"/>
  <c r="DW164" i="1"/>
  <c r="CJ164" i="1"/>
  <c r="DK163" i="1"/>
  <c r="DJ163" i="1"/>
  <c r="DI163" i="1"/>
  <c r="DQ163" i="1"/>
  <c r="DP163" i="1"/>
  <c r="DN163" i="1"/>
  <c r="DR163" i="1"/>
  <c r="DT163" i="1"/>
  <c r="DH163" i="1"/>
  <c r="DG163" i="1"/>
  <c r="DF163" i="1"/>
  <c r="DD163" i="1"/>
  <c r="DC163" i="1"/>
  <c r="DB163" i="1"/>
  <c r="CZ163" i="1"/>
  <c r="CY163" i="1"/>
  <c r="CX163" i="1"/>
  <c r="CW163" i="1"/>
  <c r="CV163" i="1"/>
  <c r="CU163" i="1"/>
  <c r="CT163" i="1"/>
  <c r="CS163" i="1"/>
  <c r="DV163" i="1"/>
  <c r="CR163" i="1"/>
  <c r="CQ163" i="1"/>
  <c r="CO163" i="1"/>
  <c r="EQ163" i="1"/>
  <c r="EP163" i="1"/>
  <c r="CN163" i="1"/>
  <c r="CM163" i="1"/>
  <c r="CL163" i="1"/>
  <c r="CP163" i="1"/>
  <c r="CK163" i="1"/>
  <c r="DW163" i="1"/>
  <c r="CJ163" i="1"/>
  <c r="DK162" i="1"/>
  <c r="DJ162" i="1"/>
  <c r="DI162" i="1"/>
  <c r="DP162" i="1"/>
  <c r="DN162" i="1"/>
  <c r="DR162" i="1"/>
  <c r="DT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V162" i="1"/>
  <c r="CR162" i="1"/>
  <c r="CQ162" i="1"/>
  <c r="DU162" i="1"/>
  <c r="CO162" i="1"/>
  <c r="EQ162" i="1"/>
  <c r="EP162" i="1"/>
  <c r="CN162" i="1"/>
  <c r="CM162" i="1"/>
  <c r="CL162" i="1"/>
  <c r="CP162" i="1"/>
  <c r="CK162" i="1"/>
  <c r="DW162" i="1"/>
  <c r="CJ162" i="1"/>
  <c r="DK161" i="1"/>
  <c r="DJ161" i="1"/>
  <c r="DI161" i="1"/>
  <c r="DP161" i="1"/>
  <c r="DN161" i="1"/>
  <c r="DR161" i="1"/>
  <c r="DT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V161" i="1"/>
  <c r="CR161" i="1"/>
  <c r="CQ161" i="1"/>
  <c r="DU161" i="1"/>
  <c r="CO161" i="1"/>
  <c r="EQ161" i="1"/>
  <c r="EP161" i="1"/>
  <c r="CN161" i="1"/>
  <c r="CM161" i="1"/>
  <c r="CL161" i="1"/>
  <c r="CP161" i="1"/>
  <c r="CK161" i="1"/>
  <c r="DW161" i="1"/>
  <c r="CJ161" i="1"/>
  <c r="DK160" i="1"/>
  <c r="DJ160" i="1"/>
  <c r="DI160" i="1"/>
  <c r="DQ160" i="1"/>
  <c r="DP160" i="1"/>
  <c r="DN160" i="1"/>
  <c r="DR160" i="1"/>
  <c r="DT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V160" i="1"/>
  <c r="CR160" i="1"/>
  <c r="CQ160" i="1"/>
  <c r="DU160" i="1"/>
  <c r="CO160" i="1"/>
  <c r="EQ160" i="1"/>
  <c r="EP160" i="1"/>
  <c r="CN160" i="1"/>
  <c r="CM160" i="1"/>
  <c r="CL160" i="1"/>
  <c r="CP160" i="1"/>
  <c r="CK160" i="1"/>
  <c r="DW160" i="1"/>
  <c r="CJ160" i="1"/>
  <c r="DK159" i="1"/>
  <c r="DJ159" i="1"/>
  <c r="DI159" i="1"/>
  <c r="DP159" i="1"/>
  <c r="DN159" i="1"/>
  <c r="DR159" i="1"/>
  <c r="DT159" i="1"/>
  <c r="DH159" i="1"/>
  <c r="DG159" i="1"/>
  <c r="DF159" i="1"/>
  <c r="DE159" i="1"/>
  <c r="DD159" i="1"/>
  <c r="DC159" i="1"/>
  <c r="DB159" i="1"/>
  <c r="CZ159" i="1"/>
  <c r="CY159" i="1"/>
  <c r="CX159" i="1"/>
  <c r="CW159" i="1"/>
  <c r="CV159" i="1"/>
  <c r="CU159" i="1"/>
  <c r="CT159" i="1"/>
  <c r="CS159" i="1"/>
  <c r="DV159" i="1"/>
  <c r="CR159" i="1"/>
  <c r="CQ159" i="1"/>
  <c r="CO159" i="1"/>
  <c r="EQ159" i="1"/>
  <c r="EP159" i="1"/>
  <c r="CN159" i="1"/>
  <c r="CM159" i="1"/>
  <c r="CL159" i="1"/>
  <c r="CP159" i="1"/>
  <c r="CK159" i="1"/>
  <c r="DW159" i="1"/>
  <c r="CJ159" i="1"/>
  <c r="DK158" i="1"/>
  <c r="DJ158" i="1"/>
  <c r="DI158" i="1"/>
  <c r="DP158" i="1"/>
  <c r="DN158" i="1"/>
  <c r="DR158" i="1"/>
  <c r="DT158" i="1"/>
  <c r="DH158" i="1"/>
  <c r="DG158" i="1"/>
  <c r="DF158" i="1"/>
  <c r="DE158" i="1"/>
  <c r="DD158" i="1"/>
  <c r="DC158" i="1"/>
  <c r="DB158" i="1"/>
  <c r="DA158" i="1"/>
  <c r="CY158" i="1"/>
  <c r="CX158" i="1"/>
  <c r="CW158" i="1"/>
  <c r="CV158" i="1"/>
  <c r="CU158" i="1"/>
  <c r="CT158" i="1"/>
  <c r="CS158" i="1"/>
  <c r="DV158" i="1"/>
  <c r="CR158" i="1"/>
  <c r="CQ158" i="1"/>
  <c r="DU158" i="1"/>
  <c r="CO158" i="1"/>
  <c r="EQ158" i="1"/>
  <c r="EP158" i="1"/>
  <c r="CN158" i="1"/>
  <c r="CM158" i="1"/>
  <c r="CL158" i="1"/>
  <c r="CP158" i="1"/>
  <c r="CK158" i="1"/>
  <c r="DW158" i="1"/>
  <c r="CJ158" i="1"/>
  <c r="DK157" i="1"/>
  <c r="DJ157" i="1"/>
  <c r="DI157" i="1"/>
  <c r="DP157" i="1"/>
  <c r="DN157" i="1"/>
  <c r="DR157" i="1"/>
  <c r="DT157" i="1"/>
  <c r="DG157" i="1"/>
  <c r="DF157" i="1"/>
  <c r="DE157" i="1"/>
  <c r="DD157" i="1"/>
  <c r="DC157" i="1"/>
  <c r="DB157" i="1"/>
  <c r="CZ157" i="1"/>
  <c r="CY157" i="1"/>
  <c r="CW157" i="1"/>
  <c r="CV157" i="1"/>
  <c r="CU157" i="1"/>
  <c r="CT157" i="1"/>
  <c r="CS157" i="1"/>
  <c r="DV157" i="1"/>
  <c r="CR157" i="1"/>
  <c r="CQ157" i="1"/>
  <c r="CO157" i="1"/>
  <c r="EQ157" i="1"/>
  <c r="EP157" i="1"/>
  <c r="CN157" i="1"/>
  <c r="CM157" i="1"/>
  <c r="CL157" i="1"/>
  <c r="CP157" i="1"/>
  <c r="CK157" i="1"/>
  <c r="DW157" i="1"/>
  <c r="CJ157" i="1"/>
  <c r="DK156" i="1"/>
  <c r="DJ156" i="1"/>
  <c r="DI156" i="1"/>
  <c r="DP156" i="1"/>
  <c r="DN156" i="1"/>
  <c r="DR156" i="1"/>
  <c r="DT156" i="1"/>
  <c r="DH156" i="1"/>
  <c r="DG156" i="1"/>
  <c r="DF156" i="1"/>
  <c r="DE156" i="1"/>
  <c r="DD156" i="1"/>
  <c r="DC156" i="1"/>
  <c r="DB156" i="1"/>
  <c r="CZ156" i="1"/>
  <c r="CY156" i="1"/>
  <c r="CW156" i="1"/>
  <c r="CV156" i="1"/>
  <c r="CU156" i="1"/>
  <c r="CT156" i="1"/>
  <c r="CS156" i="1"/>
  <c r="DV156" i="1"/>
  <c r="CR156" i="1"/>
  <c r="CQ156" i="1"/>
  <c r="DU156" i="1"/>
  <c r="CO156" i="1"/>
  <c r="EQ156" i="1"/>
  <c r="EP156" i="1"/>
  <c r="CN156" i="1"/>
  <c r="CM156" i="1"/>
  <c r="CL156" i="1"/>
  <c r="CP156" i="1"/>
  <c r="CK156" i="1"/>
  <c r="DW156" i="1"/>
  <c r="CJ156" i="1"/>
  <c r="DK155" i="1"/>
  <c r="DJ155" i="1"/>
  <c r="DI155" i="1"/>
  <c r="DP155" i="1"/>
  <c r="DN155" i="1"/>
  <c r="DR155" i="1"/>
  <c r="DT155" i="1"/>
  <c r="DH155" i="1"/>
  <c r="DG155" i="1"/>
  <c r="DF155" i="1"/>
  <c r="DE155" i="1"/>
  <c r="DD155" i="1"/>
  <c r="DB155" i="1"/>
  <c r="DA155" i="1"/>
  <c r="CZ155" i="1"/>
  <c r="CY155" i="1"/>
  <c r="CW155" i="1"/>
  <c r="CV155" i="1"/>
  <c r="CU155" i="1"/>
  <c r="CT155" i="1"/>
  <c r="CS155" i="1"/>
  <c r="DV155" i="1"/>
  <c r="CR155" i="1"/>
  <c r="CQ155" i="1"/>
  <c r="DU155" i="1"/>
  <c r="CO155" i="1"/>
  <c r="EQ155" i="1"/>
  <c r="EP155" i="1"/>
  <c r="CN155" i="1"/>
  <c r="CM155" i="1"/>
  <c r="CL155" i="1"/>
  <c r="CP155" i="1"/>
  <c r="CK155" i="1"/>
  <c r="DW155" i="1"/>
  <c r="CJ155" i="1"/>
  <c r="DK154" i="1"/>
  <c r="DJ154" i="1"/>
  <c r="DI154" i="1"/>
  <c r="DP154" i="1"/>
  <c r="DN154" i="1"/>
  <c r="DR154" i="1"/>
  <c r="DT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V154" i="1"/>
  <c r="CR154" i="1"/>
  <c r="CQ154" i="1"/>
  <c r="DU154" i="1"/>
  <c r="CO154" i="1"/>
  <c r="EQ154" i="1"/>
  <c r="EP154" i="1"/>
  <c r="CN154" i="1"/>
  <c r="CM154" i="1"/>
  <c r="CL154" i="1"/>
  <c r="CP154" i="1"/>
  <c r="CK154" i="1"/>
  <c r="DW154" i="1"/>
  <c r="CJ154" i="1"/>
  <c r="DK153" i="1"/>
  <c r="DJ153" i="1"/>
  <c r="DI153" i="1"/>
  <c r="DP153" i="1"/>
  <c r="DN153" i="1"/>
  <c r="DR153" i="1"/>
  <c r="DT153" i="1"/>
  <c r="DH153" i="1"/>
  <c r="DG153" i="1"/>
  <c r="DF153" i="1"/>
  <c r="DE153" i="1"/>
  <c r="DD153" i="1"/>
  <c r="DC153" i="1"/>
  <c r="DB153" i="1"/>
  <c r="DA153" i="1"/>
  <c r="CZ153" i="1"/>
  <c r="CY153" i="1"/>
  <c r="CW153" i="1"/>
  <c r="CV153" i="1"/>
  <c r="CU153" i="1"/>
  <c r="CT153" i="1"/>
  <c r="CS153" i="1"/>
  <c r="DV153" i="1"/>
  <c r="CR153" i="1"/>
  <c r="CQ153" i="1"/>
  <c r="CO153" i="1"/>
  <c r="EQ153" i="1"/>
  <c r="EP153" i="1"/>
  <c r="CN153" i="1"/>
  <c r="CM153" i="1"/>
  <c r="CL153" i="1"/>
  <c r="CP153" i="1"/>
  <c r="CK153" i="1"/>
  <c r="DW153" i="1"/>
  <c r="CJ153" i="1"/>
  <c r="DK152" i="1"/>
  <c r="DJ152" i="1"/>
  <c r="DI152" i="1"/>
  <c r="DP152" i="1"/>
  <c r="DN152" i="1"/>
  <c r="DR152" i="1"/>
  <c r="DT152" i="1"/>
  <c r="DH152" i="1"/>
  <c r="DG152" i="1"/>
  <c r="DF152" i="1"/>
  <c r="DE152" i="1"/>
  <c r="DD152" i="1"/>
  <c r="DC152" i="1"/>
  <c r="DB152" i="1"/>
  <c r="DA152" i="1"/>
  <c r="CZ152" i="1"/>
  <c r="CY152" i="1"/>
  <c r="CW152" i="1"/>
  <c r="CV152" i="1"/>
  <c r="CU152" i="1"/>
  <c r="CT152" i="1"/>
  <c r="CS152" i="1"/>
  <c r="DV152" i="1"/>
  <c r="CR152" i="1"/>
  <c r="CQ152" i="1"/>
  <c r="CO152" i="1"/>
  <c r="EQ152" i="1"/>
  <c r="EP152" i="1"/>
  <c r="CN152" i="1"/>
  <c r="CM152" i="1"/>
  <c r="CL152" i="1"/>
  <c r="CP152" i="1"/>
  <c r="DW152" i="1"/>
  <c r="CJ152" i="1"/>
  <c r="DK151" i="1"/>
  <c r="DJ151" i="1"/>
  <c r="DI151" i="1"/>
  <c r="DQ151" i="1"/>
  <c r="DP151" i="1"/>
  <c r="DN151" i="1"/>
  <c r="DR151" i="1"/>
  <c r="DT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V151" i="1"/>
  <c r="CR151" i="1"/>
  <c r="CQ151" i="1"/>
  <c r="DU151" i="1"/>
  <c r="CO151" i="1"/>
  <c r="CN151" i="1"/>
  <c r="CM151" i="1"/>
  <c r="CL151" i="1"/>
  <c r="CP151" i="1"/>
  <c r="CK151" i="1"/>
  <c r="DW151" i="1"/>
  <c r="CJ151" i="1"/>
  <c r="DK150" i="1"/>
  <c r="DJ150" i="1"/>
  <c r="DI150" i="1"/>
  <c r="DP150" i="1"/>
  <c r="DN150" i="1"/>
  <c r="DR150" i="1"/>
  <c r="DT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V150" i="1"/>
  <c r="CR150" i="1"/>
  <c r="CQ150" i="1"/>
  <c r="DU150" i="1"/>
  <c r="CO150" i="1"/>
  <c r="CN150" i="1"/>
  <c r="CM150" i="1"/>
  <c r="CL150" i="1"/>
  <c r="CP150" i="1"/>
  <c r="CK150" i="1"/>
  <c r="DW150" i="1"/>
  <c r="CJ150" i="1"/>
  <c r="DK149" i="1"/>
  <c r="DI149" i="1"/>
  <c r="DP149" i="1"/>
  <c r="DN149" i="1"/>
  <c r="DR149" i="1"/>
  <c r="DT149" i="1"/>
  <c r="DH149" i="1"/>
  <c r="DG149" i="1"/>
  <c r="DF149" i="1"/>
  <c r="DE149" i="1"/>
  <c r="DD149" i="1"/>
  <c r="DB149" i="1"/>
  <c r="DA149" i="1"/>
  <c r="CZ149" i="1"/>
  <c r="CY149" i="1"/>
  <c r="CX149" i="1"/>
  <c r="CW149" i="1"/>
  <c r="CV149" i="1"/>
  <c r="CU149" i="1"/>
  <c r="CT149" i="1"/>
  <c r="CS149" i="1"/>
  <c r="DV149" i="1"/>
  <c r="CR149" i="1"/>
  <c r="CQ149" i="1"/>
  <c r="DU149" i="1"/>
  <c r="CO149" i="1"/>
  <c r="CN149" i="1"/>
  <c r="CM149" i="1"/>
  <c r="CL149" i="1"/>
  <c r="CP149" i="1"/>
  <c r="CK149" i="1"/>
  <c r="DW149" i="1"/>
  <c r="CJ149" i="1"/>
  <c r="DK148" i="1"/>
  <c r="DI148" i="1"/>
  <c r="DP148" i="1"/>
  <c r="DN148" i="1"/>
  <c r="DR148" i="1"/>
  <c r="DT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V148" i="1"/>
  <c r="CR148" i="1"/>
  <c r="CQ148" i="1"/>
  <c r="DU148" i="1"/>
  <c r="CO148" i="1"/>
  <c r="CN148" i="1"/>
  <c r="CM148" i="1"/>
  <c r="CL148" i="1"/>
  <c r="CP148" i="1"/>
  <c r="CK148" i="1"/>
  <c r="DW148" i="1"/>
  <c r="CJ148" i="1"/>
  <c r="DK147" i="1"/>
  <c r="DJ147" i="1"/>
  <c r="DI147" i="1"/>
  <c r="DP147" i="1"/>
  <c r="DN147" i="1"/>
  <c r="DR147" i="1"/>
  <c r="DT147" i="1"/>
  <c r="DH147" i="1"/>
  <c r="DG147" i="1"/>
  <c r="DF147" i="1"/>
  <c r="DE147" i="1"/>
  <c r="DD147" i="1"/>
  <c r="DB147" i="1"/>
  <c r="CZ147" i="1"/>
  <c r="CY147" i="1"/>
  <c r="CX147" i="1"/>
  <c r="CW147" i="1"/>
  <c r="CV147" i="1"/>
  <c r="CU147" i="1"/>
  <c r="CT147" i="1"/>
  <c r="CS147" i="1"/>
  <c r="DV147" i="1"/>
  <c r="CR147" i="1"/>
  <c r="CQ147" i="1"/>
  <c r="DU147" i="1"/>
  <c r="CO147" i="1"/>
  <c r="CN147" i="1"/>
  <c r="CM147" i="1"/>
  <c r="CP147" i="1"/>
  <c r="CK147" i="1"/>
  <c r="DW147" i="1"/>
  <c r="CJ147" i="1"/>
  <c r="DK146" i="1"/>
  <c r="DJ146" i="1"/>
  <c r="DI146" i="1"/>
  <c r="DP146" i="1"/>
  <c r="DN146" i="1"/>
  <c r="DR146" i="1"/>
  <c r="DT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V146" i="1"/>
  <c r="CR146" i="1"/>
  <c r="CQ146" i="1"/>
  <c r="DU146" i="1"/>
  <c r="CO146" i="1"/>
  <c r="CN146" i="1"/>
  <c r="CM146" i="1"/>
  <c r="CL146" i="1"/>
  <c r="CP146" i="1"/>
  <c r="CK146" i="1"/>
  <c r="DW146" i="1"/>
  <c r="CJ146" i="1"/>
  <c r="DK145" i="1"/>
  <c r="DJ145" i="1"/>
  <c r="DI145" i="1"/>
  <c r="DP145" i="1"/>
  <c r="DN145" i="1"/>
  <c r="DR145" i="1"/>
  <c r="DT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V145" i="1"/>
  <c r="CR145" i="1"/>
  <c r="CQ145" i="1"/>
  <c r="CO145" i="1"/>
  <c r="EQ145" i="1"/>
  <c r="EP145" i="1"/>
  <c r="CN145" i="1"/>
  <c r="CM145" i="1"/>
  <c r="CL145" i="1"/>
  <c r="CP145" i="1"/>
  <c r="CK145" i="1"/>
  <c r="DW145" i="1"/>
  <c r="CJ145" i="1"/>
  <c r="DK144" i="1"/>
  <c r="DJ144" i="1"/>
  <c r="DI144" i="1"/>
  <c r="DP144" i="1"/>
  <c r="DN144" i="1"/>
  <c r="DR144" i="1"/>
  <c r="DT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V144" i="1"/>
  <c r="CR144" i="1"/>
  <c r="CQ144" i="1"/>
  <c r="DU144" i="1"/>
  <c r="CO144" i="1"/>
  <c r="CN144" i="1"/>
  <c r="CM144" i="1"/>
  <c r="CL144" i="1"/>
  <c r="CP144" i="1"/>
  <c r="CK144" i="1"/>
  <c r="DW144" i="1"/>
  <c r="CJ144" i="1"/>
  <c r="DK143" i="1"/>
  <c r="DJ143" i="1"/>
  <c r="DI143" i="1"/>
  <c r="DP143" i="1"/>
  <c r="DN143" i="1"/>
  <c r="DR143" i="1"/>
  <c r="DT143" i="1"/>
  <c r="DH143" i="1"/>
  <c r="DG143" i="1"/>
  <c r="DF143" i="1"/>
  <c r="DE143" i="1"/>
  <c r="DD143" i="1"/>
  <c r="DC143" i="1"/>
  <c r="DB143" i="1"/>
  <c r="CZ143" i="1"/>
  <c r="CY143" i="1"/>
  <c r="CX143" i="1"/>
  <c r="CW143" i="1"/>
  <c r="CV143" i="1"/>
  <c r="CU143" i="1"/>
  <c r="CT143" i="1"/>
  <c r="CS143" i="1"/>
  <c r="DV143" i="1"/>
  <c r="CR143" i="1"/>
  <c r="CQ143" i="1"/>
  <c r="DU143" i="1"/>
  <c r="CO143" i="1"/>
  <c r="CN143" i="1"/>
  <c r="CM143" i="1"/>
  <c r="CL143" i="1"/>
  <c r="CP143" i="1"/>
  <c r="CK143" i="1"/>
  <c r="DW143" i="1"/>
  <c r="CJ143" i="1"/>
  <c r="DK142" i="1"/>
  <c r="DJ142" i="1"/>
  <c r="DI142" i="1"/>
  <c r="DP142" i="1"/>
  <c r="DN142" i="1"/>
  <c r="DR142" i="1"/>
  <c r="DT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V142" i="1"/>
  <c r="CR142" i="1"/>
  <c r="CQ142" i="1"/>
  <c r="DU142" i="1"/>
  <c r="CO142" i="1"/>
  <c r="CN142" i="1"/>
  <c r="CM142" i="1"/>
  <c r="CL142" i="1"/>
  <c r="CP142" i="1"/>
  <c r="CK142" i="1"/>
  <c r="DW142" i="1"/>
  <c r="CJ142" i="1"/>
  <c r="DK141" i="1"/>
  <c r="DQ141" i="1"/>
  <c r="DP141" i="1"/>
  <c r="DN141" i="1"/>
  <c r="DR141" i="1"/>
  <c r="DT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T141" i="1"/>
  <c r="CS141" i="1"/>
  <c r="DV141" i="1"/>
  <c r="CR141" i="1"/>
  <c r="CQ141" i="1"/>
  <c r="DU141" i="1"/>
  <c r="CO141" i="1"/>
  <c r="CN141" i="1"/>
  <c r="CM141" i="1"/>
  <c r="CP141" i="1"/>
  <c r="DW141" i="1"/>
  <c r="CJ141" i="1"/>
  <c r="DK140" i="1"/>
  <c r="DJ140" i="1"/>
  <c r="DI140" i="1"/>
  <c r="DP140" i="1"/>
  <c r="DN140" i="1"/>
  <c r="DR140" i="1"/>
  <c r="DT140" i="1"/>
  <c r="DH140" i="1"/>
  <c r="DG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V140" i="1"/>
  <c r="CR140" i="1"/>
  <c r="CQ140" i="1"/>
  <c r="DU140" i="1"/>
  <c r="CO140" i="1"/>
  <c r="CN140" i="1"/>
  <c r="CM140" i="1"/>
  <c r="CL140" i="1"/>
  <c r="CP140" i="1"/>
  <c r="CK140" i="1"/>
  <c r="DW140" i="1"/>
  <c r="CJ140" i="1"/>
  <c r="DK139" i="1"/>
  <c r="DJ139" i="1"/>
  <c r="DI139" i="1"/>
  <c r="DP139" i="1"/>
  <c r="DN139" i="1"/>
  <c r="DR139" i="1"/>
  <c r="DT139" i="1"/>
  <c r="DH139" i="1"/>
  <c r="DG139" i="1"/>
  <c r="DF139" i="1"/>
  <c r="DE139" i="1"/>
  <c r="DD139" i="1"/>
  <c r="DB139" i="1"/>
  <c r="DA139" i="1"/>
  <c r="CZ139" i="1"/>
  <c r="CY139" i="1"/>
  <c r="CX139" i="1"/>
  <c r="CW139" i="1"/>
  <c r="CV139" i="1"/>
  <c r="CU139" i="1"/>
  <c r="CT139" i="1"/>
  <c r="CS139" i="1"/>
  <c r="DV139" i="1"/>
  <c r="CR139" i="1"/>
  <c r="CQ139" i="1"/>
  <c r="CO139" i="1"/>
  <c r="EQ139" i="1"/>
  <c r="EP139" i="1"/>
  <c r="CN139" i="1"/>
  <c r="CM139" i="1"/>
  <c r="CL139" i="1"/>
  <c r="CP139" i="1"/>
  <c r="CK139" i="1"/>
  <c r="DW139" i="1"/>
  <c r="CJ139" i="1"/>
  <c r="DK138" i="1"/>
  <c r="DJ138" i="1"/>
  <c r="DI138" i="1"/>
  <c r="DP138" i="1"/>
  <c r="DN138" i="1"/>
  <c r="DR138" i="1"/>
  <c r="DT138" i="1"/>
  <c r="DH138" i="1"/>
  <c r="DG138" i="1"/>
  <c r="DF138" i="1"/>
  <c r="DE138" i="1"/>
  <c r="DD138" i="1"/>
  <c r="DC138" i="1"/>
  <c r="DB138" i="1"/>
  <c r="CZ138" i="1"/>
  <c r="CY138" i="1"/>
  <c r="CX138" i="1"/>
  <c r="CW138" i="1"/>
  <c r="CV138" i="1"/>
  <c r="CU138" i="1"/>
  <c r="CT138" i="1"/>
  <c r="CS138" i="1"/>
  <c r="DV138" i="1"/>
  <c r="CR138" i="1"/>
  <c r="CQ138" i="1"/>
  <c r="DU138" i="1"/>
  <c r="CO138" i="1"/>
  <c r="CN138" i="1"/>
  <c r="CM138" i="1"/>
  <c r="CL138" i="1"/>
  <c r="CP138" i="1"/>
  <c r="CK138" i="1"/>
  <c r="DW138" i="1"/>
  <c r="CJ138" i="1"/>
  <c r="DK137" i="1"/>
  <c r="DJ137" i="1"/>
  <c r="DI137" i="1"/>
  <c r="DN137" i="1"/>
  <c r="DR137" i="1"/>
  <c r="DT137" i="1"/>
  <c r="DH137" i="1"/>
  <c r="DG137" i="1"/>
  <c r="DF137" i="1"/>
  <c r="DE137" i="1"/>
  <c r="DD137" i="1"/>
  <c r="DC137" i="1"/>
  <c r="DB137" i="1"/>
  <c r="CZ137" i="1"/>
  <c r="CY137" i="1"/>
  <c r="CW137" i="1"/>
  <c r="CV137" i="1"/>
  <c r="CU137" i="1"/>
  <c r="CT137" i="1"/>
  <c r="CS137" i="1"/>
  <c r="DV137" i="1"/>
  <c r="CR137" i="1"/>
  <c r="CQ137" i="1"/>
  <c r="EQ137" i="1"/>
  <c r="EP137" i="1"/>
  <c r="CN137" i="1"/>
  <c r="CM137" i="1"/>
  <c r="CL137" i="1"/>
  <c r="CP137" i="1"/>
  <c r="CK137" i="1"/>
  <c r="DW137" i="1"/>
  <c r="CJ137" i="1"/>
  <c r="DK136" i="1"/>
  <c r="DJ136" i="1"/>
  <c r="DI136" i="1"/>
  <c r="DP136" i="1"/>
  <c r="DN136" i="1"/>
  <c r="DR136" i="1"/>
  <c r="DT136" i="1"/>
  <c r="DH136" i="1"/>
  <c r="DG136" i="1"/>
  <c r="DF136" i="1"/>
  <c r="DE136" i="1"/>
  <c r="DD136" i="1"/>
  <c r="DC136" i="1"/>
  <c r="DB136" i="1"/>
  <c r="CZ136" i="1"/>
  <c r="CY136" i="1"/>
  <c r="CX136" i="1"/>
  <c r="CW136" i="1"/>
  <c r="CV136" i="1"/>
  <c r="CU136" i="1"/>
  <c r="CT136" i="1"/>
  <c r="CS136" i="1"/>
  <c r="DV136" i="1"/>
  <c r="CR136" i="1"/>
  <c r="CQ136" i="1"/>
  <c r="DU136" i="1"/>
  <c r="CO136" i="1"/>
  <c r="CN136" i="1"/>
  <c r="CM136" i="1"/>
  <c r="CL136" i="1"/>
  <c r="CP136" i="1"/>
  <c r="CK136" i="1"/>
  <c r="DW136" i="1"/>
  <c r="CJ136" i="1"/>
  <c r="DK135" i="1"/>
  <c r="DJ135" i="1"/>
  <c r="DI135" i="1"/>
  <c r="DQ135" i="1"/>
  <c r="DP135" i="1"/>
  <c r="DN135" i="1"/>
  <c r="DR135" i="1"/>
  <c r="DT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V135" i="1"/>
  <c r="CR135" i="1"/>
  <c r="CQ135" i="1"/>
  <c r="DU135" i="1"/>
  <c r="CO135" i="1"/>
  <c r="CN135" i="1"/>
  <c r="CM135" i="1"/>
  <c r="CL135" i="1"/>
  <c r="CP135" i="1"/>
  <c r="CK135" i="1"/>
  <c r="DW135" i="1"/>
  <c r="CJ135" i="1"/>
  <c r="DK134" i="1"/>
  <c r="DJ134" i="1"/>
  <c r="DI134" i="1"/>
  <c r="DP134" i="1"/>
  <c r="DN134" i="1"/>
  <c r="DR134" i="1"/>
  <c r="DT134" i="1"/>
  <c r="DH134" i="1"/>
  <c r="DG134" i="1"/>
  <c r="DF134" i="1"/>
  <c r="DE134" i="1"/>
  <c r="DD134" i="1"/>
  <c r="DC134" i="1"/>
  <c r="DB134" i="1"/>
  <c r="CZ134" i="1"/>
  <c r="CY134" i="1"/>
  <c r="CX134" i="1"/>
  <c r="CW134" i="1"/>
  <c r="CV134" i="1"/>
  <c r="CU134" i="1"/>
  <c r="CT134" i="1"/>
  <c r="CS134" i="1"/>
  <c r="DV134" i="1"/>
  <c r="CR134" i="1"/>
  <c r="CQ134" i="1"/>
  <c r="CO134" i="1"/>
  <c r="EQ134" i="1"/>
  <c r="EP134" i="1"/>
  <c r="CN134" i="1"/>
  <c r="CM134" i="1"/>
  <c r="CL134" i="1"/>
  <c r="CP134" i="1"/>
  <c r="CK134" i="1"/>
  <c r="DW134" i="1"/>
  <c r="DK133" i="1"/>
  <c r="DJ133" i="1"/>
  <c r="DI133" i="1"/>
  <c r="DP133" i="1"/>
  <c r="DN133" i="1"/>
  <c r="DR133" i="1"/>
  <c r="DT133" i="1"/>
  <c r="DH133" i="1"/>
  <c r="DF133" i="1"/>
  <c r="DE133" i="1"/>
  <c r="DD133" i="1"/>
  <c r="DB133" i="1"/>
  <c r="CY133" i="1"/>
  <c r="CX133" i="1"/>
  <c r="CW133" i="1"/>
  <c r="CV133" i="1"/>
  <c r="CU133" i="1"/>
  <c r="CT133" i="1"/>
  <c r="CS133" i="1"/>
  <c r="DV133" i="1"/>
  <c r="CR133" i="1"/>
  <c r="CQ133" i="1"/>
  <c r="CO133" i="1"/>
  <c r="EQ133" i="1"/>
  <c r="EP133" i="1"/>
  <c r="CN133" i="1"/>
  <c r="CM133" i="1"/>
  <c r="CL133" i="1"/>
  <c r="CP133" i="1"/>
  <c r="CK133" i="1"/>
  <c r="DW133" i="1"/>
  <c r="DK132" i="1"/>
  <c r="DJ132" i="1"/>
  <c r="DI132" i="1"/>
  <c r="DP132" i="1"/>
  <c r="DN132" i="1"/>
  <c r="DR132" i="1"/>
  <c r="DT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V132" i="1"/>
  <c r="CR132" i="1"/>
  <c r="CQ132" i="1"/>
  <c r="CO132" i="1"/>
  <c r="EQ132" i="1"/>
  <c r="EP132" i="1"/>
  <c r="CN132" i="1"/>
  <c r="CM132" i="1"/>
  <c r="CL132" i="1"/>
  <c r="CP132" i="1"/>
  <c r="CK132" i="1"/>
  <c r="DW132" i="1"/>
  <c r="CJ132" i="1"/>
  <c r="DK131" i="1"/>
  <c r="DJ131" i="1"/>
  <c r="DI131" i="1"/>
  <c r="DP131" i="1"/>
  <c r="DN131" i="1"/>
  <c r="DR131" i="1"/>
  <c r="DT131" i="1"/>
  <c r="DH131" i="1"/>
  <c r="DG131" i="1"/>
  <c r="DF131" i="1"/>
  <c r="DE131" i="1"/>
  <c r="DD131" i="1"/>
  <c r="DC131" i="1"/>
  <c r="DB131" i="1"/>
  <c r="CZ131" i="1"/>
  <c r="CY131" i="1"/>
  <c r="CX131" i="1"/>
  <c r="CW131" i="1"/>
  <c r="CV131" i="1"/>
  <c r="CU131" i="1"/>
  <c r="CT131" i="1"/>
  <c r="CS131" i="1"/>
  <c r="DV131" i="1"/>
  <c r="CR131" i="1"/>
  <c r="CQ131" i="1"/>
  <c r="CO131" i="1"/>
  <c r="EQ131" i="1"/>
  <c r="EP131" i="1"/>
  <c r="CN131" i="1"/>
  <c r="CM131" i="1"/>
  <c r="CL131" i="1"/>
  <c r="CP131" i="1"/>
  <c r="CK131" i="1"/>
  <c r="DW131" i="1"/>
  <c r="CJ131" i="1"/>
  <c r="DK130" i="1"/>
  <c r="DJ130" i="1"/>
  <c r="DI130" i="1"/>
  <c r="DP130" i="1"/>
  <c r="DN130" i="1"/>
  <c r="DR130" i="1"/>
  <c r="DT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V130" i="1"/>
  <c r="CR130" i="1"/>
  <c r="CQ130" i="1"/>
  <c r="CO130" i="1"/>
  <c r="EQ130" i="1"/>
  <c r="EP130" i="1"/>
  <c r="CN130" i="1"/>
  <c r="CM130" i="1"/>
  <c r="CL130" i="1"/>
  <c r="CP130" i="1"/>
  <c r="CK130" i="1"/>
  <c r="DW130" i="1"/>
  <c r="CJ130" i="1"/>
  <c r="DK129" i="1"/>
  <c r="DJ129" i="1"/>
  <c r="DI129" i="1"/>
  <c r="DQ129" i="1"/>
  <c r="DP129" i="1"/>
  <c r="DN129" i="1"/>
  <c r="DR129" i="1"/>
  <c r="DT129" i="1"/>
  <c r="DH129" i="1"/>
  <c r="DG129" i="1"/>
  <c r="DF129" i="1"/>
  <c r="DE129" i="1"/>
  <c r="DD129" i="1"/>
  <c r="DC129" i="1"/>
  <c r="DB129" i="1"/>
  <c r="CZ129" i="1"/>
  <c r="CY129" i="1"/>
  <c r="CX129" i="1"/>
  <c r="CW129" i="1"/>
  <c r="CV129" i="1"/>
  <c r="CU129" i="1"/>
  <c r="CT129" i="1"/>
  <c r="CS129" i="1"/>
  <c r="DV129" i="1"/>
  <c r="CR129" i="1"/>
  <c r="CQ129" i="1"/>
  <c r="DU129" i="1"/>
  <c r="CO129" i="1"/>
  <c r="CN129" i="1"/>
  <c r="CM129" i="1"/>
  <c r="CL129" i="1"/>
  <c r="CP129" i="1"/>
  <c r="DW129" i="1"/>
  <c r="CJ129" i="1"/>
  <c r="DK128" i="1"/>
  <c r="DJ128" i="1"/>
  <c r="DI128" i="1"/>
  <c r="DP128" i="1"/>
  <c r="DN128" i="1"/>
  <c r="DR128" i="1"/>
  <c r="DT128" i="1"/>
  <c r="DH128" i="1"/>
  <c r="DG128" i="1"/>
  <c r="DF128" i="1"/>
  <c r="DE128" i="1"/>
  <c r="DD128" i="1"/>
  <c r="DB128" i="1"/>
  <c r="DA128" i="1"/>
  <c r="CZ128" i="1"/>
  <c r="CY128" i="1"/>
  <c r="CX128" i="1"/>
  <c r="CW128" i="1"/>
  <c r="CV128" i="1"/>
  <c r="CU128" i="1"/>
  <c r="CT128" i="1"/>
  <c r="CS128" i="1"/>
  <c r="DV128" i="1"/>
  <c r="CR128" i="1"/>
  <c r="CQ128" i="1"/>
  <c r="CO128" i="1"/>
  <c r="EQ128" i="1"/>
  <c r="EP128" i="1"/>
  <c r="CN128" i="1"/>
  <c r="CM128" i="1"/>
  <c r="CL128" i="1"/>
  <c r="CP128" i="1"/>
  <c r="CK128" i="1"/>
  <c r="DW128" i="1"/>
  <c r="CJ128" i="1"/>
  <c r="DK127" i="1"/>
  <c r="DJ127" i="1"/>
  <c r="DI127" i="1"/>
  <c r="DP127" i="1"/>
  <c r="DN127" i="1"/>
  <c r="DR127" i="1"/>
  <c r="DT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V127" i="1"/>
  <c r="CR127" i="1"/>
  <c r="CQ127" i="1"/>
  <c r="CO127" i="1"/>
  <c r="EQ127" i="1"/>
  <c r="EP127" i="1"/>
  <c r="CN127" i="1"/>
  <c r="CM127" i="1"/>
  <c r="CL127" i="1"/>
  <c r="CP127" i="1"/>
  <c r="CK127" i="1"/>
  <c r="DW127" i="1"/>
  <c r="CJ127" i="1"/>
  <c r="DK126" i="1"/>
  <c r="DJ126" i="1"/>
  <c r="DI126" i="1"/>
  <c r="DP126" i="1"/>
  <c r="DN126" i="1"/>
  <c r="DR126" i="1"/>
  <c r="DT126" i="1"/>
  <c r="DH126" i="1"/>
  <c r="DG126" i="1"/>
  <c r="DF126" i="1"/>
  <c r="DE126" i="1"/>
  <c r="DD126" i="1"/>
  <c r="DB126" i="1"/>
  <c r="DA126" i="1"/>
  <c r="CZ126" i="1"/>
  <c r="CY126" i="1"/>
  <c r="CX126" i="1"/>
  <c r="CW126" i="1"/>
  <c r="CV126" i="1"/>
  <c r="CU126" i="1"/>
  <c r="CT126" i="1"/>
  <c r="CS126" i="1"/>
  <c r="DV126" i="1"/>
  <c r="CR126" i="1"/>
  <c r="CQ126" i="1"/>
  <c r="DU126" i="1"/>
  <c r="CO126" i="1"/>
  <c r="EQ126" i="1"/>
  <c r="EP126" i="1"/>
  <c r="CN126" i="1"/>
  <c r="CM126" i="1"/>
  <c r="CL126" i="1"/>
  <c r="CP126" i="1"/>
  <c r="CK126" i="1"/>
  <c r="DW126" i="1"/>
  <c r="CJ126" i="1"/>
  <c r="DK125" i="1"/>
  <c r="DJ125" i="1"/>
  <c r="DI125" i="1"/>
  <c r="DP125" i="1"/>
  <c r="DN125" i="1"/>
  <c r="DR125" i="1"/>
  <c r="DT125" i="1"/>
  <c r="DH125" i="1"/>
  <c r="DG125" i="1"/>
  <c r="DF125" i="1"/>
  <c r="DE125" i="1"/>
  <c r="DD125" i="1"/>
  <c r="DC125" i="1"/>
  <c r="DB125" i="1"/>
  <c r="CZ125" i="1"/>
  <c r="CY125" i="1"/>
  <c r="CX125" i="1"/>
  <c r="CW125" i="1"/>
  <c r="CV125" i="1"/>
  <c r="CU125" i="1"/>
  <c r="CT125" i="1"/>
  <c r="CS125" i="1"/>
  <c r="DV125" i="1"/>
  <c r="CR125" i="1"/>
  <c r="CQ125" i="1"/>
  <c r="CO125" i="1"/>
  <c r="EQ125" i="1"/>
  <c r="EP125" i="1"/>
  <c r="CN125" i="1"/>
  <c r="CM125" i="1"/>
  <c r="CL125" i="1"/>
  <c r="CP125" i="1"/>
  <c r="CK125" i="1"/>
  <c r="DW125" i="1"/>
  <c r="CJ125" i="1"/>
  <c r="DK124" i="1"/>
  <c r="DJ124" i="1"/>
  <c r="DI124" i="1"/>
  <c r="DP124" i="1"/>
  <c r="DN124" i="1"/>
  <c r="DR124" i="1"/>
  <c r="DT124" i="1"/>
  <c r="DH124" i="1"/>
  <c r="DG124" i="1"/>
  <c r="DF124" i="1"/>
  <c r="DE124" i="1"/>
  <c r="DD124" i="1"/>
  <c r="DC124" i="1"/>
  <c r="DB124" i="1"/>
  <c r="DA124" i="1"/>
  <c r="CZ124" i="1"/>
  <c r="CY124" i="1"/>
  <c r="CW124" i="1"/>
  <c r="CV124" i="1"/>
  <c r="CU124" i="1"/>
  <c r="CT124" i="1"/>
  <c r="CS124" i="1"/>
  <c r="DV124" i="1"/>
  <c r="CR124" i="1"/>
  <c r="CQ124" i="1"/>
  <c r="CO124" i="1"/>
  <c r="EQ124" i="1"/>
  <c r="EP124" i="1"/>
  <c r="CN124" i="1"/>
  <c r="CM124" i="1"/>
  <c r="CL124" i="1"/>
  <c r="CP124" i="1"/>
  <c r="CK124" i="1"/>
  <c r="DW124" i="1"/>
  <c r="CJ124" i="1"/>
  <c r="DK123" i="1"/>
  <c r="DJ123" i="1"/>
  <c r="DI123" i="1"/>
  <c r="DP123" i="1"/>
  <c r="DN123" i="1"/>
  <c r="DR123" i="1"/>
  <c r="DT123" i="1"/>
  <c r="DH123" i="1"/>
  <c r="DG123" i="1"/>
  <c r="DF123" i="1"/>
  <c r="DE123" i="1"/>
  <c r="DD123" i="1"/>
  <c r="DC123" i="1"/>
  <c r="DB123" i="1"/>
  <c r="DA123" i="1"/>
  <c r="CY123" i="1"/>
  <c r="CW123" i="1"/>
  <c r="CV123" i="1"/>
  <c r="CU123" i="1"/>
  <c r="CT123" i="1"/>
  <c r="CS123" i="1"/>
  <c r="DV123" i="1"/>
  <c r="CR123" i="1"/>
  <c r="CQ123" i="1"/>
  <c r="CO123" i="1"/>
  <c r="EQ123" i="1"/>
  <c r="EP123" i="1"/>
  <c r="CN123" i="1"/>
  <c r="CM123" i="1"/>
  <c r="CL123" i="1"/>
  <c r="CP123" i="1"/>
  <c r="CK123" i="1"/>
  <c r="DW123" i="1"/>
  <c r="CJ123" i="1"/>
  <c r="DK122" i="1"/>
  <c r="DJ122" i="1"/>
  <c r="DI122" i="1"/>
  <c r="DP122" i="1"/>
  <c r="DN122" i="1"/>
  <c r="DR122" i="1"/>
  <c r="DT122" i="1"/>
  <c r="DH122" i="1"/>
  <c r="DF122" i="1"/>
  <c r="DE122" i="1"/>
  <c r="DD122" i="1"/>
  <c r="DC122" i="1"/>
  <c r="DB122" i="1"/>
  <c r="CZ122" i="1"/>
  <c r="CY122" i="1"/>
  <c r="CW122" i="1"/>
  <c r="CV122" i="1"/>
  <c r="CU122" i="1"/>
  <c r="CT122" i="1"/>
  <c r="CS122" i="1"/>
  <c r="DV122" i="1"/>
  <c r="CR122" i="1"/>
  <c r="CQ122" i="1"/>
  <c r="CO122" i="1"/>
  <c r="EQ122" i="1"/>
  <c r="EP122" i="1"/>
  <c r="CN122" i="1"/>
  <c r="CM122" i="1"/>
  <c r="CL122" i="1"/>
  <c r="CP122" i="1"/>
  <c r="CK122" i="1"/>
  <c r="DW122" i="1"/>
  <c r="CJ122" i="1"/>
  <c r="DK121" i="1"/>
  <c r="DJ121" i="1"/>
  <c r="DI121" i="1"/>
  <c r="DP121" i="1"/>
  <c r="DN121" i="1"/>
  <c r="DR121" i="1"/>
  <c r="DT121" i="1"/>
  <c r="DH121" i="1"/>
  <c r="DG121" i="1"/>
  <c r="DF121" i="1"/>
  <c r="DD121" i="1"/>
  <c r="DB121" i="1"/>
  <c r="CZ121" i="1"/>
  <c r="CY121" i="1"/>
  <c r="CX121" i="1"/>
  <c r="CW121" i="1"/>
  <c r="CV121" i="1"/>
  <c r="CU121" i="1"/>
  <c r="CT121" i="1"/>
  <c r="CS121" i="1"/>
  <c r="DV121" i="1"/>
  <c r="CR121" i="1"/>
  <c r="CQ121" i="1"/>
  <c r="DU121" i="1"/>
  <c r="CO121" i="1"/>
  <c r="CN121" i="1"/>
  <c r="CM121" i="1"/>
  <c r="CL121" i="1"/>
  <c r="CP121" i="1"/>
  <c r="CK121" i="1"/>
  <c r="DW121" i="1"/>
  <c r="CJ121" i="1"/>
  <c r="DK120" i="1"/>
  <c r="DJ120" i="1"/>
  <c r="DI120" i="1"/>
  <c r="DQ120" i="1"/>
  <c r="DP120" i="1"/>
  <c r="DN120" i="1"/>
  <c r="DR120" i="1"/>
  <c r="DS120" i="1"/>
  <c r="DT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V120" i="1"/>
  <c r="CR120" i="1"/>
  <c r="CQ120" i="1"/>
  <c r="DU120" i="1"/>
  <c r="CO120" i="1"/>
  <c r="EP120" i="1"/>
  <c r="CN120" i="1"/>
  <c r="CM120" i="1"/>
  <c r="CL120" i="1"/>
  <c r="CP120" i="1"/>
  <c r="CK120" i="1"/>
  <c r="DW120" i="1"/>
  <c r="CJ120" i="1"/>
  <c r="DK119" i="1"/>
  <c r="DJ119" i="1"/>
  <c r="DI119" i="1"/>
  <c r="DP119" i="1"/>
  <c r="DN119" i="1"/>
  <c r="DR119" i="1"/>
  <c r="DT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V119" i="1"/>
  <c r="CR119" i="1"/>
  <c r="CQ119" i="1"/>
  <c r="DU119" i="1"/>
  <c r="CO119" i="1"/>
  <c r="CN119" i="1"/>
  <c r="CM119" i="1"/>
  <c r="CL119" i="1"/>
  <c r="CP119" i="1"/>
  <c r="CK119" i="1"/>
  <c r="DW119" i="1"/>
  <c r="CJ119" i="1"/>
  <c r="DK118" i="1"/>
  <c r="DJ118" i="1"/>
  <c r="DI118" i="1"/>
  <c r="DQ118" i="1"/>
  <c r="DP118" i="1"/>
  <c r="DN118" i="1"/>
  <c r="DR118" i="1"/>
  <c r="DS118" i="1"/>
  <c r="DT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V118" i="1"/>
  <c r="CR118" i="1"/>
  <c r="CQ118" i="1"/>
  <c r="DU118" i="1"/>
  <c r="CO118" i="1"/>
  <c r="EP118" i="1"/>
  <c r="CN118" i="1"/>
  <c r="CM118" i="1"/>
  <c r="CL118" i="1"/>
  <c r="CP118" i="1"/>
  <c r="CK118" i="1"/>
  <c r="DW118" i="1"/>
  <c r="CJ118" i="1"/>
  <c r="DK117" i="1"/>
  <c r="DJ117" i="1"/>
  <c r="DI117" i="1"/>
  <c r="DP117" i="1"/>
  <c r="DN117" i="1"/>
  <c r="DR117" i="1"/>
  <c r="DT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V117" i="1"/>
  <c r="CR117" i="1"/>
  <c r="CQ117" i="1"/>
  <c r="DU117" i="1"/>
  <c r="CO117" i="1"/>
  <c r="CN117" i="1"/>
  <c r="CM117" i="1"/>
  <c r="CL117" i="1"/>
  <c r="CP117" i="1"/>
  <c r="CK117" i="1"/>
  <c r="DW117" i="1"/>
  <c r="CJ117" i="1"/>
  <c r="DK116" i="1"/>
  <c r="DJ116" i="1"/>
  <c r="DI116" i="1"/>
  <c r="DQ116" i="1"/>
  <c r="DP116" i="1"/>
  <c r="DN116" i="1"/>
  <c r="DR116" i="1"/>
  <c r="DT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V116" i="1"/>
  <c r="CR116" i="1"/>
  <c r="CQ116" i="1"/>
  <c r="DU116" i="1"/>
  <c r="CO116" i="1"/>
  <c r="EP116" i="1"/>
  <c r="CN116" i="1"/>
  <c r="CM116" i="1"/>
  <c r="CL116" i="1"/>
  <c r="CP116" i="1"/>
  <c r="CK116" i="1"/>
  <c r="CJ116" i="1"/>
  <c r="DK115" i="1"/>
  <c r="DJ115" i="1"/>
  <c r="DI115" i="1"/>
  <c r="DP115" i="1"/>
  <c r="DN115" i="1"/>
  <c r="DR115" i="1"/>
  <c r="DT115" i="1"/>
  <c r="DH115" i="1"/>
  <c r="DG115" i="1"/>
  <c r="DF115" i="1"/>
  <c r="DE115" i="1"/>
  <c r="DD115" i="1"/>
  <c r="DC115" i="1"/>
  <c r="DB115" i="1"/>
  <c r="CZ115" i="1"/>
  <c r="CY115" i="1"/>
  <c r="CX115" i="1"/>
  <c r="CW115" i="1"/>
  <c r="CV115" i="1"/>
  <c r="CU115" i="1"/>
  <c r="CT115" i="1"/>
  <c r="CS115" i="1"/>
  <c r="DV115" i="1"/>
  <c r="CR115" i="1"/>
  <c r="CQ115" i="1"/>
  <c r="CO115" i="1"/>
  <c r="EQ115" i="1"/>
  <c r="EP115" i="1"/>
  <c r="CN115" i="1"/>
  <c r="CM115" i="1"/>
  <c r="CL115" i="1"/>
  <c r="CP115" i="1"/>
  <c r="CK115" i="1"/>
  <c r="DW115" i="1"/>
  <c r="CJ115" i="1"/>
  <c r="DK114" i="1"/>
  <c r="DJ114" i="1"/>
  <c r="DI114" i="1"/>
  <c r="DP114" i="1"/>
  <c r="DN114" i="1"/>
  <c r="DR114" i="1"/>
  <c r="DT114" i="1"/>
  <c r="DH114" i="1"/>
  <c r="DG114" i="1"/>
  <c r="DF114" i="1"/>
  <c r="DE114" i="1"/>
  <c r="DD114" i="1"/>
  <c r="DC114" i="1"/>
  <c r="DB114" i="1"/>
  <c r="DA114" i="1"/>
  <c r="CZ114" i="1"/>
  <c r="CX114" i="1"/>
  <c r="CW114" i="1"/>
  <c r="CV114" i="1"/>
  <c r="CU114" i="1"/>
  <c r="CT114" i="1"/>
  <c r="CS114" i="1"/>
  <c r="DV114" i="1"/>
  <c r="CR114" i="1"/>
  <c r="CQ114" i="1"/>
  <c r="CO114" i="1"/>
  <c r="EQ114" i="1"/>
  <c r="EP114" i="1"/>
  <c r="CN114" i="1"/>
  <c r="CM114" i="1"/>
  <c r="CL114" i="1"/>
  <c r="CP114" i="1"/>
  <c r="CK114" i="1"/>
  <c r="DW114" i="1"/>
  <c r="CJ114" i="1"/>
  <c r="DK113" i="1"/>
  <c r="DJ113" i="1"/>
  <c r="DI113" i="1"/>
  <c r="DP113" i="1"/>
  <c r="DN113" i="1"/>
  <c r="DR113" i="1"/>
  <c r="DT113" i="1"/>
  <c r="DH113" i="1"/>
  <c r="DG113" i="1"/>
  <c r="DF113" i="1"/>
  <c r="DE113" i="1"/>
  <c r="DD113" i="1"/>
  <c r="DC113" i="1"/>
  <c r="DA113" i="1"/>
  <c r="CZ113" i="1"/>
  <c r="CY113" i="1"/>
  <c r="CX113" i="1"/>
  <c r="CW113" i="1"/>
  <c r="CV113" i="1"/>
  <c r="CU113" i="1"/>
  <c r="CT113" i="1"/>
  <c r="CS113" i="1"/>
  <c r="DV113" i="1"/>
  <c r="CR113" i="1"/>
  <c r="CQ113" i="1"/>
  <c r="CO113" i="1"/>
  <c r="EQ113" i="1"/>
  <c r="EP113" i="1"/>
  <c r="CN113" i="1"/>
  <c r="CM113" i="1"/>
  <c r="CL113" i="1"/>
  <c r="CP113" i="1"/>
  <c r="CK113" i="1"/>
  <c r="DW113" i="1"/>
  <c r="DK112" i="1"/>
  <c r="DJ112" i="1"/>
  <c r="DI112" i="1"/>
  <c r="DP112" i="1"/>
  <c r="DN112" i="1"/>
  <c r="DR112" i="1"/>
  <c r="DT112" i="1"/>
  <c r="DH112" i="1"/>
  <c r="DG112" i="1"/>
  <c r="DF112" i="1"/>
  <c r="DE112" i="1"/>
  <c r="DD112" i="1"/>
  <c r="DC112" i="1"/>
  <c r="DB112" i="1"/>
  <c r="DA112" i="1"/>
  <c r="CZ112" i="1"/>
  <c r="CY112" i="1"/>
  <c r="CX112" i="1"/>
  <c r="CV112" i="1"/>
  <c r="CU112" i="1"/>
  <c r="CT112" i="1"/>
  <c r="CS112" i="1"/>
  <c r="DV112" i="1"/>
  <c r="CR112" i="1"/>
  <c r="CQ112" i="1"/>
  <c r="CO112" i="1"/>
  <c r="EQ112" i="1"/>
  <c r="EP112" i="1"/>
  <c r="CN112" i="1"/>
  <c r="CM112" i="1"/>
  <c r="CL112" i="1"/>
  <c r="CP112" i="1"/>
  <c r="CK112" i="1"/>
  <c r="DW112" i="1"/>
  <c r="CJ112" i="1"/>
  <c r="DK111" i="1"/>
  <c r="DJ111" i="1"/>
  <c r="DI111" i="1"/>
  <c r="DP111" i="1"/>
  <c r="DN111" i="1"/>
  <c r="DR111" i="1"/>
  <c r="DT111" i="1"/>
  <c r="DG111" i="1"/>
  <c r="DF111" i="1"/>
  <c r="DE111" i="1"/>
  <c r="DD111" i="1"/>
  <c r="DC111" i="1"/>
  <c r="DB111" i="1"/>
  <c r="DA111" i="1"/>
  <c r="CZ111" i="1"/>
  <c r="CY111" i="1"/>
  <c r="CW111" i="1"/>
  <c r="CV111" i="1"/>
  <c r="CU111" i="1"/>
  <c r="CT111" i="1"/>
  <c r="CS111" i="1"/>
  <c r="DV111" i="1"/>
  <c r="CR111" i="1"/>
  <c r="CQ111" i="1"/>
  <c r="CO111" i="1"/>
  <c r="EQ111" i="1"/>
  <c r="EP111" i="1"/>
  <c r="CN111" i="1"/>
  <c r="CM111" i="1"/>
  <c r="CL111" i="1"/>
  <c r="CP111" i="1"/>
  <c r="CK111" i="1"/>
  <c r="DW111" i="1"/>
  <c r="DK110" i="1"/>
  <c r="DJ110" i="1"/>
  <c r="DI110" i="1"/>
  <c r="DN110" i="1"/>
  <c r="DR110" i="1"/>
  <c r="DT110" i="1"/>
  <c r="DH110" i="1"/>
  <c r="DG110" i="1"/>
  <c r="DF110" i="1"/>
  <c r="DE110" i="1"/>
  <c r="DD110" i="1"/>
  <c r="DC110" i="1"/>
  <c r="DB110" i="1"/>
  <c r="CZ110" i="1"/>
  <c r="CY110" i="1"/>
  <c r="CX110" i="1"/>
  <c r="CW110" i="1"/>
  <c r="CV110" i="1"/>
  <c r="CU110" i="1"/>
  <c r="CT110" i="1"/>
  <c r="CS110" i="1"/>
  <c r="DV110" i="1"/>
  <c r="CR110" i="1"/>
  <c r="CQ110" i="1"/>
  <c r="CO110" i="1"/>
  <c r="EQ110" i="1"/>
  <c r="EP110" i="1"/>
  <c r="CN110" i="1"/>
  <c r="CM110" i="1"/>
  <c r="CL110" i="1"/>
  <c r="CP110" i="1"/>
  <c r="CK110" i="1"/>
  <c r="DW110" i="1"/>
  <c r="CJ110" i="1"/>
  <c r="DK109" i="1"/>
  <c r="DJ109" i="1"/>
  <c r="DI109" i="1"/>
  <c r="DP109" i="1"/>
  <c r="DN109" i="1"/>
  <c r="DR109" i="1"/>
  <c r="DT109" i="1"/>
  <c r="DH109" i="1"/>
  <c r="DG109" i="1"/>
  <c r="DF109" i="1"/>
  <c r="DE109" i="1"/>
  <c r="DD109" i="1"/>
  <c r="DC109" i="1"/>
  <c r="DB109" i="1"/>
  <c r="CZ109" i="1"/>
  <c r="CX109" i="1"/>
  <c r="CW109" i="1"/>
  <c r="CV109" i="1"/>
  <c r="CU109" i="1"/>
  <c r="CT109" i="1"/>
  <c r="CS109" i="1"/>
  <c r="DV109" i="1"/>
  <c r="CR109" i="1"/>
  <c r="CQ109" i="1"/>
  <c r="CO109" i="1"/>
  <c r="EQ109" i="1"/>
  <c r="EP109" i="1"/>
  <c r="CN109" i="1"/>
  <c r="CM109" i="1"/>
  <c r="CL109" i="1"/>
  <c r="CP109" i="1"/>
  <c r="CK109" i="1"/>
  <c r="DW109" i="1"/>
  <c r="CJ109" i="1"/>
  <c r="DK108" i="1"/>
  <c r="DJ108" i="1"/>
  <c r="DI108" i="1"/>
  <c r="DP108" i="1"/>
  <c r="DN108" i="1"/>
  <c r="DR108" i="1"/>
  <c r="DT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V108" i="1"/>
  <c r="CR108" i="1"/>
  <c r="CQ108" i="1"/>
  <c r="CO108" i="1"/>
  <c r="EQ108" i="1"/>
  <c r="EP108" i="1"/>
  <c r="CN108" i="1"/>
  <c r="CM108" i="1"/>
  <c r="CL108" i="1"/>
  <c r="CP108" i="1"/>
  <c r="DW108" i="1"/>
  <c r="DK107" i="1"/>
  <c r="DJ107" i="1"/>
  <c r="DI107" i="1"/>
  <c r="DP107" i="1"/>
  <c r="DN107" i="1"/>
  <c r="DR107" i="1"/>
  <c r="DT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V107" i="1"/>
  <c r="CR107" i="1"/>
  <c r="CQ107" i="1"/>
  <c r="CO107" i="1"/>
  <c r="EQ107" i="1"/>
  <c r="EP107" i="1"/>
  <c r="CN107" i="1"/>
  <c r="CM107" i="1"/>
  <c r="CL107" i="1"/>
  <c r="CP107" i="1"/>
  <c r="CK107" i="1"/>
  <c r="DW107" i="1"/>
  <c r="DK106" i="1"/>
  <c r="DJ106" i="1"/>
  <c r="DI106" i="1"/>
  <c r="DP106" i="1"/>
  <c r="DN106" i="1"/>
  <c r="DR106" i="1"/>
  <c r="DS106" i="1"/>
  <c r="DT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V106" i="1"/>
  <c r="CR106" i="1"/>
  <c r="CQ106" i="1"/>
  <c r="DU106" i="1"/>
  <c r="CO106" i="1"/>
  <c r="CN106" i="1"/>
  <c r="CM106" i="1"/>
  <c r="CL106" i="1"/>
  <c r="CP106" i="1"/>
  <c r="CK106" i="1"/>
  <c r="DW106" i="1"/>
  <c r="CJ106" i="1"/>
  <c r="DK105" i="1"/>
  <c r="DJ105" i="1"/>
  <c r="DI105" i="1"/>
  <c r="DP105" i="1"/>
  <c r="DN105" i="1"/>
  <c r="DR105" i="1"/>
  <c r="DT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V105" i="1"/>
  <c r="CR105" i="1"/>
  <c r="CQ105" i="1"/>
  <c r="DU105" i="1"/>
  <c r="CO105" i="1"/>
  <c r="CN105" i="1"/>
  <c r="CM105" i="1"/>
  <c r="CL105" i="1"/>
  <c r="CP105" i="1"/>
  <c r="CK105" i="1"/>
  <c r="DW105" i="1"/>
  <c r="CJ105" i="1"/>
  <c r="DK104" i="1"/>
  <c r="DJ104" i="1"/>
  <c r="DI104" i="1"/>
  <c r="DP104" i="1"/>
  <c r="DN104" i="1"/>
  <c r="DR104" i="1"/>
  <c r="DT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V104" i="1"/>
  <c r="CR104" i="1"/>
  <c r="CQ104" i="1"/>
  <c r="CO104" i="1"/>
  <c r="EQ104" i="1"/>
  <c r="EP104" i="1"/>
  <c r="CN104" i="1"/>
  <c r="CM104" i="1"/>
  <c r="CL104" i="1"/>
  <c r="CP104" i="1"/>
  <c r="CK104" i="1"/>
  <c r="DW104" i="1"/>
  <c r="DK103" i="1"/>
  <c r="DJ103" i="1"/>
  <c r="DI103" i="1"/>
  <c r="DQ103" i="1"/>
  <c r="DP103" i="1"/>
  <c r="DN103" i="1"/>
  <c r="DR103" i="1"/>
  <c r="DT103" i="1"/>
  <c r="DH103" i="1"/>
  <c r="DG103" i="1"/>
  <c r="DF103" i="1"/>
  <c r="DE103" i="1"/>
  <c r="DD103" i="1"/>
  <c r="DC103" i="1"/>
  <c r="CZ103" i="1"/>
  <c r="CY103" i="1"/>
  <c r="CX103" i="1"/>
  <c r="CW103" i="1"/>
  <c r="CV103" i="1"/>
  <c r="CT103" i="1"/>
  <c r="CS103" i="1"/>
  <c r="DV103" i="1"/>
  <c r="CQ103" i="1"/>
  <c r="DU103" i="1"/>
  <c r="CO103" i="1"/>
  <c r="CN103" i="1"/>
  <c r="CM103" i="1"/>
  <c r="CL103" i="1"/>
  <c r="CP103" i="1"/>
  <c r="CK103" i="1"/>
  <c r="DW103" i="1"/>
  <c r="DK102" i="1"/>
  <c r="DJ102" i="1"/>
  <c r="DI102" i="1"/>
  <c r="DP102" i="1"/>
  <c r="DN102" i="1"/>
  <c r="DR102" i="1"/>
  <c r="DT102" i="1"/>
  <c r="DH102" i="1"/>
  <c r="DG102" i="1"/>
  <c r="DF102" i="1"/>
  <c r="DE102" i="1"/>
  <c r="DD102" i="1"/>
  <c r="DB102" i="1"/>
  <c r="DA102" i="1"/>
  <c r="CZ102" i="1"/>
  <c r="CY102" i="1"/>
  <c r="CX102" i="1"/>
  <c r="CW102" i="1"/>
  <c r="CV102" i="1"/>
  <c r="CU102" i="1"/>
  <c r="CT102" i="1"/>
  <c r="CS102" i="1"/>
  <c r="DV102" i="1"/>
  <c r="CR102" i="1"/>
  <c r="CQ102" i="1"/>
  <c r="DU102" i="1"/>
  <c r="CO102" i="1"/>
  <c r="CN102" i="1"/>
  <c r="CM102" i="1"/>
  <c r="CL102" i="1"/>
  <c r="CP102" i="1"/>
  <c r="CK102" i="1"/>
  <c r="DW102" i="1"/>
  <c r="CJ102" i="1"/>
  <c r="DK101" i="1"/>
  <c r="DJ101" i="1"/>
  <c r="DI101" i="1"/>
  <c r="DP101" i="1"/>
  <c r="DN101" i="1"/>
  <c r="DR101" i="1"/>
  <c r="DT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V101" i="1"/>
  <c r="CR101" i="1"/>
  <c r="CQ101" i="1"/>
  <c r="DU101" i="1"/>
  <c r="CN101" i="1"/>
  <c r="CM101" i="1"/>
  <c r="CL101" i="1"/>
  <c r="CP101" i="1"/>
  <c r="CK101" i="1"/>
  <c r="DW101" i="1"/>
  <c r="CJ101" i="1"/>
  <c r="DK100" i="1"/>
  <c r="DJ100" i="1"/>
  <c r="DI100" i="1"/>
  <c r="DP100" i="1"/>
  <c r="DN100" i="1"/>
  <c r="DR100" i="1"/>
  <c r="DT100" i="1"/>
  <c r="DH100" i="1"/>
  <c r="DG100" i="1"/>
  <c r="DF100" i="1"/>
  <c r="DE100" i="1"/>
  <c r="DD100" i="1"/>
  <c r="DB100" i="1"/>
  <c r="CZ100" i="1"/>
  <c r="CY100" i="1"/>
  <c r="CX100" i="1"/>
  <c r="CW100" i="1"/>
  <c r="CV100" i="1"/>
  <c r="CU100" i="1"/>
  <c r="CT100" i="1"/>
  <c r="CS100" i="1"/>
  <c r="DV100" i="1"/>
  <c r="CR100" i="1"/>
  <c r="CQ100" i="1"/>
  <c r="DU100" i="1"/>
  <c r="CO100" i="1"/>
  <c r="EP100" i="1"/>
  <c r="CN100" i="1"/>
  <c r="CM100" i="1"/>
  <c r="CL100" i="1"/>
  <c r="CP100" i="1"/>
  <c r="DW100" i="1"/>
  <c r="CJ100" i="1"/>
  <c r="DK99" i="1"/>
  <c r="DJ99" i="1"/>
  <c r="DI99" i="1"/>
  <c r="DP99" i="1"/>
  <c r="DN99" i="1"/>
  <c r="DR99" i="1"/>
  <c r="DT99" i="1"/>
  <c r="DH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V99" i="1"/>
  <c r="CR99" i="1"/>
  <c r="CQ99" i="1"/>
  <c r="DU99" i="1"/>
  <c r="CO99" i="1"/>
  <c r="CN99" i="1"/>
  <c r="CM99" i="1"/>
  <c r="CL99" i="1"/>
  <c r="CP99" i="1"/>
  <c r="CK99" i="1"/>
  <c r="DW99" i="1"/>
  <c r="CJ99" i="1"/>
  <c r="DK98" i="1"/>
  <c r="DJ98" i="1"/>
  <c r="DI98" i="1"/>
  <c r="DP98" i="1"/>
  <c r="DN98" i="1"/>
  <c r="DR98" i="1"/>
  <c r="DS98" i="1"/>
  <c r="DT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V98" i="1"/>
  <c r="CR98" i="1"/>
  <c r="CQ98" i="1"/>
  <c r="DU98" i="1"/>
  <c r="CO98" i="1"/>
  <c r="CN98" i="1"/>
  <c r="CM98" i="1"/>
  <c r="CL98" i="1"/>
  <c r="CP98" i="1"/>
  <c r="DW98" i="1"/>
  <c r="CJ98" i="1"/>
  <c r="DK97" i="1"/>
  <c r="DJ97" i="1"/>
  <c r="DI97" i="1"/>
  <c r="DP97" i="1"/>
  <c r="DN97" i="1"/>
  <c r="DR97" i="1"/>
  <c r="DT97" i="1"/>
  <c r="DH97" i="1"/>
  <c r="DG97" i="1"/>
  <c r="DF97" i="1"/>
  <c r="DE97" i="1"/>
  <c r="DD97" i="1"/>
  <c r="DC97" i="1"/>
  <c r="DB97" i="1"/>
  <c r="DA97" i="1"/>
  <c r="CZ97" i="1"/>
  <c r="CX97" i="1"/>
  <c r="CW97" i="1"/>
  <c r="CV97" i="1"/>
  <c r="CU97" i="1"/>
  <c r="CT97" i="1"/>
  <c r="CS97" i="1"/>
  <c r="DV97" i="1"/>
  <c r="CR97" i="1"/>
  <c r="CQ97" i="1"/>
  <c r="DU97" i="1"/>
  <c r="CO97" i="1"/>
  <c r="CN97" i="1"/>
  <c r="CM97" i="1"/>
  <c r="CL97" i="1"/>
  <c r="CP97" i="1"/>
  <c r="CK97" i="1"/>
  <c r="DW97" i="1"/>
  <c r="CJ97" i="1"/>
  <c r="DK96" i="1"/>
  <c r="DJ96" i="1"/>
  <c r="DI96" i="1"/>
  <c r="DP96" i="1"/>
  <c r="DN96" i="1"/>
  <c r="DR96" i="1"/>
  <c r="DT96" i="1"/>
  <c r="DG96" i="1"/>
  <c r="DF96" i="1"/>
  <c r="DE96" i="1"/>
  <c r="DD96" i="1"/>
  <c r="DC96" i="1"/>
  <c r="DB96" i="1"/>
  <c r="DA96" i="1"/>
  <c r="CZ96" i="1"/>
  <c r="CY96" i="1"/>
  <c r="CW96" i="1"/>
  <c r="CV96" i="1"/>
  <c r="CU96" i="1"/>
  <c r="CT96" i="1"/>
  <c r="CS96" i="1"/>
  <c r="DV96" i="1"/>
  <c r="CR96" i="1"/>
  <c r="CQ96" i="1"/>
  <c r="CO96" i="1"/>
  <c r="EQ96" i="1"/>
  <c r="EP96" i="1"/>
  <c r="CN96" i="1"/>
  <c r="CM96" i="1"/>
  <c r="CL96" i="1"/>
  <c r="CP96" i="1"/>
  <c r="CK96" i="1"/>
  <c r="DW96" i="1"/>
  <c r="CJ96" i="1"/>
  <c r="DK95" i="1"/>
  <c r="DJ95" i="1"/>
  <c r="DI95" i="1"/>
  <c r="DP95" i="1"/>
  <c r="DN95" i="1"/>
  <c r="DR95" i="1"/>
  <c r="DT95" i="1"/>
  <c r="DH95" i="1"/>
  <c r="DG95" i="1"/>
  <c r="DF95" i="1"/>
  <c r="DE95" i="1"/>
  <c r="DD95" i="1"/>
  <c r="DB95" i="1"/>
  <c r="DA95" i="1"/>
  <c r="CZ95" i="1"/>
  <c r="CY95" i="1"/>
  <c r="CW95" i="1"/>
  <c r="CV95" i="1"/>
  <c r="CU95" i="1"/>
  <c r="CT95" i="1"/>
  <c r="CS95" i="1"/>
  <c r="DV95" i="1"/>
  <c r="CR95" i="1"/>
  <c r="CQ95" i="1"/>
  <c r="CO95" i="1"/>
  <c r="EQ95" i="1"/>
  <c r="EP95" i="1"/>
  <c r="CN95" i="1"/>
  <c r="CM95" i="1"/>
  <c r="CL95" i="1"/>
  <c r="CP95" i="1"/>
  <c r="CK95" i="1"/>
  <c r="DW95" i="1"/>
  <c r="DK94" i="1"/>
  <c r="DJ94" i="1"/>
  <c r="DI94" i="1"/>
  <c r="DP94" i="1"/>
  <c r="DN94" i="1"/>
  <c r="DR94" i="1"/>
  <c r="DT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V94" i="1"/>
  <c r="CR94" i="1"/>
  <c r="CQ94" i="1"/>
  <c r="CO94" i="1"/>
  <c r="EQ94" i="1"/>
  <c r="EP94" i="1"/>
  <c r="CN94" i="1"/>
  <c r="CM94" i="1"/>
  <c r="CL94" i="1"/>
  <c r="CP94" i="1"/>
  <c r="CK94" i="1"/>
  <c r="DW94" i="1"/>
  <c r="CJ94" i="1"/>
  <c r="DK93" i="1"/>
  <c r="DJ93" i="1"/>
  <c r="DI93" i="1"/>
  <c r="DP93" i="1"/>
  <c r="DN93" i="1"/>
  <c r="DR93" i="1"/>
  <c r="DT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V93" i="1"/>
  <c r="CR93" i="1"/>
  <c r="CQ93" i="1"/>
  <c r="CO93" i="1"/>
  <c r="EQ93" i="1"/>
  <c r="EP93" i="1"/>
  <c r="CN93" i="1"/>
  <c r="CM93" i="1"/>
  <c r="CL93" i="1"/>
  <c r="CP93" i="1"/>
  <c r="CK93" i="1"/>
  <c r="DW93" i="1"/>
  <c r="DK92" i="1"/>
  <c r="DI92" i="1"/>
  <c r="DP92" i="1"/>
  <c r="DN92" i="1"/>
  <c r="DR92" i="1"/>
  <c r="DT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U92" i="1"/>
  <c r="CT92" i="1"/>
  <c r="CS92" i="1"/>
  <c r="DV92" i="1"/>
  <c r="CR92" i="1"/>
  <c r="CQ92" i="1"/>
  <c r="DU92" i="1"/>
  <c r="CO92" i="1"/>
  <c r="CN92" i="1"/>
  <c r="CM92" i="1"/>
  <c r="CL92" i="1"/>
  <c r="CP92" i="1"/>
  <c r="CK92" i="1"/>
  <c r="DW92" i="1"/>
  <c r="CJ92" i="1"/>
  <c r="DK91" i="1"/>
  <c r="DJ91" i="1"/>
  <c r="DI91" i="1"/>
  <c r="DQ91" i="1"/>
  <c r="DP91" i="1"/>
  <c r="DN91" i="1"/>
  <c r="DR91" i="1"/>
  <c r="DS91" i="1"/>
  <c r="DT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V91" i="1"/>
  <c r="CR91" i="1"/>
  <c r="CQ91" i="1"/>
  <c r="DU91" i="1"/>
  <c r="CO91" i="1"/>
  <c r="EP91" i="1"/>
  <c r="CN91" i="1"/>
  <c r="CM91" i="1"/>
  <c r="CL91" i="1"/>
  <c r="CP91" i="1"/>
  <c r="CK91" i="1"/>
  <c r="DW91" i="1"/>
  <c r="CJ91" i="1"/>
  <c r="DK90" i="1"/>
  <c r="DJ90" i="1"/>
  <c r="DI90" i="1"/>
  <c r="DP90" i="1"/>
  <c r="DN90" i="1"/>
  <c r="DR90" i="1"/>
  <c r="DT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V90" i="1"/>
  <c r="CR90" i="1"/>
  <c r="CQ90" i="1"/>
  <c r="DU90" i="1"/>
  <c r="CO90" i="1"/>
  <c r="CN90" i="1"/>
  <c r="CM90" i="1"/>
  <c r="CL90" i="1"/>
  <c r="CP90" i="1"/>
  <c r="CK90" i="1"/>
  <c r="DW90" i="1"/>
  <c r="CJ90" i="1"/>
  <c r="DK89" i="1"/>
  <c r="DJ89" i="1"/>
  <c r="DI89" i="1"/>
  <c r="DP89" i="1"/>
  <c r="DN89" i="1"/>
  <c r="DR89" i="1"/>
  <c r="DT89" i="1"/>
  <c r="DH89" i="1"/>
  <c r="DG89" i="1"/>
  <c r="DF89" i="1"/>
  <c r="DE89" i="1"/>
  <c r="DD89" i="1"/>
  <c r="DC89" i="1"/>
  <c r="DB89" i="1"/>
  <c r="CZ89" i="1"/>
  <c r="CY89" i="1"/>
  <c r="CW89" i="1"/>
  <c r="CV89" i="1"/>
  <c r="CU89" i="1"/>
  <c r="CT89" i="1"/>
  <c r="CS89" i="1"/>
  <c r="DV89" i="1"/>
  <c r="CR89" i="1"/>
  <c r="CQ89" i="1"/>
  <c r="CO89" i="1"/>
  <c r="EQ89" i="1"/>
  <c r="EP89" i="1"/>
  <c r="CN89" i="1"/>
  <c r="CM89" i="1"/>
  <c r="CL89" i="1"/>
  <c r="CP89" i="1"/>
  <c r="CK89" i="1"/>
  <c r="DW89" i="1"/>
  <c r="DK88" i="1"/>
  <c r="DJ88" i="1"/>
  <c r="DI88" i="1"/>
  <c r="DP88" i="1"/>
  <c r="DN88" i="1"/>
  <c r="DR88" i="1"/>
  <c r="DT88" i="1"/>
  <c r="DH88" i="1"/>
  <c r="DG88" i="1"/>
  <c r="DF88" i="1"/>
  <c r="DE88" i="1"/>
  <c r="DD88" i="1"/>
  <c r="DA88" i="1"/>
  <c r="CZ88" i="1"/>
  <c r="CY88" i="1"/>
  <c r="CW88" i="1"/>
  <c r="CV88" i="1"/>
  <c r="CU88" i="1"/>
  <c r="CT88" i="1"/>
  <c r="CS88" i="1"/>
  <c r="DV88" i="1"/>
  <c r="CR88" i="1"/>
  <c r="CQ88" i="1"/>
  <c r="CO88" i="1"/>
  <c r="EQ88" i="1"/>
  <c r="EP88" i="1"/>
  <c r="CN88" i="1"/>
  <c r="CM88" i="1"/>
  <c r="CL88" i="1"/>
  <c r="CP88" i="1"/>
  <c r="CK88" i="1"/>
  <c r="DW88" i="1"/>
  <c r="CJ88" i="1"/>
  <c r="DK87" i="1"/>
  <c r="DJ87" i="1"/>
  <c r="DI87" i="1"/>
  <c r="DP87" i="1"/>
  <c r="DN87" i="1"/>
  <c r="DR87" i="1"/>
  <c r="DT87" i="1"/>
  <c r="DH87" i="1"/>
  <c r="DG87" i="1"/>
  <c r="DF87" i="1"/>
  <c r="DE87" i="1"/>
  <c r="DD87" i="1"/>
  <c r="DC87" i="1"/>
  <c r="DB87" i="1"/>
  <c r="CZ87" i="1"/>
  <c r="CY87" i="1"/>
  <c r="CW87" i="1"/>
  <c r="CV87" i="1"/>
  <c r="CU87" i="1"/>
  <c r="CT87" i="1"/>
  <c r="CS87" i="1"/>
  <c r="DV87" i="1"/>
  <c r="CR87" i="1"/>
  <c r="CQ87" i="1"/>
  <c r="CO87" i="1"/>
  <c r="EQ87" i="1"/>
  <c r="EP87" i="1"/>
  <c r="CN87" i="1"/>
  <c r="CM87" i="1"/>
  <c r="CL87" i="1"/>
  <c r="CP87" i="1"/>
  <c r="CK87" i="1"/>
  <c r="DW87" i="1"/>
  <c r="DK86" i="1"/>
  <c r="DJ86" i="1"/>
  <c r="DI86" i="1"/>
  <c r="DQ86" i="1"/>
  <c r="DP86" i="1"/>
  <c r="DN86" i="1"/>
  <c r="DR86" i="1"/>
  <c r="DT86" i="1"/>
  <c r="DH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V86" i="1"/>
  <c r="CQ86" i="1"/>
  <c r="DU86" i="1"/>
  <c r="CO86" i="1"/>
  <c r="CM86" i="1"/>
  <c r="CL86" i="1"/>
  <c r="CP86" i="1"/>
  <c r="DW86" i="1"/>
  <c r="CJ86" i="1"/>
  <c r="DK85" i="1"/>
  <c r="DJ85" i="1"/>
  <c r="DP85" i="1"/>
  <c r="DN85" i="1"/>
  <c r="DR85" i="1"/>
  <c r="DT85" i="1"/>
  <c r="DH85" i="1"/>
  <c r="DG85" i="1"/>
  <c r="DF85" i="1"/>
  <c r="DE85" i="1"/>
  <c r="DD85" i="1"/>
  <c r="DB85" i="1"/>
  <c r="CZ85" i="1"/>
  <c r="CY85" i="1"/>
  <c r="CX85" i="1"/>
  <c r="CW85" i="1"/>
  <c r="CV85" i="1"/>
  <c r="CU85" i="1"/>
  <c r="CT85" i="1"/>
  <c r="CS85" i="1"/>
  <c r="DV85" i="1"/>
  <c r="CR85" i="1"/>
  <c r="CQ85" i="1"/>
  <c r="DU85" i="1"/>
  <c r="CO85" i="1"/>
  <c r="CN85" i="1"/>
  <c r="CM85" i="1"/>
  <c r="CL85" i="1"/>
  <c r="CP85" i="1"/>
  <c r="DW85" i="1"/>
  <c r="CJ85" i="1"/>
  <c r="DK84" i="1"/>
  <c r="DJ84" i="1"/>
  <c r="DI84" i="1"/>
  <c r="DP84" i="1"/>
  <c r="DN84" i="1"/>
  <c r="DR84" i="1"/>
  <c r="DT84" i="1"/>
  <c r="DH84" i="1"/>
  <c r="DG84" i="1"/>
  <c r="DF84" i="1"/>
  <c r="DE84" i="1"/>
  <c r="DD84" i="1"/>
  <c r="DC84" i="1"/>
  <c r="DB84" i="1"/>
  <c r="CZ84" i="1"/>
  <c r="CX84" i="1"/>
  <c r="CW84" i="1"/>
  <c r="CV84" i="1"/>
  <c r="CU84" i="1"/>
  <c r="CT84" i="1"/>
  <c r="CS84" i="1"/>
  <c r="DV84" i="1"/>
  <c r="CR84" i="1"/>
  <c r="CQ84" i="1"/>
  <c r="CO84" i="1"/>
  <c r="EQ84" i="1"/>
  <c r="EP84" i="1"/>
  <c r="CN84" i="1"/>
  <c r="CM84" i="1"/>
  <c r="CL84" i="1"/>
  <c r="CP84" i="1"/>
  <c r="CK84" i="1"/>
  <c r="DW84" i="1"/>
  <c r="CJ84" i="1"/>
  <c r="DK83" i="1"/>
  <c r="DJ83" i="1"/>
  <c r="DI83" i="1"/>
  <c r="DP83" i="1"/>
  <c r="DN83" i="1"/>
  <c r="DR83" i="1"/>
  <c r="DT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V83" i="1"/>
  <c r="CR83" i="1"/>
  <c r="CQ83" i="1"/>
  <c r="CO83" i="1"/>
  <c r="EQ83" i="1"/>
  <c r="EP83" i="1"/>
  <c r="CN83" i="1"/>
  <c r="CM83" i="1"/>
  <c r="CL83" i="1"/>
  <c r="CP83" i="1"/>
  <c r="CK83" i="1"/>
  <c r="DW83" i="1"/>
  <c r="CJ83" i="1"/>
  <c r="DK82" i="1"/>
  <c r="DJ82" i="1"/>
  <c r="DI82" i="1"/>
  <c r="DQ82" i="1"/>
  <c r="DP82" i="1"/>
  <c r="DN82" i="1"/>
  <c r="DR82" i="1"/>
  <c r="DT82" i="1"/>
  <c r="DH82" i="1"/>
  <c r="DG82" i="1"/>
  <c r="DF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V82" i="1"/>
  <c r="CR82" i="1"/>
  <c r="CQ82" i="1"/>
  <c r="DU82" i="1"/>
  <c r="CO82" i="1"/>
  <c r="CN82" i="1"/>
  <c r="CM82" i="1"/>
  <c r="CL82" i="1"/>
  <c r="CP82" i="1"/>
  <c r="CK82" i="1"/>
  <c r="DW82" i="1"/>
  <c r="DK81" i="1"/>
  <c r="DJ81" i="1"/>
  <c r="DI81" i="1"/>
  <c r="DQ81" i="1"/>
  <c r="DP81" i="1"/>
  <c r="DN81" i="1"/>
  <c r="DR81" i="1"/>
  <c r="DT81" i="1"/>
  <c r="DH81" i="1"/>
  <c r="DG81" i="1"/>
  <c r="DF81" i="1"/>
  <c r="DE81" i="1"/>
  <c r="DD81" i="1"/>
  <c r="DC81" i="1"/>
  <c r="DB81" i="1"/>
  <c r="DA81" i="1"/>
  <c r="CZ81" i="1"/>
  <c r="CY81" i="1"/>
  <c r="CW81" i="1"/>
  <c r="CV81" i="1"/>
  <c r="CU81" i="1"/>
  <c r="CT81" i="1"/>
  <c r="CS81" i="1"/>
  <c r="DV81" i="1"/>
  <c r="CR81" i="1"/>
  <c r="CQ81" i="1"/>
  <c r="CO81" i="1"/>
  <c r="EQ81" i="1"/>
  <c r="EP81" i="1"/>
  <c r="CN81" i="1"/>
  <c r="CM81" i="1"/>
  <c r="CL81" i="1"/>
  <c r="CP81" i="1"/>
  <c r="CK81" i="1"/>
  <c r="DW81" i="1"/>
  <c r="CJ81" i="1"/>
  <c r="DK80" i="1"/>
  <c r="DJ80" i="1"/>
  <c r="DI80" i="1"/>
  <c r="DQ80" i="1"/>
  <c r="DP80" i="1"/>
  <c r="DN80" i="1"/>
  <c r="DR80" i="1"/>
  <c r="DS80" i="1"/>
  <c r="DT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V80" i="1"/>
  <c r="CR80" i="1"/>
  <c r="CQ80" i="1"/>
  <c r="DU80" i="1"/>
  <c r="CO80" i="1"/>
  <c r="EP80" i="1"/>
  <c r="CN80" i="1"/>
  <c r="CM80" i="1"/>
  <c r="CL80" i="1"/>
  <c r="CP80" i="1"/>
  <c r="CK80" i="1"/>
  <c r="DW80" i="1"/>
  <c r="CJ80" i="1"/>
  <c r="DK79" i="1"/>
  <c r="DJ79" i="1"/>
  <c r="DI79" i="1"/>
  <c r="DP79" i="1"/>
  <c r="DN79" i="1"/>
  <c r="DR79" i="1"/>
  <c r="DT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V79" i="1"/>
  <c r="CR79" i="1"/>
  <c r="CQ79" i="1"/>
  <c r="DU79" i="1"/>
  <c r="CO79" i="1"/>
  <c r="CN79" i="1"/>
  <c r="CM79" i="1"/>
  <c r="CL79" i="1"/>
  <c r="CP79" i="1"/>
  <c r="CK79" i="1"/>
  <c r="DW79" i="1"/>
  <c r="CJ79" i="1"/>
  <c r="DK78" i="1"/>
  <c r="DJ78" i="1"/>
  <c r="DI78" i="1"/>
  <c r="DP78" i="1"/>
  <c r="DN78" i="1"/>
  <c r="DR78" i="1"/>
  <c r="DT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V78" i="1"/>
  <c r="CR78" i="1"/>
  <c r="CQ78" i="1"/>
  <c r="DU78" i="1"/>
  <c r="CO78" i="1"/>
  <c r="CN78" i="1"/>
  <c r="CM78" i="1"/>
  <c r="CL78" i="1"/>
  <c r="CP78" i="1"/>
  <c r="CK78" i="1"/>
  <c r="DW78" i="1"/>
  <c r="CJ78" i="1"/>
  <c r="DK77" i="1"/>
  <c r="DJ77" i="1"/>
  <c r="DI77" i="1"/>
  <c r="DP77" i="1"/>
  <c r="DN77" i="1"/>
  <c r="DR77" i="1"/>
  <c r="DT77" i="1"/>
  <c r="DH77" i="1"/>
  <c r="DG77" i="1"/>
  <c r="DF77" i="1"/>
  <c r="DE77" i="1"/>
  <c r="DD77" i="1"/>
  <c r="DB77" i="1"/>
  <c r="CZ77" i="1"/>
  <c r="CY77" i="1"/>
  <c r="CX77" i="1"/>
  <c r="CW77" i="1"/>
  <c r="CV77" i="1"/>
  <c r="CU77" i="1"/>
  <c r="CT77" i="1"/>
  <c r="CS77" i="1"/>
  <c r="DV77" i="1"/>
  <c r="CR77" i="1"/>
  <c r="CQ77" i="1"/>
  <c r="DU77" i="1"/>
  <c r="CO77" i="1"/>
  <c r="CN77" i="1"/>
  <c r="CM77" i="1"/>
  <c r="CL77" i="1"/>
  <c r="CP77" i="1"/>
  <c r="CK77" i="1"/>
  <c r="DW77" i="1"/>
  <c r="CJ77" i="1"/>
  <c r="DK76" i="1"/>
  <c r="DJ76" i="1"/>
  <c r="DI76" i="1"/>
  <c r="DP76" i="1"/>
  <c r="DN76" i="1"/>
  <c r="DR76" i="1"/>
  <c r="DT76" i="1"/>
  <c r="DH76" i="1"/>
  <c r="DG76" i="1"/>
  <c r="DF76" i="1"/>
  <c r="DE76" i="1"/>
  <c r="DD76" i="1"/>
  <c r="DC76" i="1"/>
  <c r="DB76" i="1"/>
  <c r="CZ76" i="1"/>
  <c r="CY76" i="1"/>
  <c r="CX76" i="1"/>
  <c r="CW76" i="1"/>
  <c r="CV76" i="1"/>
  <c r="CU76" i="1"/>
  <c r="CT76" i="1"/>
  <c r="CS76" i="1"/>
  <c r="DV76" i="1"/>
  <c r="CQ76" i="1"/>
  <c r="DU76" i="1"/>
  <c r="CO76" i="1"/>
  <c r="CN76" i="1"/>
  <c r="CM76" i="1"/>
  <c r="CL76" i="1"/>
  <c r="CP76" i="1"/>
  <c r="CK76" i="1"/>
  <c r="DW76" i="1"/>
  <c r="CJ76" i="1"/>
  <c r="DK75" i="1"/>
  <c r="DJ75" i="1"/>
  <c r="DI75" i="1"/>
  <c r="DQ75" i="1"/>
  <c r="DP75" i="1"/>
  <c r="DN75" i="1"/>
  <c r="DR75" i="1"/>
  <c r="DS75" i="1"/>
  <c r="DT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V75" i="1"/>
  <c r="CR75" i="1"/>
  <c r="CQ75" i="1"/>
  <c r="DU75" i="1"/>
  <c r="CO75" i="1"/>
  <c r="EP75" i="1"/>
  <c r="CN75" i="1"/>
  <c r="CM75" i="1"/>
  <c r="CL75" i="1"/>
  <c r="CP75" i="1"/>
  <c r="CK75" i="1"/>
  <c r="DW75" i="1"/>
  <c r="CJ75" i="1"/>
  <c r="DK74" i="1"/>
  <c r="DJ74" i="1"/>
  <c r="DI74" i="1"/>
  <c r="DP74" i="1"/>
  <c r="DN74" i="1"/>
  <c r="DR74" i="1"/>
  <c r="DT74" i="1"/>
  <c r="DH74" i="1"/>
  <c r="DG74" i="1"/>
  <c r="DF74" i="1"/>
  <c r="DE74" i="1"/>
  <c r="DD74" i="1"/>
  <c r="DB74" i="1"/>
  <c r="DA74" i="1"/>
  <c r="CZ74" i="1"/>
  <c r="CY74" i="1"/>
  <c r="CX74" i="1"/>
  <c r="CW74" i="1"/>
  <c r="CV74" i="1"/>
  <c r="CU74" i="1"/>
  <c r="CT74" i="1"/>
  <c r="CS74" i="1"/>
  <c r="DV74" i="1"/>
  <c r="CR74" i="1"/>
  <c r="CQ74" i="1"/>
  <c r="DU74" i="1"/>
  <c r="CO74" i="1"/>
  <c r="CN74" i="1"/>
  <c r="CM74" i="1"/>
  <c r="CP74" i="1"/>
  <c r="CK74" i="1"/>
  <c r="DW74" i="1"/>
  <c r="CJ74" i="1"/>
  <c r="DK73" i="1"/>
  <c r="DJ73" i="1"/>
  <c r="DI73" i="1"/>
  <c r="DQ73" i="1"/>
  <c r="DP73" i="1"/>
  <c r="DN73" i="1"/>
  <c r="DR73" i="1"/>
  <c r="DT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S73" i="1"/>
  <c r="DV73" i="1"/>
  <c r="CR73" i="1"/>
  <c r="CQ73" i="1"/>
  <c r="DU73" i="1"/>
  <c r="CO73" i="1"/>
  <c r="CN73" i="1"/>
  <c r="CM73" i="1"/>
  <c r="CL73" i="1"/>
  <c r="CP73" i="1"/>
  <c r="CK73" i="1"/>
  <c r="DW73" i="1"/>
  <c r="CJ73" i="1"/>
  <c r="DK72" i="1"/>
  <c r="DJ72" i="1"/>
  <c r="DI72" i="1"/>
  <c r="DQ72" i="1"/>
  <c r="DP72" i="1"/>
  <c r="DN72" i="1"/>
  <c r="DR72" i="1"/>
  <c r="DS72" i="1"/>
  <c r="DT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V72" i="1"/>
  <c r="CR72" i="1"/>
  <c r="CQ72" i="1"/>
  <c r="DU72" i="1"/>
  <c r="CO72" i="1"/>
  <c r="EP72" i="1"/>
  <c r="CN72" i="1"/>
  <c r="CM72" i="1"/>
  <c r="CL72" i="1"/>
  <c r="CP72" i="1"/>
  <c r="CK72" i="1"/>
  <c r="DW72" i="1"/>
  <c r="CJ72" i="1"/>
  <c r="DK71" i="1"/>
  <c r="DJ71" i="1"/>
  <c r="DI71" i="1"/>
  <c r="DP71" i="1"/>
  <c r="DN71" i="1"/>
  <c r="DR71" i="1"/>
  <c r="DT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V71" i="1"/>
  <c r="CR71" i="1"/>
  <c r="CQ71" i="1"/>
  <c r="DU71" i="1"/>
  <c r="CO71" i="1"/>
  <c r="CN71" i="1"/>
  <c r="CM71" i="1"/>
  <c r="CL71" i="1"/>
  <c r="CP71" i="1"/>
  <c r="CK71" i="1"/>
  <c r="DW71" i="1"/>
  <c r="CJ71" i="1"/>
  <c r="DK70" i="1"/>
  <c r="DJ70" i="1"/>
  <c r="DI70" i="1"/>
  <c r="DP70" i="1"/>
  <c r="DN70" i="1"/>
  <c r="DR70" i="1"/>
  <c r="DT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V70" i="1"/>
  <c r="CR70" i="1"/>
  <c r="CQ70" i="1"/>
  <c r="DU70" i="1"/>
  <c r="CO70" i="1"/>
  <c r="CN70" i="1"/>
  <c r="CL70" i="1"/>
  <c r="CP70" i="1"/>
  <c r="CK70" i="1"/>
  <c r="DW70" i="1"/>
  <c r="CJ70" i="1"/>
  <c r="DK69" i="1"/>
  <c r="DJ69" i="1"/>
  <c r="DI69" i="1"/>
  <c r="DQ69" i="1"/>
  <c r="DP69" i="1"/>
  <c r="DN69" i="1"/>
  <c r="DR69" i="1"/>
  <c r="DS69" i="1"/>
  <c r="DT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V69" i="1"/>
  <c r="CR69" i="1"/>
  <c r="CQ69" i="1"/>
  <c r="DU69" i="1"/>
  <c r="CO69" i="1"/>
  <c r="CN69" i="1"/>
  <c r="CM69" i="1"/>
  <c r="CL69" i="1"/>
  <c r="CP69" i="1"/>
  <c r="CK69" i="1"/>
  <c r="DW69" i="1"/>
  <c r="CJ69" i="1"/>
  <c r="DK68" i="1"/>
  <c r="DJ68" i="1"/>
  <c r="DI68" i="1"/>
  <c r="DP68" i="1"/>
  <c r="DN68" i="1"/>
  <c r="DR68" i="1"/>
  <c r="DT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V68" i="1"/>
  <c r="CR68" i="1"/>
  <c r="CQ68" i="1"/>
  <c r="DU68" i="1"/>
  <c r="CO68" i="1"/>
  <c r="CN68" i="1"/>
  <c r="CM68" i="1"/>
  <c r="CL68" i="1"/>
  <c r="CP68" i="1"/>
  <c r="CK68" i="1"/>
  <c r="DW68" i="1"/>
  <c r="CJ68" i="1"/>
  <c r="DK67" i="1"/>
  <c r="DJ67" i="1"/>
  <c r="DI67" i="1"/>
  <c r="DQ67" i="1"/>
  <c r="DP67" i="1"/>
  <c r="DN67" i="1"/>
  <c r="DR67" i="1"/>
  <c r="DS67" i="1"/>
  <c r="DT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V67" i="1"/>
  <c r="CR67" i="1"/>
  <c r="CQ67" i="1"/>
  <c r="DU67" i="1"/>
  <c r="CO67" i="1"/>
  <c r="EP67" i="1"/>
  <c r="CN67" i="1"/>
  <c r="CM67" i="1"/>
  <c r="CL67" i="1"/>
  <c r="CP67" i="1"/>
  <c r="CK67" i="1"/>
  <c r="DW67" i="1"/>
  <c r="CJ67" i="1"/>
  <c r="DK66" i="1"/>
  <c r="DJ66" i="1"/>
  <c r="DI66" i="1"/>
  <c r="DP66" i="1"/>
  <c r="DN66" i="1"/>
  <c r="DR66" i="1"/>
  <c r="DT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V66" i="1"/>
  <c r="CR66" i="1"/>
  <c r="CQ66" i="1"/>
  <c r="DU66" i="1"/>
  <c r="CN66" i="1"/>
  <c r="CM66" i="1"/>
  <c r="CL66" i="1"/>
  <c r="CP66" i="1"/>
  <c r="CK66" i="1"/>
  <c r="DW66" i="1"/>
  <c r="CJ66" i="1"/>
  <c r="DK65" i="1"/>
  <c r="DJ65" i="1"/>
  <c r="DQ65" i="1"/>
  <c r="DP65" i="1"/>
  <c r="DN65" i="1"/>
  <c r="DR65" i="1"/>
  <c r="DT65" i="1"/>
  <c r="DH65" i="1"/>
  <c r="DG65" i="1"/>
  <c r="DF65" i="1"/>
  <c r="DE65" i="1"/>
  <c r="DD65" i="1"/>
  <c r="DB65" i="1"/>
  <c r="DA65" i="1"/>
  <c r="CZ65" i="1"/>
  <c r="CY65" i="1"/>
  <c r="CX65" i="1"/>
  <c r="CW65" i="1"/>
  <c r="CV65" i="1"/>
  <c r="CU65" i="1"/>
  <c r="CT65" i="1"/>
  <c r="CS65" i="1"/>
  <c r="DV65" i="1"/>
  <c r="CR65" i="1"/>
  <c r="CQ65" i="1"/>
  <c r="DU65" i="1"/>
  <c r="CO65" i="1"/>
  <c r="CN65" i="1"/>
  <c r="CM65" i="1"/>
  <c r="CL65" i="1"/>
  <c r="CP65" i="1"/>
  <c r="CK65" i="1"/>
  <c r="DW65" i="1"/>
  <c r="CJ65" i="1"/>
  <c r="DK64" i="1"/>
  <c r="DJ64" i="1"/>
  <c r="DI64" i="1"/>
  <c r="DQ64" i="1"/>
  <c r="DP64" i="1"/>
  <c r="DN64" i="1"/>
  <c r="DR64" i="1"/>
  <c r="DS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V64" i="1"/>
  <c r="CR64" i="1"/>
  <c r="CQ64" i="1"/>
  <c r="DU64" i="1"/>
  <c r="CO64" i="1"/>
  <c r="CN64" i="1"/>
  <c r="CM64" i="1"/>
  <c r="CL64" i="1"/>
  <c r="CP64" i="1"/>
  <c r="CK64" i="1"/>
  <c r="DW64" i="1"/>
  <c r="DK63" i="1"/>
  <c r="DJ63" i="1"/>
  <c r="DI63" i="1"/>
  <c r="DQ63" i="1"/>
  <c r="DP63" i="1"/>
  <c r="DN63" i="1"/>
  <c r="DR63" i="1"/>
  <c r="DS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V63" i="1"/>
  <c r="CR63" i="1"/>
  <c r="CQ63" i="1"/>
  <c r="DU63" i="1"/>
  <c r="CO63" i="1"/>
  <c r="EP63" i="1"/>
  <c r="CN63" i="1"/>
  <c r="CM63" i="1"/>
  <c r="CL63" i="1"/>
  <c r="CP63" i="1"/>
  <c r="DW63" i="1"/>
  <c r="CJ63" i="1"/>
  <c r="DK62" i="1"/>
  <c r="DJ62" i="1"/>
  <c r="DI62" i="1"/>
  <c r="DQ62" i="1"/>
  <c r="DP62" i="1"/>
  <c r="DN62" i="1"/>
  <c r="DR62" i="1"/>
  <c r="DS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V62" i="1"/>
  <c r="CR62" i="1"/>
  <c r="CQ62" i="1"/>
  <c r="DU62" i="1"/>
  <c r="CO62" i="1"/>
  <c r="CN62" i="1"/>
  <c r="CM62" i="1"/>
  <c r="CL62" i="1"/>
  <c r="CP62" i="1"/>
  <c r="DW62" i="1"/>
  <c r="CJ62" i="1"/>
  <c r="DK61" i="1"/>
  <c r="DJ61" i="1"/>
  <c r="DI61" i="1"/>
  <c r="DP61" i="1"/>
  <c r="DN61" i="1"/>
  <c r="DR61" i="1"/>
  <c r="DS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T61" i="1"/>
  <c r="CS61" i="1"/>
  <c r="DV61" i="1"/>
  <c r="CR61" i="1"/>
  <c r="CQ61" i="1"/>
  <c r="DU61" i="1"/>
  <c r="CO61" i="1"/>
  <c r="CN61" i="1"/>
  <c r="CM61" i="1"/>
  <c r="CL61" i="1"/>
  <c r="CP61" i="1"/>
  <c r="CK61" i="1"/>
  <c r="DW61" i="1"/>
  <c r="CJ61" i="1"/>
  <c r="DK60" i="1"/>
  <c r="DJ60" i="1"/>
  <c r="DI60" i="1"/>
  <c r="DQ60" i="1"/>
  <c r="DP60" i="1"/>
  <c r="DN60" i="1"/>
  <c r="DR60" i="1"/>
  <c r="DS60" i="1"/>
  <c r="DH60" i="1"/>
  <c r="DG60" i="1"/>
  <c r="DF60" i="1"/>
  <c r="DE60" i="1"/>
  <c r="DD60" i="1"/>
  <c r="DC60" i="1"/>
  <c r="DB60" i="1"/>
  <c r="CZ60" i="1"/>
  <c r="CX60" i="1"/>
  <c r="CW60" i="1"/>
  <c r="CV60" i="1"/>
  <c r="CU60" i="1"/>
  <c r="CT60" i="1"/>
  <c r="DV60" i="1"/>
  <c r="CR60" i="1"/>
  <c r="CQ60" i="1"/>
  <c r="DU60" i="1"/>
  <c r="CO60" i="1"/>
  <c r="CN60" i="1"/>
  <c r="CM60" i="1"/>
  <c r="CL60" i="1"/>
  <c r="CP60" i="1"/>
  <c r="CK60" i="1"/>
  <c r="DW60" i="1"/>
  <c r="CJ60" i="1"/>
  <c r="DK59" i="1"/>
  <c r="DJ59" i="1"/>
  <c r="DI59" i="1"/>
  <c r="DP59" i="1"/>
  <c r="DN59" i="1"/>
  <c r="DR59" i="1"/>
  <c r="DS59" i="1"/>
  <c r="DH59" i="1"/>
  <c r="DG59" i="1"/>
  <c r="DF59" i="1"/>
  <c r="DE59" i="1"/>
  <c r="DD59" i="1"/>
  <c r="DC59" i="1"/>
  <c r="DB59" i="1"/>
  <c r="DA59" i="1"/>
  <c r="CZ59" i="1"/>
  <c r="CX59" i="1"/>
  <c r="CW59" i="1"/>
  <c r="CV59" i="1"/>
  <c r="CT59" i="1"/>
  <c r="CS59" i="1"/>
  <c r="DV59" i="1"/>
  <c r="CR59" i="1"/>
  <c r="CQ59" i="1"/>
  <c r="DU59" i="1"/>
  <c r="CO59" i="1"/>
  <c r="CN59" i="1"/>
  <c r="CM59" i="1"/>
  <c r="CL59" i="1"/>
  <c r="CP59" i="1"/>
  <c r="CK59" i="1"/>
  <c r="DW59" i="1"/>
  <c r="CJ59" i="1"/>
  <c r="DK58" i="1"/>
  <c r="DJ58" i="1"/>
  <c r="DI58" i="1"/>
  <c r="DQ58" i="1"/>
  <c r="DP58" i="1"/>
  <c r="DN58" i="1"/>
  <c r="DR58" i="1"/>
  <c r="DT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V58" i="1"/>
  <c r="CR58" i="1"/>
  <c r="CQ58" i="1"/>
  <c r="DU58" i="1"/>
  <c r="CO58" i="1"/>
  <c r="CN58" i="1"/>
  <c r="CM58" i="1"/>
  <c r="CL58" i="1"/>
  <c r="CP58" i="1"/>
  <c r="DW58" i="1"/>
  <c r="CJ58" i="1"/>
  <c r="DK57" i="1"/>
  <c r="DJ57" i="1"/>
  <c r="DI57" i="1"/>
  <c r="DQ57" i="1"/>
  <c r="DP57" i="1"/>
  <c r="DN57" i="1"/>
  <c r="DR57" i="1"/>
  <c r="DT57" i="1"/>
  <c r="DH57" i="1"/>
  <c r="DF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V57" i="1"/>
  <c r="CR57" i="1"/>
  <c r="CQ57" i="1"/>
  <c r="DU57" i="1"/>
  <c r="CO57" i="1"/>
  <c r="CN57" i="1"/>
  <c r="CM57" i="1"/>
  <c r="CL57" i="1"/>
  <c r="CP57" i="1"/>
  <c r="DW57" i="1"/>
  <c r="CJ57" i="1"/>
  <c r="DK56" i="1"/>
  <c r="DJ56" i="1"/>
  <c r="DI56" i="1"/>
  <c r="DQ56" i="1"/>
  <c r="DP56" i="1"/>
  <c r="DN56" i="1"/>
  <c r="DR56" i="1"/>
  <c r="DS56" i="1"/>
  <c r="DT56" i="1"/>
  <c r="DH56" i="1"/>
  <c r="DG56" i="1"/>
  <c r="DF56" i="1"/>
  <c r="DE56" i="1"/>
  <c r="DD56" i="1"/>
  <c r="DB56" i="1"/>
  <c r="DA56" i="1"/>
  <c r="CZ56" i="1"/>
  <c r="CY56" i="1"/>
  <c r="CX56" i="1"/>
  <c r="CW56" i="1"/>
  <c r="CV56" i="1"/>
  <c r="CU56" i="1"/>
  <c r="CT56" i="1"/>
  <c r="CS56" i="1"/>
  <c r="DV56" i="1"/>
  <c r="CR56" i="1"/>
  <c r="CQ56" i="1"/>
  <c r="DU56" i="1"/>
  <c r="CO56" i="1"/>
  <c r="CN56" i="1"/>
  <c r="CM56" i="1"/>
  <c r="CL56" i="1"/>
  <c r="CP56" i="1"/>
  <c r="CK56" i="1"/>
  <c r="DW56" i="1"/>
  <c r="CJ56" i="1"/>
  <c r="DK55" i="1"/>
  <c r="DJ55" i="1"/>
  <c r="DI55" i="1"/>
  <c r="DQ55" i="1"/>
  <c r="DP55" i="1"/>
  <c r="DN55" i="1"/>
  <c r="DR55" i="1"/>
  <c r="DT55" i="1"/>
  <c r="DH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V55" i="1"/>
  <c r="CR55" i="1"/>
  <c r="CQ55" i="1"/>
  <c r="DU55" i="1"/>
  <c r="CO55" i="1"/>
  <c r="CN55" i="1"/>
  <c r="CM55" i="1"/>
  <c r="CL55" i="1"/>
  <c r="CP55" i="1"/>
  <c r="DW55" i="1"/>
  <c r="CJ55" i="1"/>
  <c r="DK54" i="1"/>
  <c r="DJ54" i="1"/>
  <c r="DI54" i="1"/>
  <c r="DP54" i="1"/>
  <c r="DN54" i="1"/>
  <c r="DR54" i="1"/>
  <c r="DS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V54" i="1"/>
  <c r="CR54" i="1"/>
  <c r="CQ54" i="1"/>
  <c r="CO54" i="1"/>
  <c r="EQ54" i="1"/>
  <c r="EP54" i="1"/>
  <c r="CN54" i="1"/>
  <c r="CM54" i="1"/>
  <c r="CL54" i="1"/>
  <c r="CP54" i="1"/>
  <c r="CK54" i="1"/>
  <c r="DW54" i="1"/>
  <c r="CJ54" i="1"/>
  <c r="DK53" i="1"/>
  <c r="DJ53" i="1"/>
  <c r="DI53" i="1"/>
  <c r="DP53" i="1"/>
  <c r="DN53" i="1"/>
  <c r="DR53" i="1"/>
  <c r="DS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T53" i="1"/>
  <c r="CS53" i="1"/>
  <c r="DV53" i="1"/>
  <c r="CR53" i="1"/>
  <c r="CQ53" i="1"/>
  <c r="CO53" i="1"/>
  <c r="EQ53" i="1"/>
  <c r="EP53" i="1"/>
  <c r="CN53" i="1"/>
  <c r="CM53" i="1"/>
  <c r="CL53" i="1"/>
  <c r="CP53" i="1"/>
  <c r="CK53" i="1"/>
  <c r="DW53" i="1"/>
  <c r="CJ53" i="1"/>
  <c r="DK52" i="1"/>
  <c r="DJ52" i="1"/>
  <c r="DI52" i="1"/>
  <c r="DP52" i="1"/>
  <c r="DN52" i="1"/>
  <c r="DR52" i="1"/>
  <c r="DS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V52" i="1"/>
  <c r="CR52" i="1"/>
  <c r="CQ52" i="1"/>
  <c r="CO52" i="1"/>
  <c r="EQ52" i="1"/>
  <c r="EP52" i="1"/>
  <c r="CN52" i="1"/>
  <c r="CM52" i="1"/>
  <c r="CL52" i="1"/>
  <c r="CP52" i="1"/>
  <c r="CK52" i="1"/>
  <c r="DW52" i="1"/>
  <c r="CJ52" i="1"/>
  <c r="DK51" i="1"/>
  <c r="DJ51" i="1"/>
  <c r="DI51" i="1"/>
  <c r="DP51" i="1"/>
  <c r="DN51" i="1"/>
  <c r="DR51" i="1"/>
  <c r="DS51" i="1"/>
  <c r="DH51" i="1"/>
  <c r="DG51" i="1"/>
  <c r="DF51" i="1"/>
  <c r="DE51" i="1"/>
  <c r="DD51" i="1"/>
  <c r="DC51" i="1"/>
  <c r="DB51" i="1"/>
  <c r="CZ51" i="1"/>
  <c r="CY51" i="1"/>
  <c r="CX51" i="1"/>
  <c r="CW51" i="1"/>
  <c r="CV51" i="1"/>
  <c r="CU51" i="1"/>
  <c r="CT51" i="1"/>
  <c r="CS51" i="1"/>
  <c r="DV51" i="1"/>
  <c r="CR51" i="1"/>
  <c r="CQ51" i="1"/>
  <c r="CO51" i="1"/>
  <c r="EQ51" i="1"/>
  <c r="EP51" i="1"/>
  <c r="CN51" i="1"/>
  <c r="CM51" i="1"/>
  <c r="CL51" i="1"/>
  <c r="CP51" i="1"/>
  <c r="CK51" i="1"/>
  <c r="DW51" i="1"/>
  <c r="CJ51" i="1"/>
  <c r="DK50" i="1"/>
  <c r="DJ50" i="1"/>
  <c r="DI50" i="1"/>
  <c r="DP50" i="1"/>
  <c r="DN50" i="1"/>
  <c r="DR50" i="1"/>
  <c r="DS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V50" i="1"/>
  <c r="CR50" i="1"/>
  <c r="CQ50" i="1"/>
  <c r="CO50" i="1"/>
  <c r="EQ50" i="1"/>
  <c r="EP50" i="1"/>
  <c r="CN50" i="1"/>
  <c r="CM50" i="1"/>
  <c r="CL50" i="1"/>
  <c r="CP50" i="1"/>
  <c r="CK50" i="1"/>
  <c r="DW50" i="1"/>
  <c r="CJ50" i="1"/>
  <c r="DK49" i="1"/>
  <c r="DJ49" i="1"/>
  <c r="DI49" i="1"/>
  <c r="DP49" i="1"/>
  <c r="DN49" i="1"/>
  <c r="DR49" i="1"/>
  <c r="DS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V49" i="1"/>
  <c r="CR49" i="1"/>
  <c r="CQ49" i="1"/>
  <c r="CO49" i="1"/>
  <c r="EQ49" i="1"/>
  <c r="EP49" i="1"/>
  <c r="CN49" i="1"/>
  <c r="CM49" i="1"/>
  <c r="CL49" i="1"/>
  <c r="CP49" i="1"/>
  <c r="CK49" i="1"/>
  <c r="DW49" i="1"/>
  <c r="CJ49" i="1"/>
  <c r="DK48" i="1"/>
  <c r="DJ48" i="1"/>
  <c r="DI48" i="1"/>
  <c r="DP48" i="1"/>
  <c r="DN48" i="1"/>
  <c r="DR48" i="1"/>
  <c r="DS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V48" i="1"/>
  <c r="CR48" i="1"/>
  <c r="CQ48" i="1"/>
  <c r="CO48" i="1"/>
  <c r="EQ48" i="1"/>
  <c r="EP48" i="1"/>
  <c r="CN48" i="1"/>
  <c r="CM48" i="1"/>
  <c r="CL48" i="1"/>
  <c r="CP48" i="1"/>
  <c r="CK48" i="1"/>
  <c r="DW48" i="1"/>
  <c r="CJ48" i="1"/>
  <c r="DK47" i="1"/>
  <c r="DJ47" i="1"/>
  <c r="DI47" i="1"/>
  <c r="DP47" i="1"/>
  <c r="DN47" i="1"/>
  <c r="DR47" i="1"/>
  <c r="DS47" i="1"/>
  <c r="DH47" i="1"/>
  <c r="DG47" i="1"/>
  <c r="DF47" i="1"/>
  <c r="DE47" i="1"/>
  <c r="DD47" i="1"/>
  <c r="DC47" i="1"/>
  <c r="DB47" i="1"/>
  <c r="DA47" i="1"/>
  <c r="CZ47" i="1"/>
  <c r="CY47" i="1"/>
  <c r="CW47" i="1"/>
  <c r="CV47" i="1"/>
  <c r="CU47" i="1"/>
  <c r="CT47" i="1"/>
  <c r="CS47" i="1"/>
  <c r="DV47" i="1"/>
  <c r="CR47" i="1"/>
  <c r="CQ47" i="1"/>
  <c r="CO47" i="1"/>
  <c r="EQ47" i="1"/>
  <c r="EP47" i="1"/>
  <c r="CN47" i="1"/>
  <c r="CM47" i="1"/>
  <c r="CL47" i="1"/>
  <c r="CP47" i="1"/>
  <c r="CK47" i="1"/>
  <c r="DW47" i="1"/>
  <c r="CJ47" i="1"/>
  <c r="DK46" i="1"/>
  <c r="DJ46" i="1"/>
  <c r="DI46" i="1"/>
  <c r="DP46" i="1"/>
  <c r="DN46" i="1"/>
  <c r="DR46" i="1"/>
  <c r="DT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V46" i="1"/>
  <c r="CR46" i="1"/>
  <c r="CQ46" i="1"/>
  <c r="CO46" i="1"/>
  <c r="EQ46" i="1"/>
  <c r="EP46" i="1"/>
  <c r="CN46" i="1"/>
  <c r="CM46" i="1"/>
  <c r="CL46" i="1"/>
  <c r="CP46" i="1"/>
  <c r="CK46" i="1"/>
  <c r="DW46" i="1"/>
  <c r="CJ46" i="1"/>
  <c r="DK45" i="1"/>
  <c r="DJ45" i="1"/>
  <c r="DI45" i="1"/>
  <c r="DQ45" i="1"/>
  <c r="DP45" i="1"/>
  <c r="DN45" i="1"/>
  <c r="DR45" i="1"/>
  <c r="DT45" i="1"/>
  <c r="DH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V45" i="1"/>
  <c r="CR45" i="1"/>
  <c r="CQ45" i="1"/>
  <c r="DU45" i="1"/>
  <c r="CN45" i="1"/>
  <c r="CM45" i="1"/>
  <c r="CL45" i="1"/>
  <c r="CP45" i="1"/>
  <c r="DW45" i="1"/>
  <c r="CJ45" i="1"/>
  <c r="DK44" i="1"/>
  <c r="DQ44" i="1"/>
  <c r="DP44" i="1"/>
  <c r="DN44" i="1"/>
  <c r="DR44" i="1"/>
  <c r="DT44" i="1"/>
  <c r="DH44" i="1"/>
  <c r="DG44" i="1"/>
  <c r="DF44" i="1"/>
  <c r="DE44" i="1"/>
  <c r="DD44" i="1"/>
  <c r="DC44" i="1"/>
  <c r="DB44" i="1"/>
  <c r="CZ44" i="1"/>
  <c r="CX44" i="1"/>
  <c r="CW44" i="1"/>
  <c r="CV44" i="1"/>
  <c r="CU44" i="1"/>
  <c r="CT44" i="1"/>
  <c r="CS44" i="1"/>
  <c r="DV44" i="1"/>
  <c r="CR44" i="1"/>
  <c r="CQ44" i="1"/>
  <c r="DU44" i="1"/>
  <c r="CO44" i="1"/>
  <c r="CN44" i="1"/>
  <c r="CM44" i="1"/>
  <c r="CL44" i="1"/>
  <c r="CP44" i="1"/>
  <c r="DW44" i="1"/>
  <c r="CJ44" i="1"/>
  <c r="DK43" i="1"/>
  <c r="DQ43" i="1"/>
  <c r="DP43" i="1"/>
  <c r="DN43" i="1"/>
  <c r="DR43" i="1"/>
  <c r="DT43" i="1"/>
  <c r="DH43" i="1"/>
  <c r="DG43" i="1"/>
  <c r="DF43" i="1"/>
  <c r="DE43" i="1"/>
  <c r="DD43" i="1"/>
  <c r="DC43" i="1"/>
  <c r="DB43" i="1"/>
  <c r="CZ43" i="1"/>
  <c r="CY43" i="1"/>
  <c r="CX43" i="1"/>
  <c r="CW43" i="1"/>
  <c r="CV43" i="1"/>
  <c r="CU43" i="1"/>
  <c r="CT43" i="1"/>
  <c r="CS43" i="1"/>
  <c r="DV43" i="1"/>
  <c r="CR43" i="1"/>
  <c r="CQ43" i="1"/>
  <c r="DU43" i="1"/>
  <c r="CO43" i="1"/>
  <c r="CN43" i="1"/>
  <c r="CM43" i="1"/>
  <c r="CL43" i="1"/>
  <c r="CP43" i="1"/>
  <c r="CK43" i="1"/>
  <c r="DW43" i="1"/>
  <c r="CJ43" i="1"/>
  <c r="DK42" i="1"/>
  <c r="DJ42" i="1"/>
  <c r="DI42" i="1"/>
  <c r="DQ42" i="1"/>
  <c r="DP42" i="1"/>
  <c r="DN42" i="1"/>
  <c r="DR42" i="1"/>
  <c r="DT42" i="1"/>
  <c r="DH42" i="1"/>
  <c r="DG42" i="1"/>
  <c r="DF42" i="1"/>
  <c r="DE42" i="1"/>
  <c r="DD42" i="1"/>
  <c r="DC42" i="1"/>
  <c r="DB42" i="1"/>
  <c r="CZ42" i="1"/>
  <c r="CY42" i="1"/>
  <c r="CX42" i="1"/>
  <c r="CW42" i="1"/>
  <c r="CV42" i="1"/>
  <c r="CU42" i="1"/>
  <c r="CT42" i="1"/>
  <c r="CS42" i="1"/>
  <c r="DV42" i="1"/>
  <c r="CR42" i="1"/>
  <c r="CQ42" i="1"/>
  <c r="DU42" i="1"/>
  <c r="CO42" i="1"/>
  <c r="CN42" i="1"/>
  <c r="CM42" i="1"/>
  <c r="CL42" i="1"/>
  <c r="CP42" i="1"/>
  <c r="CK42" i="1"/>
  <c r="DW42" i="1"/>
  <c r="CJ42" i="1"/>
  <c r="DK41" i="1"/>
  <c r="DJ41" i="1"/>
  <c r="DI41" i="1"/>
  <c r="DQ41" i="1"/>
  <c r="DP41" i="1"/>
  <c r="DN41" i="1"/>
  <c r="DR41" i="1"/>
  <c r="DT41" i="1"/>
  <c r="DH41" i="1"/>
  <c r="DF41" i="1"/>
  <c r="DD41" i="1"/>
  <c r="DB41" i="1"/>
  <c r="DA41" i="1"/>
  <c r="CZ41" i="1"/>
  <c r="CY41" i="1"/>
  <c r="CX41" i="1"/>
  <c r="CW41" i="1"/>
  <c r="CV41" i="1"/>
  <c r="CU41" i="1"/>
  <c r="CT41" i="1"/>
  <c r="CS41" i="1"/>
  <c r="DV41" i="1"/>
  <c r="CR41" i="1"/>
  <c r="CQ41" i="1"/>
  <c r="DU41" i="1"/>
  <c r="CO41" i="1"/>
  <c r="CN41" i="1"/>
  <c r="CM41" i="1"/>
  <c r="CL41" i="1"/>
  <c r="CP41" i="1"/>
  <c r="CK41" i="1"/>
  <c r="DW41" i="1"/>
  <c r="CJ41" i="1"/>
  <c r="DK40" i="1"/>
  <c r="DJ40" i="1"/>
  <c r="DQ40" i="1"/>
  <c r="DP40" i="1"/>
  <c r="DN40" i="1"/>
  <c r="DR40" i="1"/>
  <c r="DT40" i="1"/>
  <c r="DH40" i="1"/>
  <c r="DG40" i="1"/>
  <c r="DE40" i="1"/>
  <c r="DD40" i="1"/>
  <c r="DB40" i="1"/>
  <c r="DA40" i="1"/>
  <c r="CZ40" i="1"/>
  <c r="CY40" i="1"/>
  <c r="CX40" i="1"/>
  <c r="CW40" i="1"/>
  <c r="CV40" i="1"/>
  <c r="CU40" i="1"/>
  <c r="CT40" i="1"/>
  <c r="CS40" i="1"/>
  <c r="DV40" i="1"/>
  <c r="CR40" i="1"/>
  <c r="CQ40" i="1"/>
  <c r="DU40" i="1"/>
  <c r="CO40" i="1"/>
  <c r="CN40" i="1"/>
  <c r="CM40" i="1"/>
  <c r="CL40" i="1"/>
  <c r="CP40" i="1"/>
  <c r="CK40" i="1"/>
  <c r="DW40" i="1"/>
  <c r="CJ40" i="1"/>
  <c r="DK39" i="1"/>
  <c r="DJ39" i="1"/>
  <c r="DI39" i="1"/>
  <c r="DQ39" i="1"/>
  <c r="DP39" i="1"/>
  <c r="DN39" i="1"/>
  <c r="DR39" i="1"/>
  <c r="DS39" i="1"/>
  <c r="DT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V39" i="1"/>
  <c r="CR39" i="1"/>
  <c r="CQ39" i="1"/>
  <c r="DU39" i="1"/>
  <c r="CO39" i="1"/>
  <c r="EQ39" i="1"/>
  <c r="EP39" i="1"/>
  <c r="CN39" i="1"/>
  <c r="CM39" i="1"/>
  <c r="CL39" i="1"/>
  <c r="CP39" i="1"/>
  <c r="CK39" i="1"/>
  <c r="DW39" i="1"/>
  <c r="CJ39" i="1"/>
  <c r="DK38" i="1"/>
  <c r="DJ38" i="1"/>
  <c r="DI38" i="1"/>
  <c r="DQ38" i="1"/>
  <c r="DP38" i="1"/>
  <c r="DN38" i="1"/>
  <c r="DR38" i="1"/>
  <c r="DS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V38" i="1"/>
  <c r="CR38" i="1"/>
  <c r="CQ38" i="1"/>
  <c r="DU38" i="1"/>
  <c r="CO38" i="1"/>
  <c r="EQ38" i="1"/>
  <c r="EP38" i="1"/>
  <c r="CN38" i="1"/>
  <c r="CM38" i="1"/>
  <c r="CL38" i="1"/>
  <c r="CP38" i="1"/>
  <c r="CK38" i="1"/>
  <c r="DW38" i="1"/>
  <c r="CJ38" i="1"/>
  <c r="DK37" i="1"/>
  <c r="DJ37" i="1"/>
  <c r="DI37" i="1"/>
  <c r="DQ37" i="1"/>
  <c r="DP37" i="1"/>
  <c r="DN37" i="1"/>
  <c r="DR37" i="1"/>
  <c r="DS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V37" i="1"/>
  <c r="CR37" i="1"/>
  <c r="CQ37" i="1"/>
  <c r="DU37" i="1"/>
  <c r="CO37" i="1"/>
  <c r="EQ37" i="1"/>
  <c r="EP37" i="1"/>
  <c r="CN37" i="1"/>
  <c r="CM37" i="1"/>
  <c r="CL37" i="1"/>
  <c r="CP37" i="1"/>
  <c r="CK37" i="1"/>
  <c r="DW37" i="1"/>
  <c r="CJ37" i="1"/>
  <c r="DK36" i="1"/>
  <c r="DJ36" i="1"/>
  <c r="DI36" i="1"/>
  <c r="DQ36" i="1"/>
  <c r="DP36" i="1"/>
  <c r="DN36" i="1"/>
  <c r="DR36" i="1"/>
  <c r="DS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V36" i="1"/>
  <c r="CR36" i="1"/>
  <c r="CQ36" i="1"/>
  <c r="DU36" i="1"/>
  <c r="CO36" i="1"/>
  <c r="CN36" i="1"/>
  <c r="CM36" i="1"/>
  <c r="CL36" i="1"/>
  <c r="CP36" i="1"/>
  <c r="CK36" i="1"/>
  <c r="DW36" i="1"/>
  <c r="CJ36" i="1"/>
  <c r="DK35" i="1"/>
  <c r="DJ35" i="1"/>
  <c r="DI35" i="1"/>
  <c r="DQ35" i="1"/>
  <c r="DP35" i="1"/>
  <c r="DN35" i="1"/>
  <c r="DR35" i="1"/>
  <c r="DS35" i="1"/>
  <c r="DH35" i="1"/>
  <c r="DG35" i="1"/>
  <c r="DF35" i="1"/>
  <c r="DE35" i="1"/>
  <c r="DD35" i="1"/>
  <c r="DB35" i="1"/>
  <c r="DA35" i="1"/>
  <c r="CZ35" i="1"/>
  <c r="CX35" i="1"/>
  <c r="CW35" i="1"/>
  <c r="CV35" i="1"/>
  <c r="CU35" i="1"/>
  <c r="CT35" i="1"/>
  <c r="CS35" i="1"/>
  <c r="DV35" i="1"/>
  <c r="CR35" i="1"/>
  <c r="CQ35" i="1"/>
  <c r="CO35" i="1"/>
  <c r="EQ35" i="1"/>
  <c r="EP35" i="1"/>
  <c r="CN35" i="1"/>
  <c r="CM35" i="1"/>
  <c r="CL35" i="1"/>
  <c r="CP35" i="1"/>
  <c r="CK35" i="1"/>
  <c r="DW35" i="1"/>
  <c r="CJ35" i="1"/>
  <c r="DK34" i="1"/>
  <c r="DJ34" i="1"/>
  <c r="DQ34" i="1"/>
  <c r="DP34" i="1"/>
  <c r="DN34" i="1"/>
  <c r="DR34" i="1"/>
  <c r="DS34" i="1"/>
  <c r="DG34" i="1"/>
  <c r="DF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V34" i="1"/>
  <c r="CR34" i="1"/>
  <c r="CQ34" i="1"/>
  <c r="CO34" i="1"/>
  <c r="EQ34" i="1"/>
  <c r="EP34" i="1"/>
  <c r="CN34" i="1"/>
  <c r="CM34" i="1"/>
  <c r="CL34" i="1"/>
  <c r="CP34" i="1"/>
  <c r="CK34" i="1"/>
  <c r="DW34" i="1"/>
  <c r="CJ34" i="1"/>
  <c r="DK33" i="1"/>
  <c r="DJ33" i="1"/>
  <c r="DI33" i="1"/>
  <c r="DQ33" i="1"/>
  <c r="DP33" i="1"/>
  <c r="DN33" i="1"/>
  <c r="DR33" i="1"/>
  <c r="DS33" i="1"/>
  <c r="DH33" i="1"/>
  <c r="DG33" i="1"/>
  <c r="DF33" i="1"/>
  <c r="DE33" i="1"/>
  <c r="DD33" i="1"/>
  <c r="DC33" i="1"/>
  <c r="DB33" i="1"/>
  <c r="DA33" i="1"/>
  <c r="CZ33" i="1"/>
  <c r="CY33" i="1"/>
  <c r="CW33" i="1"/>
  <c r="CV33" i="1"/>
  <c r="CU33" i="1"/>
  <c r="CT33" i="1"/>
  <c r="CS33" i="1"/>
  <c r="DV33" i="1"/>
  <c r="CR33" i="1"/>
  <c r="CQ33" i="1"/>
  <c r="CO33" i="1"/>
  <c r="EQ33" i="1"/>
  <c r="EP33" i="1"/>
  <c r="CN33" i="1"/>
  <c r="CM33" i="1"/>
  <c r="CL33" i="1"/>
  <c r="CP33" i="1"/>
  <c r="CK33" i="1"/>
  <c r="DW33" i="1"/>
  <c r="CJ33" i="1"/>
  <c r="DK32" i="1"/>
  <c r="DJ32" i="1"/>
  <c r="DI32" i="1"/>
  <c r="DQ32" i="1"/>
  <c r="DP32" i="1"/>
  <c r="DN32" i="1"/>
  <c r="DR32" i="1"/>
  <c r="DS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V32" i="1"/>
  <c r="CR32" i="1"/>
  <c r="CQ32" i="1"/>
  <c r="DU32" i="1"/>
  <c r="CO32" i="1"/>
  <c r="EP32" i="1"/>
  <c r="CN32" i="1"/>
  <c r="CM32" i="1"/>
  <c r="CL32" i="1"/>
  <c r="CP32" i="1"/>
  <c r="DW32" i="1"/>
  <c r="CJ32" i="1"/>
  <c r="DK31" i="1"/>
  <c r="DJ31" i="1"/>
  <c r="DI31" i="1"/>
  <c r="DQ31" i="1"/>
  <c r="DP31" i="1"/>
  <c r="DN31" i="1"/>
  <c r="DR31" i="1"/>
  <c r="DS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V31" i="1"/>
  <c r="CR31" i="1"/>
  <c r="CQ31" i="1"/>
  <c r="DU31" i="1"/>
  <c r="CO31" i="1"/>
  <c r="EP31" i="1"/>
  <c r="CN31" i="1"/>
  <c r="CM31" i="1"/>
  <c r="CL31" i="1"/>
  <c r="CP31" i="1"/>
  <c r="CK31" i="1"/>
  <c r="DW31" i="1"/>
  <c r="CJ31" i="1"/>
  <c r="DK30" i="1"/>
  <c r="DJ30" i="1"/>
  <c r="DI30" i="1"/>
  <c r="DQ30" i="1"/>
  <c r="DP30" i="1"/>
  <c r="DN30" i="1"/>
  <c r="DR30" i="1"/>
  <c r="DS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V30" i="1"/>
  <c r="CR30" i="1"/>
  <c r="CQ30" i="1"/>
  <c r="DU30" i="1"/>
  <c r="CO30" i="1"/>
  <c r="CN30" i="1"/>
  <c r="CM30" i="1"/>
  <c r="CL30" i="1"/>
  <c r="CP30" i="1"/>
  <c r="CK30" i="1"/>
  <c r="DW30" i="1"/>
  <c r="CJ30" i="1"/>
  <c r="DK29" i="1"/>
  <c r="DJ29" i="1"/>
  <c r="DI29" i="1"/>
  <c r="DQ29" i="1"/>
  <c r="DP29" i="1"/>
  <c r="DN29" i="1"/>
  <c r="DR29" i="1"/>
  <c r="DS29" i="1"/>
  <c r="DH29" i="1"/>
  <c r="DG29" i="1"/>
  <c r="DF29" i="1"/>
  <c r="DE29" i="1"/>
  <c r="DD29" i="1"/>
  <c r="DC29" i="1"/>
  <c r="DB29" i="1"/>
  <c r="DA29" i="1"/>
  <c r="CY29" i="1"/>
  <c r="CX29" i="1"/>
  <c r="CW29" i="1"/>
  <c r="CV29" i="1"/>
  <c r="CU29" i="1"/>
  <c r="CT29" i="1"/>
  <c r="CS29" i="1"/>
  <c r="DV29" i="1"/>
  <c r="CR29" i="1"/>
  <c r="CQ29" i="1"/>
  <c r="DU29" i="1"/>
  <c r="CO29" i="1"/>
  <c r="CN29" i="1"/>
  <c r="CM29" i="1"/>
  <c r="CL29" i="1"/>
  <c r="CP29" i="1"/>
  <c r="CK29" i="1"/>
  <c r="DW29" i="1"/>
  <c r="CJ29" i="1"/>
  <c r="DK28" i="1"/>
  <c r="DJ28" i="1"/>
  <c r="DI28" i="1"/>
  <c r="DQ28" i="1"/>
  <c r="DP28" i="1"/>
  <c r="DN28" i="1"/>
  <c r="DR28" i="1"/>
  <c r="DT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V28" i="1"/>
  <c r="CR28" i="1"/>
  <c r="CQ28" i="1"/>
  <c r="DU28" i="1"/>
  <c r="CO28" i="1"/>
  <c r="CN28" i="1"/>
  <c r="CM28" i="1"/>
  <c r="CL28" i="1"/>
  <c r="CP28" i="1"/>
  <c r="DW28" i="1"/>
  <c r="DK27" i="1"/>
  <c r="DJ27" i="1"/>
  <c r="DI27" i="1"/>
  <c r="DP27" i="1"/>
  <c r="DN27" i="1"/>
  <c r="DR27" i="1"/>
  <c r="DT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V27" i="1"/>
  <c r="CR27" i="1"/>
  <c r="CQ27" i="1"/>
  <c r="CO27" i="1"/>
  <c r="CN27" i="1"/>
  <c r="CM27" i="1"/>
  <c r="CL27" i="1"/>
  <c r="CP27" i="1"/>
  <c r="CK27" i="1"/>
  <c r="DW27" i="1"/>
  <c r="CJ27" i="1"/>
  <c r="DK26" i="1"/>
  <c r="DJ26" i="1"/>
  <c r="DI26" i="1"/>
  <c r="DP26" i="1"/>
  <c r="DN26" i="1"/>
  <c r="DR26" i="1"/>
  <c r="DT26" i="1"/>
  <c r="DH26" i="1"/>
  <c r="DG26" i="1"/>
  <c r="DF26" i="1"/>
  <c r="DD26" i="1"/>
  <c r="DC26" i="1"/>
  <c r="DB26" i="1"/>
  <c r="CZ26" i="1"/>
  <c r="CY26" i="1"/>
  <c r="CX26" i="1"/>
  <c r="CW26" i="1"/>
  <c r="CV26" i="1"/>
  <c r="CU26" i="1"/>
  <c r="CT26" i="1"/>
  <c r="CS26" i="1"/>
  <c r="DV26" i="1"/>
  <c r="CR26" i="1"/>
  <c r="CQ26" i="1"/>
  <c r="DU26" i="1"/>
  <c r="CN26" i="1"/>
  <c r="CM26" i="1"/>
  <c r="CL26" i="1"/>
  <c r="CP26" i="1"/>
  <c r="DW26" i="1"/>
  <c r="DK25" i="1"/>
  <c r="DJ25" i="1"/>
  <c r="DI25" i="1"/>
  <c r="DP25" i="1"/>
  <c r="DN25" i="1"/>
  <c r="DR25" i="1"/>
  <c r="DT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V25" i="1"/>
  <c r="CR25" i="1"/>
  <c r="CQ25" i="1"/>
  <c r="DU25" i="1"/>
  <c r="CO25" i="1"/>
  <c r="EQ25" i="1"/>
  <c r="EP25" i="1"/>
  <c r="CN25" i="1"/>
  <c r="CM25" i="1"/>
  <c r="CL25" i="1"/>
  <c r="CP25" i="1"/>
  <c r="CK25" i="1"/>
  <c r="DW25" i="1"/>
  <c r="CJ25" i="1"/>
  <c r="DK24" i="1"/>
  <c r="DJ24" i="1"/>
  <c r="DI24" i="1"/>
  <c r="DP24" i="1"/>
  <c r="DN24" i="1"/>
  <c r="DR24" i="1"/>
  <c r="DT24" i="1"/>
  <c r="DH24" i="1"/>
  <c r="DG24" i="1"/>
  <c r="DF24" i="1"/>
  <c r="DE24" i="1"/>
  <c r="DD24" i="1"/>
  <c r="DC24" i="1"/>
  <c r="DB24" i="1"/>
  <c r="CZ24" i="1"/>
  <c r="CY24" i="1"/>
  <c r="CX24" i="1"/>
  <c r="CV24" i="1"/>
  <c r="CU24" i="1"/>
  <c r="CT24" i="1"/>
  <c r="CS24" i="1"/>
  <c r="DV24" i="1"/>
  <c r="CR24" i="1"/>
  <c r="CQ24" i="1"/>
  <c r="DU24" i="1"/>
  <c r="CO24" i="1"/>
  <c r="EQ24" i="1"/>
  <c r="EP24" i="1"/>
  <c r="CN24" i="1"/>
  <c r="CM24" i="1"/>
  <c r="CL24" i="1"/>
  <c r="CP24" i="1"/>
  <c r="CK24" i="1"/>
  <c r="DW24" i="1"/>
  <c r="CJ24" i="1"/>
  <c r="DK23" i="1"/>
  <c r="DJ23" i="1"/>
  <c r="DI23" i="1"/>
  <c r="DP23" i="1"/>
  <c r="DN23" i="1"/>
  <c r="DR23" i="1"/>
  <c r="DT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V23" i="1"/>
  <c r="CR23" i="1"/>
  <c r="CQ23" i="1"/>
  <c r="CO23" i="1"/>
  <c r="EQ23" i="1"/>
  <c r="EP23" i="1"/>
  <c r="CN23" i="1"/>
  <c r="CM23" i="1"/>
  <c r="CL23" i="1"/>
  <c r="CP23" i="1"/>
  <c r="CK23" i="1"/>
  <c r="DW23" i="1"/>
  <c r="CJ23" i="1"/>
  <c r="DK22" i="1"/>
  <c r="DJ22" i="1"/>
  <c r="DI22" i="1"/>
  <c r="DP22" i="1"/>
  <c r="DN22" i="1"/>
  <c r="DR22" i="1"/>
  <c r="DT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V22" i="1"/>
  <c r="CR22" i="1"/>
  <c r="CQ22" i="1"/>
  <c r="CO22" i="1"/>
  <c r="EQ22" i="1"/>
  <c r="EP22" i="1"/>
  <c r="CN22" i="1"/>
  <c r="CM22" i="1"/>
  <c r="CL22" i="1"/>
  <c r="CP22" i="1"/>
  <c r="CK22" i="1"/>
  <c r="DW22" i="1"/>
  <c r="CJ22" i="1"/>
  <c r="DK21" i="1"/>
  <c r="DJ21" i="1"/>
  <c r="DI21" i="1"/>
  <c r="DP21" i="1"/>
  <c r="DN21" i="1"/>
  <c r="DR21" i="1"/>
  <c r="DT21" i="1"/>
  <c r="DH21" i="1"/>
  <c r="DG21" i="1"/>
  <c r="DF21" i="1"/>
  <c r="DE21" i="1"/>
  <c r="DD21" i="1"/>
  <c r="DC21" i="1"/>
  <c r="DB21" i="1"/>
  <c r="CZ21" i="1"/>
  <c r="CY21" i="1"/>
  <c r="CX21" i="1"/>
  <c r="CW21" i="1"/>
  <c r="CV21" i="1"/>
  <c r="CU21" i="1"/>
  <c r="CT21" i="1"/>
  <c r="CS21" i="1"/>
  <c r="DV21" i="1"/>
  <c r="CR21" i="1"/>
  <c r="CQ21" i="1"/>
  <c r="CO21" i="1"/>
  <c r="EQ21" i="1"/>
  <c r="EP21" i="1"/>
  <c r="CN21" i="1"/>
  <c r="CM21" i="1"/>
  <c r="CL21" i="1"/>
  <c r="CP21" i="1"/>
  <c r="CK21" i="1"/>
  <c r="DW21" i="1"/>
  <c r="CJ21" i="1"/>
  <c r="DK20" i="1"/>
  <c r="DJ20" i="1"/>
  <c r="DI20" i="1"/>
  <c r="DP20" i="1"/>
  <c r="DN20" i="1"/>
  <c r="DR20" i="1"/>
  <c r="DT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V20" i="1"/>
  <c r="CR20" i="1"/>
  <c r="CQ20" i="1"/>
  <c r="CO20" i="1"/>
  <c r="EQ20" i="1"/>
  <c r="EP20" i="1"/>
  <c r="CN20" i="1"/>
  <c r="CM20" i="1"/>
  <c r="CL20" i="1"/>
  <c r="CP20" i="1"/>
  <c r="CK20" i="1"/>
  <c r="DW20" i="1"/>
  <c r="CJ20" i="1"/>
  <c r="DK19" i="1"/>
  <c r="DJ19" i="1"/>
  <c r="DP19" i="1"/>
  <c r="DN19" i="1"/>
  <c r="DR19" i="1"/>
  <c r="DT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V19" i="1"/>
  <c r="CR19" i="1"/>
  <c r="CQ19" i="1"/>
  <c r="CO19" i="1"/>
  <c r="EQ19" i="1"/>
  <c r="EP19" i="1"/>
  <c r="CN19" i="1"/>
  <c r="CM19" i="1"/>
  <c r="CL19" i="1"/>
  <c r="CP19" i="1"/>
  <c r="CK19" i="1"/>
  <c r="DW19" i="1"/>
  <c r="CJ19" i="1"/>
  <c r="DK18" i="1"/>
  <c r="DJ18" i="1"/>
  <c r="DI18" i="1"/>
  <c r="DP18" i="1"/>
  <c r="DN18" i="1"/>
  <c r="DR18" i="1"/>
  <c r="DT18" i="1"/>
  <c r="DH18" i="1"/>
  <c r="DG18" i="1"/>
  <c r="DF18" i="1"/>
  <c r="DE18" i="1"/>
  <c r="DD18" i="1"/>
  <c r="DC18" i="1"/>
  <c r="DB18" i="1"/>
  <c r="DA18" i="1"/>
  <c r="CY18" i="1"/>
  <c r="CX18" i="1"/>
  <c r="CV18" i="1"/>
  <c r="CU18" i="1"/>
  <c r="CT18" i="1"/>
  <c r="CS18" i="1"/>
  <c r="DV18" i="1"/>
  <c r="CR18" i="1"/>
  <c r="CQ18" i="1"/>
  <c r="CO18" i="1"/>
  <c r="EQ18" i="1"/>
  <c r="EP18" i="1"/>
  <c r="CN18" i="1"/>
  <c r="CM18" i="1"/>
  <c r="CL18" i="1"/>
  <c r="CP18" i="1"/>
  <c r="CK18" i="1"/>
  <c r="DW18" i="1"/>
  <c r="CJ18" i="1"/>
  <c r="DK17" i="1"/>
  <c r="DJ17" i="1"/>
  <c r="DI17" i="1"/>
  <c r="DP17" i="1"/>
  <c r="DN17" i="1"/>
  <c r="DR17" i="1"/>
  <c r="DT17" i="1"/>
  <c r="DH17" i="1"/>
  <c r="DF17" i="1"/>
  <c r="DE17" i="1"/>
  <c r="DD17" i="1"/>
  <c r="DB17" i="1"/>
  <c r="DA17" i="1"/>
  <c r="CZ17" i="1"/>
  <c r="CY17" i="1"/>
  <c r="CX17" i="1"/>
  <c r="CV17" i="1"/>
  <c r="CU17" i="1"/>
  <c r="CT17" i="1"/>
  <c r="CS17" i="1"/>
  <c r="DV17" i="1"/>
  <c r="CR17" i="1"/>
  <c r="CQ17" i="1"/>
  <c r="CO17" i="1"/>
  <c r="EQ17" i="1"/>
  <c r="EP17" i="1"/>
  <c r="CN17" i="1"/>
  <c r="CM17" i="1"/>
  <c r="CL17" i="1"/>
  <c r="CP17" i="1"/>
  <c r="CK17" i="1"/>
  <c r="DW17" i="1"/>
  <c r="CJ17" i="1"/>
  <c r="DK16" i="1"/>
  <c r="DJ16" i="1"/>
  <c r="DI16" i="1"/>
  <c r="DP16" i="1"/>
  <c r="DN16" i="1"/>
  <c r="DR16" i="1"/>
  <c r="DT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DV16" i="1"/>
  <c r="CR16" i="1"/>
  <c r="CQ16" i="1"/>
  <c r="DU16" i="1"/>
  <c r="CO16" i="1"/>
  <c r="CN16" i="1"/>
  <c r="CM16" i="1"/>
  <c r="CL16" i="1"/>
  <c r="CP16" i="1"/>
  <c r="CK16" i="1"/>
  <c r="DW16" i="1"/>
  <c r="DK15" i="1"/>
  <c r="DJ15" i="1"/>
  <c r="DI15" i="1"/>
  <c r="DQ15" i="1"/>
  <c r="DP15" i="1"/>
  <c r="DN15" i="1"/>
  <c r="DR15" i="1"/>
  <c r="DT15" i="1"/>
  <c r="DH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DV15" i="1"/>
  <c r="CR15" i="1"/>
  <c r="CQ15" i="1"/>
  <c r="DU15" i="1"/>
  <c r="CO15" i="1"/>
  <c r="CN15" i="1"/>
  <c r="CM15" i="1"/>
  <c r="CL15" i="1"/>
  <c r="CP15" i="1"/>
  <c r="CK15" i="1"/>
  <c r="DW15" i="1"/>
  <c r="DK14" i="1"/>
  <c r="DJ14" i="1"/>
  <c r="DI14" i="1"/>
  <c r="DQ14" i="1"/>
  <c r="DP14" i="1"/>
  <c r="DN14" i="1"/>
  <c r="DR14" i="1"/>
  <c r="DT14" i="1"/>
  <c r="DH14" i="1"/>
  <c r="DG14" i="1"/>
  <c r="DF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DV14" i="1"/>
  <c r="CR14" i="1"/>
  <c r="CQ14" i="1"/>
  <c r="DU14" i="1"/>
  <c r="CO14" i="1"/>
  <c r="CN14" i="1"/>
  <c r="CM14" i="1"/>
  <c r="CL14" i="1"/>
  <c r="CP14" i="1"/>
  <c r="CK14" i="1"/>
  <c r="DW14" i="1"/>
  <c r="DK13" i="1"/>
  <c r="DJ13" i="1"/>
  <c r="DI13" i="1"/>
  <c r="DQ13" i="1"/>
  <c r="DP13" i="1"/>
  <c r="DN13" i="1"/>
  <c r="DR13" i="1"/>
  <c r="DT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DV13" i="1"/>
  <c r="CR13" i="1"/>
  <c r="CQ13" i="1"/>
  <c r="CO13" i="1"/>
  <c r="EQ13" i="1"/>
  <c r="EP13" i="1"/>
  <c r="CN13" i="1"/>
  <c r="CM13" i="1"/>
  <c r="CL13" i="1"/>
  <c r="CP13" i="1"/>
  <c r="CK13" i="1"/>
  <c r="DW13" i="1"/>
  <c r="CJ13" i="1"/>
  <c r="DK12" i="1"/>
  <c r="DJ12" i="1"/>
  <c r="DI12" i="1"/>
  <c r="DP12" i="1"/>
  <c r="DN12" i="1"/>
  <c r="DR12" i="1"/>
  <c r="DT12" i="1"/>
  <c r="DH12" i="1"/>
  <c r="DG12" i="1"/>
  <c r="DF12" i="1"/>
  <c r="DE12" i="1"/>
  <c r="DD12" i="1"/>
  <c r="DC12" i="1"/>
  <c r="DB12" i="1"/>
  <c r="DA12" i="1"/>
  <c r="CZ12" i="1"/>
  <c r="CX12" i="1"/>
  <c r="CW12" i="1"/>
  <c r="CV12" i="1"/>
  <c r="CU12" i="1"/>
  <c r="CT12" i="1"/>
  <c r="CS12" i="1"/>
  <c r="DV12" i="1"/>
  <c r="CR12" i="1"/>
  <c r="CQ12" i="1"/>
  <c r="DU12" i="1"/>
  <c r="CO12" i="1"/>
  <c r="EQ12" i="1"/>
  <c r="EP12" i="1"/>
  <c r="CN12" i="1"/>
  <c r="CM12" i="1"/>
  <c r="CL12" i="1"/>
  <c r="CP12" i="1"/>
  <c r="CK12" i="1"/>
  <c r="DW12" i="1"/>
  <c r="CJ12" i="1"/>
  <c r="DK11" i="1"/>
  <c r="DJ11" i="1"/>
  <c r="DI11" i="1"/>
  <c r="DP11" i="1"/>
  <c r="DN11" i="1"/>
  <c r="DR11" i="1"/>
  <c r="DT11" i="1"/>
  <c r="DH11" i="1"/>
  <c r="DG11" i="1"/>
  <c r="DF11" i="1"/>
  <c r="DE11" i="1"/>
  <c r="DD11" i="1"/>
  <c r="DC11" i="1"/>
  <c r="DB11" i="1"/>
  <c r="CZ11" i="1"/>
  <c r="CY11" i="1"/>
  <c r="CX11" i="1"/>
  <c r="CW11" i="1"/>
  <c r="CV11" i="1"/>
  <c r="CU11" i="1"/>
  <c r="CT11" i="1"/>
  <c r="CS11" i="1"/>
  <c r="DV11" i="1"/>
  <c r="CR11" i="1"/>
  <c r="CQ11" i="1"/>
  <c r="CO11" i="1"/>
  <c r="EQ11" i="1"/>
  <c r="EP11" i="1"/>
  <c r="CN11" i="1"/>
  <c r="CM11" i="1"/>
  <c r="CL11" i="1"/>
  <c r="CP11" i="1"/>
  <c r="CK11" i="1"/>
  <c r="DW11" i="1"/>
  <c r="CJ11" i="1"/>
  <c r="DK10" i="1"/>
  <c r="DJ10" i="1"/>
  <c r="DI10" i="1"/>
  <c r="DP10" i="1"/>
  <c r="DN10" i="1"/>
  <c r="DR10" i="1"/>
  <c r="DT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DV10" i="1"/>
  <c r="CR10" i="1"/>
  <c r="CQ10" i="1"/>
  <c r="CO10" i="1"/>
  <c r="EQ10" i="1"/>
  <c r="EP10" i="1"/>
  <c r="CN10" i="1"/>
  <c r="CM10" i="1"/>
  <c r="CL10" i="1"/>
  <c r="CP10" i="1"/>
  <c r="CK10" i="1"/>
  <c r="DW10" i="1"/>
  <c r="CJ10" i="1"/>
  <c r="DK9" i="1"/>
  <c r="DJ9" i="1"/>
  <c r="DI9" i="1"/>
  <c r="DQ9" i="1"/>
  <c r="DP9" i="1"/>
  <c r="DN9" i="1"/>
  <c r="DR9" i="1"/>
  <c r="DT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DV9" i="1"/>
  <c r="CR9" i="1"/>
  <c r="CQ9" i="1"/>
  <c r="CO9" i="1"/>
  <c r="EQ9" i="1"/>
  <c r="EP9" i="1"/>
  <c r="CN9" i="1"/>
  <c r="CM9" i="1"/>
  <c r="CL9" i="1"/>
  <c r="CP9" i="1"/>
  <c r="CK9" i="1"/>
  <c r="DW9" i="1"/>
  <c r="CJ9" i="1"/>
  <c r="DK8" i="1"/>
  <c r="DJ8" i="1"/>
  <c r="DI8" i="1"/>
  <c r="DP8" i="1"/>
  <c r="DN8" i="1"/>
  <c r="DR8" i="1"/>
  <c r="DT8" i="1"/>
  <c r="DH8" i="1"/>
  <c r="DG8" i="1"/>
  <c r="DF8" i="1"/>
  <c r="DE8" i="1"/>
  <c r="DD8" i="1"/>
  <c r="DC8" i="1"/>
  <c r="DB8" i="1"/>
  <c r="CZ8" i="1"/>
  <c r="CY8" i="1"/>
  <c r="CX8" i="1"/>
  <c r="CW8" i="1"/>
  <c r="CV8" i="1"/>
  <c r="CU8" i="1"/>
  <c r="CT8" i="1"/>
  <c r="CS8" i="1"/>
  <c r="DV8" i="1"/>
  <c r="CR8" i="1"/>
  <c r="CQ8" i="1"/>
  <c r="CO8" i="1"/>
  <c r="EQ8" i="1"/>
  <c r="EP8" i="1"/>
  <c r="CN8" i="1"/>
  <c r="CM8" i="1"/>
  <c r="CL8" i="1"/>
  <c r="CP8" i="1"/>
  <c r="CK8" i="1"/>
  <c r="DW8" i="1"/>
  <c r="CJ8" i="1"/>
  <c r="DK7" i="1"/>
  <c r="DJ7" i="1"/>
  <c r="DI7" i="1"/>
  <c r="DQ7" i="1"/>
  <c r="DP7" i="1"/>
  <c r="DN7" i="1"/>
  <c r="DR7" i="1"/>
  <c r="DT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DV7" i="1"/>
  <c r="CR7" i="1"/>
  <c r="CQ7" i="1"/>
  <c r="CO7" i="1"/>
  <c r="EQ7" i="1"/>
  <c r="EP7" i="1"/>
  <c r="CN7" i="1"/>
  <c r="CM7" i="1"/>
  <c r="CL7" i="1"/>
  <c r="CP7" i="1"/>
  <c r="CK7" i="1"/>
  <c r="DW7" i="1"/>
  <c r="CJ7" i="1"/>
  <c r="DK6" i="1"/>
  <c r="DJ6" i="1"/>
  <c r="DI6" i="1"/>
  <c r="DP6" i="1"/>
  <c r="DN6" i="1"/>
  <c r="DR6" i="1"/>
  <c r="DT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DV6" i="1"/>
  <c r="CR6" i="1"/>
  <c r="CQ6" i="1"/>
  <c r="CO6" i="1"/>
  <c r="EQ6" i="1"/>
  <c r="EP6" i="1"/>
  <c r="CN6" i="1"/>
  <c r="CM6" i="1"/>
  <c r="CL6" i="1"/>
  <c r="CP6" i="1"/>
  <c r="CK6" i="1"/>
  <c r="DW6" i="1"/>
  <c r="CJ6" i="1"/>
  <c r="DK5" i="1"/>
  <c r="DJ5" i="1"/>
  <c r="DI5" i="1"/>
  <c r="DP5" i="1"/>
  <c r="DN5" i="1"/>
  <c r="DR5" i="1"/>
  <c r="DT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DV5" i="1"/>
  <c r="CR5" i="1"/>
  <c r="CQ5" i="1"/>
  <c r="CO5" i="1"/>
  <c r="EQ5" i="1"/>
  <c r="EP5" i="1"/>
  <c r="CN5" i="1"/>
  <c r="CM5" i="1"/>
  <c r="CL5" i="1"/>
  <c r="CP5" i="1"/>
  <c r="CK5" i="1"/>
  <c r="DW5" i="1"/>
  <c r="CJ5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D116" i="1"/>
  <c r="G29" i="1"/>
  <c r="F29" i="1"/>
  <c r="E29" i="1"/>
  <c r="D29" i="1"/>
  <c r="G8" i="1"/>
  <c r="G9" i="1"/>
  <c r="G10" i="1"/>
  <c r="G11" i="1"/>
  <c r="G12" i="1"/>
  <c r="G13" i="1"/>
  <c r="F6" i="1"/>
  <c r="G6" i="1"/>
  <c r="F7" i="1"/>
  <c r="G7" i="1"/>
  <c r="F8" i="1"/>
  <c r="F9" i="1"/>
  <c r="F10" i="1"/>
  <c r="G5" i="1"/>
  <c r="D6" i="1"/>
  <c r="E6" i="1"/>
  <c r="D7" i="1"/>
  <c r="E7" i="1"/>
  <c r="D8" i="1"/>
  <c r="E8" i="1"/>
  <c r="D9" i="1"/>
  <c r="E9" i="1"/>
  <c r="D10" i="1"/>
  <c r="E10" i="1"/>
  <c r="D11" i="1"/>
  <c r="E11" i="1"/>
  <c r="F11" i="1"/>
  <c r="D12" i="1"/>
  <c r="E12" i="1"/>
  <c r="F12" i="1"/>
  <c r="D13" i="1"/>
  <c r="E13" i="1"/>
  <c r="F13" i="1"/>
  <c r="E5" i="1"/>
  <c r="F5" i="1"/>
  <c r="D5" i="1"/>
  <c r="DN281" i="1" l="1"/>
  <c r="DR281" i="1"/>
  <c r="I284" i="1"/>
  <c r="EO6" i="1"/>
  <c r="EO18" i="1"/>
  <c r="EO21" i="1"/>
  <c r="EO22" i="1"/>
  <c r="EO39" i="1"/>
  <c r="EO46" i="1"/>
  <c r="EO51" i="1"/>
  <c r="EO52" i="1"/>
  <c r="EO53" i="1"/>
  <c r="EO54" i="1"/>
  <c r="EO81" i="1"/>
  <c r="EO83" i="1"/>
  <c r="EO87" i="1"/>
  <c r="EO89" i="1"/>
  <c r="EO94" i="1"/>
  <c r="EO95" i="1"/>
  <c r="EO107" i="1"/>
  <c r="EO109" i="1"/>
  <c r="EO112" i="1"/>
  <c r="EO124" i="1"/>
  <c r="EO125" i="1"/>
  <c r="EO126" i="1"/>
  <c r="EO155" i="1"/>
  <c r="EO156" i="1"/>
  <c r="EO157" i="1"/>
  <c r="EO162" i="1"/>
  <c r="EO166" i="1"/>
  <c r="EO167" i="1"/>
  <c r="EO207" i="1"/>
  <c r="EO216" i="1"/>
  <c r="EO218" i="1"/>
  <c r="EO233" i="1"/>
  <c r="EO234" i="1"/>
  <c r="EO239" i="1"/>
  <c r="EO206" i="1"/>
  <c r="EO209" i="1"/>
  <c r="EO210" i="1"/>
  <c r="EO217" i="1"/>
  <c r="EO220" i="1"/>
  <c r="EO222" i="1"/>
  <c r="EO236" i="1"/>
  <c r="EO240" i="1"/>
  <c r="EO242" i="1"/>
  <c r="EO243" i="1"/>
  <c r="EO244" i="1"/>
  <c r="EO246" i="1"/>
  <c r="EO177" i="1"/>
  <c r="EO245" i="1"/>
  <c r="EO5" i="1"/>
  <c r="EO8" i="1"/>
  <c r="EO9" i="1"/>
  <c r="EO13" i="1"/>
  <c r="EO19" i="1"/>
  <c r="EO20" i="1"/>
  <c r="EO50" i="1"/>
  <c r="EO88" i="1"/>
  <c r="EO93" i="1"/>
  <c r="EO96" i="1"/>
  <c r="EO104" i="1"/>
  <c r="EO108" i="1"/>
  <c r="EO110" i="1"/>
  <c r="EO113" i="1"/>
  <c r="EO114" i="1"/>
  <c r="EO115" i="1"/>
  <c r="EO122" i="1"/>
  <c r="EO145" i="1"/>
  <c r="EO159" i="1"/>
  <c r="EO160" i="1"/>
  <c r="EO170" i="1"/>
  <c r="EO171" i="1"/>
  <c r="EO208" i="1"/>
  <c r="EO215" i="1"/>
  <c r="EO219" i="1"/>
  <c r="EO237" i="1"/>
  <c r="EO258" i="1"/>
  <c r="EO7" i="1"/>
  <c r="EO10" i="1"/>
  <c r="EO23" i="1"/>
  <c r="EO33" i="1"/>
  <c r="EO35" i="1"/>
  <c r="EO38" i="1"/>
  <c r="EO47" i="1"/>
  <c r="EO48" i="1"/>
  <c r="EO84" i="1"/>
  <c r="EO111" i="1"/>
  <c r="EO123" i="1"/>
  <c r="EO127" i="1"/>
  <c r="EO130" i="1"/>
  <c r="EO168" i="1"/>
  <c r="EO169" i="1"/>
  <c r="EO11" i="1"/>
  <c r="EO12" i="1"/>
  <c r="EO17" i="1"/>
  <c r="EO24" i="1"/>
  <c r="EO25" i="1"/>
  <c r="EO34" i="1"/>
  <c r="EO37" i="1"/>
  <c r="EO49" i="1"/>
  <c r="EO128" i="1"/>
  <c r="EO131" i="1"/>
  <c r="EO132" i="1"/>
  <c r="EO133" i="1"/>
  <c r="EO134" i="1"/>
  <c r="EO137" i="1"/>
  <c r="EO139" i="1"/>
  <c r="EO152" i="1"/>
  <c r="EO153" i="1"/>
  <c r="EO154" i="1"/>
  <c r="EO158" i="1"/>
  <c r="EO161" i="1"/>
  <c r="EO163" i="1"/>
  <c r="EO164" i="1"/>
  <c r="EO176" i="1"/>
  <c r="EO204" i="1"/>
  <c r="EO205" i="1"/>
  <c r="EO213" i="1"/>
  <c r="EO221" i="1"/>
  <c r="EO223" i="1"/>
  <c r="EO229" i="1"/>
  <c r="H284" i="1"/>
  <c r="ER14" i="1" s="1"/>
  <c r="CI116" i="1"/>
  <c r="EN238" i="1"/>
  <c r="EN161" i="1"/>
  <c r="EN74" i="1"/>
  <c r="EN42" i="1"/>
  <c r="EN117" i="1"/>
  <c r="EN193" i="1"/>
  <c r="EN275" i="1"/>
  <c r="EN64" i="1"/>
  <c r="EN141" i="1"/>
  <c r="EN211" i="1"/>
  <c r="EN14" i="1"/>
  <c r="EN91" i="1"/>
  <c r="EN183" i="1"/>
  <c r="EN260" i="1"/>
  <c r="EN31" i="1"/>
  <c r="EN58" i="1"/>
  <c r="EN69" i="1"/>
  <c r="EN80" i="1"/>
  <c r="EN100" i="1"/>
  <c r="EN129" i="1"/>
  <c r="EN148" i="1"/>
  <c r="EN175" i="1"/>
  <c r="EN188" i="1"/>
  <c r="EN199" i="1"/>
  <c r="EN226" i="1"/>
  <c r="EN252" i="1"/>
  <c r="EN268" i="1"/>
  <c r="EN30" i="1"/>
  <c r="EN36" i="1"/>
  <c r="EN61" i="1"/>
  <c r="EN72" i="1"/>
  <c r="EN85" i="1"/>
  <c r="EN103" i="1"/>
  <c r="EN138" i="1"/>
  <c r="EN150" i="1"/>
  <c r="EN180" i="1"/>
  <c r="EN191" i="1"/>
  <c r="EN201" i="1"/>
  <c r="EN230" i="1"/>
  <c r="EN256" i="1"/>
  <c r="EN271" i="1"/>
  <c r="EN26" i="1"/>
  <c r="EN45" i="1"/>
  <c r="EN66" i="1"/>
  <c r="EN77" i="1"/>
  <c r="EN98" i="1"/>
  <c r="EN119" i="1"/>
  <c r="EN144" i="1"/>
  <c r="EN173" i="1"/>
  <c r="EN185" i="1"/>
  <c r="EN196" i="1"/>
  <c r="EN224" i="1"/>
  <c r="EN248" i="1"/>
  <c r="EN264" i="1"/>
  <c r="EN279" i="1"/>
  <c r="EN16" i="1"/>
  <c r="EN32" i="1"/>
  <c r="EN43" i="1"/>
  <c r="EN60" i="1"/>
  <c r="EN65" i="1"/>
  <c r="EN70" i="1"/>
  <c r="EN76" i="1"/>
  <c r="EN82" i="1"/>
  <c r="EN92" i="1"/>
  <c r="EN102" i="1"/>
  <c r="EN118" i="1"/>
  <c r="EN135" i="1"/>
  <c r="EN143" i="1"/>
  <c r="EN149" i="1"/>
  <c r="EN165" i="1"/>
  <c r="EN179" i="1"/>
  <c r="EN184" i="1"/>
  <c r="EN189" i="1"/>
  <c r="EN195" i="1"/>
  <c r="EN200" i="1"/>
  <c r="EN212" i="1"/>
  <c r="EN228" i="1"/>
  <c r="EN247" i="1"/>
  <c r="EN253" i="1"/>
  <c r="EN262" i="1"/>
  <c r="EN270" i="1"/>
  <c r="EN277" i="1"/>
  <c r="EN280" i="1"/>
  <c r="EN27" i="1"/>
  <c r="EN41" i="1"/>
  <c r="EN57" i="1"/>
  <c r="EN62" i="1"/>
  <c r="EN68" i="1"/>
  <c r="EN73" i="1"/>
  <c r="EN78" i="1"/>
  <c r="EN90" i="1"/>
  <c r="EN99" i="1"/>
  <c r="EN105" i="1"/>
  <c r="EN121" i="1"/>
  <c r="EN140" i="1"/>
  <c r="EN146" i="1"/>
  <c r="EN160" i="1"/>
  <c r="EN174" i="1"/>
  <c r="EN181" i="1"/>
  <c r="EN187" i="1"/>
  <c r="EN192" i="1"/>
  <c r="EN197" i="1"/>
  <c r="EN203" i="1"/>
  <c r="EN225" i="1"/>
  <c r="EN232" i="1"/>
  <c r="EN251" i="1"/>
  <c r="C62" i="15" s="1"/>
  <c r="D62" i="15" s="1"/>
  <c r="EN257" i="1"/>
  <c r="EN265" i="1"/>
  <c r="EN274" i="1"/>
  <c r="EN29" i="1"/>
  <c r="EN15" i="1"/>
  <c r="EN28" i="1"/>
  <c r="EN40" i="1"/>
  <c r="EN44" i="1"/>
  <c r="EN59" i="1"/>
  <c r="EN63" i="1"/>
  <c r="EN67" i="1"/>
  <c r="EN71" i="1"/>
  <c r="EN75" i="1"/>
  <c r="EN79" i="1"/>
  <c r="EN86" i="1"/>
  <c r="EN97" i="1"/>
  <c r="EN101" i="1"/>
  <c r="EN106" i="1"/>
  <c r="EN120" i="1"/>
  <c r="EN136" i="1"/>
  <c r="EN142" i="1"/>
  <c r="EN147" i="1"/>
  <c r="EN151" i="1"/>
  <c r="EN172" i="1"/>
  <c r="EN178" i="1"/>
  <c r="EN182" i="1"/>
  <c r="EN186" i="1"/>
  <c r="EN190" i="1"/>
  <c r="EN194" i="1"/>
  <c r="EN198" i="1"/>
  <c r="EN202" i="1"/>
  <c r="EN214" i="1"/>
  <c r="EN227" i="1"/>
  <c r="EN235" i="1"/>
  <c r="EN249" i="1"/>
  <c r="EN255" i="1"/>
  <c r="EN261" i="1"/>
  <c r="EN266" i="1"/>
  <c r="EN273" i="1"/>
  <c r="EN278" i="1"/>
  <c r="EN231" i="1"/>
  <c r="EN241" i="1"/>
  <c r="EN250" i="1"/>
  <c r="EN254" i="1"/>
  <c r="EN259" i="1"/>
  <c r="EN263" i="1"/>
  <c r="EN267" i="1"/>
  <c r="EN272" i="1"/>
  <c r="CA294" i="10"/>
  <c r="F281" i="1"/>
  <c r="G281" i="1"/>
  <c r="E281" i="1"/>
  <c r="D281" i="1"/>
  <c r="DO6" i="1" s="1"/>
  <c r="D282" i="1"/>
  <c r="EV7" i="1" s="1"/>
  <c r="C53" i="11"/>
  <c r="C52" i="11"/>
  <c r="C51" i="11"/>
  <c r="C50" i="11"/>
  <c r="C49" i="11"/>
  <c r="C48" i="11"/>
  <c r="C47" i="11"/>
  <c r="C46" i="11"/>
  <c r="C45" i="11" s="1"/>
  <c r="C44" i="11"/>
  <c r="C43" i="11"/>
  <c r="C42" i="11"/>
  <c r="C41" i="11"/>
  <c r="C40" i="11"/>
  <c r="C39" i="11"/>
  <c r="C38" i="11"/>
  <c r="C37" i="11"/>
  <c r="C36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1" i="11"/>
  <c r="C8" i="11"/>
  <c r="C7" i="11"/>
  <c r="C6" i="11"/>
  <c r="C10" i="11"/>
  <c r="C9" i="11"/>
  <c r="DO29" i="1" l="1"/>
  <c r="DO12" i="1"/>
  <c r="DO5" i="1"/>
  <c r="EH12" i="1"/>
  <c r="EI116" i="1"/>
  <c r="DO116" i="1"/>
  <c r="DO280" i="1"/>
  <c r="DO276" i="1"/>
  <c r="DO272" i="1"/>
  <c r="DO268" i="1"/>
  <c r="DO264" i="1"/>
  <c r="DO260" i="1"/>
  <c r="DO256" i="1"/>
  <c r="DO252" i="1"/>
  <c r="DO248" i="1"/>
  <c r="DO244" i="1"/>
  <c r="DO240" i="1"/>
  <c r="DO236" i="1"/>
  <c r="DO232" i="1"/>
  <c r="DO228" i="1"/>
  <c r="DO224" i="1"/>
  <c r="DO220" i="1"/>
  <c r="DO216" i="1"/>
  <c r="DO212" i="1"/>
  <c r="DO208" i="1"/>
  <c r="DO204" i="1"/>
  <c r="DO200" i="1"/>
  <c r="DO196" i="1"/>
  <c r="DO192" i="1"/>
  <c r="DO188" i="1"/>
  <c r="DO184" i="1"/>
  <c r="DO180" i="1"/>
  <c r="DO176" i="1"/>
  <c r="DO172" i="1"/>
  <c r="DO168" i="1"/>
  <c r="DO164" i="1"/>
  <c r="DO160" i="1"/>
  <c r="DO156" i="1"/>
  <c r="DO152" i="1"/>
  <c r="DO148" i="1"/>
  <c r="DO144" i="1"/>
  <c r="DO140" i="1"/>
  <c r="DO136" i="1"/>
  <c r="DO132" i="1"/>
  <c r="DO128" i="1"/>
  <c r="DO124" i="1"/>
  <c r="DO120" i="1"/>
  <c r="DO115" i="1"/>
  <c r="DO111" i="1"/>
  <c r="DO107" i="1"/>
  <c r="DO103" i="1"/>
  <c r="DO99" i="1"/>
  <c r="DO95" i="1"/>
  <c r="DO91" i="1"/>
  <c r="DO87" i="1"/>
  <c r="DO83" i="1"/>
  <c r="DO79" i="1"/>
  <c r="DO75" i="1"/>
  <c r="DO71" i="1"/>
  <c r="DO67" i="1"/>
  <c r="DO63" i="1"/>
  <c r="DO59" i="1"/>
  <c r="DO55" i="1"/>
  <c r="DO51" i="1"/>
  <c r="DO47" i="1"/>
  <c r="DO43" i="1"/>
  <c r="DO39" i="1"/>
  <c r="DO35" i="1"/>
  <c r="DO31" i="1"/>
  <c r="DO27" i="1"/>
  <c r="DO23" i="1"/>
  <c r="DO19" i="1"/>
  <c r="DO15" i="1"/>
  <c r="EG116" i="1"/>
  <c r="DO279" i="1"/>
  <c r="DO275" i="1"/>
  <c r="DO271" i="1"/>
  <c r="DO267" i="1"/>
  <c r="DO263" i="1"/>
  <c r="DO259" i="1"/>
  <c r="DO255" i="1"/>
  <c r="DO251" i="1"/>
  <c r="C46" i="15" s="1"/>
  <c r="DO247" i="1"/>
  <c r="DO243" i="1"/>
  <c r="DO239" i="1"/>
  <c r="DO235" i="1"/>
  <c r="DO231" i="1"/>
  <c r="DO227" i="1"/>
  <c r="DO223" i="1"/>
  <c r="DO219" i="1"/>
  <c r="DO215" i="1"/>
  <c r="DO211" i="1"/>
  <c r="DO207" i="1"/>
  <c r="DO203" i="1"/>
  <c r="DO199" i="1"/>
  <c r="DO195" i="1"/>
  <c r="DO191" i="1"/>
  <c r="DO187" i="1"/>
  <c r="DO183" i="1"/>
  <c r="DO179" i="1"/>
  <c r="DO175" i="1"/>
  <c r="DO171" i="1"/>
  <c r="DO167" i="1"/>
  <c r="DO163" i="1"/>
  <c r="DO159" i="1"/>
  <c r="DO155" i="1"/>
  <c r="DO151" i="1"/>
  <c r="DO147" i="1"/>
  <c r="DO143" i="1"/>
  <c r="DO139" i="1"/>
  <c r="DO135" i="1"/>
  <c r="DO131" i="1"/>
  <c r="DO127" i="1"/>
  <c r="DO123" i="1"/>
  <c r="DO119" i="1"/>
  <c r="DO114" i="1"/>
  <c r="DO110" i="1"/>
  <c r="DO106" i="1"/>
  <c r="DO102" i="1"/>
  <c r="DO98" i="1"/>
  <c r="DO94" i="1"/>
  <c r="DO90" i="1"/>
  <c r="DO86" i="1"/>
  <c r="DO82" i="1"/>
  <c r="DO78" i="1"/>
  <c r="DO74" i="1"/>
  <c r="DO70" i="1"/>
  <c r="DO66" i="1"/>
  <c r="DO62" i="1"/>
  <c r="DO58" i="1"/>
  <c r="DO54" i="1"/>
  <c r="DO50" i="1"/>
  <c r="DO46" i="1"/>
  <c r="DO42" i="1"/>
  <c r="DO38" i="1"/>
  <c r="DO34" i="1"/>
  <c r="DO30" i="1"/>
  <c r="DO26" i="1"/>
  <c r="DO22" i="1"/>
  <c r="DO18" i="1"/>
  <c r="DO14" i="1"/>
  <c r="DX116" i="1"/>
  <c r="DO278" i="1"/>
  <c r="DO274" i="1"/>
  <c r="DO270" i="1"/>
  <c r="DO266" i="1"/>
  <c r="DO262" i="1"/>
  <c r="DO258" i="1"/>
  <c r="DO254" i="1"/>
  <c r="DO250" i="1"/>
  <c r="DO246" i="1"/>
  <c r="DO242" i="1"/>
  <c r="DO238" i="1"/>
  <c r="DO234" i="1"/>
  <c r="DO230" i="1"/>
  <c r="DO226" i="1"/>
  <c r="DO222" i="1"/>
  <c r="DO218" i="1"/>
  <c r="DO214" i="1"/>
  <c r="DO210" i="1"/>
  <c r="DO206" i="1"/>
  <c r="DO202" i="1"/>
  <c r="DO198" i="1"/>
  <c r="DO194" i="1"/>
  <c r="DO190" i="1"/>
  <c r="DO186" i="1"/>
  <c r="DO182" i="1"/>
  <c r="DO178" i="1"/>
  <c r="DO174" i="1"/>
  <c r="DO170" i="1"/>
  <c r="DO166" i="1"/>
  <c r="DO162" i="1"/>
  <c r="DO158" i="1"/>
  <c r="DO154" i="1"/>
  <c r="DO150" i="1"/>
  <c r="DO146" i="1"/>
  <c r="DO142" i="1"/>
  <c r="DO138" i="1"/>
  <c r="DO134" i="1"/>
  <c r="DO130" i="1"/>
  <c r="DO126" i="1"/>
  <c r="DO122" i="1"/>
  <c r="DO118" i="1"/>
  <c r="DO113" i="1"/>
  <c r="DO109" i="1"/>
  <c r="DO105" i="1"/>
  <c r="DO101" i="1"/>
  <c r="DO97" i="1"/>
  <c r="DO93" i="1"/>
  <c r="DO89" i="1"/>
  <c r="DO85" i="1"/>
  <c r="DO81" i="1"/>
  <c r="DO77" i="1"/>
  <c r="DO73" i="1"/>
  <c r="DO69" i="1"/>
  <c r="DO65" i="1"/>
  <c r="DO61" i="1"/>
  <c r="DO57" i="1"/>
  <c r="DO53" i="1"/>
  <c r="DO49" i="1"/>
  <c r="DO45" i="1"/>
  <c r="DO41" i="1"/>
  <c r="DO37" i="1"/>
  <c r="DO33" i="1"/>
  <c r="DO25" i="1"/>
  <c r="DO21" i="1"/>
  <c r="DO17" i="1"/>
  <c r="EK116" i="1"/>
  <c r="DO277" i="1"/>
  <c r="DO273" i="1"/>
  <c r="DO269" i="1"/>
  <c r="DO265" i="1"/>
  <c r="DO261" i="1"/>
  <c r="DO257" i="1"/>
  <c r="DO253" i="1"/>
  <c r="DO249" i="1"/>
  <c r="DO245" i="1"/>
  <c r="DO241" i="1"/>
  <c r="DO237" i="1"/>
  <c r="DO233" i="1"/>
  <c r="DO229" i="1"/>
  <c r="DO225" i="1"/>
  <c r="DO221" i="1"/>
  <c r="DO217" i="1"/>
  <c r="DO213" i="1"/>
  <c r="DO209" i="1"/>
  <c r="DO205" i="1"/>
  <c r="DO201" i="1"/>
  <c r="DO197" i="1"/>
  <c r="DO193" i="1"/>
  <c r="DO189" i="1"/>
  <c r="DO185" i="1"/>
  <c r="DO181" i="1"/>
  <c r="DO177" i="1"/>
  <c r="DO173" i="1"/>
  <c r="DO169" i="1"/>
  <c r="DO165" i="1"/>
  <c r="DO161" i="1"/>
  <c r="DO157" i="1"/>
  <c r="DO153" i="1"/>
  <c r="DO149" i="1"/>
  <c r="DO145" i="1"/>
  <c r="DO141" i="1"/>
  <c r="DO137" i="1"/>
  <c r="DO133" i="1"/>
  <c r="DO129" i="1"/>
  <c r="DO125" i="1"/>
  <c r="DO121" i="1"/>
  <c r="DO117" i="1"/>
  <c r="DO112" i="1"/>
  <c r="DO108" i="1"/>
  <c r="DO104" i="1"/>
  <c r="DO100" i="1"/>
  <c r="DO96" i="1"/>
  <c r="DO92" i="1"/>
  <c r="DO88" i="1"/>
  <c r="DO84" i="1"/>
  <c r="DO80" i="1"/>
  <c r="DO76" i="1"/>
  <c r="DO72" i="1"/>
  <c r="DO68" i="1"/>
  <c r="DO64" i="1"/>
  <c r="DO60" i="1"/>
  <c r="DO56" i="1"/>
  <c r="DO52" i="1"/>
  <c r="DO48" i="1"/>
  <c r="DO44" i="1"/>
  <c r="DO40" i="1"/>
  <c r="DO36" i="1"/>
  <c r="DO32" i="1"/>
  <c r="DO28" i="1"/>
  <c r="DO24" i="1"/>
  <c r="DO20" i="1"/>
  <c r="DO16" i="1"/>
  <c r="EH116" i="1"/>
  <c r="DO7" i="1"/>
  <c r="DO8" i="1"/>
  <c r="DO11" i="1"/>
  <c r="DO10" i="1"/>
  <c r="DO9" i="1"/>
  <c r="DO13" i="1"/>
  <c r="EK7" i="1"/>
  <c r="EH9" i="1"/>
  <c r="EK5" i="1"/>
  <c r="EH6" i="1"/>
  <c r="DX8" i="1"/>
  <c r="EK13" i="1"/>
  <c r="DX29" i="1"/>
  <c r="DX7" i="1"/>
  <c r="EH11" i="1"/>
  <c r="EH5" i="1"/>
  <c r="DX6" i="1"/>
  <c r="EK10" i="1"/>
  <c r="EH13" i="1"/>
  <c r="EI13" i="1"/>
  <c r="DX279" i="1"/>
  <c r="DX275" i="1"/>
  <c r="DX271" i="1"/>
  <c r="DX267" i="1"/>
  <c r="DX263" i="1"/>
  <c r="DX259" i="1"/>
  <c r="DX255" i="1"/>
  <c r="DX251" i="1"/>
  <c r="C55" i="15" s="1"/>
  <c r="D55" i="15" s="1"/>
  <c r="DX247" i="1"/>
  <c r="DX243" i="1"/>
  <c r="DX239" i="1"/>
  <c r="DX235" i="1"/>
  <c r="DX231" i="1"/>
  <c r="DX227" i="1"/>
  <c r="DX223" i="1"/>
  <c r="DX219" i="1"/>
  <c r="DX215" i="1"/>
  <c r="DX211" i="1"/>
  <c r="DX207" i="1"/>
  <c r="DX203" i="1"/>
  <c r="DX199" i="1"/>
  <c r="DX195" i="1"/>
  <c r="DX191" i="1"/>
  <c r="DX187" i="1"/>
  <c r="DX183" i="1"/>
  <c r="DX179" i="1"/>
  <c r="DX175" i="1"/>
  <c r="DX171" i="1"/>
  <c r="DX167" i="1"/>
  <c r="DX163" i="1"/>
  <c r="DX159" i="1"/>
  <c r="DX155" i="1"/>
  <c r="DX151" i="1"/>
  <c r="DX147" i="1"/>
  <c r="DX143" i="1"/>
  <c r="DX139" i="1"/>
  <c r="DX135" i="1"/>
  <c r="DX276" i="1"/>
  <c r="DX272" i="1"/>
  <c r="DX268" i="1"/>
  <c r="DX264" i="1"/>
  <c r="DX260" i="1"/>
  <c r="DX256" i="1"/>
  <c r="DX252" i="1"/>
  <c r="DX248" i="1"/>
  <c r="DX244" i="1"/>
  <c r="DX240" i="1"/>
  <c r="DX236" i="1"/>
  <c r="DX232" i="1"/>
  <c r="DX228" i="1"/>
  <c r="DX224" i="1"/>
  <c r="DX220" i="1"/>
  <c r="DX216" i="1"/>
  <c r="DX212" i="1"/>
  <c r="DX208" i="1"/>
  <c r="DX204" i="1"/>
  <c r="DX200" i="1"/>
  <c r="DX196" i="1"/>
  <c r="DX192" i="1"/>
  <c r="DX188" i="1"/>
  <c r="DX184" i="1"/>
  <c r="DX180" i="1"/>
  <c r="DX176" i="1"/>
  <c r="DX172" i="1"/>
  <c r="DX168" i="1"/>
  <c r="DX164" i="1"/>
  <c r="DX160" i="1"/>
  <c r="DX156" i="1"/>
  <c r="DX152" i="1"/>
  <c r="DX148" i="1"/>
  <c r="DX144" i="1"/>
  <c r="DX140" i="1"/>
  <c r="DX136" i="1"/>
  <c r="DX132" i="1"/>
  <c r="DX128" i="1"/>
  <c r="DX124" i="1"/>
  <c r="DX120" i="1"/>
  <c r="DX112" i="1"/>
  <c r="DX108" i="1"/>
  <c r="DX104" i="1"/>
  <c r="DX100" i="1"/>
  <c r="DX96" i="1"/>
  <c r="DX92" i="1"/>
  <c r="DX88" i="1"/>
  <c r="DX84" i="1"/>
  <c r="DX80" i="1"/>
  <c r="DX76" i="1"/>
  <c r="DX72" i="1"/>
  <c r="DX68" i="1"/>
  <c r="DX64" i="1"/>
  <c r="DX60" i="1"/>
  <c r="DX56" i="1"/>
  <c r="DX52" i="1"/>
  <c r="DX48" i="1"/>
  <c r="DX44" i="1"/>
  <c r="DX40" i="1"/>
  <c r="DX36" i="1"/>
  <c r="DX32" i="1"/>
  <c r="DX28" i="1"/>
  <c r="DX24" i="1"/>
  <c r="DX20" i="1"/>
  <c r="DX16" i="1"/>
  <c r="DX280" i="1"/>
  <c r="EH279" i="1"/>
  <c r="EH275" i="1"/>
  <c r="EH271" i="1"/>
  <c r="EH267" i="1"/>
  <c r="EH263" i="1"/>
  <c r="EH259" i="1"/>
  <c r="EH255" i="1"/>
  <c r="EH251" i="1"/>
  <c r="EH247" i="1"/>
  <c r="EH243" i="1"/>
  <c r="EH239" i="1"/>
  <c r="EH235" i="1"/>
  <c r="EH231" i="1"/>
  <c r="EH227" i="1"/>
  <c r="EH223" i="1"/>
  <c r="EH219" i="1"/>
  <c r="DX278" i="1"/>
  <c r="DX270" i="1"/>
  <c r="DX262" i="1"/>
  <c r="DX254" i="1"/>
  <c r="DX246" i="1"/>
  <c r="DX238" i="1"/>
  <c r="DX230" i="1"/>
  <c r="DX222" i="1"/>
  <c r="DX214" i="1"/>
  <c r="DX206" i="1"/>
  <c r="DX198" i="1"/>
  <c r="DX190" i="1"/>
  <c r="DX182" i="1"/>
  <c r="DX174" i="1"/>
  <c r="DX166" i="1"/>
  <c r="DX158" i="1"/>
  <c r="DX150" i="1"/>
  <c r="DX142" i="1"/>
  <c r="DX134" i="1"/>
  <c r="DX129" i="1"/>
  <c r="DX123" i="1"/>
  <c r="DX118" i="1"/>
  <c r="DX113" i="1"/>
  <c r="DX107" i="1"/>
  <c r="DX102" i="1"/>
  <c r="DX97" i="1"/>
  <c r="DX91" i="1"/>
  <c r="DX86" i="1"/>
  <c r="DX81" i="1"/>
  <c r="DX75" i="1"/>
  <c r="DX70" i="1"/>
  <c r="DX65" i="1"/>
  <c r="DX59" i="1"/>
  <c r="DX54" i="1"/>
  <c r="DX49" i="1"/>
  <c r="DX43" i="1"/>
  <c r="DX38" i="1"/>
  <c r="DX33" i="1"/>
  <c r="DX27" i="1"/>
  <c r="DX22" i="1"/>
  <c r="DX17" i="1"/>
  <c r="EH274" i="1"/>
  <c r="EH269" i="1"/>
  <c r="EH264" i="1"/>
  <c r="EH258" i="1"/>
  <c r="EH253" i="1"/>
  <c r="EH248" i="1"/>
  <c r="EH242" i="1"/>
  <c r="EH237" i="1"/>
  <c r="EH232" i="1"/>
  <c r="EH226" i="1"/>
  <c r="EH221" i="1"/>
  <c r="EH216" i="1"/>
  <c r="EH212" i="1"/>
  <c r="EH208" i="1"/>
  <c r="EH204" i="1"/>
  <c r="EH200" i="1"/>
  <c r="EH196" i="1"/>
  <c r="EH192" i="1"/>
  <c r="EH188" i="1"/>
  <c r="EH184" i="1"/>
  <c r="EH180" i="1"/>
  <c r="EH176" i="1"/>
  <c r="EH172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2" i="1"/>
  <c r="EH108" i="1"/>
  <c r="EH104" i="1"/>
  <c r="DX277" i="1"/>
  <c r="DX269" i="1"/>
  <c r="DX261" i="1"/>
  <c r="DX253" i="1"/>
  <c r="DX245" i="1"/>
  <c r="DX237" i="1"/>
  <c r="DX229" i="1"/>
  <c r="DX221" i="1"/>
  <c r="DX213" i="1"/>
  <c r="DX205" i="1"/>
  <c r="DX197" i="1"/>
  <c r="DX189" i="1"/>
  <c r="DX181" i="1"/>
  <c r="DX173" i="1"/>
  <c r="DX165" i="1"/>
  <c r="DX157" i="1"/>
  <c r="DX149" i="1"/>
  <c r="DX141" i="1"/>
  <c r="DX133" i="1"/>
  <c r="DX127" i="1"/>
  <c r="DX122" i="1"/>
  <c r="DX117" i="1"/>
  <c r="DX111" i="1"/>
  <c r="DX106" i="1"/>
  <c r="DX101" i="1"/>
  <c r="DX95" i="1"/>
  <c r="DX90" i="1"/>
  <c r="DX85" i="1"/>
  <c r="DX79" i="1"/>
  <c r="DX74" i="1"/>
  <c r="DX69" i="1"/>
  <c r="DX63" i="1"/>
  <c r="DX58" i="1"/>
  <c r="DX53" i="1"/>
  <c r="DX47" i="1"/>
  <c r="DX42" i="1"/>
  <c r="DX37" i="1"/>
  <c r="DX31" i="1"/>
  <c r="DX26" i="1"/>
  <c r="DX21" i="1"/>
  <c r="DX15" i="1"/>
  <c r="EH278" i="1"/>
  <c r="EH273" i="1"/>
  <c r="EH268" i="1"/>
  <c r="EH262" i="1"/>
  <c r="EH257" i="1"/>
  <c r="EH252" i="1"/>
  <c r="EH246" i="1"/>
  <c r="EH241" i="1"/>
  <c r="EH236" i="1"/>
  <c r="EH230" i="1"/>
  <c r="EH225" i="1"/>
  <c r="EH220" i="1"/>
  <c r="EH215" i="1"/>
  <c r="EH211" i="1"/>
  <c r="EH207" i="1"/>
  <c r="EH203" i="1"/>
  <c r="EH199" i="1"/>
  <c r="EH195" i="1"/>
  <c r="EH191" i="1"/>
  <c r="EH187" i="1"/>
  <c r="EH183" i="1"/>
  <c r="EH179" i="1"/>
  <c r="EH175" i="1"/>
  <c r="EH171" i="1"/>
  <c r="EH167" i="1"/>
  <c r="EH163" i="1"/>
  <c r="EH159" i="1"/>
  <c r="EH155" i="1"/>
  <c r="EH151" i="1"/>
  <c r="EH147" i="1"/>
  <c r="EH143" i="1"/>
  <c r="EH139" i="1"/>
  <c r="EH135" i="1"/>
  <c r="EH131" i="1"/>
  <c r="EH127" i="1"/>
  <c r="EH123" i="1"/>
  <c r="EH119" i="1"/>
  <c r="EH115" i="1"/>
  <c r="EH111" i="1"/>
  <c r="EH107" i="1"/>
  <c r="EH103" i="1"/>
  <c r="EH99" i="1"/>
  <c r="DX273" i="1"/>
  <c r="DX265" i="1"/>
  <c r="DX257" i="1"/>
  <c r="DX249" i="1"/>
  <c r="DX241" i="1"/>
  <c r="DX233" i="1"/>
  <c r="DX225" i="1"/>
  <c r="DX217" i="1"/>
  <c r="DX209" i="1"/>
  <c r="DX201" i="1"/>
  <c r="DX193" i="1"/>
  <c r="DX185" i="1"/>
  <c r="DX177" i="1"/>
  <c r="DX169" i="1"/>
  <c r="DX161" i="1"/>
  <c r="DX153" i="1"/>
  <c r="DX145" i="1"/>
  <c r="DX137" i="1"/>
  <c r="DX130" i="1"/>
  <c r="DX125" i="1"/>
  <c r="DX119" i="1"/>
  <c r="DX114" i="1"/>
  <c r="DX109" i="1"/>
  <c r="DX103" i="1"/>
  <c r="DX98" i="1"/>
  <c r="DX93" i="1"/>
  <c r="DX87" i="1"/>
  <c r="DX82" i="1"/>
  <c r="DX77" i="1"/>
  <c r="DX71" i="1"/>
  <c r="DX66" i="1"/>
  <c r="DX61" i="1"/>
  <c r="DX55" i="1"/>
  <c r="DX50" i="1"/>
  <c r="DX45" i="1"/>
  <c r="DX39" i="1"/>
  <c r="DX34" i="1"/>
  <c r="DX23" i="1"/>
  <c r="DX18" i="1"/>
  <c r="EH276" i="1"/>
  <c r="EH270" i="1"/>
  <c r="EH265" i="1"/>
  <c r="EH260" i="1"/>
  <c r="EH254" i="1"/>
  <c r="EH249" i="1"/>
  <c r="EH244" i="1"/>
  <c r="EH238" i="1"/>
  <c r="EH233" i="1"/>
  <c r="EH228" i="1"/>
  <c r="EH222" i="1"/>
  <c r="EH217" i="1"/>
  <c r="EH213" i="1"/>
  <c r="EH209" i="1"/>
  <c r="EH205" i="1"/>
  <c r="EH201" i="1"/>
  <c r="EH197" i="1"/>
  <c r="EH193" i="1"/>
  <c r="EH189" i="1"/>
  <c r="EH185" i="1"/>
  <c r="EH181" i="1"/>
  <c r="EH177" i="1"/>
  <c r="EH173" i="1"/>
  <c r="EH169" i="1"/>
  <c r="EH165" i="1"/>
  <c r="EH161" i="1"/>
  <c r="EH157" i="1"/>
  <c r="EH153" i="1"/>
  <c r="EH149" i="1"/>
  <c r="EH145" i="1"/>
  <c r="EH141" i="1"/>
  <c r="EH137" i="1"/>
  <c r="EH133" i="1"/>
  <c r="EH129" i="1"/>
  <c r="EH125" i="1"/>
  <c r="EH121" i="1"/>
  <c r="EH117" i="1"/>
  <c r="EH113" i="1"/>
  <c r="EH109" i="1"/>
  <c r="EH105" i="1"/>
  <c r="EH101" i="1"/>
  <c r="EH97" i="1"/>
  <c r="EH93" i="1"/>
  <c r="EH89" i="1"/>
  <c r="EH85" i="1"/>
  <c r="EH81" i="1"/>
  <c r="EH77" i="1"/>
  <c r="EH73" i="1"/>
  <c r="EH69" i="1"/>
  <c r="EH65" i="1"/>
  <c r="EH61" i="1"/>
  <c r="EH57" i="1"/>
  <c r="EH53" i="1"/>
  <c r="EH49" i="1"/>
  <c r="EH45" i="1"/>
  <c r="EH41" i="1"/>
  <c r="EH37" i="1"/>
  <c r="EH33" i="1"/>
  <c r="EH25" i="1"/>
  <c r="EH21" i="1"/>
  <c r="EH17" i="1"/>
  <c r="EK272" i="1"/>
  <c r="EK262" i="1"/>
  <c r="EK250" i="1"/>
  <c r="EK240" i="1"/>
  <c r="EK230" i="1"/>
  <c r="EK218" i="1"/>
  <c r="EK208" i="1"/>
  <c r="EK198" i="1"/>
  <c r="EK186" i="1"/>
  <c r="EK176" i="1"/>
  <c r="EK166" i="1"/>
  <c r="EK154" i="1"/>
  <c r="EK147" i="1"/>
  <c r="EK142" i="1"/>
  <c r="EK136" i="1"/>
  <c r="EK131" i="1"/>
  <c r="EK126" i="1"/>
  <c r="EK120" i="1"/>
  <c r="EK115" i="1"/>
  <c r="EK110" i="1"/>
  <c r="EK104" i="1"/>
  <c r="EK99" i="1"/>
  <c r="EK94" i="1"/>
  <c r="EK88" i="1"/>
  <c r="EK83" i="1"/>
  <c r="EK78" i="1"/>
  <c r="EK72" i="1"/>
  <c r="EK67" i="1"/>
  <c r="EK62" i="1"/>
  <c r="EK56" i="1"/>
  <c r="EK51" i="1"/>
  <c r="EK46" i="1"/>
  <c r="EK40" i="1"/>
  <c r="EK35" i="1"/>
  <c r="EK30" i="1"/>
  <c r="EK24" i="1"/>
  <c r="EK19" i="1"/>
  <c r="EK15" i="1"/>
  <c r="DX274" i="1"/>
  <c r="DX242" i="1"/>
  <c r="DX210" i="1"/>
  <c r="DX178" i="1"/>
  <c r="DX146" i="1"/>
  <c r="DX121" i="1"/>
  <c r="DX99" i="1"/>
  <c r="DX78" i="1"/>
  <c r="DX57" i="1"/>
  <c r="DX35" i="1"/>
  <c r="DX14" i="1"/>
  <c r="EH261" i="1"/>
  <c r="EH240" i="1"/>
  <c r="EH218" i="1"/>
  <c r="EH202" i="1"/>
  <c r="EH186" i="1"/>
  <c r="EH170" i="1"/>
  <c r="EH154" i="1"/>
  <c r="EH138" i="1"/>
  <c r="EH122" i="1"/>
  <c r="EH106" i="1"/>
  <c r="EH96" i="1"/>
  <c r="EH91" i="1"/>
  <c r="EH86" i="1"/>
  <c r="EH80" i="1"/>
  <c r="EH75" i="1"/>
  <c r="EH70" i="1"/>
  <c r="EH64" i="1"/>
  <c r="EH59" i="1"/>
  <c r="EH54" i="1"/>
  <c r="EH48" i="1"/>
  <c r="EH43" i="1"/>
  <c r="EH38" i="1"/>
  <c r="EH32" i="1"/>
  <c r="EH27" i="1"/>
  <c r="EH22" i="1"/>
  <c r="EH16" i="1"/>
  <c r="EK270" i="1"/>
  <c r="EK256" i="1"/>
  <c r="EK242" i="1"/>
  <c r="EK226" i="1"/>
  <c r="EK214" i="1"/>
  <c r="EK200" i="1"/>
  <c r="EK184" i="1"/>
  <c r="EK170" i="1"/>
  <c r="EK158" i="1"/>
  <c r="EK146" i="1"/>
  <c r="EK139" i="1"/>
  <c r="EK132" i="1"/>
  <c r="EK124" i="1"/>
  <c r="EK118" i="1"/>
  <c r="EK111" i="1"/>
  <c r="EK103" i="1"/>
  <c r="EK96" i="1"/>
  <c r="EK90" i="1"/>
  <c r="EK82" i="1"/>
  <c r="EK75" i="1"/>
  <c r="EK68" i="1"/>
  <c r="EK60" i="1"/>
  <c r="EK54" i="1"/>
  <c r="EK47" i="1"/>
  <c r="EK39" i="1"/>
  <c r="EK32" i="1"/>
  <c r="EK26" i="1"/>
  <c r="EK18" i="1"/>
  <c r="DX266" i="1"/>
  <c r="DX234" i="1"/>
  <c r="DX202" i="1"/>
  <c r="DX170" i="1"/>
  <c r="DX138" i="1"/>
  <c r="DX115" i="1"/>
  <c r="DX94" i="1"/>
  <c r="DX73" i="1"/>
  <c r="DX51" i="1"/>
  <c r="DX30" i="1"/>
  <c r="EH277" i="1"/>
  <c r="EH256" i="1"/>
  <c r="EH234" i="1"/>
  <c r="EH214" i="1"/>
  <c r="EH198" i="1"/>
  <c r="EH182" i="1"/>
  <c r="EH166" i="1"/>
  <c r="EH150" i="1"/>
  <c r="EH134" i="1"/>
  <c r="EH118" i="1"/>
  <c r="EH102" i="1"/>
  <c r="EH95" i="1"/>
  <c r="EH90" i="1"/>
  <c r="EH84" i="1"/>
  <c r="EH79" i="1"/>
  <c r="EH74" i="1"/>
  <c r="EH68" i="1"/>
  <c r="EH63" i="1"/>
  <c r="EH58" i="1"/>
  <c r="EH52" i="1"/>
  <c r="EH47" i="1"/>
  <c r="EH42" i="1"/>
  <c r="EH36" i="1"/>
  <c r="EH31" i="1"/>
  <c r="EH26" i="1"/>
  <c r="EH20" i="1"/>
  <c r="EH15" i="1"/>
  <c r="EH280" i="1"/>
  <c r="EK279" i="1"/>
  <c r="EK266" i="1"/>
  <c r="EK254" i="1"/>
  <c r="EK238" i="1"/>
  <c r="EK224" i="1"/>
  <c r="EK210" i="1"/>
  <c r="EK194" i="1"/>
  <c r="EK182" i="1"/>
  <c r="EK168" i="1"/>
  <c r="EK152" i="1"/>
  <c r="EK144" i="1"/>
  <c r="EK138" i="1"/>
  <c r="EK130" i="1"/>
  <c r="EK123" i="1"/>
  <c r="EK108" i="1"/>
  <c r="EK102" i="1"/>
  <c r="EK95" i="1"/>
  <c r="EK87" i="1"/>
  <c r="EK80" i="1"/>
  <c r="EK74" i="1"/>
  <c r="EK66" i="1"/>
  <c r="EK59" i="1"/>
  <c r="EK52" i="1"/>
  <c r="EK44" i="1"/>
  <c r="EK38" i="1"/>
  <c r="EK31" i="1"/>
  <c r="EK23" i="1"/>
  <c r="EK17" i="1"/>
  <c r="DX258" i="1"/>
  <c r="DX226" i="1"/>
  <c r="DX194" i="1"/>
  <c r="DX162" i="1"/>
  <c r="DX131" i="1"/>
  <c r="DX110" i="1"/>
  <c r="DX89" i="1"/>
  <c r="DX67" i="1"/>
  <c r="DX46" i="1"/>
  <c r="DX25" i="1"/>
  <c r="EH272" i="1"/>
  <c r="EH250" i="1"/>
  <c r="EH229" i="1"/>
  <c r="EH210" i="1"/>
  <c r="EH194" i="1"/>
  <c r="EH178" i="1"/>
  <c r="EH162" i="1"/>
  <c r="EH146" i="1"/>
  <c r="EH130" i="1"/>
  <c r="EH114" i="1"/>
  <c r="EH100" i="1"/>
  <c r="EH94" i="1"/>
  <c r="EH88" i="1"/>
  <c r="EH83" i="1"/>
  <c r="EH78" i="1"/>
  <c r="EH72" i="1"/>
  <c r="EH67" i="1"/>
  <c r="EH62" i="1"/>
  <c r="EH56" i="1"/>
  <c r="EH51" i="1"/>
  <c r="EH46" i="1"/>
  <c r="EH40" i="1"/>
  <c r="EH35" i="1"/>
  <c r="EH30" i="1"/>
  <c r="EH24" i="1"/>
  <c r="EH19" i="1"/>
  <c r="EH14" i="1"/>
  <c r="EK278" i="1"/>
  <c r="EK264" i="1"/>
  <c r="EK248" i="1"/>
  <c r="EK234" i="1"/>
  <c r="EK222" i="1"/>
  <c r="EK206" i="1"/>
  <c r="EK192" i="1"/>
  <c r="EK178" i="1"/>
  <c r="EK162" i="1"/>
  <c r="EK151" i="1"/>
  <c r="EK143" i="1"/>
  <c r="EK135" i="1"/>
  <c r="EK128" i="1"/>
  <c r="EK122" i="1"/>
  <c r="EK114" i="1"/>
  <c r="EK107" i="1"/>
  <c r="EK100" i="1"/>
  <c r="EK92" i="1"/>
  <c r="EK86" i="1"/>
  <c r="EK79" i="1"/>
  <c r="EK71" i="1"/>
  <c r="EK64" i="1"/>
  <c r="EK58" i="1"/>
  <c r="EK50" i="1"/>
  <c r="EK43" i="1"/>
  <c r="EK36" i="1"/>
  <c r="EK28" i="1"/>
  <c r="EK22" i="1"/>
  <c r="EK16" i="1"/>
  <c r="DX250" i="1"/>
  <c r="DX218" i="1"/>
  <c r="DX186" i="1"/>
  <c r="DX154" i="1"/>
  <c r="DX126" i="1"/>
  <c r="DX105" i="1"/>
  <c r="DX83" i="1"/>
  <c r="DX62" i="1"/>
  <c r="DX41" i="1"/>
  <c r="DX19" i="1"/>
  <c r="EH266" i="1"/>
  <c r="EH245" i="1"/>
  <c r="EH224" i="1"/>
  <c r="EH206" i="1"/>
  <c r="EH190" i="1"/>
  <c r="EH174" i="1"/>
  <c r="EH158" i="1"/>
  <c r="EH142" i="1"/>
  <c r="EH126" i="1"/>
  <c r="EH110" i="1"/>
  <c r="EH98" i="1"/>
  <c r="EH92" i="1"/>
  <c r="EH87" i="1"/>
  <c r="EH82" i="1"/>
  <c r="EH76" i="1"/>
  <c r="EH71" i="1"/>
  <c r="EH66" i="1"/>
  <c r="EH60" i="1"/>
  <c r="EH55" i="1"/>
  <c r="EH50" i="1"/>
  <c r="EH44" i="1"/>
  <c r="EH39" i="1"/>
  <c r="EH34" i="1"/>
  <c r="EH28" i="1"/>
  <c r="EH23" i="1"/>
  <c r="EH18" i="1"/>
  <c r="EK274" i="1"/>
  <c r="EK258" i="1"/>
  <c r="EK246" i="1"/>
  <c r="EK232" i="1"/>
  <c r="EK216" i="1"/>
  <c r="EK202" i="1"/>
  <c r="EK190" i="1"/>
  <c r="EK174" i="1"/>
  <c r="EK160" i="1"/>
  <c r="EK148" i="1"/>
  <c r="EK140" i="1"/>
  <c r="EK134" i="1"/>
  <c r="EK127" i="1"/>
  <c r="EK119" i="1"/>
  <c r="EK112" i="1"/>
  <c r="EK106" i="1"/>
  <c r="EK98" i="1"/>
  <c r="EK91" i="1"/>
  <c r="EK84" i="1"/>
  <c r="EK76" i="1"/>
  <c r="EK70" i="1"/>
  <c r="EK63" i="1"/>
  <c r="EK55" i="1"/>
  <c r="EK48" i="1"/>
  <c r="EK42" i="1"/>
  <c r="EK34" i="1"/>
  <c r="EK27" i="1"/>
  <c r="EK20" i="1"/>
  <c r="EK14" i="1"/>
  <c r="EK280" i="1"/>
  <c r="EK276" i="1"/>
  <c r="EK33" i="1"/>
  <c r="EK49" i="1"/>
  <c r="EK65" i="1"/>
  <c r="EK81" i="1"/>
  <c r="EK97" i="1"/>
  <c r="EK113" i="1"/>
  <c r="EK129" i="1"/>
  <c r="EK145" i="1"/>
  <c r="EK172" i="1"/>
  <c r="EK204" i="1"/>
  <c r="EK236" i="1"/>
  <c r="EK268" i="1"/>
  <c r="EK161" i="1"/>
  <c r="EK177" i="1"/>
  <c r="EK193" i="1"/>
  <c r="EK209" i="1"/>
  <c r="EK225" i="1"/>
  <c r="EK241" i="1"/>
  <c r="EK257" i="1"/>
  <c r="EK273" i="1"/>
  <c r="EK163" i="1"/>
  <c r="EK179" i="1"/>
  <c r="EK195" i="1"/>
  <c r="EK211" i="1"/>
  <c r="EK227" i="1"/>
  <c r="EK243" i="1"/>
  <c r="EK259" i="1"/>
  <c r="EK275" i="1"/>
  <c r="EK21" i="1"/>
  <c r="EK37" i="1"/>
  <c r="EK53" i="1"/>
  <c r="EK69" i="1"/>
  <c r="EK85" i="1"/>
  <c r="EK101" i="1"/>
  <c r="EK117" i="1"/>
  <c r="EK133" i="1"/>
  <c r="EK150" i="1"/>
  <c r="EK180" i="1"/>
  <c r="EK212" i="1"/>
  <c r="EK244" i="1"/>
  <c r="EK149" i="1"/>
  <c r="EK165" i="1"/>
  <c r="EK181" i="1"/>
  <c r="EK197" i="1"/>
  <c r="EK213" i="1"/>
  <c r="EK229" i="1"/>
  <c r="EK245" i="1"/>
  <c r="EK261" i="1"/>
  <c r="EK277" i="1"/>
  <c r="EK167" i="1"/>
  <c r="EK183" i="1"/>
  <c r="EK199" i="1"/>
  <c r="EK215" i="1"/>
  <c r="EK231" i="1"/>
  <c r="EK247" i="1"/>
  <c r="EK263" i="1"/>
  <c r="EK25" i="1"/>
  <c r="EK41" i="1"/>
  <c r="EK57" i="1"/>
  <c r="EK73" i="1"/>
  <c r="EK89" i="1"/>
  <c r="EK105" i="1"/>
  <c r="EK121" i="1"/>
  <c r="EK137" i="1"/>
  <c r="EK156" i="1"/>
  <c r="EK188" i="1"/>
  <c r="EK220" i="1"/>
  <c r="EK252" i="1"/>
  <c r="EK153" i="1"/>
  <c r="EK169" i="1"/>
  <c r="EK185" i="1"/>
  <c r="EK201" i="1"/>
  <c r="EK217" i="1"/>
  <c r="EK233" i="1"/>
  <c r="EK249" i="1"/>
  <c r="EK265" i="1"/>
  <c r="EK155" i="1"/>
  <c r="EK171" i="1"/>
  <c r="EK187" i="1"/>
  <c r="EK203" i="1"/>
  <c r="EK219" i="1"/>
  <c r="EK235" i="1"/>
  <c r="EK251" i="1"/>
  <c r="C59" i="15" s="1"/>
  <c r="D59" i="15" s="1"/>
  <c r="EK267" i="1"/>
  <c r="EK45" i="1"/>
  <c r="EK61" i="1"/>
  <c r="EK77" i="1"/>
  <c r="EK93" i="1"/>
  <c r="EK109" i="1"/>
  <c r="EK125" i="1"/>
  <c r="EK141" i="1"/>
  <c r="EK164" i="1"/>
  <c r="EK196" i="1"/>
  <c r="EK228" i="1"/>
  <c r="EK260" i="1"/>
  <c r="EK157" i="1"/>
  <c r="EK173" i="1"/>
  <c r="EK189" i="1"/>
  <c r="EK205" i="1"/>
  <c r="EK221" i="1"/>
  <c r="EK237" i="1"/>
  <c r="EK253" i="1"/>
  <c r="EK269" i="1"/>
  <c r="EK159" i="1"/>
  <c r="EK175" i="1"/>
  <c r="EK191" i="1"/>
  <c r="EK207" i="1"/>
  <c r="EK223" i="1"/>
  <c r="EK239" i="1"/>
  <c r="EK255" i="1"/>
  <c r="EK271" i="1"/>
  <c r="EK9" i="1"/>
  <c r="EK11" i="1"/>
  <c r="DX5" i="1"/>
  <c r="EH8" i="1"/>
  <c r="EH10" i="1"/>
  <c r="DX13" i="1"/>
  <c r="EK29" i="1"/>
  <c r="EK12" i="1"/>
  <c r="EH7" i="1"/>
  <c r="DX9" i="1"/>
  <c r="DX11" i="1"/>
  <c r="EK6" i="1"/>
  <c r="EK8" i="1"/>
  <c r="DX10" i="1"/>
  <c r="EH29" i="1"/>
  <c r="DX12" i="1"/>
  <c r="EI7" i="1"/>
  <c r="EI277" i="1"/>
  <c r="EI273" i="1"/>
  <c r="EI269" i="1"/>
  <c r="EI265" i="1"/>
  <c r="EI261" i="1"/>
  <c r="EI257" i="1"/>
  <c r="EI253" i="1"/>
  <c r="EI249" i="1"/>
  <c r="EI245" i="1"/>
  <c r="EI241" i="1"/>
  <c r="EI237" i="1"/>
  <c r="EI233" i="1"/>
  <c r="EI229" i="1"/>
  <c r="EI225" i="1"/>
  <c r="EI221" i="1"/>
  <c r="EI217" i="1"/>
  <c r="EI213" i="1"/>
  <c r="EI209" i="1"/>
  <c r="EI205" i="1"/>
  <c r="EI201" i="1"/>
  <c r="EI197" i="1"/>
  <c r="EI193" i="1"/>
  <c r="EI189" i="1"/>
  <c r="EI185" i="1"/>
  <c r="EI181" i="1"/>
  <c r="EI177" i="1"/>
  <c r="EI173" i="1"/>
  <c r="EI169" i="1"/>
  <c r="EI165" i="1"/>
  <c r="EI161" i="1"/>
  <c r="EI157" i="1"/>
  <c r="EI153" i="1"/>
  <c r="EI149" i="1"/>
  <c r="EI145" i="1"/>
  <c r="EI141" i="1"/>
  <c r="EI137" i="1"/>
  <c r="EI133" i="1"/>
  <c r="EI129" i="1"/>
  <c r="EI125" i="1"/>
  <c r="EI121" i="1"/>
  <c r="EI117" i="1"/>
  <c r="EI113" i="1"/>
  <c r="EI109" i="1"/>
  <c r="EI105" i="1"/>
  <c r="EI101" i="1"/>
  <c r="EI97" i="1"/>
  <c r="EI93" i="1"/>
  <c r="EI89" i="1"/>
  <c r="EI85" i="1"/>
  <c r="EI81" i="1"/>
  <c r="EI77" i="1"/>
  <c r="EI73" i="1"/>
  <c r="EI69" i="1"/>
  <c r="EI65" i="1"/>
  <c r="EI61" i="1"/>
  <c r="EI57" i="1"/>
  <c r="EI53" i="1"/>
  <c r="EI49" i="1"/>
  <c r="EI45" i="1"/>
  <c r="EI41" i="1"/>
  <c r="EI37" i="1"/>
  <c r="EI33" i="1"/>
  <c r="EI25" i="1"/>
  <c r="EI21" i="1"/>
  <c r="EI17" i="1"/>
  <c r="EI280" i="1"/>
  <c r="EI276" i="1"/>
  <c r="EI272" i="1"/>
  <c r="EI268" i="1"/>
  <c r="EI264" i="1"/>
  <c r="EI260" i="1"/>
  <c r="EI256" i="1"/>
  <c r="EI252" i="1"/>
  <c r="EI248" i="1"/>
  <c r="EI244" i="1"/>
  <c r="EI240" i="1"/>
  <c r="EI236" i="1"/>
  <c r="EI232" i="1"/>
  <c r="EI228" i="1"/>
  <c r="EI224" i="1"/>
  <c r="EI220" i="1"/>
  <c r="EI216" i="1"/>
  <c r="EI212" i="1"/>
  <c r="EI208" i="1"/>
  <c r="EI204" i="1"/>
  <c r="EI200" i="1"/>
  <c r="EI196" i="1"/>
  <c r="EI192" i="1"/>
  <c r="EI188" i="1"/>
  <c r="EI184" i="1"/>
  <c r="EI180" i="1"/>
  <c r="EI176" i="1"/>
  <c r="EI172" i="1"/>
  <c r="EI168" i="1"/>
  <c r="EI164" i="1"/>
  <c r="EI160" i="1"/>
  <c r="EI156" i="1"/>
  <c r="EI152" i="1"/>
  <c r="EI148" i="1"/>
  <c r="EI144" i="1"/>
  <c r="EI140" i="1"/>
  <c r="EI136" i="1"/>
  <c r="EI132" i="1"/>
  <c r="EI128" i="1"/>
  <c r="EI124" i="1"/>
  <c r="EI120" i="1"/>
  <c r="EI112" i="1"/>
  <c r="EI108" i="1"/>
  <c r="EI104" i="1"/>
  <c r="EI100" i="1"/>
  <c r="EI96" i="1"/>
  <c r="EI92" i="1"/>
  <c r="EI88" i="1"/>
  <c r="EI84" i="1"/>
  <c r="EI80" i="1"/>
  <c r="EI76" i="1"/>
  <c r="EI72" i="1"/>
  <c r="EI68" i="1"/>
  <c r="EI64" i="1"/>
  <c r="EI60" i="1"/>
  <c r="EI56" i="1"/>
  <c r="EI52" i="1"/>
  <c r="EI48" i="1"/>
  <c r="EI44" i="1"/>
  <c r="EI40" i="1"/>
  <c r="EI36" i="1"/>
  <c r="EI32" i="1"/>
  <c r="EI28" i="1"/>
  <c r="EI24" i="1"/>
  <c r="EI20" i="1"/>
  <c r="EI16" i="1"/>
  <c r="EI279" i="1"/>
  <c r="EI275" i="1"/>
  <c r="EI271" i="1"/>
  <c r="EI267" i="1"/>
  <c r="EI263" i="1"/>
  <c r="EI259" i="1"/>
  <c r="EI255" i="1"/>
  <c r="EI251" i="1"/>
  <c r="EI247" i="1"/>
  <c r="EI243" i="1"/>
  <c r="EI239" i="1"/>
  <c r="EI235" i="1"/>
  <c r="EI231" i="1"/>
  <c r="EI227" i="1"/>
  <c r="EI223" i="1"/>
  <c r="EI219" i="1"/>
  <c r="EI215" i="1"/>
  <c r="EI211" i="1"/>
  <c r="EI207" i="1"/>
  <c r="EI203" i="1"/>
  <c r="EI199" i="1"/>
  <c r="EI195" i="1"/>
  <c r="EI191" i="1"/>
  <c r="EI187" i="1"/>
  <c r="EI183" i="1"/>
  <c r="EI179" i="1"/>
  <c r="EI175" i="1"/>
  <c r="EI171" i="1"/>
  <c r="EI167" i="1"/>
  <c r="EI163" i="1"/>
  <c r="EI159" i="1"/>
  <c r="EI155" i="1"/>
  <c r="EI151" i="1"/>
  <c r="EI147" i="1"/>
  <c r="EI143" i="1"/>
  <c r="EI139" i="1"/>
  <c r="EI135" i="1"/>
  <c r="EI131" i="1"/>
  <c r="EI127" i="1"/>
  <c r="EI123" i="1"/>
  <c r="EI119" i="1"/>
  <c r="EI115" i="1"/>
  <c r="EI111" i="1"/>
  <c r="EI107" i="1"/>
  <c r="EI103" i="1"/>
  <c r="EI99" i="1"/>
  <c r="EI95" i="1"/>
  <c r="EI91" i="1"/>
  <c r="EI87" i="1"/>
  <c r="EI83" i="1"/>
  <c r="EI79" i="1"/>
  <c r="EI75" i="1"/>
  <c r="EI71" i="1"/>
  <c r="EI67" i="1"/>
  <c r="EI63" i="1"/>
  <c r="EI59" i="1"/>
  <c r="EI55" i="1"/>
  <c r="EI51" i="1"/>
  <c r="EI47" i="1"/>
  <c r="EI43" i="1"/>
  <c r="EI39" i="1"/>
  <c r="EI35" i="1"/>
  <c r="EI31" i="1"/>
  <c r="EI27" i="1"/>
  <c r="EI23" i="1"/>
  <c r="EI19" i="1"/>
  <c r="EI15" i="1"/>
  <c r="EI278" i="1"/>
  <c r="EI274" i="1"/>
  <c r="EI270" i="1"/>
  <c r="EI266" i="1"/>
  <c r="EI262" i="1"/>
  <c r="EI258" i="1"/>
  <c r="EI254" i="1"/>
  <c r="EI250" i="1"/>
  <c r="EI246" i="1"/>
  <c r="EI242" i="1"/>
  <c r="EI238" i="1"/>
  <c r="EI234" i="1"/>
  <c r="EI230" i="1"/>
  <c r="EI226" i="1"/>
  <c r="EI222" i="1"/>
  <c r="EI218" i="1"/>
  <c r="EI214" i="1"/>
  <c r="EI210" i="1"/>
  <c r="EI206" i="1"/>
  <c r="EI202" i="1"/>
  <c r="EI198" i="1"/>
  <c r="EI194" i="1"/>
  <c r="EI190" i="1"/>
  <c r="EI186" i="1"/>
  <c r="EI182" i="1"/>
  <c r="EI178" i="1"/>
  <c r="EI174" i="1"/>
  <c r="EI170" i="1"/>
  <c r="EI166" i="1"/>
  <c r="EI162" i="1"/>
  <c r="EI158" i="1"/>
  <c r="EI154" i="1"/>
  <c r="EI150" i="1"/>
  <c r="EI146" i="1"/>
  <c r="EI142" i="1"/>
  <c r="EI138" i="1"/>
  <c r="EI134" i="1"/>
  <c r="EI130" i="1"/>
  <c r="EI126" i="1"/>
  <c r="EI122" i="1"/>
  <c r="EI118" i="1"/>
  <c r="EI114" i="1"/>
  <c r="EI110" i="1"/>
  <c r="EI106" i="1"/>
  <c r="EI102" i="1"/>
  <c r="EI98" i="1"/>
  <c r="EI94" i="1"/>
  <c r="EI90" i="1"/>
  <c r="EI86" i="1"/>
  <c r="EI82" i="1"/>
  <c r="EI78" i="1"/>
  <c r="EI74" i="1"/>
  <c r="EI70" i="1"/>
  <c r="EI66" i="1"/>
  <c r="EI62" i="1"/>
  <c r="EI58" i="1"/>
  <c r="EI54" i="1"/>
  <c r="EI50" i="1"/>
  <c r="EI46" i="1"/>
  <c r="EI42" i="1"/>
  <c r="EI38" i="1"/>
  <c r="EI34" i="1"/>
  <c r="EI30" i="1"/>
  <c r="EI26" i="1"/>
  <c r="EI22" i="1"/>
  <c r="EI18" i="1"/>
  <c r="EI14" i="1"/>
  <c r="EI29" i="1"/>
  <c r="EI11" i="1"/>
  <c r="EI12" i="1"/>
  <c r="EI6" i="1"/>
  <c r="EI8" i="1"/>
  <c r="EI5" i="1"/>
  <c r="EI10" i="1"/>
  <c r="EI9" i="1"/>
  <c r="EG9" i="1"/>
  <c r="ER275" i="1"/>
  <c r="ER267" i="1"/>
  <c r="ER259" i="1"/>
  <c r="ER251" i="1"/>
  <c r="ER235" i="1"/>
  <c r="ER211" i="1"/>
  <c r="ER197" i="1"/>
  <c r="ER189" i="1"/>
  <c r="ER181" i="1"/>
  <c r="ER165" i="1"/>
  <c r="ER143" i="1"/>
  <c r="ER121" i="1"/>
  <c r="ER102" i="1"/>
  <c r="ER90" i="1"/>
  <c r="ER78" i="1"/>
  <c r="ER70" i="1"/>
  <c r="ER62" i="1"/>
  <c r="ER45" i="1"/>
  <c r="ER29" i="1"/>
  <c r="ER276" i="1"/>
  <c r="ER268" i="1"/>
  <c r="ER260" i="1"/>
  <c r="ER250" i="1"/>
  <c r="ER230" i="1"/>
  <c r="ER214" i="1"/>
  <c r="ER198" i="1"/>
  <c r="ER190" i="1"/>
  <c r="ER182" i="1"/>
  <c r="ER172" i="1"/>
  <c r="ER144" i="1"/>
  <c r="ER136" i="1"/>
  <c r="ER103" i="1"/>
  <c r="ER91" i="1"/>
  <c r="ER75" i="1"/>
  <c r="ER67" i="1"/>
  <c r="ER59" i="1"/>
  <c r="ER40" i="1"/>
  <c r="ER28" i="1"/>
  <c r="EQ55" i="1"/>
  <c r="EQ116" i="1"/>
  <c r="EO116" i="1" s="1"/>
  <c r="ER273" i="1"/>
  <c r="ER265" i="1"/>
  <c r="ER257" i="1"/>
  <c r="ER249" i="1"/>
  <c r="ER231" i="1"/>
  <c r="ER203" i="1"/>
  <c r="ER195" i="1"/>
  <c r="ER187" i="1"/>
  <c r="ER179" i="1"/>
  <c r="ER151" i="1"/>
  <c r="ER141" i="1"/>
  <c r="ER119" i="1"/>
  <c r="ER100" i="1"/>
  <c r="ER86" i="1"/>
  <c r="ER76" i="1"/>
  <c r="ER68" i="1"/>
  <c r="ER60" i="1"/>
  <c r="ER43" i="1"/>
  <c r="ER27" i="1"/>
  <c r="ER274" i="1"/>
  <c r="ER266" i="1"/>
  <c r="ER256" i="1"/>
  <c r="ER248" i="1"/>
  <c r="ER228" i="1"/>
  <c r="ER212" i="1"/>
  <c r="ER196" i="1"/>
  <c r="ER188" i="1"/>
  <c r="ER180" i="1"/>
  <c r="ER150" i="1"/>
  <c r="ER142" i="1"/>
  <c r="ER120" i="1"/>
  <c r="ER101" i="1"/>
  <c r="ER85" i="1"/>
  <c r="ER73" i="1"/>
  <c r="ER65" i="1"/>
  <c r="ER57" i="1"/>
  <c r="ER36" i="1"/>
  <c r="ER26" i="1"/>
  <c r="ER279" i="1"/>
  <c r="ER271" i="1"/>
  <c r="ER263" i="1"/>
  <c r="ER255" i="1"/>
  <c r="ER247" i="1"/>
  <c r="ER227" i="1"/>
  <c r="ER201" i="1"/>
  <c r="ER193" i="1"/>
  <c r="ER185" i="1"/>
  <c r="ER175" i="1"/>
  <c r="ER149" i="1"/>
  <c r="ER135" i="1"/>
  <c r="ER117" i="1"/>
  <c r="ER98" i="1"/>
  <c r="ER82" i="1"/>
  <c r="ER74" i="1"/>
  <c r="ER66" i="1"/>
  <c r="ER58" i="1"/>
  <c r="ER41" i="1"/>
  <c r="ER15" i="1"/>
  <c r="ER280" i="1"/>
  <c r="ER272" i="1"/>
  <c r="ER264" i="1"/>
  <c r="ER254" i="1"/>
  <c r="ER238" i="1"/>
  <c r="ER226" i="1"/>
  <c r="ER202" i="1"/>
  <c r="ER194" i="1"/>
  <c r="ER186" i="1"/>
  <c r="ER178" i="1"/>
  <c r="ER148" i="1"/>
  <c r="ER140" i="1"/>
  <c r="ER118" i="1"/>
  <c r="ER99" i="1"/>
  <c r="ER79" i="1"/>
  <c r="ER71" i="1"/>
  <c r="ER63" i="1"/>
  <c r="ER44" i="1"/>
  <c r="ER32" i="1"/>
  <c r="ER16" i="1"/>
  <c r="ER56" i="1"/>
  <c r="ER277" i="1"/>
  <c r="ER269" i="1"/>
  <c r="ER261" i="1"/>
  <c r="ER253" i="1"/>
  <c r="ER241" i="1"/>
  <c r="ER225" i="1"/>
  <c r="ER199" i="1"/>
  <c r="ER191" i="1"/>
  <c r="ER183" i="1"/>
  <c r="ER173" i="1"/>
  <c r="ER147" i="1"/>
  <c r="ER129" i="1"/>
  <c r="ER106" i="1"/>
  <c r="ER92" i="1"/>
  <c r="ER80" i="1"/>
  <c r="ER72" i="1"/>
  <c r="ER64" i="1"/>
  <c r="ER55" i="1"/>
  <c r="ER31" i="1"/>
  <c r="ER278" i="1"/>
  <c r="ER270" i="1"/>
  <c r="ER262" i="1"/>
  <c r="ER252" i="1"/>
  <c r="ER232" i="1"/>
  <c r="ER224" i="1"/>
  <c r="ER200" i="1"/>
  <c r="ER192" i="1"/>
  <c r="ER184" i="1"/>
  <c r="ER174" i="1"/>
  <c r="ER146" i="1"/>
  <c r="ER138" i="1"/>
  <c r="ER105" i="1"/>
  <c r="ER97" i="1"/>
  <c r="ER77" i="1"/>
  <c r="ER69" i="1"/>
  <c r="ER61" i="1"/>
  <c r="ER42" i="1"/>
  <c r="ER30" i="1"/>
  <c r="EQ14" i="1"/>
  <c r="EG7" i="1"/>
  <c r="EG277" i="1"/>
  <c r="EG273" i="1"/>
  <c r="EG269" i="1"/>
  <c r="EG265" i="1"/>
  <c r="EG261" i="1"/>
  <c r="EG257" i="1"/>
  <c r="EG253" i="1"/>
  <c r="EG249" i="1"/>
  <c r="EG245" i="1"/>
  <c r="EG241" i="1"/>
  <c r="EG237" i="1"/>
  <c r="EG233" i="1"/>
  <c r="EG229" i="1"/>
  <c r="EG225" i="1"/>
  <c r="EG221" i="1"/>
  <c r="EG217" i="1"/>
  <c r="EG213" i="1"/>
  <c r="EG209" i="1"/>
  <c r="EG205" i="1"/>
  <c r="EG201" i="1"/>
  <c r="EG197" i="1"/>
  <c r="EG193" i="1"/>
  <c r="EG189" i="1"/>
  <c r="EG185" i="1"/>
  <c r="EG181" i="1"/>
  <c r="EG177" i="1"/>
  <c r="EG173" i="1"/>
  <c r="EG169" i="1"/>
  <c r="EG165" i="1"/>
  <c r="EG161" i="1"/>
  <c r="EG157" i="1"/>
  <c r="EG153" i="1"/>
  <c r="EG149" i="1"/>
  <c r="EG145" i="1"/>
  <c r="EG141" i="1"/>
  <c r="EG137" i="1"/>
  <c r="EG133" i="1"/>
  <c r="EG129" i="1"/>
  <c r="EG125" i="1"/>
  <c r="EG121" i="1"/>
  <c r="EG117" i="1"/>
  <c r="EG113" i="1"/>
  <c r="EG109" i="1"/>
  <c r="EG105" i="1"/>
  <c r="EG101" i="1"/>
  <c r="EG97" i="1"/>
  <c r="EG93" i="1"/>
  <c r="EG89" i="1"/>
  <c r="EG85" i="1"/>
  <c r="EG81" i="1"/>
  <c r="EG77" i="1"/>
  <c r="EG73" i="1"/>
  <c r="EG69" i="1"/>
  <c r="EG65" i="1"/>
  <c r="EG61" i="1"/>
  <c r="EG57" i="1"/>
  <c r="EG53" i="1"/>
  <c r="EG49" i="1"/>
  <c r="EG45" i="1"/>
  <c r="EG41" i="1"/>
  <c r="EG37" i="1"/>
  <c r="EG33" i="1"/>
  <c r="EG25" i="1"/>
  <c r="EG21" i="1"/>
  <c r="EG17" i="1"/>
  <c r="EG280" i="1"/>
  <c r="EG276" i="1"/>
  <c r="EG272" i="1"/>
  <c r="EG268" i="1"/>
  <c r="EG264" i="1"/>
  <c r="EG260" i="1"/>
  <c r="EG256" i="1"/>
  <c r="EG252" i="1"/>
  <c r="EG248" i="1"/>
  <c r="EG244" i="1"/>
  <c r="EG240" i="1"/>
  <c r="EG236" i="1"/>
  <c r="EG232" i="1"/>
  <c r="EG228" i="1"/>
  <c r="EG224" i="1"/>
  <c r="EG220" i="1"/>
  <c r="EG216" i="1"/>
  <c r="EG212" i="1"/>
  <c r="EG208" i="1"/>
  <c r="EG204" i="1"/>
  <c r="EG200" i="1"/>
  <c r="EG196" i="1"/>
  <c r="EG192" i="1"/>
  <c r="EG188" i="1"/>
  <c r="EG184" i="1"/>
  <c r="EG180" i="1"/>
  <c r="EG176" i="1"/>
  <c r="EG172" i="1"/>
  <c r="EG168" i="1"/>
  <c r="EG164" i="1"/>
  <c r="EG160" i="1"/>
  <c r="EG156" i="1"/>
  <c r="EG152" i="1"/>
  <c r="EG148" i="1"/>
  <c r="EG144" i="1"/>
  <c r="EG140" i="1"/>
  <c r="EG136" i="1"/>
  <c r="EG132" i="1"/>
  <c r="EG128" i="1"/>
  <c r="EG124" i="1"/>
  <c r="EG120" i="1"/>
  <c r="EG112" i="1"/>
  <c r="EG108" i="1"/>
  <c r="EG104" i="1"/>
  <c r="EG100" i="1"/>
  <c r="EG96" i="1"/>
  <c r="EG92" i="1"/>
  <c r="EG88" i="1"/>
  <c r="EG84" i="1"/>
  <c r="EG80" i="1"/>
  <c r="EG76" i="1"/>
  <c r="EG72" i="1"/>
  <c r="EG68" i="1"/>
  <c r="EG64" i="1"/>
  <c r="EG60" i="1"/>
  <c r="EG56" i="1"/>
  <c r="EG52" i="1"/>
  <c r="EG48" i="1"/>
  <c r="EG44" i="1"/>
  <c r="EG40" i="1"/>
  <c r="EG36" i="1"/>
  <c r="EG32" i="1"/>
  <c r="EG28" i="1"/>
  <c r="EG24" i="1"/>
  <c r="EG20" i="1"/>
  <c r="EG16" i="1"/>
  <c r="EG279" i="1"/>
  <c r="EG275" i="1"/>
  <c r="EG271" i="1"/>
  <c r="EG267" i="1"/>
  <c r="EG263" i="1"/>
  <c r="EG259" i="1"/>
  <c r="EG255" i="1"/>
  <c r="EG251" i="1"/>
  <c r="EG247" i="1"/>
  <c r="EG243" i="1"/>
  <c r="EG239" i="1"/>
  <c r="EG235" i="1"/>
  <c r="EG231" i="1"/>
  <c r="EG227" i="1"/>
  <c r="EG223" i="1"/>
  <c r="EG219" i="1"/>
  <c r="EG215" i="1"/>
  <c r="EG211" i="1"/>
  <c r="EG207" i="1"/>
  <c r="EG203" i="1"/>
  <c r="EG199" i="1"/>
  <c r="EG195" i="1"/>
  <c r="EG191" i="1"/>
  <c r="EG187" i="1"/>
  <c r="EG183" i="1"/>
  <c r="EG179" i="1"/>
  <c r="EG175" i="1"/>
  <c r="EG171" i="1"/>
  <c r="EG167" i="1"/>
  <c r="EG163" i="1"/>
  <c r="EG159" i="1"/>
  <c r="EG155" i="1"/>
  <c r="EG151" i="1"/>
  <c r="EG147" i="1"/>
  <c r="EG143" i="1"/>
  <c r="EG139" i="1"/>
  <c r="EG135" i="1"/>
  <c r="EG131" i="1"/>
  <c r="EG127" i="1"/>
  <c r="EG123" i="1"/>
  <c r="EG119" i="1"/>
  <c r="EG115" i="1"/>
  <c r="EG111" i="1"/>
  <c r="EG107" i="1"/>
  <c r="EG103" i="1"/>
  <c r="EG99" i="1"/>
  <c r="EG95" i="1"/>
  <c r="EG91" i="1"/>
  <c r="EG87" i="1"/>
  <c r="EG83" i="1"/>
  <c r="EG79" i="1"/>
  <c r="EG75" i="1"/>
  <c r="EG71" i="1"/>
  <c r="EG67" i="1"/>
  <c r="EG63" i="1"/>
  <c r="EG59" i="1"/>
  <c r="EG55" i="1"/>
  <c r="EG51" i="1"/>
  <c r="EG47" i="1"/>
  <c r="EG43" i="1"/>
  <c r="EG39" i="1"/>
  <c r="EG35" i="1"/>
  <c r="EG31" i="1"/>
  <c r="EG27" i="1"/>
  <c r="EG23" i="1"/>
  <c r="EG19" i="1"/>
  <c r="EG15" i="1"/>
  <c r="EG278" i="1"/>
  <c r="EG274" i="1"/>
  <c r="EG270" i="1"/>
  <c r="EG266" i="1"/>
  <c r="EG262" i="1"/>
  <c r="EG258" i="1"/>
  <c r="EG254" i="1"/>
  <c r="EG250" i="1"/>
  <c r="EG246" i="1"/>
  <c r="EG242" i="1"/>
  <c r="EG238" i="1"/>
  <c r="EG234" i="1"/>
  <c r="EG230" i="1"/>
  <c r="EG226" i="1"/>
  <c r="EG222" i="1"/>
  <c r="EG218" i="1"/>
  <c r="EG214" i="1"/>
  <c r="EG210" i="1"/>
  <c r="EG206" i="1"/>
  <c r="EG202" i="1"/>
  <c r="EG198" i="1"/>
  <c r="EG194" i="1"/>
  <c r="EG190" i="1"/>
  <c r="EG186" i="1"/>
  <c r="EG182" i="1"/>
  <c r="EG178" i="1"/>
  <c r="EG174" i="1"/>
  <c r="EG170" i="1"/>
  <c r="EG166" i="1"/>
  <c r="EG162" i="1"/>
  <c r="EG158" i="1"/>
  <c r="EG154" i="1"/>
  <c r="EG150" i="1"/>
  <c r="EG146" i="1"/>
  <c r="EG142" i="1"/>
  <c r="EG138" i="1"/>
  <c r="EG134" i="1"/>
  <c r="EG130" i="1"/>
  <c r="EG126" i="1"/>
  <c r="EG122" i="1"/>
  <c r="EG118" i="1"/>
  <c r="EG114" i="1"/>
  <c r="EG110" i="1"/>
  <c r="EG106" i="1"/>
  <c r="EG102" i="1"/>
  <c r="EG98" i="1"/>
  <c r="EG94" i="1"/>
  <c r="EG90" i="1"/>
  <c r="EG86" i="1"/>
  <c r="EG82" i="1"/>
  <c r="EG78" i="1"/>
  <c r="EG74" i="1"/>
  <c r="EG70" i="1"/>
  <c r="EG66" i="1"/>
  <c r="EG62" i="1"/>
  <c r="EG58" i="1"/>
  <c r="EG54" i="1"/>
  <c r="EG50" i="1"/>
  <c r="EG46" i="1"/>
  <c r="EG42" i="1"/>
  <c r="EG38" i="1"/>
  <c r="EG34" i="1"/>
  <c r="EG30" i="1"/>
  <c r="EG26" i="1"/>
  <c r="EG22" i="1"/>
  <c r="EG18" i="1"/>
  <c r="EG14" i="1"/>
  <c r="EG29" i="1"/>
  <c r="EG11" i="1"/>
  <c r="EG6" i="1"/>
  <c r="EG12" i="1"/>
  <c r="EG10" i="1"/>
  <c r="EG13" i="1"/>
  <c r="EG5" i="1"/>
  <c r="EG8" i="1"/>
  <c r="EW10" i="1"/>
  <c r="EF116" i="1"/>
  <c r="EW116" i="1"/>
  <c r="EL116" i="1"/>
  <c r="DY116" i="1"/>
  <c r="EE116" i="1"/>
  <c r="EC116" i="1"/>
  <c r="DZ116" i="1"/>
  <c r="EM116" i="1"/>
  <c r="ED116" i="1"/>
  <c r="EQ196" i="1"/>
  <c r="EQ102" i="1"/>
  <c r="EQ71" i="1"/>
  <c r="EQ241" i="1"/>
  <c r="EQ188" i="1"/>
  <c r="EQ63" i="1"/>
  <c r="EQ211" i="1"/>
  <c r="EQ90" i="1"/>
  <c r="EW280" i="1"/>
  <c r="EW276" i="1"/>
  <c r="EW272" i="1"/>
  <c r="EW268" i="1"/>
  <c r="EW264" i="1"/>
  <c r="EW260" i="1"/>
  <c r="EW256" i="1"/>
  <c r="EW252" i="1"/>
  <c r="EW248" i="1"/>
  <c r="EW244" i="1"/>
  <c r="EW240" i="1"/>
  <c r="EW236" i="1"/>
  <c r="EW232" i="1"/>
  <c r="EW228" i="1"/>
  <c r="EW224" i="1"/>
  <c r="EW220" i="1"/>
  <c r="EW279" i="1"/>
  <c r="EW275" i="1"/>
  <c r="EW271" i="1"/>
  <c r="EW267" i="1"/>
  <c r="EW263" i="1"/>
  <c r="EW259" i="1"/>
  <c r="EW255" i="1"/>
  <c r="EW251" i="1"/>
  <c r="C66" i="15" s="1"/>
  <c r="D65" i="15" s="1"/>
  <c r="EW247" i="1"/>
  <c r="EW243" i="1"/>
  <c r="EW239" i="1"/>
  <c r="EW235" i="1"/>
  <c r="EW231" i="1"/>
  <c r="EW227" i="1"/>
  <c r="EW223" i="1"/>
  <c r="EW219" i="1"/>
  <c r="EW274" i="1"/>
  <c r="EW266" i="1"/>
  <c r="EW258" i="1"/>
  <c r="EW250" i="1"/>
  <c r="EW242" i="1"/>
  <c r="EW234" i="1"/>
  <c r="EW226" i="1"/>
  <c r="EW218" i="1"/>
  <c r="EW214" i="1"/>
  <c r="EW210" i="1"/>
  <c r="EW206" i="1"/>
  <c r="EW202" i="1"/>
  <c r="EW198" i="1"/>
  <c r="EW194" i="1"/>
  <c r="EW190" i="1"/>
  <c r="EW186" i="1"/>
  <c r="EW182" i="1"/>
  <c r="EW178" i="1"/>
  <c r="EW174" i="1"/>
  <c r="EW170" i="1"/>
  <c r="EW166" i="1"/>
  <c r="EW162" i="1"/>
  <c r="EW158" i="1"/>
  <c r="EW154" i="1"/>
  <c r="EW150" i="1"/>
  <c r="EW146" i="1"/>
  <c r="EW142" i="1"/>
  <c r="EW138" i="1"/>
  <c r="EW134" i="1"/>
  <c r="EW130" i="1"/>
  <c r="EW126" i="1"/>
  <c r="EW122" i="1"/>
  <c r="EW118" i="1"/>
  <c r="EW114" i="1"/>
  <c r="EW110" i="1"/>
  <c r="EW106" i="1"/>
  <c r="EW102" i="1"/>
  <c r="EW98" i="1"/>
  <c r="EW94" i="1"/>
  <c r="EW90" i="1"/>
  <c r="EW86" i="1"/>
  <c r="EW82" i="1"/>
  <c r="EW78" i="1"/>
  <c r="EW74" i="1"/>
  <c r="EW70" i="1"/>
  <c r="EW66" i="1"/>
  <c r="EW62" i="1"/>
  <c r="EW58" i="1"/>
  <c r="EW54" i="1"/>
  <c r="EW50" i="1"/>
  <c r="EW257" i="1"/>
  <c r="EW277" i="1"/>
  <c r="EW265" i="1"/>
  <c r="EW254" i="1"/>
  <c r="EW245" i="1"/>
  <c r="EW233" i="1"/>
  <c r="EW222" i="1"/>
  <c r="EW215" i="1"/>
  <c r="EW209" i="1"/>
  <c r="EW204" i="1"/>
  <c r="EW199" i="1"/>
  <c r="EW193" i="1"/>
  <c r="EW188" i="1"/>
  <c r="EW183" i="1"/>
  <c r="EW177" i="1"/>
  <c r="EW172" i="1"/>
  <c r="EW167" i="1"/>
  <c r="EW161" i="1"/>
  <c r="EW156" i="1"/>
  <c r="EW151" i="1"/>
  <c r="EW145" i="1"/>
  <c r="EW140" i="1"/>
  <c r="EW135" i="1"/>
  <c r="EW129" i="1"/>
  <c r="EW124" i="1"/>
  <c r="EW119" i="1"/>
  <c r="EW113" i="1"/>
  <c r="EW108" i="1"/>
  <c r="EW103" i="1"/>
  <c r="EW97" i="1"/>
  <c r="EW92" i="1"/>
  <c r="EW87" i="1"/>
  <c r="EW81" i="1"/>
  <c r="EW76" i="1"/>
  <c r="EW71" i="1"/>
  <c r="EW65" i="1"/>
  <c r="EW60" i="1"/>
  <c r="EW55" i="1"/>
  <c r="EW49" i="1"/>
  <c r="EW45" i="1"/>
  <c r="EW41" i="1"/>
  <c r="EW37" i="1"/>
  <c r="EW33" i="1"/>
  <c r="EW25" i="1"/>
  <c r="EW21" i="1"/>
  <c r="EW17" i="1"/>
  <c r="EW273" i="1"/>
  <c r="EW262" i="1"/>
  <c r="EW253" i="1"/>
  <c r="EW241" i="1"/>
  <c r="EW230" i="1"/>
  <c r="EW221" i="1"/>
  <c r="EW213" i="1"/>
  <c r="EW208" i="1"/>
  <c r="EW203" i="1"/>
  <c r="EW197" i="1"/>
  <c r="EW192" i="1"/>
  <c r="EW187" i="1"/>
  <c r="EW181" i="1"/>
  <c r="EW176" i="1"/>
  <c r="EW171" i="1"/>
  <c r="EW165" i="1"/>
  <c r="EW160" i="1"/>
  <c r="EW155" i="1"/>
  <c r="EW149" i="1"/>
  <c r="EW144" i="1"/>
  <c r="EW139" i="1"/>
  <c r="EW133" i="1"/>
  <c r="EW128" i="1"/>
  <c r="EW123" i="1"/>
  <c r="EW117" i="1"/>
  <c r="EW112" i="1"/>
  <c r="EW107" i="1"/>
  <c r="EW101" i="1"/>
  <c r="EW96" i="1"/>
  <c r="EW91" i="1"/>
  <c r="EW85" i="1"/>
  <c r="EW80" i="1"/>
  <c r="EW75" i="1"/>
  <c r="EW69" i="1"/>
  <c r="EW64" i="1"/>
  <c r="EW59" i="1"/>
  <c r="EW53" i="1"/>
  <c r="EW48" i="1"/>
  <c r="EW44" i="1"/>
  <c r="EW40" i="1"/>
  <c r="EW36" i="1"/>
  <c r="EW32" i="1"/>
  <c r="EW28" i="1"/>
  <c r="EW24" i="1"/>
  <c r="EW20" i="1"/>
  <c r="EW16" i="1"/>
  <c r="EW270" i="1"/>
  <c r="EW261" i="1"/>
  <c r="EW249" i="1"/>
  <c r="EW238" i="1"/>
  <c r="EW229" i="1"/>
  <c r="EW217" i="1"/>
  <c r="EW212" i="1"/>
  <c r="EW207" i="1"/>
  <c r="EW201" i="1"/>
  <c r="EW196" i="1"/>
  <c r="EW191" i="1"/>
  <c r="EW185" i="1"/>
  <c r="EW180" i="1"/>
  <c r="EW175" i="1"/>
  <c r="EW169" i="1"/>
  <c r="EW164" i="1"/>
  <c r="EW159" i="1"/>
  <c r="EW153" i="1"/>
  <c r="EW148" i="1"/>
  <c r="EW143" i="1"/>
  <c r="EW137" i="1"/>
  <c r="EW132" i="1"/>
  <c r="EW127" i="1"/>
  <c r="EW121" i="1"/>
  <c r="EW111" i="1"/>
  <c r="EW105" i="1"/>
  <c r="EW100" i="1"/>
  <c r="EW95" i="1"/>
  <c r="EW89" i="1"/>
  <c r="EW84" i="1"/>
  <c r="EW79" i="1"/>
  <c r="EW73" i="1"/>
  <c r="EW68" i="1"/>
  <c r="EW63" i="1"/>
  <c r="EW57" i="1"/>
  <c r="EW52" i="1"/>
  <c r="EW47" i="1"/>
  <c r="EW43" i="1"/>
  <c r="EW39" i="1"/>
  <c r="EW35" i="1"/>
  <c r="EW31" i="1"/>
  <c r="EW27" i="1"/>
  <c r="EW23" i="1"/>
  <c r="EW19" i="1"/>
  <c r="EW15" i="1"/>
  <c r="EW278" i="1"/>
  <c r="EW269" i="1"/>
  <c r="EW216" i="1"/>
  <c r="EW195" i="1"/>
  <c r="EW173" i="1"/>
  <c r="EW152" i="1"/>
  <c r="EW131" i="1"/>
  <c r="EW109" i="1"/>
  <c r="EW88" i="1"/>
  <c r="EW67" i="1"/>
  <c r="EW46" i="1"/>
  <c r="EW30" i="1"/>
  <c r="EW14" i="1"/>
  <c r="EW205" i="1"/>
  <c r="EW141" i="1"/>
  <c r="EW77" i="1"/>
  <c r="EW22" i="1"/>
  <c r="EW246" i="1"/>
  <c r="EW211" i="1"/>
  <c r="EW189" i="1"/>
  <c r="EW168" i="1"/>
  <c r="EW147" i="1"/>
  <c r="EW125" i="1"/>
  <c r="EW104" i="1"/>
  <c r="EW83" i="1"/>
  <c r="EW61" i="1"/>
  <c r="EW42" i="1"/>
  <c r="EW26" i="1"/>
  <c r="EW184" i="1"/>
  <c r="EW120" i="1"/>
  <c r="EW56" i="1"/>
  <c r="EW225" i="1"/>
  <c r="EW200" i="1"/>
  <c r="EW179" i="1"/>
  <c r="EW157" i="1"/>
  <c r="EW136" i="1"/>
  <c r="EW115" i="1"/>
  <c r="EW93" i="1"/>
  <c r="EW72" i="1"/>
  <c r="EW51" i="1"/>
  <c r="EW34" i="1"/>
  <c r="EW18" i="1"/>
  <c r="EW237" i="1"/>
  <c r="EW163" i="1"/>
  <c r="EW99" i="1"/>
  <c r="EW38" i="1"/>
  <c r="EQ270" i="1"/>
  <c r="EQ142" i="1"/>
  <c r="EQ275" i="1"/>
  <c r="EQ181" i="1"/>
  <c r="EQ62" i="1"/>
  <c r="EW29" i="1"/>
  <c r="EW5" i="1"/>
  <c r="EW13" i="1"/>
  <c r="EW9" i="1"/>
  <c r="EQ262" i="1"/>
  <c r="EQ120" i="1"/>
  <c r="EO120" i="1" s="1"/>
  <c r="EQ259" i="1"/>
  <c r="EQ165" i="1"/>
  <c r="EQ42" i="1"/>
  <c r="EW12" i="1"/>
  <c r="EW6" i="1"/>
  <c r="EW7" i="1"/>
  <c r="EW11" i="1"/>
  <c r="EW8" i="1"/>
  <c r="EJ10" i="1"/>
  <c r="EQ248" i="1"/>
  <c r="EQ180" i="1"/>
  <c r="EQ99" i="1"/>
  <c r="EQ45" i="1"/>
  <c r="EQ269" i="1"/>
  <c r="EQ197" i="1"/>
  <c r="EQ143" i="1"/>
  <c r="EQ78" i="1"/>
  <c r="EQ30" i="1"/>
  <c r="EQ278" i="1"/>
  <c r="EQ212" i="1"/>
  <c r="EO212" i="1" s="1"/>
  <c r="EQ150" i="1"/>
  <c r="EQ79" i="1"/>
  <c r="EQ29" i="1"/>
  <c r="EQ255" i="1"/>
  <c r="EQ189" i="1"/>
  <c r="EQ121" i="1"/>
  <c r="EQ70" i="1"/>
  <c r="EQ250" i="1"/>
  <c r="EQ224" i="1"/>
  <c r="EQ274" i="1"/>
  <c r="EQ266" i="1"/>
  <c r="EQ256" i="1"/>
  <c r="EQ230" i="1"/>
  <c r="EQ200" i="1"/>
  <c r="EQ192" i="1"/>
  <c r="EQ184" i="1"/>
  <c r="EQ174" i="1"/>
  <c r="EQ146" i="1"/>
  <c r="EQ138" i="1"/>
  <c r="EQ105" i="1"/>
  <c r="EQ91" i="1"/>
  <c r="EO91" i="1" s="1"/>
  <c r="EQ75" i="1"/>
  <c r="EO75" i="1" s="1"/>
  <c r="EQ67" i="1"/>
  <c r="EO67" i="1" s="1"/>
  <c r="EQ59" i="1"/>
  <c r="EQ41" i="1"/>
  <c r="EQ15" i="1"/>
  <c r="EQ267" i="1"/>
  <c r="EQ277" i="1"/>
  <c r="EQ261" i="1"/>
  <c r="EQ251" i="1"/>
  <c r="EQ227" i="1"/>
  <c r="EQ201" i="1"/>
  <c r="EQ193" i="1"/>
  <c r="EQ185" i="1"/>
  <c r="EQ175" i="1"/>
  <c r="EQ149" i="1"/>
  <c r="EQ135" i="1"/>
  <c r="EQ117" i="1"/>
  <c r="EQ98" i="1"/>
  <c r="EQ82" i="1"/>
  <c r="EQ74" i="1"/>
  <c r="EQ66" i="1"/>
  <c r="EQ58" i="1"/>
  <c r="EQ36" i="1"/>
  <c r="EQ26" i="1"/>
  <c r="EJ8" i="1"/>
  <c r="EJ13" i="1"/>
  <c r="EV29" i="1"/>
  <c r="EV5" i="1"/>
  <c r="EQ238" i="1"/>
  <c r="EV280" i="1"/>
  <c r="EV276" i="1"/>
  <c r="EV272" i="1"/>
  <c r="EV268" i="1"/>
  <c r="EV264" i="1"/>
  <c r="EV260" i="1"/>
  <c r="EV277" i="1"/>
  <c r="EV273" i="1"/>
  <c r="EV269" i="1"/>
  <c r="EV265" i="1"/>
  <c r="EV261" i="1"/>
  <c r="EV257" i="1"/>
  <c r="EV253" i="1"/>
  <c r="EV249" i="1"/>
  <c r="EV245" i="1"/>
  <c r="EV241" i="1"/>
  <c r="EV237" i="1"/>
  <c r="EV233" i="1"/>
  <c r="EV229" i="1"/>
  <c r="EV225" i="1"/>
  <c r="EV221" i="1"/>
  <c r="EV217" i="1"/>
  <c r="EV278" i="1"/>
  <c r="EV270" i="1"/>
  <c r="EV262" i="1"/>
  <c r="EV255" i="1"/>
  <c r="EV250" i="1"/>
  <c r="EV244" i="1"/>
  <c r="EV239" i="1"/>
  <c r="EV234" i="1"/>
  <c r="EV228" i="1"/>
  <c r="EV223" i="1"/>
  <c r="EV218" i="1"/>
  <c r="EV213" i="1"/>
  <c r="EV209" i="1"/>
  <c r="EV205" i="1"/>
  <c r="EV201" i="1"/>
  <c r="EV197" i="1"/>
  <c r="EV193" i="1"/>
  <c r="EV189" i="1"/>
  <c r="EV185" i="1"/>
  <c r="EV181" i="1"/>
  <c r="EV177" i="1"/>
  <c r="EV173" i="1"/>
  <c r="EV169" i="1"/>
  <c r="EV165" i="1"/>
  <c r="EV161" i="1"/>
  <c r="EV157" i="1"/>
  <c r="EV153" i="1"/>
  <c r="EV149" i="1"/>
  <c r="EV145" i="1"/>
  <c r="EV141" i="1"/>
  <c r="EV137" i="1"/>
  <c r="EV133" i="1"/>
  <c r="EV129" i="1"/>
  <c r="EV125" i="1"/>
  <c r="EV121" i="1"/>
  <c r="EV117" i="1"/>
  <c r="EV112" i="1"/>
  <c r="EV108" i="1"/>
  <c r="EV104" i="1"/>
  <c r="EV100" i="1"/>
  <c r="EV96" i="1"/>
  <c r="EV92" i="1"/>
  <c r="EV88" i="1"/>
  <c r="EV84" i="1"/>
  <c r="EV80" i="1"/>
  <c r="EV76" i="1"/>
  <c r="EV72" i="1"/>
  <c r="EV68" i="1"/>
  <c r="EV64" i="1"/>
  <c r="EV60" i="1"/>
  <c r="EV56" i="1"/>
  <c r="EV52" i="1"/>
  <c r="EV48" i="1"/>
  <c r="EV44" i="1"/>
  <c r="EV40" i="1"/>
  <c r="EV36" i="1"/>
  <c r="EV32" i="1"/>
  <c r="EV28" i="1"/>
  <c r="EV24" i="1"/>
  <c r="ES24" i="1" s="1"/>
  <c r="EV20" i="1"/>
  <c r="EV16" i="1"/>
  <c r="EV275" i="1"/>
  <c r="EV266" i="1"/>
  <c r="EV256" i="1"/>
  <c r="EV248" i="1"/>
  <c r="EV242" i="1"/>
  <c r="EV235" i="1"/>
  <c r="EV227" i="1"/>
  <c r="EV220" i="1"/>
  <c r="EV214" i="1"/>
  <c r="EV208" i="1"/>
  <c r="EV203" i="1"/>
  <c r="EV198" i="1"/>
  <c r="EV192" i="1"/>
  <c r="EV187" i="1"/>
  <c r="EV182" i="1"/>
  <c r="EV176" i="1"/>
  <c r="EV171" i="1"/>
  <c r="EV166" i="1"/>
  <c r="EV160" i="1"/>
  <c r="EV155" i="1"/>
  <c r="EV150" i="1"/>
  <c r="EV144" i="1"/>
  <c r="EV139" i="1"/>
  <c r="EV134" i="1"/>
  <c r="EV128" i="1"/>
  <c r="EV123" i="1"/>
  <c r="EV118" i="1"/>
  <c r="EV111" i="1"/>
  <c r="EV106" i="1"/>
  <c r="EV101" i="1"/>
  <c r="EV95" i="1"/>
  <c r="EV90" i="1"/>
  <c r="EV85" i="1"/>
  <c r="EV79" i="1"/>
  <c r="EV74" i="1"/>
  <c r="EV69" i="1"/>
  <c r="EV63" i="1"/>
  <c r="EV58" i="1"/>
  <c r="EV53" i="1"/>
  <c r="EV47" i="1"/>
  <c r="EV42" i="1"/>
  <c r="EV37" i="1"/>
  <c r="EV31" i="1"/>
  <c r="EV26" i="1"/>
  <c r="EV21" i="1"/>
  <c r="EV15" i="1"/>
  <c r="EV83" i="1"/>
  <c r="EV62" i="1"/>
  <c r="EV51" i="1"/>
  <c r="EV46" i="1"/>
  <c r="EV35" i="1"/>
  <c r="EV25" i="1"/>
  <c r="ES25" i="1" s="1"/>
  <c r="EV19" i="1"/>
  <c r="EV271" i="1"/>
  <c r="EV259" i="1"/>
  <c r="EV252" i="1"/>
  <c r="EV246" i="1"/>
  <c r="EV238" i="1"/>
  <c r="EV231" i="1"/>
  <c r="EV224" i="1"/>
  <c r="EV211" i="1"/>
  <c r="EV206" i="1"/>
  <c r="EV195" i="1"/>
  <c r="EV190" i="1"/>
  <c r="EV179" i="1"/>
  <c r="EV168" i="1"/>
  <c r="EV158" i="1"/>
  <c r="EV147" i="1"/>
  <c r="EV274" i="1"/>
  <c r="EV263" i="1"/>
  <c r="EV254" i="1"/>
  <c r="EV247" i="1"/>
  <c r="EV240" i="1"/>
  <c r="EV232" i="1"/>
  <c r="EV226" i="1"/>
  <c r="EV219" i="1"/>
  <c r="EV212" i="1"/>
  <c r="EV207" i="1"/>
  <c r="EV202" i="1"/>
  <c r="EV196" i="1"/>
  <c r="EV191" i="1"/>
  <c r="EV186" i="1"/>
  <c r="EV180" i="1"/>
  <c r="EV175" i="1"/>
  <c r="EV170" i="1"/>
  <c r="EV164" i="1"/>
  <c r="EV159" i="1"/>
  <c r="EV154" i="1"/>
  <c r="EV148" i="1"/>
  <c r="EV143" i="1"/>
  <c r="EV138" i="1"/>
  <c r="EV132" i="1"/>
  <c r="EV127" i="1"/>
  <c r="EV122" i="1"/>
  <c r="EV115" i="1"/>
  <c r="EV110" i="1"/>
  <c r="EV105" i="1"/>
  <c r="EV99" i="1"/>
  <c r="EV94" i="1"/>
  <c r="EV89" i="1"/>
  <c r="EV78" i="1"/>
  <c r="EV73" i="1"/>
  <c r="EV67" i="1"/>
  <c r="EV57" i="1"/>
  <c r="EV41" i="1"/>
  <c r="EV30" i="1"/>
  <c r="EV14" i="1"/>
  <c r="EV216" i="1"/>
  <c r="EV200" i="1"/>
  <c r="EV184" i="1"/>
  <c r="EV174" i="1"/>
  <c r="EV163" i="1"/>
  <c r="EV152" i="1"/>
  <c r="EV267" i="1"/>
  <c r="EV236" i="1"/>
  <c r="EV210" i="1"/>
  <c r="EV188" i="1"/>
  <c r="EV167" i="1"/>
  <c r="EV146" i="1"/>
  <c r="EV135" i="1"/>
  <c r="EV124" i="1"/>
  <c r="EV113" i="1"/>
  <c r="EV102" i="1"/>
  <c r="EV91" i="1"/>
  <c r="EV81" i="1"/>
  <c r="EV70" i="1"/>
  <c r="EV59" i="1"/>
  <c r="EV49" i="1"/>
  <c r="EV38" i="1"/>
  <c r="EV27" i="1"/>
  <c r="EV17" i="1"/>
  <c r="EV258" i="1"/>
  <c r="EV230" i="1"/>
  <c r="EV204" i="1"/>
  <c r="EV183" i="1"/>
  <c r="EV162" i="1"/>
  <c r="EV142" i="1"/>
  <c r="EV131" i="1"/>
  <c r="EV120" i="1"/>
  <c r="EV109" i="1"/>
  <c r="EV98" i="1"/>
  <c r="EV87" i="1"/>
  <c r="EV77" i="1"/>
  <c r="EV66" i="1"/>
  <c r="EV55" i="1"/>
  <c r="EV45" i="1"/>
  <c r="EV34" i="1"/>
  <c r="EV23" i="1"/>
  <c r="EV251" i="1"/>
  <c r="EV222" i="1"/>
  <c r="EV199" i="1"/>
  <c r="EV178" i="1"/>
  <c r="EV156" i="1"/>
  <c r="EV140" i="1"/>
  <c r="EV130" i="1"/>
  <c r="EV119" i="1"/>
  <c r="EV107" i="1"/>
  <c r="EV97" i="1"/>
  <c r="EV86" i="1"/>
  <c r="EV75" i="1"/>
  <c r="EV65" i="1"/>
  <c r="EV54" i="1"/>
  <c r="EV43" i="1"/>
  <c r="EV33" i="1"/>
  <c r="EV22" i="1"/>
  <c r="EV279" i="1"/>
  <c r="EV243" i="1"/>
  <c r="EV215" i="1"/>
  <c r="EV194" i="1"/>
  <c r="EV172" i="1"/>
  <c r="EV151" i="1"/>
  <c r="EV136" i="1"/>
  <c r="EV126" i="1"/>
  <c r="EV114" i="1"/>
  <c r="EV103" i="1"/>
  <c r="EV93" i="1"/>
  <c r="EV82" i="1"/>
  <c r="EV71" i="1"/>
  <c r="EV61" i="1"/>
  <c r="EV50" i="1"/>
  <c r="EV39" i="1"/>
  <c r="EV18" i="1"/>
  <c r="EQ280" i="1"/>
  <c r="EQ272" i="1"/>
  <c r="EQ264" i="1"/>
  <c r="EQ252" i="1"/>
  <c r="EQ226" i="1"/>
  <c r="EQ198" i="1"/>
  <c r="EQ190" i="1"/>
  <c r="EQ182" i="1"/>
  <c r="EQ172" i="1"/>
  <c r="EQ144" i="1"/>
  <c r="EQ136" i="1"/>
  <c r="EQ101" i="1"/>
  <c r="EQ85" i="1"/>
  <c r="EQ73" i="1"/>
  <c r="EQ65" i="1"/>
  <c r="EQ57" i="1"/>
  <c r="EQ31" i="1"/>
  <c r="EQ279" i="1"/>
  <c r="EQ263" i="1"/>
  <c r="EQ273" i="1"/>
  <c r="EQ257" i="1"/>
  <c r="EQ249" i="1"/>
  <c r="EQ225" i="1"/>
  <c r="EQ199" i="1"/>
  <c r="EQ191" i="1"/>
  <c r="EQ183" i="1"/>
  <c r="EQ173" i="1"/>
  <c r="EQ147" i="1"/>
  <c r="EQ129" i="1"/>
  <c r="EQ106" i="1"/>
  <c r="EQ92" i="1"/>
  <c r="EQ80" i="1"/>
  <c r="EO80" i="1" s="1"/>
  <c r="EQ72" i="1"/>
  <c r="EQ64" i="1"/>
  <c r="EQ44" i="1"/>
  <c r="EQ32" i="1"/>
  <c r="EO32" i="1" s="1"/>
  <c r="EQ16" i="1"/>
  <c r="EV6" i="1"/>
  <c r="EV10" i="1"/>
  <c r="EJ9" i="1"/>
  <c r="EJ29" i="1"/>
  <c r="EJ5" i="1"/>
  <c r="EJ7" i="1"/>
  <c r="EQ214" i="1"/>
  <c r="EJ6" i="1"/>
  <c r="EV9" i="1"/>
  <c r="EV12" i="1"/>
  <c r="EV11" i="1"/>
  <c r="EQ103" i="1"/>
  <c r="DY31" i="1"/>
  <c r="EJ280" i="1"/>
  <c r="EJ276" i="1"/>
  <c r="EJ272" i="1"/>
  <c r="EJ268" i="1"/>
  <c r="EJ264" i="1"/>
  <c r="EJ260" i="1"/>
  <c r="EJ256" i="1"/>
  <c r="EJ252" i="1"/>
  <c r="EJ248" i="1"/>
  <c r="EJ244" i="1"/>
  <c r="EJ240" i="1"/>
  <c r="EJ236" i="1"/>
  <c r="EJ232" i="1"/>
  <c r="EJ228" i="1"/>
  <c r="EJ224" i="1"/>
  <c r="EJ220" i="1"/>
  <c r="EJ216" i="1"/>
  <c r="EJ212" i="1"/>
  <c r="EJ208" i="1"/>
  <c r="EJ204" i="1"/>
  <c r="EJ200" i="1"/>
  <c r="EJ196" i="1"/>
  <c r="EJ192" i="1"/>
  <c r="EJ188" i="1"/>
  <c r="EJ184" i="1"/>
  <c r="EJ180" i="1"/>
  <c r="EJ176" i="1"/>
  <c r="EJ172" i="1"/>
  <c r="EJ168" i="1"/>
  <c r="EJ164" i="1"/>
  <c r="EJ160" i="1"/>
  <c r="EJ156" i="1"/>
  <c r="EJ152" i="1"/>
  <c r="EJ148" i="1"/>
  <c r="EJ144" i="1"/>
  <c r="EJ140" i="1"/>
  <c r="EJ136" i="1"/>
  <c r="EJ132" i="1"/>
  <c r="EJ128" i="1"/>
  <c r="EJ124" i="1"/>
  <c r="EJ120" i="1"/>
  <c r="EJ115" i="1"/>
  <c r="EJ111" i="1"/>
  <c r="EJ107" i="1"/>
  <c r="EJ103" i="1"/>
  <c r="EJ99" i="1"/>
  <c r="EJ95" i="1"/>
  <c r="EJ91" i="1"/>
  <c r="EJ87" i="1"/>
  <c r="EJ83" i="1"/>
  <c r="EJ79" i="1"/>
  <c r="EJ75" i="1"/>
  <c r="EJ71" i="1"/>
  <c r="EJ67" i="1"/>
  <c r="EJ63" i="1"/>
  <c r="EJ59" i="1"/>
  <c r="EJ55" i="1"/>
  <c r="EJ51" i="1"/>
  <c r="EJ47" i="1"/>
  <c r="EJ43" i="1"/>
  <c r="EJ39" i="1"/>
  <c r="EJ35" i="1"/>
  <c r="EJ31" i="1"/>
  <c r="EJ27" i="1"/>
  <c r="EJ23" i="1"/>
  <c r="EJ19" i="1"/>
  <c r="EJ15" i="1"/>
  <c r="EJ279" i="1"/>
  <c r="EJ275" i="1"/>
  <c r="EJ271" i="1"/>
  <c r="EJ267" i="1"/>
  <c r="EJ263" i="1"/>
  <c r="EJ259" i="1"/>
  <c r="EJ255" i="1"/>
  <c r="EJ251" i="1"/>
  <c r="EJ247" i="1"/>
  <c r="EJ243" i="1"/>
  <c r="EJ239" i="1"/>
  <c r="EJ235" i="1"/>
  <c r="EJ231" i="1"/>
  <c r="EJ227" i="1"/>
  <c r="EJ223" i="1"/>
  <c r="EJ219" i="1"/>
  <c r="EJ215" i="1"/>
  <c r="EJ211" i="1"/>
  <c r="EJ207" i="1"/>
  <c r="EJ203" i="1"/>
  <c r="EJ199" i="1"/>
  <c r="EJ195" i="1"/>
  <c r="EJ191" i="1"/>
  <c r="EJ187" i="1"/>
  <c r="EJ183" i="1"/>
  <c r="EJ179" i="1"/>
  <c r="EJ175" i="1"/>
  <c r="EJ171" i="1"/>
  <c r="EJ167" i="1"/>
  <c r="EJ163" i="1"/>
  <c r="EJ159" i="1"/>
  <c r="EJ155" i="1"/>
  <c r="EJ151" i="1"/>
  <c r="EJ147" i="1"/>
  <c r="EJ143" i="1"/>
  <c r="EJ139" i="1"/>
  <c r="EJ135" i="1"/>
  <c r="EJ131" i="1"/>
  <c r="EJ127" i="1"/>
  <c r="EJ123" i="1"/>
  <c r="EJ119" i="1"/>
  <c r="EJ114" i="1"/>
  <c r="EJ110" i="1"/>
  <c r="EJ106" i="1"/>
  <c r="EJ102" i="1"/>
  <c r="EJ98" i="1"/>
  <c r="EJ94" i="1"/>
  <c r="EJ90" i="1"/>
  <c r="EJ86" i="1"/>
  <c r="EJ82" i="1"/>
  <c r="EJ78" i="1"/>
  <c r="EJ74" i="1"/>
  <c r="EJ70" i="1"/>
  <c r="EJ66" i="1"/>
  <c r="EJ62" i="1"/>
  <c r="EJ58" i="1"/>
  <c r="EJ54" i="1"/>
  <c r="EJ50" i="1"/>
  <c r="EJ46" i="1"/>
  <c r="EJ42" i="1"/>
  <c r="EJ38" i="1"/>
  <c r="EJ34" i="1"/>
  <c r="EJ30" i="1"/>
  <c r="EJ26" i="1"/>
  <c r="EJ22" i="1"/>
  <c r="EJ18" i="1"/>
  <c r="EJ14" i="1"/>
  <c r="EJ277" i="1"/>
  <c r="EJ273" i="1"/>
  <c r="EJ269" i="1"/>
  <c r="EJ265" i="1"/>
  <c r="EJ261" i="1"/>
  <c r="EJ257" i="1"/>
  <c r="EJ253" i="1"/>
  <c r="EJ249" i="1"/>
  <c r="EJ245" i="1"/>
  <c r="EJ241" i="1"/>
  <c r="EJ237" i="1"/>
  <c r="EJ233" i="1"/>
  <c r="EJ229" i="1"/>
  <c r="EJ225" i="1"/>
  <c r="EJ221" i="1"/>
  <c r="EJ217" i="1"/>
  <c r="EJ213" i="1"/>
  <c r="EJ209" i="1"/>
  <c r="EJ205" i="1"/>
  <c r="EJ201" i="1"/>
  <c r="EJ197" i="1"/>
  <c r="EJ193" i="1"/>
  <c r="EJ189" i="1"/>
  <c r="EJ185" i="1"/>
  <c r="EJ181" i="1"/>
  <c r="EJ177" i="1"/>
  <c r="EJ173" i="1"/>
  <c r="EJ169" i="1"/>
  <c r="EJ165" i="1"/>
  <c r="EJ161" i="1"/>
  <c r="EJ157" i="1"/>
  <c r="EJ153" i="1"/>
  <c r="EJ149" i="1"/>
  <c r="EJ145" i="1"/>
  <c r="EJ141" i="1"/>
  <c r="EJ137" i="1"/>
  <c r="EJ133" i="1"/>
  <c r="EJ129" i="1"/>
  <c r="EJ125" i="1"/>
  <c r="EJ121" i="1"/>
  <c r="EJ117" i="1"/>
  <c r="EJ112" i="1"/>
  <c r="EJ108" i="1"/>
  <c r="EJ104" i="1"/>
  <c r="EJ100" i="1"/>
  <c r="EJ96" i="1"/>
  <c r="EJ92" i="1"/>
  <c r="EJ88" i="1"/>
  <c r="EJ84" i="1"/>
  <c r="EJ80" i="1"/>
  <c r="EJ76" i="1"/>
  <c r="EJ72" i="1"/>
  <c r="EJ68" i="1"/>
  <c r="EJ64" i="1"/>
  <c r="EJ60" i="1"/>
  <c r="EJ56" i="1"/>
  <c r="EJ52" i="1"/>
  <c r="EJ48" i="1"/>
  <c r="EJ44" i="1"/>
  <c r="EJ40" i="1"/>
  <c r="EJ36" i="1"/>
  <c r="EJ32" i="1"/>
  <c r="EJ28" i="1"/>
  <c r="EJ24" i="1"/>
  <c r="EJ20" i="1"/>
  <c r="EJ16" i="1"/>
  <c r="EJ278" i="1"/>
  <c r="EJ262" i="1"/>
  <c r="EJ246" i="1"/>
  <c r="EJ230" i="1"/>
  <c r="EJ214" i="1"/>
  <c r="EJ198" i="1"/>
  <c r="EJ182" i="1"/>
  <c r="EJ166" i="1"/>
  <c r="EJ150" i="1"/>
  <c r="EJ134" i="1"/>
  <c r="EJ118" i="1"/>
  <c r="EJ101" i="1"/>
  <c r="EJ85" i="1"/>
  <c r="EJ69" i="1"/>
  <c r="EJ53" i="1"/>
  <c r="EJ37" i="1"/>
  <c r="EJ21" i="1"/>
  <c r="EJ274" i="1"/>
  <c r="EJ258" i="1"/>
  <c r="EJ270" i="1"/>
  <c r="EJ254" i="1"/>
  <c r="EJ238" i="1"/>
  <c r="EJ222" i="1"/>
  <c r="EJ206" i="1"/>
  <c r="EJ190" i="1"/>
  <c r="EJ174" i="1"/>
  <c r="EJ158" i="1"/>
  <c r="EJ142" i="1"/>
  <c r="EJ126" i="1"/>
  <c r="EJ109" i="1"/>
  <c r="EJ93" i="1"/>
  <c r="EJ77" i="1"/>
  <c r="EJ61" i="1"/>
  <c r="EJ45" i="1"/>
  <c r="EJ266" i="1"/>
  <c r="EJ250" i="1"/>
  <c r="EJ234" i="1"/>
  <c r="EJ218" i="1"/>
  <c r="EJ202" i="1"/>
  <c r="EJ242" i="1"/>
  <c r="EJ186" i="1"/>
  <c r="EJ154" i="1"/>
  <c r="EJ122" i="1"/>
  <c r="EJ89" i="1"/>
  <c r="EJ57" i="1"/>
  <c r="EJ25" i="1"/>
  <c r="EJ226" i="1"/>
  <c r="EJ178" i="1"/>
  <c r="EJ146" i="1"/>
  <c r="EJ113" i="1"/>
  <c r="EJ81" i="1"/>
  <c r="EJ49" i="1"/>
  <c r="EJ17" i="1"/>
  <c r="EJ210" i="1"/>
  <c r="EJ170" i="1"/>
  <c r="EJ138" i="1"/>
  <c r="EJ105" i="1"/>
  <c r="EJ73" i="1"/>
  <c r="EJ41" i="1"/>
  <c r="EJ97" i="1"/>
  <c r="EJ194" i="1"/>
  <c r="EJ65" i="1"/>
  <c r="EJ162" i="1"/>
  <c r="EJ33" i="1"/>
  <c r="EJ130" i="1"/>
  <c r="EQ228" i="1"/>
  <c r="EQ276" i="1"/>
  <c r="EQ268" i="1"/>
  <c r="EQ260" i="1"/>
  <c r="EQ232" i="1"/>
  <c r="EQ202" i="1"/>
  <c r="EQ194" i="1"/>
  <c r="EQ186" i="1"/>
  <c r="EQ178" i="1"/>
  <c r="EQ148" i="1"/>
  <c r="EQ140" i="1"/>
  <c r="EQ118" i="1"/>
  <c r="EQ97" i="1"/>
  <c r="EQ77" i="1"/>
  <c r="EQ69" i="1"/>
  <c r="EQ61" i="1"/>
  <c r="EQ43" i="1"/>
  <c r="EQ27" i="1"/>
  <c r="EQ271" i="1"/>
  <c r="EQ235" i="1"/>
  <c r="EQ265" i="1"/>
  <c r="EQ253" i="1"/>
  <c r="EQ231" i="1"/>
  <c r="EQ203" i="1"/>
  <c r="EQ195" i="1"/>
  <c r="EQ187" i="1"/>
  <c r="EQ179" i="1"/>
  <c r="EQ151" i="1"/>
  <c r="EQ141" i="1"/>
  <c r="EQ119" i="1"/>
  <c r="EQ100" i="1"/>
  <c r="EO100" i="1" s="1"/>
  <c r="EQ86" i="1"/>
  <c r="EQ76" i="1"/>
  <c r="EQ68" i="1"/>
  <c r="EQ60" i="1"/>
  <c r="EQ40" i="1"/>
  <c r="EQ28" i="1"/>
  <c r="EQ254" i="1"/>
  <c r="EV8" i="1"/>
  <c r="EV13" i="1"/>
  <c r="EJ12" i="1"/>
  <c r="EJ11" i="1"/>
  <c r="EQ247" i="1"/>
  <c r="EQ56" i="1"/>
  <c r="DY257" i="1"/>
  <c r="DY213" i="1"/>
  <c r="DY173" i="1"/>
  <c r="DY129" i="1"/>
  <c r="DY85" i="1"/>
  <c r="DY45" i="1"/>
  <c r="DY280" i="1"/>
  <c r="DY236" i="1"/>
  <c r="DY196" i="1"/>
  <c r="DY152" i="1"/>
  <c r="DY88" i="1"/>
  <c r="DY24" i="1"/>
  <c r="DY234" i="1"/>
  <c r="DY219" i="1"/>
  <c r="DY155" i="1"/>
  <c r="DY91" i="1"/>
  <c r="DY27" i="1"/>
  <c r="DY241" i="1"/>
  <c r="DY197" i="1"/>
  <c r="DY157" i="1"/>
  <c r="DY113" i="1"/>
  <c r="DY69" i="1"/>
  <c r="DY29" i="1"/>
  <c r="DY264" i="1"/>
  <c r="DY220" i="1"/>
  <c r="DY180" i="1"/>
  <c r="DY124" i="1"/>
  <c r="DY60" i="1"/>
  <c r="DY270" i="1"/>
  <c r="DY259" i="1"/>
  <c r="DY191" i="1"/>
  <c r="DY127" i="1"/>
  <c r="DY63" i="1"/>
  <c r="DY237" i="1"/>
  <c r="DY193" i="1"/>
  <c r="DY149" i="1"/>
  <c r="DY109" i="1"/>
  <c r="DY65" i="1"/>
  <c r="DY21" i="1"/>
  <c r="DY260" i="1"/>
  <c r="DY216" i="1"/>
  <c r="DY172" i="1"/>
  <c r="DY120" i="1"/>
  <c r="DY56" i="1"/>
  <c r="DY266" i="1"/>
  <c r="DY255" i="1"/>
  <c r="DY187" i="1"/>
  <c r="DY123" i="1"/>
  <c r="DY59" i="1"/>
  <c r="DY261" i="1"/>
  <c r="DY221" i="1"/>
  <c r="DY177" i="1"/>
  <c r="DY133" i="1"/>
  <c r="DY93" i="1"/>
  <c r="DY49" i="1"/>
  <c r="DY5" i="1"/>
  <c r="DY244" i="1"/>
  <c r="DY200" i="1"/>
  <c r="DY156" i="1"/>
  <c r="DY92" i="1"/>
  <c r="DY28" i="1"/>
  <c r="DY238" i="1"/>
  <c r="DY223" i="1"/>
  <c r="DY159" i="1"/>
  <c r="DY95" i="1"/>
  <c r="EE8" i="1"/>
  <c r="DZ9" i="1"/>
  <c r="DZ13" i="1"/>
  <c r="DZ17" i="1"/>
  <c r="DZ21" i="1"/>
  <c r="DZ25" i="1"/>
  <c r="DZ29" i="1"/>
  <c r="DZ33" i="1"/>
  <c r="DZ37" i="1"/>
  <c r="DZ41" i="1"/>
  <c r="DZ45" i="1"/>
  <c r="DZ49" i="1"/>
  <c r="DZ53" i="1"/>
  <c r="DZ57" i="1"/>
  <c r="DZ61" i="1"/>
  <c r="DZ65" i="1"/>
  <c r="DZ69" i="1"/>
  <c r="DZ73" i="1"/>
  <c r="DZ77" i="1"/>
  <c r="DZ81" i="1"/>
  <c r="DZ85" i="1"/>
  <c r="DZ89" i="1"/>
  <c r="DZ93" i="1"/>
  <c r="DZ97" i="1"/>
  <c r="DZ101" i="1"/>
  <c r="DZ105" i="1"/>
  <c r="DZ109" i="1"/>
  <c r="DZ113" i="1"/>
  <c r="DZ117" i="1"/>
  <c r="DZ121" i="1"/>
  <c r="DZ125" i="1"/>
  <c r="DZ129" i="1"/>
  <c r="DZ133" i="1"/>
  <c r="DZ137" i="1"/>
  <c r="DZ141" i="1"/>
  <c r="DZ145" i="1"/>
  <c r="DZ149" i="1"/>
  <c r="DZ153" i="1"/>
  <c r="DZ157" i="1"/>
  <c r="DZ161" i="1"/>
  <c r="DZ165" i="1"/>
  <c r="DZ169" i="1"/>
  <c r="DZ173" i="1"/>
  <c r="DZ177" i="1"/>
  <c r="DZ181" i="1"/>
  <c r="DZ185" i="1"/>
  <c r="DZ189" i="1"/>
  <c r="DZ193" i="1"/>
  <c r="DZ197" i="1"/>
  <c r="DZ201" i="1"/>
  <c r="DZ205" i="1"/>
  <c r="DZ209" i="1"/>
  <c r="DZ213" i="1"/>
  <c r="DZ217" i="1"/>
  <c r="DZ221" i="1"/>
  <c r="DZ225" i="1"/>
  <c r="DZ229" i="1"/>
  <c r="DZ233" i="1"/>
  <c r="DZ237" i="1"/>
  <c r="DZ241" i="1"/>
  <c r="DZ245" i="1"/>
  <c r="DZ249" i="1"/>
  <c r="DZ253" i="1"/>
  <c r="DZ257" i="1"/>
  <c r="DZ261" i="1"/>
  <c r="DZ265" i="1"/>
  <c r="DZ269" i="1"/>
  <c r="DZ273" i="1"/>
  <c r="DZ277" i="1"/>
  <c r="DZ5" i="1"/>
  <c r="DY226" i="1"/>
  <c r="DY210" i="1"/>
  <c r="DY194" i="1"/>
  <c r="DY178" i="1"/>
  <c r="DY162" i="1"/>
  <c r="DY146" i="1"/>
  <c r="DY130" i="1"/>
  <c r="DY114" i="1"/>
  <c r="DY98" i="1"/>
  <c r="DY82" i="1"/>
  <c r="DY66" i="1"/>
  <c r="DY50" i="1"/>
  <c r="DY34" i="1"/>
  <c r="DY18" i="1"/>
  <c r="DZ6" i="1"/>
  <c r="DZ10" i="1"/>
  <c r="DZ14" i="1"/>
  <c r="DZ18" i="1"/>
  <c r="DZ22" i="1"/>
  <c r="DZ26" i="1"/>
  <c r="DZ30" i="1"/>
  <c r="DZ34" i="1"/>
  <c r="DZ38" i="1"/>
  <c r="DZ42" i="1"/>
  <c r="DZ46" i="1"/>
  <c r="DZ50" i="1"/>
  <c r="DZ54" i="1"/>
  <c r="DZ58" i="1"/>
  <c r="DZ62" i="1"/>
  <c r="DZ66" i="1"/>
  <c r="DZ70" i="1"/>
  <c r="DZ74" i="1"/>
  <c r="DZ78" i="1"/>
  <c r="DZ82" i="1"/>
  <c r="DZ86" i="1"/>
  <c r="DZ90" i="1"/>
  <c r="DZ94" i="1"/>
  <c r="DZ98" i="1"/>
  <c r="DZ102" i="1"/>
  <c r="DZ106" i="1"/>
  <c r="DZ110" i="1"/>
  <c r="DZ114" i="1"/>
  <c r="DZ118" i="1"/>
  <c r="DZ122" i="1"/>
  <c r="DZ126" i="1"/>
  <c r="DZ130" i="1"/>
  <c r="DZ134" i="1"/>
  <c r="DZ138" i="1"/>
  <c r="DZ142" i="1"/>
  <c r="DZ146" i="1"/>
  <c r="DZ150" i="1"/>
  <c r="DZ154" i="1"/>
  <c r="DZ158" i="1"/>
  <c r="DZ162" i="1"/>
  <c r="DZ166" i="1"/>
  <c r="DZ170" i="1"/>
  <c r="DZ174" i="1"/>
  <c r="DZ178" i="1"/>
  <c r="DZ182" i="1"/>
  <c r="DZ186" i="1"/>
  <c r="DZ190" i="1"/>
  <c r="DZ194" i="1"/>
  <c r="DZ198" i="1"/>
  <c r="DZ202" i="1"/>
  <c r="DZ206" i="1"/>
  <c r="DZ210" i="1"/>
  <c r="DZ214" i="1"/>
  <c r="DZ218" i="1"/>
  <c r="DZ222" i="1"/>
  <c r="DZ226" i="1"/>
  <c r="DZ230" i="1"/>
  <c r="DZ234" i="1"/>
  <c r="DZ238" i="1"/>
  <c r="DZ242" i="1"/>
  <c r="DZ246" i="1"/>
  <c r="DZ250" i="1"/>
  <c r="DZ254" i="1"/>
  <c r="DZ258" i="1"/>
  <c r="DZ262" i="1"/>
  <c r="DZ266" i="1"/>
  <c r="DZ270" i="1"/>
  <c r="DZ274" i="1"/>
  <c r="DZ278" i="1"/>
  <c r="DY222" i="1"/>
  <c r="DY206" i="1"/>
  <c r="DY190" i="1"/>
  <c r="DY174" i="1"/>
  <c r="DY158" i="1"/>
  <c r="DY142" i="1"/>
  <c r="DY126" i="1"/>
  <c r="DY110" i="1"/>
  <c r="DY94" i="1"/>
  <c r="DY78" i="1"/>
  <c r="DY62" i="1"/>
  <c r="DY46" i="1"/>
  <c r="DY30" i="1"/>
  <c r="DY14" i="1"/>
  <c r="DZ7" i="1"/>
  <c r="DZ11" i="1"/>
  <c r="DZ15" i="1"/>
  <c r="DZ19" i="1"/>
  <c r="DZ23" i="1"/>
  <c r="DZ27" i="1"/>
  <c r="DZ31" i="1"/>
  <c r="DZ35" i="1"/>
  <c r="DZ39" i="1"/>
  <c r="DZ43" i="1"/>
  <c r="DZ47" i="1"/>
  <c r="DZ51" i="1"/>
  <c r="DZ55" i="1"/>
  <c r="DZ59" i="1"/>
  <c r="DZ63" i="1"/>
  <c r="DZ67" i="1"/>
  <c r="DZ71" i="1"/>
  <c r="DZ75" i="1"/>
  <c r="DZ79" i="1"/>
  <c r="DZ83" i="1"/>
  <c r="DZ87" i="1"/>
  <c r="DZ91" i="1"/>
  <c r="DZ95" i="1"/>
  <c r="DZ99" i="1"/>
  <c r="DZ103" i="1"/>
  <c r="DZ107" i="1"/>
  <c r="DZ111" i="1"/>
  <c r="DZ115" i="1"/>
  <c r="DZ119" i="1"/>
  <c r="DZ123" i="1"/>
  <c r="DZ127" i="1"/>
  <c r="DZ131" i="1"/>
  <c r="DZ135" i="1"/>
  <c r="DZ139" i="1"/>
  <c r="DZ143" i="1"/>
  <c r="DZ147" i="1"/>
  <c r="DZ151" i="1"/>
  <c r="DZ155" i="1"/>
  <c r="DZ159" i="1"/>
  <c r="DZ163" i="1"/>
  <c r="DZ167" i="1"/>
  <c r="DZ171" i="1"/>
  <c r="DZ175" i="1"/>
  <c r="DZ179" i="1"/>
  <c r="DZ183" i="1"/>
  <c r="DZ187" i="1"/>
  <c r="DZ191" i="1"/>
  <c r="DZ195" i="1"/>
  <c r="DZ199" i="1"/>
  <c r="DZ203" i="1"/>
  <c r="DZ207" i="1"/>
  <c r="DZ211" i="1"/>
  <c r="DZ215" i="1"/>
  <c r="DZ219" i="1"/>
  <c r="DZ223" i="1"/>
  <c r="DZ227" i="1"/>
  <c r="DZ231" i="1"/>
  <c r="DZ235" i="1"/>
  <c r="DZ239" i="1"/>
  <c r="DZ243" i="1"/>
  <c r="DZ247" i="1"/>
  <c r="DZ251" i="1"/>
  <c r="C57" i="15" s="1"/>
  <c r="D57" i="15" s="1"/>
  <c r="DZ255" i="1"/>
  <c r="DZ259" i="1"/>
  <c r="DZ263" i="1"/>
  <c r="DZ267" i="1"/>
  <c r="DZ271" i="1"/>
  <c r="DZ275" i="1"/>
  <c r="DZ279" i="1"/>
  <c r="DY218" i="1"/>
  <c r="DY202" i="1"/>
  <c r="DY186" i="1"/>
  <c r="DY170" i="1"/>
  <c r="DY154" i="1"/>
  <c r="DY138" i="1"/>
  <c r="DY122" i="1"/>
  <c r="DY106" i="1"/>
  <c r="DY90" i="1"/>
  <c r="DY74" i="1"/>
  <c r="DY58" i="1"/>
  <c r="DY42" i="1"/>
  <c r="DY26" i="1"/>
  <c r="DY10" i="1"/>
  <c r="DZ8" i="1"/>
  <c r="DZ12" i="1"/>
  <c r="DZ28" i="1"/>
  <c r="DZ44" i="1"/>
  <c r="DZ60" i="1"/>
  <c r="DZ76" i="1"/>
  <c r="DZ92" i="1"/>
  <c r="DZ108" i="1"/>
  <c r="DZ124" i="1"/>
  <c r="DZ140" i="1"/>
  <c r="DZ156" i="1"/>
  <c r="DZ172" i="1"/>
  <c r="DZ188" i="1"/>
  <c r="DZ204" i="1"/>
  <c r="DZ220" i="1"/>
  <c r="DZ236" i="1"/>
  <c r="DZ252" i="1"/>
  <c r="DZ268" i="1"/>
  <c r="DY198" i="1"/>
  <c r="DY134" i="1"/>
  <c r="DY70" i="1"/>
  <c r="DY6" i="1"/>
  <c r="DZ40" i="1"/>
  <c r="DZ16" i="1"/>
  <c r="DZ32" i="1"/>
  <c r="DZ48" i="1"/>
  <c r="DZ64" i="1"/>
  <c r="DZ80" i="1"/>
  <c r="DZ96" i="1"/>
  <c r="DZ112" i="1"/>
  <c r="DZ128" i="1"/>
  <c r="DZ144" i="1"/>
  <c r="DZ160" i="1"/>
  <c r="DZ176" i="1"/>
  <c r="DZ192" i="1"/>
  <c r="DZ208" i="1"/>
  <c r="DZ224" i="1"/>
  <c r="DZ240" i="1"/>
  <c r="DZ256" i="1"/>
  <c r="DZ272" i="1"/>
  <c r="DY182" i="1"/>
  <c r="DY118" i="1"/>
  <c r="DY54" i="1"/>
  <c r="DZ24" i="1"/>
  <c r="DZ56" i="1"/>
  <c r="DZ72" i="1"/>
  <c r="DZ88" i="1"/>
  <c r="DZ104" i="1"/>
  <c r="DZ120" i="1"/>
  <c r="DZ136" i="1"/>
  <c r="DZ152" i="1"/>
  <c r="DZ168" i="1"/>
  <c r="DZ184" i="1"/>
  <c r="DZ200" i="1"/>
  <c r="DZ216" i="1"/>
  <c r="DZ232" i="1"/>
  <c r="DZ248" i="1"/>
  <c r="DZ264" i="1"/>
  <c r="DZ280" i="1"/>
  <c r="DY214" i="1"/>
  <c r="DY150" i="1"/>
  <c r="DY86" i="1"/>
  <c r="DY22" i="1"/>
  <c r="DZ20" i="1"/>
  <c r="DZ36" i="1"/>
  <c r="DZ52" i="1"/>
  <c r="DZ68" i="1"/>
  <c r="DZ84" i="1"/>
  <c r="DZ100" i="1"/>
  <c r="DZ132" i="1"/>
  <c r="DZ148" i="1"/>
  <c r="DZ164" i="1"/>
  <c r="DZ180" i="1"/>
  <c r="DZ196" i="1"/>
  <c r="DZ212" i="1"/>
  <c r="DZ228" i="1"/>
  <c r="DZ244" i="1"/>
  <c r="DZ260" i="1"/>
  <c r="DZ276" i="1"/>
  <c r="DY274" i="1"/>
  <c r="DY166" i="1"/>
  <c r="DY102" i="1"/>
  <c r="DY38" i="1"/>
  <c r="DY277" i="1"/>
  <c r="DY19" i="1"/>
  <c r="DY35" i="1"/>
  <c r="DY51" i="1"/>
  <c r="DY67" i="1"/>
  <c r="DY83" i="1"/>
  <c r="DY99" i="1"/>
  <c r="DY115" i="1"/>
  <c r="DY131" i="1"/>
  <c r="DY147" i="1"/>
  <c r="DY163" i="1"/>
  <c r="DY179" i="1"/>
  <c r="DY195" i="1"/>
  <c r="DY211" i="1"/>
  <c r="DY227" i="1"/>
  <c r="DY243" i="1"/>
  <c r="DY263" i="1"/>
  <c r="DY279" i="1"/>
  <c r="DY242" i="1"/>
  <c r="DY258" i="1"/>
  <c r="DY278" i="1"/>
  <c r="DY16" i="1"/>
  <c r="DY32" i="1"/>
  <c r="DY48" i="1"/>
  <c r="DY64" i="1"/>
  <c r="DY80" i="1"/>
  <c r="DY96" i="1"/>
  <c r="DY112" i="1"/>
  <c r="DY128" i="1"/>
  <c r="DY144" i="1"/>
  <c r="DY160" i="1"/>
  <c r="DY176" i="1"/>
  <c r="DY192" i="1"/>
  <c r="DY208" i="1"/>
  <c r="DY224" i="1"/>
  <c r="DY240" i="1"/>
  <c r="DY256" i="1"/>
  <c r="DY272" i="1"/>
  <c r="DY9" i="1"/>
  <c r="DY25" i="1"/>
  <c r="DY41" i="1"/>
  <c r="DY57" i="1"/>
  <c r="DY73" i="1"/>
  <c r="DY89" i="1"/>
  <c r="DY105" i="1"/>
  <c r="DY121" i="1"/>
  <c r="DY137" i="1"/>
  <c r="DY153" i="1"/>
  <c r="DY169" i="1"/>
  <c r="DY185" i="1"/>
  <c r="DY201" i="1"/>
  <c r="DY217" i="1"/>
  <c r="DY233" i="1"/>
  <c r="DY249" i="1"/>
  <c r="DY265" i="1"/>
  <c r="DY7" i="1"/>
  <c r="DY23" i="1"/>
  <c r="DY39" i="1"/>
  <c r="DY55" i="1"/>
  <c r="DY71" i="1"/>
  <c r="DY87" i="1"/>
  <c r="DY103" i="1"/>
  <c r="DY119" i="1"/>
  <c r="DY135" i="1"/>
  <c r="DY151" i="1"/>
  <c r="DY167" i="1"/>
  <c r="DY183" i="1"/>
  <c r="DY199" i="1"/>
  <c r="DY215" i="1"/>
  <c r="DY231" i="1"/>
  <c r="DY247" i="1"/>
  <c r="DY267" i="1"/>
  <c r="DY230" i="1"/>
  <c r="DY246" i="1"/>
  <c r="DY262" i="1"/>
  <c r="DY251" i="1"/>
  <c r="C56" i="15" s="1"/>
  <c r="D56" i="15" s="1"/>
  <c r="DY20" i="1"/>
  <c r="DY36" i="1"/>
  <c r="DY52" i="1"/>
  <c r="DY68" i="1"/>
  <c r="DY84" i="1"/>
  <c r="DY100" i="1"/>
  <c r="DY132" i="1"/>
  <c r="DY148" i="1"/>
  <c r="DY273" i="1"/>
  <c r="DY253" i="1"/>
  <c r="DY229" i="1"/>
  <c r="DY209" i="1"/>
  <c r="DY189" i="1"/>
  <c r="DY165" i="1"/>
  <c r="DY145" i="1"/>
  <c r="DY125" i="1"/>
  <c r="DY101" i="1"/>
  <c r="DY81" i="1"/>
  <c r="DY61" i="1"/>
  <c r="DY37" i="1"/>
  <c r="DY17" i="1"/>
  <c r="DY276" i="1"/>
  <c r="DY252" i="1"/>
  <c r="DY232" i="1"/>
  <c r="DY212" i="1"/>
  <c r="DY188" i="1"/>
  <c r="DY168" i="1"/>
  <c r="DY140" i="1"/>
  <c r="DY108" i="1"/>
  <c r="DY76" i="1"/>
  <c r="DY44" i="1"/>
  <c r="DY12" i="1"/>
  <c r="DY254" i="1"/>
  <c r="DY275" i="1"/>
  <c r="DY239" i="1"/>
  <c r="DY207" i="1"/>
  <c r="DY175" i="1"/>
  <c r="DY143" i="1"/>
  <c r="DY111" i="1"/>
  <c r="DY79" i="1"/>
  <c r="DY47" i="1"/>
  <c r="DY15" i="1"/>
  <c r="DY269" i="1"/>
  <c r="DY245" i="1"/>
  <c r="DY225" i="1"/>
  <c r="DY205" i="1"/>
  <c r="DY181" i="1"/>
  <c r="DY161" i="1"/>
  <c r="DY141" i="1"/>
  <c r="DY117" i="1"/>
  <c r="DY97" i="1"/>
  <c r="DY77" i="1"/>
  <c r="DY53" i="1"/>
  <c r="DY33" i="1"/>
  <c r="DY13" i="1"/>
  <c r="DY268" i="1"/>
  <c r="DY248" i="1"/>
  <c r="DY228" i="1"/>
  <c r="DY204" i="1"/>
  <c r="DY184" i="1"/>
  <c r="DY164" i="1"/>
  <c r="DY136" i="1"/>
  <c r="DY104" i="1"/>
  <c r="DY72" i="1"/>
  <c r="DY40" i="1"/>
  <c r="DY8" i="1"/>
  <c r="DY250" i="1"/>
  <c r="DY271" i="1"/>
  <c r="DY235" i="1"/>
  <c r="DY203" i="1"/>
  <c r="DY171" i="1"/>
  <c r="DY139" i="1"/>
  <c r="DY107" i="1"/>
  <c r="DY75" i="1"/>
  <c r="DY43" i="1"/>
  <c r="DY11" i="1"/>
  <c r="ED235" i="1"/>
  <c r="ED171" i="1"/>
  <c r="ED244" i="1"/>
  <c r="ED204" i="1"/>
  <c r="ED186" i="1"/>
  <c r="ED108" i="1"/>
  <c r="ED206" i="1"/>
  <c r="ED102" i="1"/>
  <c r="EF12" i="1"/>
  <c r="EF13" i="1"/>
  <c r="ED219" i="1"/>
  <c r="ED155" i="1"/>
  <c r="ED228" i="1"/>
  <c r="ED266" i="1"/>
  <c r="ED160" i="1"/>
  <c r="ED92" i="1"/>
  <c r="ED177" i="1"/>
  <c r="ED83" i="1"/>
  <c r="ED6" i="1"/>
  <c r="ED11" i="1"/>
  <c r="ED267" i="1"/>
  <c r="ED203" i="1"/>
  <c r="ED276" i="1"/>
  <c r="ED265" i="1"/>
  <c r="ED234" i="1"/>
  <c r="ED140" i="1"/>
  <c r="ED76" i="1"/>
  <c r="ED150" i="1"/>
  <c r="ED269" i="1"/>
  <c r="EF11" i="1"/>
  <c r="ED8" i="1"/>
  <c r="EE29" i="1"/>
  <c r="ED251" i="1"/>
  <c r="ED187" i="1"/>
  <c r="ED260" i="1"/>
  <c r="ED233" i="1"/>
  <c r="ED205" i="1"/>
  <c r="ED124" i="1"/>
  <c r="ED60" i="1"/>
  <c r="ED121" i="1"/>
  <c r="EE7" i="1"/>
  <c r="EF29" i="1"/>
  <c r="ED10" i="1"/>
  <c r="EE11" i="1"/>
  <c r="ED271" i="1"/>
  <c r="ED255" i="1"/>
  <c r="ED239" i="1"/>
  <c r="ED223" i="1"/>
  <c r="ED207" i="1"/>
  <c r="ED191" i="1"/>
  <c r="ED175" i="1"/>
  <c r="ED159" i="1"/>
  <c r="ED280" i="1"/>
  <c r="ED264" i="1"/>
  <c r="ED248" i="1"/>
  <c r="ED232" i="1"/>
  <c r="ED273" i="1"/>
  <c r="ED241" i="1"/>
  <c r="ED214" i="1"/>
  <c r="ED274" i="1"/>
  <c r="ED242" i="1"/>
  <c r="ED208" i="1"/>
  <c r="ED189" i="1"/>
  <c r="ED170" i="1"/>
  <c r="ED144" i="1"/>
  <c r="ED128" i="1"/>
  <c r="ED112" i="1"/>
  <c r="ED96" i="1"/>
  <c r="ED80" i="1"/>
  <c r="ED64" i="1"/>
  <c r="ED221" i="1"/>
  <c r="ED180" i="1"/>
  <c r="ED153" i="1"/>
  <c r="ED131" i="1"/>
  <c r="ED105" i="1"/>
  <c r="ED86" i="1"/>
  <c r="ED67" i="1"/>
  <c r="EE10" i="1"/>
  <c r="EC7" i="1"/>
  <c r="EC9" i="1"/>
  <c r="EE12" i="1"/>
  <c r="ED12" i="1"/>
  <c r="EE6" i="1"/>
  <c r="EF5" i="1"/>
  <c r="EC5" i="1"/>
  <c r="EE9" i="1"/>
  <c r="ED5" i="1"/>
  <c r="ED263" i="1"/>
  <c r="ED247" i="1"/>
  <c r="ED231" i="1"/>
  <c r="ED215" i="1"/>
  <c r="ED199" i="1"/>
  <c r="ED183" i="1"/>
  <c r="ED167" i="1"/>
  <c r="ED151" i="1"/>
  <c r="ED272" i="1"/>
  <c r="ED256" i="1"/>
  <c r="ED240" i="1"/>
  <c r="ED224" i="1"/>
  <c r="ED257" i="1"/>
  <c r="ED225" i="1"/>
  <c r="ED201" i="1"/>
  <c r="ED258" i="1"/>
  <c r="ED226" i="1"/>
  <c r="ED202" i="1"/>
  <c r="ED176" i="1"/>
  <c r="ED157" i="1"/>
  <c r="ED136" i="1"/>
  <c r="ED120" i="1"/>
  <c r="ED104" i="1"/>
  <c r="ED88" i="1"/>
  <c r="ED72" i="1"/>
  <c r="ED253" i="1"/>
  <c r="ED197" i="1"/>
  <c r="ED172" i="1"/>
  <c r="ED137" i="1"/>
  <c r="ED118" i="1"/>
  <c r="ED99" i="1"/>
  <c r="ED73" i="1"/>
  <c r="ED29" i="1"/>
  <c r="EF9" i="1"/>
  <c r="EC11" i="1"/>
  <c r="EC29" i="1"/>
  <c r="EC6" i="1"/>
  <c r="EC8" i="1"/>
  <c r="EC10" i="1"/>
  <c r="EC13" i="1"/>
  <c r="EE5" i="1"/>
  <c r="EC12" i="1"/>
  <c r="EC276" i="1"/>
  <c r="EC272" i="1"/>
  <c r="EC268" i="1"/>
  <c r="EC264" i="1"/>
  <c r="EC260" i="1"/>
  <c r="EC256" i="1"/>
  <c r="EC252" i="1"/>
  <c r="EC248" i="1"/>
  <c r="EC244" i="1"/>
  <c r="EC240" i="1"/>
  <c r="EC236" i="1"/>
  <c r="EC232" i="1"/>
  <c r="EC228" i="1"/>
  <c r="EC224" i="1"/>
  <c r="EC220" i="1"/>
  <c r="EC216" i="1"/>
  <c r="EC279" i="1"/>
  <c r="EC275" i="1"/>
  <c r="EC271" i="1"/>
  <c r="EC267" i="1"/>
  <c r="EC263" i="1"/>
  <c r="EC259" i="1"/>
  <c r="EC255" i="1"/>
  <c r="EC251" i="1"/>
  <c r="EC247" i="1"/>
  <c r="EC243" i="1"/>
  <c r="EC239" i="1"/>
  <c r="EC235" i="1"/>
  <c r="EC231" i="1"/>
  <c r="EC227" i="1"/>
  <c r="EC223" i="1"/>
  <c r="EC219" i="1"/>
  <c r="EC278" i="1"/>
  <c r="EC274" i="1"/>
  <c r="EC270" i="1"/>
  <c r="EC266" i="1"/>
  <c r="EC262" i="1"/>
  <c r="EC258" i="1"/>
  <c r="EC254" i="1"/>
  <c r="EC250" i="1"/>
  <c r="EC246" i="1"/>
  <c r="EC242" i="1"/>
  <c r="EC238" i="1"/>
  <c r="EC234" i="1"/>
  <c r="EC230" i="1"/>
  <c r="EC226" i="1"/>
  <c r="EC277" i="1"/>
  <c r="EC261" i="1"/>
  <c r="EC245" i="1"/>
  <c r="EC229" i="1"/>
  <c r="EC218" i="1"/>
  <c r="EC213" i="1"/>
  <c r="EC209" i="1"/>
  <c r="EC205" i="1"/>
  <c r="EC201" i="1"/>
  <c r="EC197" i="1"/>
  <c r="EC193" i="1"/>
  <c r="EC189" i="1"/>
  <c r="EC185" i="1"/>
  <c r="EC181" i="1"/>
  <c r="EC177" i="1"/>
  <c r="EC173" i="1"/>
  <c r="EC169" i="1"/>
  <c r="EC165" i="1"/>
  <c r="EC161" i="1"/>
  <c r="EC157" i="1"/>
  <c r="EC153" i="1"/>
  <c r="EC149" i="1"/>
  <c r="EC145" i="1"/>
  <c r="EC141" i="1"/>
  <c r="EC137" i="1"/>
  <c r="EC133" i="1"/>
  <c r="EC129" i="1"/>
  <c r="EC125" i="1"/>
  <c r="EC121" i="1"/>
  <c r="EC117" i="1"/>
  <c r="EC113" i="1"/>
  <c r="EC109" i="1"/>
  <c r="EC105" i="1"/>
  <c r="EC101" i="1"/>
  <c r="EC97" i="1"/>
  <c r="EC93" i="1"/>
  <c r="EC89" i="1"/>
  <c r="EC85" i="1"/>
  <c r="EC81" i="1"/>
  <c r="EC77" i="1"/>
  <c r="EC73" i="1"/>
  <c r="EC69" i="1"/>
  <c r="EC65" i="1"/>
  <c r="EC61" i="1"/>
  <c r="EC57" i="1"/>
  <c r="EC53" i="1"/>
  <c r="EC49" i="1"/>
  <c r="EC45" i="1"/>
  <c r="EC41" i="1"/>
  <c r="EC37" i="1"/>
  <c r="EC33" i="1"/>
  <c r="EC25" i="1"/>
  <c r="EC21" i="1"/>
  <c r="EC17" i="1"/>
  <c r="ED279" i="1"/>
  <c r="EF16" i="1"/>
  <c r="EF20" i="1"/>
  <c r="EC269" i="1"/>
  <c r="EC253" i="1"/>
  <c r="EC237" i="1"/>
  <c r="EC222" i="1"/>
  <c r="EC215" i="1"/>
  <c r="EC211" i="1"/>
  <c r="EC207" i="1"/>
  <c r="EC203" i="1"/>
  <c r="EC199" i="1"/>
  <c r="EC195" i="1"/>
  <c r="EC191" i="1"/>
  <c r="EC187" i="1"/>
  <c r="EC183" i="1"/>
  <c r="EC179" i="1"/>
  <c r="EC175" i="1"/>
  <c r="EC171" i="1"/>
  <c r="EC167" i="1"/>
  <c r="EC163" i="1"/>
  <c r="EC159" i="1"/>
  <c r="EC155" i="1"/>
  <c r="EC151" i="1"/>
  <c r="EC147" i="1"/>
  <c r="EC143" i="1"/>
  <c r="EC139" i="1"/>
  <c r="EC135" i="1"/>
  <c r="EC131" i="1"/>
  <c r="EC127" i="1"/>
  <c r="EC123" i="1"/>
  <c r="EC119" i="1"/>
  <c r="EC115" i="1"/>
  <c r="EC111" i="1"/>
  <c r="EC107" i="1"/>
  <c r="EC103" i="1"/>
  <c r="EC99" i="1"/>
  <c r="EC95" i="1"/>
  <c r="EC91" i="1"/>
  <c r="EC87" i="1"/>
  <c r="EC83" i="1"/>
  <c r="EC79" i="1"/>
  <c r="EC75" i="1"/>
  <c r="EC71" i="1"/>
  <c r="EC67" i="1"/>
  <c r="EC63" i="1"/>
  <c r="EC59" i="1"/>
  <c r="EC55" i="1"/>
  <c r="EC51" i="1"/>
  <c r="EC47" i="1"/>
  <c r="EC43" i="1"/>
  <c r="EC39" i="1"/>
  <c r="EC35" i="1"/>
  <c r="EC31" i="1"/>
  <c r="EC27" i="1"/>
  <c r="EC23" i="1"/>
  <c r="EC19" i="1"/>
  <c r="EC15" i="1"/>
  <c r="EF14" i="1"/>
  <c r="EF18" i="1"/>
  <c r="EF22" i="1"/>
  <c r="EF26" i="1"/>
  <c r="EF30" i="1"/>
  <c r="EF34" i="1"/>
  <c r="EF38" i="1"/>
  <c r="EF42" i="1"/>
  <c r="EF46" i="1"/>
  <c r="EF50" i="1"/>
  <c r="EF54" i="1"/>
  <c r="EF58" i="1"/>
  <c r="EF62" i="1"/>
  <c r="EF66" i="1"/>
  <c r="EF70" i="1"/>
  <c r="EC265" i="1"/>
  <c r="EC249" i="1"/>
  <c r="EC233" i="1"/>
  <c r="EC221" i="1"/>
  <c r="EC214" i="1"/>
  <c r="EC210" i="1"/>
  <c r="EC206" i="1"/>
  <c r="EC202" i="1"/>
  <c r="EC198" i="1"/>
  <c r="EC194" i="1"/>
  <c r="EC190" i="1"/>
  <c r="EC186" i="1"/>
  <c r="EC182" i="1"/>
  <c r="EC178" i="1"/>
  <c r="EC174" i="1"/>
  <c r="EC170" i="1"/>
  <c r="EC166" i="1"/>
  <c r="EC162" i="1"/>
  <c r="EC158" i="1"/>
  <c r="EC154" i="1"/>
  <c r="EC150" i="1"/>
  <c r="EC146" i="1"/>
  <c r="EC142" i="1"/>
  <c r="EC138" i="1"/>
  <c r="EC134" i="1"/>
  <c r="EC130" i="1"/>
  <c r="EC126" i="1"/>
  <c r="EC122" i="1"/>
  <c r="EC118" i="1"/>
  <c r="EC114" i="1"/>
  <c r="EC110" i="1"/>
  <c r="EC106" i="1"/>
  <c r="EC102" i="1"/>
  <c r="EC98" i="1"/>
  <c r="EC94" i="1"/>
  <c r="EC90" i="1"/>
  <c r="EC86" i="1"/>
  <c r="EC82" i="1"/>
  <c r="EC78" i="1"/>
  <c r="EC74" i="1"/>
  <c r="EC70" i="1"/>
  <c r="EC66" i="1"/>
  <c r="EC62" i="1"/>
  <c r="EC58" i="1"/>
  <c r="EC54" i="1"/>
  <c r="EC50" i="1"/>
  <c r="EC46" i="1"/>
  <c r="EC42" i="1"/>
  <c r="EC38" i="1"/>
  <c r="EC34" i="1"/>
  <c r="EC30" i="1"/>
  <c r="EC26" i="1"/>
  <c r="EC22" i="1"/>
  <c r="EC18" i="1"/>
  <c r="EC14" i="1"/>
  <c r="EF15" i="1"/>
  <c r="EF19" i="1"/>
  <c r="EF23" i="1"/>
  <c r="EF27" i="1"/>
  <c r="EF31" i="1"/>
  <c r="EF35" i="1"/>
  <c r="EF39" i="1"/>
  <c r="EF43" i="1"/>
  <c r="EF47" i="1"/>
  <c r="EF51" i="1"/>
  <c r="EF55" i="1"/>
  <c r="EF59" i="1"/>
  <c r="EF63" i="1"/>
  <c r="EF67" i="1"/>
  <c r="EF71" i="1"/>
  <c r="EF75" i="1"/>
  <c r="EF79" i="1"/>
  <c r="EF83" i="1"/>
  <c r="EF87" i="1"/>
  <c r="EF91" i="1"/>
  <c r="EF95" i="1"/>
  <c r="EF99" i="1"/>
  <c r="EC257" i="1"/>
  <c r="EC212" i="1"/>
  <c r="EC196" i="1"/>
  <c r="EC180" i="1"/>
  <c r="EC164" i="1"/>
  <c r="EC148" i="1"/>
  <c r="EC132" i="1"/>
  <c r="EC100" i="1"/>
  <c r="EC84" i="1"/>
  <c r="EC68" i="1"/>
  <c r="EC52" i="1"/>
  <c r="EC36" i="1"/>
  <c r="EC20" i="1"/>
  <c r="EC280" i="1"/>
  <c r="EF21" i="1"/>
  <c r="EF37" i="1"/>
  <c r="EF45" i="1"/>
  <c r="EF53" i="1"/>
  <c r="EF61" i="1"/>
  <c r="EF69" i="1"/>
  <c r="EF76" i="1"/>
  <c r="EF81" i="1"/>
  <c r="EF86" i="1"/>
  <c r="EF92" i="1"/>
  <c r="EF97" i="1"/>
  <c r="EF102" i="1"/>
  <c r="EF106" i="1"/>
  <c r="EF110" i="1"/>
  <c r="EF114" i="1"/>
  <c r="EF118" i="1"/>
  <c r="EF122" i="1"/>
  <c r="EF126" i="1"/>
  <c r="EF130" i="1"/>
  <c r="EF134" i="1"/>
  <c r="EF138" i="1"/>
  <c r="EF142" i="1"/>
  <c r="EF146" i="1"/>
  <c r="EF150" i="1"/>
  <c r="EF154" i="1"/>
  <c r="EF158" i="1"/>
  <c r="EF162" i="1"/>
  <c r="EF166" i="1"/>
  <c r="EF170" i="1"/>
  <c r="EF174" i="1"/>
  <c r="EF178" i="1"/>
  <c r="EF182" i="1"/>
  <c r="EF186" i="1"/>
  <c r="EF190" i="1"/>
  <c r="EF194" i="1"/>
  <c r="EF198" i="1"/>
  <c r="EF202" i="1"/>
  <c r="EF206" i="1"/>
  <c r="EF210" i="1"/>
  <c r="EF214" i="1"/>
  <c r="EF218" i="1"/>
  <c r="EF222" i="1"/>
  <c r="EF226" i="1"/>
  <c r="EF230" i="1"/>
  <c r="EF234" i="1"/>
  <c r="EF238" i="1"/>
  <c r="EF242" i="1"/>
  <c r="EF246" i="1"/>
  <c r="EF250" i="1"/>
  <c r="EF254" i="1"/>
  <c r="EF258" i="1"/>
  <c r="EF262" i="1"/>
  <c r="EF266" i="1"/>
  <c r="EF270" i="1"/>
  <c r="EF274" i="1"/>
  <c r="EF278" i="1"/>
  <c r="ED278" i="1"/>
  <c r="EE275" i="1"/>
  <c r="EE271" i="1"/>
  <c r="EE268" i="1"/>
  <c r="EE264" i="1"/>
  <c r="EE261" i="1"/>
  <c r="EE258" i="1"/>
  <c r="EE254" i="1"/>
  <c r="EE251" i="1"/>
  <c r="EE247" i="1"/>
  <c r="ED245" i="1"/>
  <c r="EE241" i="1"/>
  <c r="EC241" i="1"/>
  <c r="EC208" i="1"/>
  <c r="EC192" i="1"/>
  <c r="EC176" i="1"/>
  <c r="EC160" i="1"/>
  <c r="EC144" i="1"/>
  <c r="EC128" i="1"/>
  <c r="EC112" i="1"/>
  <c r="EC96" i="1"/>
  <c r="EC80" i="1"/>
  <c r="EC64" i="1"/>
  <c r="EC48" i="1"/>
  <c r="EC32" i="1"/>
  <c r="EC16" i="1"/>
  <c r="EF24" i="1"/>
  <c r="EF32" i="1"/>
  <c r="EF40" i="1"/>
  <c r="EF48" i="1"/>
  <c r="EF56" i="1"/>
  <c r="EF64" i="1"/>
  <c r="EF72" i="1"/>
  <c r="EF77" i="1"/>
  <c r="EF82" i="1"/>
  <c r="EF88" i="1"/>
  <c r="EF93" i="1"/>
  <c r="EF98" i="1"/>
  <c r="EF103" i="1"/>
  <c r="EF107" i="1"/>
  <c r="EF111" i="1"/>
  <c r="EF115" i="1"/>
  <c r="EF119" i="1"/>
  <c r="EF123" i="1"/>
  <c r="EF127" i="1"/>
  <c r="EF131" i="1"/>
  <c r="EF135" i="1"/>
  <c r="EF139" i="1"/>
  <c r="EF143" i="1"/>
  <c r="EF147" i="1"/>
  <c r="EF151" i="1"/>
  <c r="EF155" i="1"/>
  <c r="EF159" i="1"/>
  <c r="EF163" i="1"/>
  <c r="EF167" i="1"/>
  <c r="EF171" i="1"/>
  <c r="EF175" i="1"/>
  <c r="EF179" i="1"/>
  <c r="EF183" i="1"/>
  <c r="EF187" i="1"/>
  <c r="EF191" i="1"/>
  <c r="EF195" i="1"/>
  <c r="EF199" i="1"/>
  <c r="EF203" i="1"/>
  <c r="EF207" i="1"/>
  <c r="EF211" i="1"/>
  <c r="EF215" i="1"/>
  <c r="EF219" i="1"/>
  <c r="EF223" i="1"/>
  <c r="EF227" i="1"/>
  <c r="EF231" i="1"/>
  <c r="EF235" i="1"/>
  <c r="EF239" i="1"/>
  <c r="EF243" i="1"/>
  <c r="EF247" i="1"/>
  <c r="EF251" i="1"/>
  <c r="EF255" i="1"/>
  <c r="EF259" i="1"/>
  <c r="EF263" i="1"/>
  <c r="EF267" i="1"/>
  <c r="EF271" i="1"/>
  <c r="EF275" i="1"/>
  <c r="EF279" i="1"/>
  <c r="EE280" i="1"/>
  <c r="EE277" i="1"/>
  <c r="EE274" i="1"/>
  <c r="EE270" i="1"/>
  <c r="EE267" i="1"/>
  <c r="EE263" i="1"/>
  <c r="ED261" i="1"/>
  <c r="EE257" i="1"/>
  <c r="ED254" i="1"/>
  <c r="EE250" i="1"/>
  <c r="EE246" i="1"/>
  <c r="EE244" i="1"/>
  <c r="EE240" i="1"/>
  <c r="EE237" i="1"/>
  <c r="EC225" i="1"/>
  <c r="EC188" i="1"/>
  <c r="EC156" i="1"/>
  <c r="EC124" i="1"/>
  <c r="EC92" i="1"/>
  <c r="EC60" i="1"/>
  <c r="EC28" i="1"/>
  <c r="EF17" i="1"/>
  <c r="EF36" i="1"/>
  <c r="EF52" i="1"/>
  <c r="EF68" i="1"/>
  <c r="EF80" i="1"/>
  <c r="EF90" i="1"/>
  <c r="EF101" i="1"/>
  <c r="EF109" i="1"/>
  <c r="EF117" i="1"/>
  <c r="EF125" i="1"/>
  <c r="EF133" i="1"/>
  <c r="EF141" i="1"/>
  <c r="EF149" i="1"/>
  <c r="EF157" i="1"/>
  <c r="EF165" i="1"/>
  <c r="EF173" i="1"/>
  <c r="EF181" i="1"/>
  <c r="EF189" i="1"/>
  <c r="EF197" i="1"/>
  <c r="EF205" i="1"/>
  <c r="EF213" i="1"/>
  <c r="EF221" i="1"/>
  <c r="EF229" i="1"/>
  <c r="EF237" i="1"/>
  <c r="EF245" i="1"/>
  <c r="EF253" i="1"/>
  <c r="EF261" i="1"/>
  <c r="EF269" i="1"/>
  <c r="EF277" i="1"/>
  <c r="EE279" i="1"/>
  <c r="EE273" i="1"/>
  <c r="EE266" i="1"/>
  <c r="EE260" i="1"/>
  <c r="EE253" i="1"/>
  <c r="ED246" i="1"/>
  <c r="EE239" i="1"/>
  <c r="EE235" i="1"/>
  <c r="EE231" i="1"/>
  <c r="ED229" i="1"/>
  <c r="EE225" i="1"/>
  <c r="ED222" i="1"/>
  <c r="EE218" i="1"/>
  <c r="EE215" i="1"/>
  <c r="EE212" i="1"/>
  <c r="ED210" i="1"/>
  <c r="EE207" i="1"/>
  <c r="EE203" i="1"/>
  <c r="ED200" i="1"/>
  <c r="EE196" i="1"/>
  <c r="EE193" i="1"/>
  <c r="EE190" i="1"/>
  <c r="ED188" i="1"/>
  <c r="ED185" i="1"/>
  <c r="EE182" i="1"/>
  <c r="EE180" i="1"/>
  <c r="EE177" i="1"/>
  <c r="ED174" i="1"/>
  <c r="EE170" i="1"/>
  <c r="ED168" i="1"/>
  <c r="EE165" i="1"/>
  <c r="EE163" i="1"/>
  <c r="ED161" i="1"/>
  <c r="EE157" i="1"/>
  <c r="EE154" i="1"/>
  <c r="EE151" i="1"/>
  <c r="EE148" i="1"/>
  <c r="ED146" i="1"/>
  <c r="EE143" i="1"/>
  <c r="EE141" i="1"/>
  <c r="ED139" i="1"/>
  <c r="EE136" i="1"/>
  <c r="EE133" i="1"/>
  <c r="EE130" i="1"/>
  <c r="EE128" i="1"/>
  <c r="ED126" i="1"/>
  <c r="EE123" i="1"/>
  <c r="EE121" i="1"/>
  <c r="EE118" i="1"/>
  <c r="EE115" i="1"/>
  <c r="ED113" i="1"/>
  <c r="EE110" i="1"/>
  <c r="EE108" i="1"/>
  <c r="ED106" i="1"/>
  <c r="ED103" i="1"/>
  <c r="EE100" i="1"/>
  <c r="EC217" i="1"/>
  <c r="EC184" i="1"/>
  <c r="EC152" i="1"/>
  <c r="EC120" i="1"/>
  <c r="EC88" i="1"/>
  <c r="EC56" i="1"/>
  <c r="EC24" i="1"/>
  <c r="EF25" i="1"/>
  <c r="EF41" i="1"/>
  <c r="EF57" i="1"/>
  <c r="EF73" i="1"/>
  <c r="EF84" i="1"/>
  <c r="EF94" i="1"/>
  <c r="EF104" i="1"/>
  <c r="EF112" i="1"/>
  <c r="EF120" i="1"/>
  <c r="EF128" i="1"/>
  <c r="EF136" i="1"/>
  <c r="EF144" i="1"/>
  <c r="EF152" i="1"/>
  <c r="EF160" i="1"/>
  <c r="EF168" i="1"/>
  <c r="EF176" i="1"/>
  <c r="EF184" i="1"/>
  <c r="EF192" i="1"/>
  <c r="EF200" i="1"/>
  <c r="EF208" i="1"/>
  <c r="EF216" i="1"/>
  <c r="EF224" i="1"/>
  <c r="EF232" i="1"/>
  <c r="EF240" i="1"/>
  <c r="EF248" i="1"/>
  <c r="EF256" i="1"/>
  <c r="EF264" i="1"/>
  <c r="EF272" i="1"/>
  <c r="EF280" i="1"/>
  <c r="EE278" i="1"/>
  <c r="EE272" i="1"/>
  <c r="EE265" i="1"/>
  <c r="EE259" i="1"/>
  <c r="EE252" i="1"/>
  <c r="EE245" i="1"/>
  <c r="EE238" i="1"/>
  <c r="EE234" i="1"/>
  <c r="EE230" i="1"/>
  <c r="EE228" i="1"/>
  <c r="EE224" i="1"/>
  <c r="EE221" i="1"/>
  <c r="EE217" i="1"/>
  <c r="EE214" i="1"/>
  <c r="ED212" i="1"/>
  <c r="EE209" i="1"/>
  <c r="EE206" i="1"/>
  <c r="EE202" i="1"/>
  <c r="EE199" i="1"/>
  <c r="ED196" i="1"/>
  <c r="ED193" i="1"/>
  <c r="ED190" i="1"/>
  <c r="EE187" i="1"/>
  <c r="EE184" i="1"/>
  <c r="ED182" i="1"/>
  <c r="EE179" i="1"/>
  <c r="EE176" i="1"/>
  <c r="EE173" i="1"/>
  <c r="EE169" i="1"/>
  <c r="EE167" i="1"/>
  <c r="ED165" i="1"/>
  <c r="EE162" i="1"/>
  <c r="EE160" i="1"/>
  <c r="EE156" i="1"/>
  <c r="EE153" i="1"/>
  <c r="EE150" i="1"/>
  <c r="ED148" i="1"/>
  <c r="EE145" i="1"/>
  <c r="ED143" i="1"/>
  <c r="ED141" i="1"/>
  <c r="EE138" i="1"/>
  <c r="EE135" i="1"/>
  <c r="ED133" i="1"/>
  <c r="ED130" i="1"/>
  <c r="EE127" i="1"/>
  <c r="EE125" i="1"/>
  <c r="ED123" i="1"/>
  <c r="EE120" i="1"/>
  <c r="EC273" i="1"/>
  <c r="EC200" i="1"/>
  <c r="EC168" i="1"/>
  <c r="EC136" i="1"/>
  <c r="EC104" i="1"/>
  <c r="EC72" i="1"/>
  <c r="EC40" i="1"/>
  <c r="EF33" i="1"/>
  <c r="EF49" i="1"/>
  <c r="EF65" i="1"/>
  <c r="EF78" i="1"/>
  <c r="EF89" i="1"/>
  <c r="EF100" i="1"/>
  <c r="EF108" i="1"/>
  <c r="EF124" i="1"/>
  <c r="EF132" i="1"/>
  <c r="EF140" i="1"/>
  <c r="EF148" i="1"/>
  <c r="EF156" i="1"/>
  <c r="EF164" i="1"/>
  <c r="EF172" i="1"/>
  <c r="EF180" i="1"/>
  <c r="EF188" i="1"/>
  <c r="EF196" i="1"/>
  <c r="EF204" i="1"/>
  <c r="EF212" i="1"/>
  <c r="EF220" i="1"/>
  <c r="EF228" i="1"/>
  <c r="EF236" i="1"/>
  <c r="EF244" i="1"/>
  <c r="EF252" i="1"/>
  <c r="EF260" i="1"/>
  <c r="EF268" i="1"/>
  <c r="EF276" i="1"/>
  <c r="EE276" i="1"/>
  <c r="EE269" i="1"/>
  <c r="ED262" i="1"/>
  <c r="EE255" i="1"/>
  <c r="EE248" i="1"/>
  <c r="EE242" i="1"/>
  <c r="EE236" i="1"/>
  <c r="EE232" i="1"/>
  <c r="EE229" i="1"/>
  <c r="EE226" i="1"/>
  <c r="EE222" i="1"/>
  <c r="EE219" i="1"/>
  <c r="ED216" i="1"/>
  <c r="ED213" i="1"/>
  <c r="EE210" i="1"/>
  <c r="EE208" i="1"/>
  <c r="EE204" i="1"/>
  <c r="EE200" i="1"/>
  <c r="EE197" i="1"/>
  <c r="EE194" i="1"/>
  <c r="EE191" i="1"/>
  <c r="EE188" i="1"/>
  <c r="EE185" i="1"/>
  <c r="EE183" i="1"/>
  <c r="ED181" i="1"/>
  <c r="ED178" i="1"/>
  <c r="EE174" i="1"/>
  <c r="EE171" i="1"/>
  <c r="EE168" i="1"/>
  <c r="ED166" i="1"/>
  <c r="ED164" i="1"/>
  <c r="EE161" i="1"/>
  <c r="EE158" i="1"/>
  <c r="EE155" i="1"/>
  <c r="ED152" i="1"/>
  <c r="ED149" i="1"/>
  <c r="EE146" i="1"/>
  <c r="EE144" i="1"/>
  <c r="ED142" i="1"/>
  <c r="EE139" i="1"/>
  <c r="EE137" i="1"/>
  <c r="EE134" i="1"/>
  <c r="EE131" i="1"/>
  <c r="ED129" i="1"/>
  <c r="EE126" i="1"/>
  <c r="EE124" i="1"/>
  <c r="ED122" i="1"/>
  <c r="ED119" i="1"/>
  <c r="EE113" i="1"/>
  <c r="ED111" i="1"/>
  <c r="ED109" i="1"/>
  <c r="EE106" i="1"/>
  <c r="EE103" i="1"/>
  <c r="ED101" i="1"/>
  <c r="ED98" i="1"/>
  <c r="EE95" i="1"/>
  <c r="EE93" i="1"/>
  <c r="ED91" i="1"/>
  <c r="EE88" i="1"/>
  <c r="EE85" i="1"/>
  <c r="EE82" i="1"/>
  <c r="EE80" i="1"/>
  <c r="ED78" i="1"/>
  <c r="EE75" i="1"/>
  <c r="EE73" i="1"/>
  <c r="EE70" i="1"/>
  <c r="EE67" i="1"/>
  <c r="ED65" i="1"/>
  <c r="EE62" i="1"/>
  <c r="EE60" i="1"/>
  <c r="ED58" i="1"/>
  <c r="ED56" i="1"/>
  <c r="ED54" i="1"/>
  <c r="ED52" i="1"/>
  <c r="ED50" i="1"/>
  <c r="ED48" i="1"/>
  <c r="ED46" i="1"/>
  <c r="ED44" i="1"/>
  <c r="ED42" i="1"/>
  <c r="ED40" i="1"/>
  <c r="ED38" i="1"/>
  <c r="ED36" i="1"/>
  <c r="ED34" i="1"/>
  <c r="ED32" i="1"/>
  <c r="ED30" i="1"/>
  <c r="ED28" i="1"/>
  <c r="ED26" i="1"/>
  <c r="ED24" i="1"/>
  <c r="ED22" i="1"/>
  <c r="ED20" i="1"/>
  <c r="ED18" i="1"/>
  <c r="ED16" i="1"/>
  <c r="ED14" i="1"/>
  <c r="EC108" i="1"/>
  <c r="EF44" i="1"/>
  <c r="EF96" i="1"/>
  <c r="EF129" i="1"/>
  <c r="EF161" i="1"/>
  <c r="EF193" i="1"/>
  <c r="EF225" i="1"/>
  <c r="EF257" i="1"/>
  <c r="EE256" i="1"/>
  <c r="EE233" i="1"/>
  <c r="EE220" i="1"/>
  <c r="ED209" i="1"/>
  <c r="EE195" i="1"/>
  <c r="ED184" i="1"/>
  <c r="EE172" i="1"/>
  <c r="ED162" i="1"/>
  <c r="EE149" i="1"/>
  <c r="EE140" i="1"/>
  <c r="EE129" i="1"/>
  <c r="EE119" i="1"/>
  <c r="ED114" i="1"/>
  <c r="EE109" i="1"/>
  <c r="EE104" i="1"/>
  <c r="EE98" i="1"/>
  <c r="ED95" i="1"/>
  <c r="EE92" i="1"/>
  <c r="EE89" i="1"/>
  <c r="ED85" i="1"/>
  <c r="EE81" i="1"/>
  <c r="EE78" i="1"/>
  <c r="ED75" i="1"/>
  <c r="EE71" i="1"/>
  <c r="EE68" i="1"/>
  <c r="EE64" i="1"/>
  <c r="EE61" i="1"/>
  <c r="EE58" i="1"/>
  <c r="EE55" i="1"/>
  <c r="ED53" i="1"/>
  <c r="EE50" i="1"/>
  <c r="EE47" i="1"/>
  <c r="ED45" i="1"/>
  <c r="EE42" i="1"/>
  <c r="EE39" i="1"/>
  <c r="ED37" i="1"/>
  <c r="EE34" i="1"/>
  <c r="EE31" i="1"/>
  <c r="EE26" i="1"/>
  <c r="EE23" i="1"/>
  <c r="ED21" i="1"/>
  <c r="EE18" i="1"/>
  <c r="EE15" i="1"/>
  <c r="EC204" i="1"/>
  <c r="EC76" i="1"/>
  <c r="EF60" i="1"/>
  <c r="EF105" i="1"/>
  <c r="EF137" i="1"/>
  <c r="EF169" i="1"/>
  <c r="EF201" i="1"/>
  <c r="EF233" i="1"/>
  <c r="EF265" i="1"/>
  <c r="ED277" i="1"/>
  <c r="EE249" i="1"/>
  <c r="ED230" i="1"/>
  <c r="EE216" i="1"/>
  <c r="EE205" i="1"/>
  <c r="EE192" i="1"/>
  <c r="EE181" i="1"/>
  <c r="ED169" i="1"/>
  <c r="EE159" i="1"/>
  <c r="EE147" i="1"/>
  <c r="ED138" i="1"/>
  <c r="ED127" i="1"/>
  <c r="EE117" i="1"/>
  <c r="EE112" i="1"/>
  <c r="EE107" i="1"/>
  <c r="EE102" i="1"/>
  <c r="EE97" i="1"/>
  <c r="EE94" i="1"/>
  <c r="EE91" i="1"/>
  <c r="EE87" i="1"/>
  <c r="EE84" i="1"/>
  <c r="ED81" i="1"/>
  <c r="EE77" i="1"/>
  <c r="EE74" i="1"/>
  <c r="ED71" i="1"/>
  <c r="EE66" i="1"/>
  <c r="EE63" i="1"/>
  <c r="ED61" i="1"/>
  <c r="EE57" i="1"/>
  <c r="ED55" i="1"/>
  <c r="EE52" i="1"/>
  <c r="EE49" i="1"/>
  <c r="ED47" i="1"/>
  <c r="EE44" i="1"/>
  <c r="EE41" i="1"/>
  <c r="ED39" i="1"/>
  <c r="EE36" i="1"/>
  <c r="EE33" i="1"/>
  <c r="ED31" i="1"/>
  <c r="EE28" i="1"/>
  <c r="EE25" i="1"/>
  <c r="ED23" i="1"/>
  <c r="EE20" i="1"/>
  <c r="EE17" i="1"/>
  <c r="ED15" i="1"/>
  <c r="EC172" i="1"/>
  <c r="EC44" i="1"/>
  <c r="EF74" i="1"/>
  <c r="EF113" i="1"/>
  <c r="EF145" i="1"/>
  <c r="EF177" i="1"/>
  <c r="EF209" i="1"/>
  <c r="EF241" i="1"/>
  <c r="EF273" i="1"/>
  <c r="ED270" i="1"/>
  <c r="EE243" i="1"/>
  <c r="EE227" i="1"/>
  <c r="EE213" i="1"/>
  <c r="EE201" i="1"/>
  <c r="EE189" i="1"/>
  <c r="EE178" i="1"/>
  <c r="EE166" i="1"/>
  <c r="ED156" i="1"/>
  <c r="ED145" i="1"/>
  <c r="ED135" i="1"/>
  <c r="ED125" i="1"/>
  <c r="ED117" i="1"/>
  <c r="EE111" i="1"/>
  <c r="ED107" i="1"/>
  <c r="EE101" i="1"/>
  <c r="ED97" i="1"/>
  <c r="ED94" i="1"/>
  <c r="EE90" i="1"/>
  <c r="ED87" i="1"/>
  <c r="EE83" i="1"/>
  <c r="EE79" i="1"/>
  <c r="ED77" i="1"/>
  <c r="ED74" i="1"/>
  <c r="EE69" i="1"/>
  <c r="ED66" i="1"/>
  <c r="ED63" i="1"/>
  <c r="EE59" i="1"/>
  <c r="ED57" i="1"/>
  <c r="EE54" i="1"/>
  <c r="EE51" i="1"/>
  <c r="ED49" i="1"/>
  <c r="EE46" i="1"/>
  <c r="EE43" i="1"/>
  <c r="ED41" i="1"/>
  <c r="EE38" i="1"/>
  <c r="EE35" i="1"/>
  <c r="ED33" i="1"/>
  <c r="EE30" i="1"/>
  <c r="EE27" i="1"/>
  <c r="ED25" i="1"/>
  <c r="EE22" i="1"/>
  <c r="EE19" i="1"/>
  <c r="ED17" i="1"/>
  <c r="EE14" i="1"/>
  <c r="EC140" i="1"/>
  <c r="EF28" i="1"/>
  <c r="EF85" i="1"/>
  <c r="EF121" i="1"/>
  <c r="EF153" i="1"/>
  <c r="EF185" i="1"/>
  <c r="EF217" i="1"/>
  <c r="EF249" i="1"/>
  <c r="EE262" i="1"/>
  <c r="ED238" i="1"/>
  <c r="EE223" i="1"/>
  <c r="EE211" i="1"/>
  <c r="EE198" i="1"/>
  <c r="EE186" i="1"/>
  <c r="EE175" i="1"/>
  <c r="EE164" i="1"/>
  <c r="EE152" i="1"/>
  <c r="EE142" i="1"/>
  <c r="EE132" i="1"/>
  <c r="EE122" i="1"/>
  <c r="EE114" i="1"/>
  <c r="ED110" i="1"/>
  <c r="EE105" i="1"/>
  <c r="EE99" i="1"/>
  <c r="EE96" i="1"/>
  <c r="ED93" i="1"/>
  <c r="ED90" i="1"/>
  <c r="EE86" i="1"/>
  <c r="ED82" i="1"/>
  <c r="ED79" i="1"/>
  <c r="EE76" i="1"/>
  <c r="EE72" i="1"/>
  <c r="ED69" i="1"/>
  <c r="EE65" i="1"/>
  <c r="ED62" i="1"/>
  <c r="ED59" i="1"/>
  <c r="EE56" i="1"/>
  <c r="EE53" i="1"/>
  <c r="ED51" i="1"/>
  <c r="EE48" i="1"/>
  <c r="EE45" i="1"/>
  <c r="ED43" i="1"/>
  <c r="EE40" i="1"/>
  <c r="EE37" i="1"/>
  <c r="ED35" i="1"/>
  <c r="EE32" i="1"/>
  <c r="ED27" i="1"/>
  <c r="EE24" i="1"/>
  <c r="EE21" i="1"/>
  <c r="ED19" i="1"/>
  <c r="EE16" i="1"/>
  <c r="ED275" i="1"/>
  <c r="ED259" i="1"/>
  <c r="ED243" i="1"/>
  <c r="ED227" i="1"/>
  <c r="ED211" i="1"/>
  <c r="ED195" i="1"/>
  <c r="ED179" i="1"/>
  <c r="ED163" i="1"/>
  <c r="ED147" i="1"/>
  <c r="ED268" i="1"/>
  <c r="ED252" i="1"/>
  <c r="ED236" i="1"/>
  <c r="ED220" i="1"/>
  <c r="ED249" i="1"/>
  <c r="ED217" i="1"/>
  <c r="ED198" i="1"/>
  <c r="ED250" i="1"/>
  <c r="ED218" i="1"/>
  <c r="ED192" i="1"/>
  <c r="ED173" i="1"/>
  <c r="ED154" i="1"/>
  <c r="ED132" i="1"/>
  <c r="ED100" i="1"/>
  <c r="ED84" i="1"/>
  <c r="ED68" i="1"/>
  <c r="ED237" i="1"/>
  <c r="ED194" i="1"/>
  <c r="ED158" i="1"/>
  <c r="ED134" i="1"/>
  <c r="ED115" i="1"/>
  <c r="ED89" i="1"/>
  <c r="ED70" i="1"/>
  <c r="ED13" i="1"/>
  <c r="EF7" i="1"/>
  <c r="ED9" i="1"/>
  <c r="EF6" i="1"/>
  <c r="EF8" i="1"/>
  <c r="EF10" i="1"/>
  <c r="ED7" i="1"/>
  <c r="EE13" i="1"/>
  <c r="DL12" i="1"/>
  <c r="DL8" i="1"/>
  <c r="DL29" i="1"/>
  <c r="DL13" i="1"/>
  <c r="CI13" i="1" s="1"/>
  <c r="EM5" i="1"/>
  <c r="DL17" i="1"/>
  <c r="DL21" i="1"/>
  <c r="DL25" i="1"/>
  <c r="CI25" i="1" s="1"/>
  <c r="DL33" i="1"/>
  <c r="DL37" i="1"/>
  <c r="CI37" i="1" s="1"/>
  <c r="DL41" i="1"/>
  <c r="DL45" i="1"/>
  <c r="DL49" i="1"/>
  <c r="CI49" i="1" s="1"/>
  <c r="DL53" i="1"/>
  <c r="DL57" i="1"/>
  <c r="DL61" i="1"/>
  <c r="DL65" i="1"/>
  <c r="DL69" i="1"/>
  <c r="CI69" i="1" s="1"/>
  <c r="DL73" i="1"/>
  <c r="DL77" i="1"/>
  <c r="DL81" i="1"/>
  <c r="DL85" i="1"/>
  <c r="DL89" i="1"/>
  <c r="DL93" i="1"/>
  <c r="DL97" i="1"/>
  <c r="DL101" i="1"/>
  <c r="DL105" i="1"/>
  <c r="CI105" i="1" s="1"/>
  <c r="DL109" i="1"/>
  <c r="DL113" i="1"/>
  <c r="DL118" i="1"/>
  <c r="CI118" i="1" s="1"/>
  <c r="DL122" i="1"/>
  <c r="DL126" i="1"/>
  <c r="DL130" i="1"/>
  <c r="CI130" i="1" s="1"/>
  <c r="DL134" i="1"/>
  <c r="DL138" i="1"/>
  <c r="DL142" i="1"/>
  <c r="CI142" i="1" s="1"/>
  <c r="DL146" i="1"/>
  <c r="CI146" i="1" s="1"/>
  <c r="DL150" i="1"/>
  <c r="CI150" i="1" s="1"/>
  <c r="DL154" i="1"/>
  <c r="CI154" i="1" s="1"/>
  <c r="DL158" i="1"/>
  <c r="DL162" i="1"/>
  <c r="CI162" i="1" s="1"/>
  <c r="DL166" i="1"/>
  <c r="DL170" i="1"/>
  <c r="DL174" i="1"/>
  <c r="CI174" i="1" s="1"/>
  <c r="DL178" i="1"/>
  <c r="DL182" i="1"/>
  <c r="DL186" i="1"/>
  <c r="DL190" i="1"/>
  <c r="CI190" i="1" s="1"/>
  <c r="DL194" i="1"/>
  <c r="CI194" i="1" s="1"/>
  <c r="DL198" i="1"/>
  <c r="CI198" i="1" s="1"/>
  <c r="DL202" i="1"/>
  <c r="DL206" i="1"/>
  <c r="DL210" i="1"/>
  <c r="DL214" i="1"/>
  <c r="DL218" i="1"/>
  <c r="CI218" i="1" s="1"/>
  <c r="DL222" i="1"/>
  <c r="DL226" i="1"/>
  <c r="DL230" i="1"/>
  <c r="DL234" i="1"/>
  <c r="CI234" i="1" s="1"/>
  <c r="DL238" i="1"/>
  <c r="CI238" i="1" s="1"/>
  <c r="DL242" i="1"/>
  <c r="DL246" i="1"/>
  <c r="CI246" i="1" s="1"/>
  <c r="DL250" i="1"/>
  <c r="DL254" i="1"/>
  <c r="DL258" i="1"/>
  <c r="DL262" i="1"/>
  <c r="DL266" i="1"/>
  <c r="DL270" i="1"/>
  <c r="DL274" i="1"/>
  <c r="DL278" i="1"/>
  <c r="DL14" i="1"/>
  <c r="DL18" i="1"/>
  <c r="DL22" i="1"/>
  <c r="CI22" i="1" s="1"/>
  <c r="DL26" i="1"/>
  <c r="DL30" i="1"/>
  <c r="CI30" i="1" s="1"/>
  <c r="DL34" i="1"/>
  <c r="DL38" i="1"/>
  <c r="CI38" i="1" s="1"/>
  <c r="DL42" i="1"/>
  <c r="DL46" i="1"/>
  <c r="CI46" i="1" s="1"/>
  <c r="DL50" i="1"/>
  <c r="CI50" i="1" s="1"/>
  <c r="DL54" i="1"/>
  <c r="CI54" i="1" s="1"/>
  <c r="DL58" i="1"/>
  <c r="DL62" i="1"/>
  <c r="DL66" i="1"/>
  <c r="DL70" i="1"/>
  <c r="DL74" i="1"/>
  <c r="DL78" i="1"/>
  <c r="CI78" i="1" s="1"/>
  <c r="DL82" i="1"/>
  <c r="DL86" i="1"/>
  <c r="DL90" i="1"/>
  <c r="CI90" i="1" s="1"/>
  <c r="DL94" i="1"/>
  <c r="CI94" i="1" s="1"/>
  <c r="DL98" i="1"/>
  <c r="DL102" i="1"/>
  <c r="DL106" i="1"/>
  <c r="CI106" i="1" s="1"/>
  <c r="DL110" i="1"/>
  <c r="DL114" i="1"/>
  <c r="DL119" i="1"/>
  <c r="CI119" i="1" s="1"/>
  <c r="DL123" i="1"/>
  <c r="DL127" i="1"/>
  <c r="CI127" i="1" s="1"/>
  <c r="DL131" i="1"/>
  <c r="DL135" i="1"/>
  <c r="CI135" i="1" s="1"/>
  <c r="DL139" i="1"/>
  <c r="DL143" i="1"/>
  <c r="DL147" i="1"/>
  <c r="DL151" i="1"/>
  <c r="CI151" i="1" s="1"/>
  <c r="DL155" i="1"/>
  <c r="DL159" i="1"/>
  <c r="DL163" i="1"/>
  <c r="DL167" i="1"/>
  <c r="DL171" i="1"/>
  <c r="DL175" i="1"/>
  <c r="DL179" i="1"/>
  <c r="DL183" i="1"/>
  <c r="CI183" i="1" s="1"/>
  <c r="DL187" i="1"/>
  <c r="DL191" i="1"/>
  <c r="DL195" i="1"/>
  <c r="CI195" i="1" s="1"/>
  <c r="DL199" i="1"/>
  <c r="DL203" i="1"/>
  <c r="DL207" i="1"/>
  <c r="DL211" i="1"/>
  <c r="DL215" i="1"/>
  <c r="DL219" i="1"/>
  <c r="CI219" i="1" s="1"/>
  <c r="DL223" i="1"/>
  <c r="CI223" i="1" s="1"/>
  <c r="DL227" i="1"/>
  <c r="DL231" i="1"/>
  <c r="DL235" i="1"/>
  <c r="DL239" i="1"/>
  <c r="CI239" i="1" s="1"/>
  <c r="DL243" i="1"/>
  <c r="CI243" i="1" s="1"/>
  <c r="DL247" i="1"/>
  <c r="DL251" i="1"/>
  <c r="C43" i="15" s="1"/>
  <c r="DL255" i="1"/>
  <c r="DL259" i="1"/>
  <c r="DL263" i="1"/>
  <c r="DL267" i="1"/>
  <c r="DL271" i="1"/>
  <c r="DL275" i="1"/>
  <c r="DL279" i="1"/>
  <c r="DL15" i="1"/>
  <c r="DL19" i="1"/>
  <c r="DL23" i="1"/>
  <c r="CI23" i="1" s="1"/>
  <c r="DL27" i="1"/>
  <c r="CI27" i="1" s="1"/>
  <c r="DL31" i="1"/>
  <c r="CI31" i="1" s="1"/>
  <c r="DL35" i="1"/>
  <c r="DL39" i="1"/>
  <c r="CI39" i="1" s="1"/>
  <c r="DL43" i="1"/>
  <c r="DL47" i="1"/>
  <c r="DL51" i="1"/>
  <c r="DL55" i="1"/>
  <c r="DL59" i="1"/>
  <c r="DL63" i="1"/>
  <c r="DL67" i="1"/>
  <c r="CI67" i="1" s="1"/>
  <c r="DL71" i="1"/>
  <c r="CI71" i="1" s="1"/>
  <c r="DL75" i="1"/>
  <c r="CI75" i="1" s="1"/>
  <c r="DL79" i="1"/>
  <c r="CI79" i="1" s="1"/>
  <c r="DL83" i="1"/>
  <c r="CI83" i="1" s="1"/>
  <c r="DL87" i="1"/>
  <c r="DL91" i="1"/>
  <c r="CI91" i="1" s="1"/>
  <c r="DL95" i="1"/>
  <c r="DL99" i="1"/>
  <c r="DL103" i="1"/>
  <c r="DL107" i="1"/>
  <c r="DL111" i="1"/>
  <c r="DL115" i="1"/>
  <c r="DL120" i="1"/>
  <c r="CI120" i="1" s="1"/>
  <c r="DL124" i="1"/>
  <c r="DL128" i="1"/>
  <c r="DL132" i="1"/>
  <c r="CI132" i="1" s="1"/>
  <c r="DL136" i="1"/>
  <c r="DL140" i="1"/>
  <c r="DL144" i="1"/>
  <c r="CI144" i="1" s="1"/>
  <c r="DL148" i="1"/>
  <c r="DL152" i="1"/>
  <c r="DL156" i="1"/>
  <c r="DL160" i="1"/>
  <c r="CI160" i="1" s="1"/>
  <c r="DL164" i="1"/>
  <c r="CI164" i="1" s="1"/>
  <c r="DL168" i="1"/>
  <c r="DL172" i="1"/>
  <c r="DL176" i="1"/>
  <c r="CI176" i="1" s="1"/>
  <c r="DL180" i="1"/>
  <c r="DL184" i="1"/>
  <c r="DL188" i="1"/>
  <c r="DL192" i="1"/>
  <c r="DL196" i="1"/>
  <c r="CI196" i="1" s="1"/>
  <c r="DL200" i="1"/>
  <c r="CI200" i="1" s="1"/>
  <c r="DL204" i="1"/>
  <c r="DL208" i="1"/>
  <c r="DL212" i="1"/>
  <c r="CI212" i="1" s="1"/>
  <c r="DL216" i="1"/>
  <c r="DL220" i="1"/>
  <c r="DL224" i="1"/>
  <c r="DL228" i="1"/>
  <c r="DL232" i="1"/>
  <c r="DL236" i="1"/>
  <c r="CI236" i="1" s="1"/>
  <c r="DL240" i="1"/>
  <c r="DL244" i="1"/>
  <c r="CI244" i="1" s="1"/>
  <c r="DL248" i="1"/>
  <c r="DL252" i="1"/>
  <c r="DL256" i="1"/>
  <c r="DL260" i="1"/>
  <c r="DL264" i="1"/>
  <c r="DL268" i="1"/>
  <c r="DL272" i="1"/>
  <c r="DL276" i="1"/>
  <c r="DL280" i="1"/>
  <c r="DL16" i="1"/>
  <c r="DL20" i="1"/>
  <c r="CI20" i="1" s="1"/>
  <c r="DL24" i="1"/>
  <c r="DL28" i="1"/>
  <c r="DL32" i="1"/>
  <c r="DL36" i="1"/>
  <c r="CI36" i="1" s="1"/>
  <c r="DL40" i="1"/>
  <c r="DL44" i="1"/>
  <c r="DL48" i="1"/>
  <c r="CI48" i="1" s="1"/>
  <c r="DL52" i="1"/>
  <c r="DL56" i="1"/>
  <c r="DL60" i="1"/>
  <c r="DL64" i="1"/>
  <c r="DL68" i="1"/>
  <c r="CI68" i="1" s="1"/>
  <c r="DL72" i="1"/>
  <c r="CI72" i="1" s="1"/>
  <c r="DL76" i="1"/>
  <c r="DL80" i="1"/>
  <c r="CI80" i="1" s="1"/>
  <c r="DL84" i="1"/>
  <c r="DL88" i="1"/>
  <c r="DL92" i="1"/>
  <c r="DL96" i="1"/>
  <c r="DL100" i="1"/>
  <c r="DL104" i="1"/>
  <c r="DL108" i="1"/>
  <c r="DL112" i="1"/>
  <c r="DL117" i="1"/>
  <c r="CI117" i="1" s="1"/>
  <c r="DL121" i="1"/>
  <c r="DL125" i="1"/>
  <c r="DL129" i="1"/>
  <c r="DL133" i="1"/>
  <c r="DL137" i="1"/>
  <c r="DL141" i="1"/>
  <c r="DL145" i="1"/>
  <c r="CI145" i="1" s="1"/>
  <c r="DL149" i="1"/>
  <c r="DL153" i="1"/>
  <c r="DL157" i="1"/>
  <c r="DL161" i="1"/>
  <c r="CI161" i="1" s="1"/>
  <c r="DL165" i="1"/>
  <c r="DL169" i="1"/>
  <c r="CI169" i="1" s="1"/>
  <c r="DL173" i="1"/>
  <c r="CI173" i="1" s="1"/>
  <c r="DL177" i="1"/>
  <c r="DL181" i="1"/>
  <c r="DL185" i="1"/>
  <c r="DL189" i="1"/>
  <c r="CI189" i="1" s="1"/>
  <c r="DL193" i="1"/>
  <c r="CI193" i="1" s="1"/>
  <c r="DL197" i="1"/>
  <c r="DL201" i="1"/>
  <c r="CI201" i="1" s="1"/>
  <c r="DL205" i="1"/>
  <c r="DL209" i="1"/>
  <c r="DL213" i="1"/>
  <c r="DL217" i="1"/>
  <c r="CI217" i="1" s="1"/>
  <c r="DL221" i="1"/>
  <c r="CI221" i="1" s="1"/>
  <c r="DL225" i="1"/>
  <c r="DL229" i="1"/>
  <c r="DL233" i="1"/>
  <c r="DL237" i="1"/>
  <c r="DL241" i="1"/>
  <c r="CI241" i="1" s="1"/>
  <c r="DL245" i="1"/>
  <c r="CI245" i="1" s="1"/>
  <c r="DL249" i="1"/>
  <c r="DL253" i="1"/>
  <c r="DL257" i="1"/>
  <c r="DL261" i="1"/>
  <c r="DL265" i="1"/>
  <c r="DL269" i="1"/>
  <c r="DL273" i="1"/>
  <c r="DL277" i="1"/>
  <c r="DL7" i="1"/>
  <c r="CI7" i="1" s="1"/>
  <c r="DL6" i="1"/>
  <c r="CI6" i="1" s="1"/>
  <c r="DL5" i="1"/>
  <c r="CI5" i="1" s="1"/>
  <c r="DL9" i="1"/>
  <c r="CI9" i="1" s="1"/>
  <c r="DL10" i="1"/>
  <c r="CI10" i="1" s="1"/>
  <c r="DL11" i="1"/>
  <c r="EL29" i="1"/>
  <c r="EM29" i="1"/>
  <c r="EN281" i="1"/>
  <c r="EM12" i="1"/>
  <c r="EL11" i="1"/>
  <c r="ET14" i="1"/>
  <c r="ET18" i="1"/>
  <c r="ET22" i="1"/>
  <c r="ET28" i="1"/>
  <c r="ET32" i="1"/>
  <c r="ET36" i="1"/>
  <c r="ET40" i="1"/>
  <c r="ET44" i="1"/>
  <c r="ET48" i="1"/>
  <c r="ET52" i="1"/>
  <c r="ET56" i="1"/>
  <c r="ET60" i="1"/>
  <c r="ET64" i="1"/>
  <c r="ET68" i="1"/>
  <c r="ET72" i="1"/>
  <c r="ET76" i="1"/>
  <c r="ET80" i="1"/>
  <c r="ET84" i="1"/>
  <c r="ET88" i="1"/>
  <c r="ET92" i="1"/>
  <c r="ET96" i="1"/>
  <c r="ET100" i="1"/>
  <c r="ET104" i="1"/>
  <c r="ET108" i="1"/>
  <c r="ET112" i="1"/>
  <c r="ET117" i="1"/>
  <c r="ET121" i="1"/>
  <c r="ET125" i="1"/>
  <c r="ET129" i="1"/>
  <c r="ET133" i="1"/>
  <c r="ET137" i="1"/>
  <c r="ET141" i="1"/>
  <c r="ET145" i="1"/>
  <c r="ET149" i="1"/>
  <c r="ET153" i="1"/>
  <c r="ET157" i="1"/>
  <c r="ET161" i="1"/>
  <c r="ET165" i="1"/>
  <c r="ET169" i="1"/>
  <c r="ET173" i="1"/>
  <c r="ET177" i="1"/>
  <c r="ET181" i="1"/>
  <c r="ET185" i="1"/>
  <c r="ET189" i="1"/>
  <c r="ET193" i="1"/>
  <c r="ET197" i="1"/>
  <c r="ET201" i="1"/>
  <c r="ET205" i="1"/>
  <c r="ET209" i="1"/>
  <c r="ET213" i="1"/>
  <c r="ET217" i="1"/>
  <c r="ET221" i="1"/>
  <c r="ET225" i="1"/>
  <c r="ET229" i="1"/>
  <c r="ET233" i="1"/>
  <c r="ET237" i="1"/>
  <c r="ET241" i="1"/>
  <c r="ET245" i="1"/>
  <c r="ET249" i="1"/>
  <c r="ET253" i="1"/>
  <c r="ET257" i="1"/>
  <c r="ET261" i="1"/>
  <c r="ET265" i="1"/>
  <c r="ET269" i="1"/>
  <c r="ET273" i="1"/>
  <c r="ET277" i="1"/>
  <c r="ET15" i="1"/>
  <c r="ET19" i="1"/>
  <c r="ET23" i="1"/>
  <c r="ET33" i="1"/>
  <c r="ET37" i="1"/>
  <c r="ET41" i="1"/>
  <c r="ET45" i="1"/>
  <c r="ET49" i="1"/>
  <c r="ET53" i="1"/>
  <c r="ET57" i="1"/>
  <c r="ET61" i="1"/>
  <c r="ET65" i="1"/>
  <c r="ET69" i="1"/>
  <c r="ET73" i="1"/>
  <c r="ET77" i="1"/>
  <c r="ET81" i="1"/>
  <c r="ET85" i="1"/>
  <c r="ET89" i="1"/>
  <c r="ET93" i="1"/>
  <c r="ET97" i="1"/>
  <c r="ET101" i="1"/>
  <c r="ET105" i="1"/>
  <c r="ET109" i="1"/>
  <c r="ET113" i="1"/>
  <c r="ET118" i="1"/>
  <c r="ET122" i="1"/>
  <c r="ET126" i="1"/>
  <c r="ET130" i="1"/>
  <c r="ET134" i="1"/>
  <c r="ET138" i="1"/>
  <c r="ET142" i="1"/>
  <c r="ET146" i="1"/>
  <c r="ET150" i="1"/>
  <c r="ET154" i="1"/>
  <c r="ET158" i="1"/>
  <c r="ET162" i="1"/>
  <c r="ET166" i="1"/>
  <c r="ET170" i="1"/>
  <c r="ET174" i="1"/>
  <c r="ET178" i="1"/>
  <c r="ET182" i="1"/>
  <c r="ET186" i="1"/>
  <c r="ET190" i="1"/>
  <c r="ET194" i="1"/>
  <c r="ET198" i="1"/>
  <c r="ET202" i="1"/>
  <c r="ET206" i="1"/>
  <c r="ET210" i="1"/>
  <c r="ET214" i="1"/>
  <c r="ET218" i="1"/>
  <c r="ET222" i="1"/>
  <c r="ET226" i="1"/>
  <c r="ET230" i="1"/>
  <c r="ET234" i="1"/>
  <c r="ET238" i="1"/>
  <c r="ET242" i="1"/>
  <c r="ET246" i="1"/>
  <c r="ET250" i="1"/>
  <c r="ET254" i="1"/>
  <c r="ET258" i="1"/>
  <c r="ET262" i="1"/>
  <c r="ET266" i="1"/>
  <c r="ET270" i="1"/>
  <c r="ET274" i="1"/>
  <c r="ET278" i="1"/>
  <c r="ET16" i="1"/>
  <c r="ET20" i="1"/>
  <c r="ET26" i="1"/>
  <c r="ET30" i="1"/>
  <c r="ET34" i="1"/>
  <c r="ET38" i="1"/>
  <c r="ET42" i="1"/>
  <c r="ET46" i="1"/>
  <c r="ET50" i="1"/>
  <c r="ET54" i="1"/>
  <c r="ET58" i="1"/>
  <c r="ET62" i="1"/>
  <c r="ET66" i="1"/>
  <c r="ET70" i="1"/>
  <c r="ET74" i="1"/>
  <c r="ET78" i="1"/>
  <c r="ET82" i="1"/>
  <c r="ET86" i="1"/>
  <c r="ET90" i="1"/>
  <c r="ET94" i="1"/>
  <c r="ET98" i="1"/>
  <c r="ET102" i="1"/>
  <c r="ET106" i="1"/>
  <c r="ET110" i="1"/>
  <c r="ET114" i="1"/>
  <c r="ET119" i="1"/>
  <c r="ET123" i="1"/>
  <c r="ET127" i="1"/>
  <c r="ET131" i="1"/>
  <c r="ET135" i="1"/>
  <c r="ET139" i="1"/>
  <c r="ET143" i="1"/>
  <c r="ET147" i="1"/>
  <c r="ET151" i="1"/>
  <c r="ET155" i="1"/>
  <c r="ET159" i="1"/>
  <c r="ET17" i="1"/>
  <c r="ET21" i="1"/>
  <c r="ET27" i="1"/>
  <c r="ET31" i="1"/>
  <c r="ET35" i="1"/>
  <c r="ET39" i="1"/>
  <c r="ET43" i="1"/>
  <c r="ET47" i="1"/>
  <c r="ET51" i="1"/>
  <c r="ET55" i="1"/>
  <c r="ET59" i="1"/>
  <c r="ET63" i="1"/>
  <c r="ET67" i="1"/>
  <c r="ET71" i="1"/>
  <c r="ET75" i="1"/>
  <c r="ET79" i="1"/>
  <c r="ET83" i="1"/>
  <c r="ET87" i="1"/>
  <c r="ET91" i="1"/>
  <c r="ET95" i="1"/>
  <c r="ET99" i="1"/>
  <c r="ET103" i="1"/>
  <c r="ET107" i="1"/>
  <c r="ET111" i="1"/>
  <c r="ET115" i="1"/>
  <c r="ET120" i="1"/>
  <c r="ET124" i="1"/>
  <c r="ET128" i="1"/>
  <c r="ET132" i="1"/>
  <c r="ET136" i="1"/>
  <c r="ET140" i="1"/>
  <c r="ET144" i="1"/>
  <c r="ET148" i="1"/>
  <c r="ET152" i="1"/>
  <c r="ET156" i="1"/>
  <c r="ET160" i="1"/>
  <c r="ET164" i="1"/>
  <c r="ET168" i="1"/>
  <c r="ET172" i="1"/>
  <c r="ET176" i="1"/>
  <c r="ET180" i="1"/>
  <c r="ET184" i="1"/>
  <c r="ET188" i="1"/>
  <c r="ET192" i="1"/>
  <c r="ET196" i="1"/>
  <c r="ET200" i="1"/>
  <c r="ET204" i="1"/>
  <c r="ET208" i="1"/>
  <c r="ET212" i="1"/>
  <c r="ET216" i="1"/>
  <c r="ET220" i="1"/>
  <c r="ET224" i="1"/>
  <c r="ET228" i="1"/>
  <c r="ET232" i="1"/>
  <c r="ET236" i="1"/>
  <c r="ET240" i="1"/>
  <c r="ET244" i="1"/>
  <c r="ET248" i="1"/>
  <c r="ET252" i="1"/>
  <c r="ET256" i="1"/>
  <c r="ET260" i="1"/>
  <c r="ET264" i="1"/>
  <c r="ET268" i="1"/>
  <c r="ET272" i="1"/>
  <c r="ET276" i="1"/>
  <c r="ET280" i="1"/>
  <c r="ET175" i="1"/>
  <c r="ET191" i="1"/>
  <c r="ET207" i="1"/>
  <c r="ET223" i="1"/>
  <c r="ET239" i="1"/>
  <c r="ET255" i="1"/>
  <c r="ET271" i="1"/>
  <c r="ET163" i="1"/>
  <c r="ET179" i="1"/>
  <c r="ET195" i="1"/>
  <c r="ET211" i="1"/>
  <c r="ET227" i="1"/>
  <c r="ET243" i="1"/>
  <c r="ET259" i="1"/>
  <c r="ET275" i="1"/>
  <c r="ET167" i="1"/>
  <c r="ET183" i="1"/>
  <c r="ET199" i="1"/>
  <c r="ET215" i="1"/>
  <c r="ET231" i="1"/>
  <c r="ET247" i="1"/>
  <c r="ET263" i="1"/>
  <c r="ET279" i="1"/>
  <c r="ET171" i="1"/>
  <c r="ET187" i="1"/>
  <c r="ET203" i="1"/>
  <c r="ET219" i="1"/>
  <c r="ET235" i="1"/>
  <c r="ET251" i="1"/>
  <c r="ET267" i="1"/>
  <c r="ET13" i="1"/>
  <c r="ET7" i="1"/>
  <c r="EM280" i="1"/>
  <c r="EM278" i="1"/>
  <c r="EM276" i="1"/>
  <c r="EM274" i="1"/>
  <c r="EM272" i="1"/>
  <c r="EM270" i="1"/>
  <c r="EM268" i="1"/>
  <c r="EM266" i="1"/>
  <c r="EM264" i="1"/>
  <c r="EM262" i="1"/>
  <c r="EM260" i="1"/>
  <c r="EM258" i="1"/>
  <c r="EM256" i="1"/>
  <c r="EM254" i="1"/>
  <c r="EM252" i="1"/>
  <c r="EM250" i="1"/>
  <c r="EM248" i="1"/>
  <c r="EM246" i="1"/>
  <c r="EM244" i="1"/>
  <c r="EM242" i="1"/>
  <c r="EM240" i="1"/>
  <c r="EM238" i="1"/>
  <c r="EM236" i="1"/>
  <c r="EM234" i="1"/>
  <c r="EM232" i="1"/>
  <c r="EM230" i="1"/>
  <c r="EM228" i="1"/>
  <c r="EM226" i="1"/>
  <c r="EM224" i="1"/>
  <c r="EM222" i="1"/>
  <c r="EM220" i="1"/>
  <c r="EM218" i="1"/>
  <c r="EM216" i="1"/>
  <c r="EM214" i="1"/>
  <c r="EM212" i="1"/>
  <c r="EM210" i="1"/>
  <c r="EM208" i="1"/>
  <c r="EM206" i="1"/>
  <c r="EM204" i="1"/>
  <c r="EM202" i="1"/>
  <c r="EM200" i="1"/>
  <c r="EM198" i="1"/>
  <c r="EM196" i="1"/>
  <c r="EM194" i="1"/>
  <c r="EM192" i="1"/>
  <c r="EM190" i="1"/>
  <c r="EM188" i="1"/>
  <c r="EM186" i="1"/>
  <c r="EM184" i="1"/>
  <c r="EM182" i="1"/>
  <c r="EM180" i="1"/>
  <c r="EM178" i="1"/>
  <c r="EM176" i="1"/>
  <c r="EM174" i="1"/>
  <c r="EM172" i="1"/>
  <c r="EM170" i="1"/>
  <c r="EM168" i="1"/>
  <c r="EM166" i="1"/>
  <c r="EM164" i="1"/>
  <c r="EM162" i="1"/>
  <c r="EM160" i="1"/>
  <c r="EM158" i="1"/>
  <c r="EM156" i="1"/>
  <c r="EM154" i="1"/>
  <c r="EM152" i="1"/>
  <c r="EM150" i="1"/>
  <c r="EM148" i="1"/>
  <c r="EM146" i="1"/>
  <c r="EM144" i="1"/>
  <c r="EM142" i="1"/>
  <c r="EM140" i="1"/>
  <c r="EM138" i="1"/>
  <c r="EM136" i="1"/>
  <c r="EM134" i="1"/>
  <c r="EM132" i="1"/>
  <c r="EM130" i="1"/>
  <c r="EM128" i="1"/>
  <c r="EM126" i="1"/>
  <c r="EM124" i="1"/>
  <c r="EM122" i="1"/>
  <c r="EM120" i="1"/>
  <c r="EM118" i="1"/>
  <c r="EM114" i="1"/>
  <c r="EM112" i="1"/>
  <c r="EL280" i="1"/>
  <c r="EL278" i="1"/>
  <c r="EL276" i="1"/>
  <c r="EL274" i="1"/>
  <c r="EL272" i="1"/>
  <c r="EL270" i="1"/>
  <c r="EL268" i="1"/>
  <c r="EL266" i="1"/>
  <c r="EL264" i="1"/>
  <c r="EL262" i="1"/>
  <c r="EL260" i="1"/>
  <c r="EL258" i="1"/>
  <c r="EL256" i="1"/>
  <c r="EL254" i="1"/>
  <c r="EL252" i="1"/>
  <c r="EL250" i="1"/>
  <c r="EL248" i="1"/>
  <c r="EL246" i="1"/>
  <c r="EL244" i="1"/>
  <c r="EL242" i="1"/>
  <c r="EL240" i="1"/>
  <c r="EL238" i="1"/>
  <c r="EL236" i="1"/>
  <c r="EL234" i="1"/>
  <c r="EL232" i="1"/>
  <c r="EL230" i="1"/>
  <c r="EL228" i="1"/>
  <c r="EL226" i="1"/>
  <c r="EL224" i="1"/>
  <c r="EL222" i="1"/>
  <c r="EL220" i="1"/>
  <c r="EL218" i="1"/>
  <c r="EL216" i="1"/>
  <c r="EL214" i="1"/>
  <c r="EL212" i="1"/>
  <c r="EL210" i="1"/>
  <c r="EL208" i="1"/>
  <c r="EL206" i="1"/>
  <c r="EL204" i="1"/>
  <c r="EL202" i="1"/>
  <c r="EL200" i="1"/>
  <c r="EL198" i="1"/>
  <c r="EL196" i="1"/>
  <c r="EL194" i="1"/>
  <c r="EL192" i="1"/>
  <c r="EL190" i="1"/>
  <c r="EL188" i="1"/>
  <c r="EL186" i="1"/>
  <c r="EL184" i="1"/>
  <c r="EL182" i="1"/>
  <c r="EL180" i="1"/>
  <c r="EL178" i="1"/>
  <c r="EL176" i="1"/>
  <c r="EL174" i="1"/>
  <c r="EL172" i="1"/>
  <c r="EL170" i="1"/>
  <c r="EL168" i="1"/>
  <c r="EL166" i="1"/>
  <c r="EL164" i="1"/>
  <c r="EL162" i="1"/>
  <c r="EL160" i="1"/>
  <c r="EL158" i="1"/>
  <c r="EL156" i="1"/>
  <c r="EL154" i="1"/>
  <c r="EL152" i="1"/>
  <c r="EL150" i="1"/>
  <c r="EL148" i="1"/>
  <c r="EL146" i="1"/>
  <c r="EL144" i="1"/>
  <c r="EL142" i="1"/>
  <c r="EL140" i="1"/>
  <c r="EL138" i="1"/>
  <c r="EL136" i="1"/>
  <c r="EL134" i="1"/>
  <c r="EL132" i="1"/>
  <c r="EL130" i="1"/>
  <c r="EL128" i="1"/>
  <c r="EL126" i="1"/>
  <c r="EL124" i="1"/>
  <c r="EL122" i="1"/>
  <c r="EL120" i="1"/>
  <c r="EL118" i="1"/>
  <c r="EL114" i="1"/>
  <c r="EL112" i="1"/>
  <c r="EL279" i="1"/>
  <c r="EL277" i="1"/>
  <c r="EL275" i="1"/>
  <c r="EL273" i="1"/>
  <c r="EL271" i="1"/>
  <c r="EL269" i="1"/>
  <c r="EL267" i="1"/>
  <c r="EL265" i="1"/>
  <c r="EL263" i="1"/>
  <c r="EL261" i="1"/>
  <c r="EL259" i="1"/>
  <c r="EL257" i="1"/>
  <c r="EL255" i="1"/>
  <c r="EL253" i="1"/>
  <c r="EL251" i="1"/>
  <c r="C60" i="15" s="1"/>
  <c r="D60" i="15" s="1"/>
  <c r="EL249" i="1"/>
  <c r="EL247" i="1"/>
  <c r="EL245" i="1"/>
  <c r="EL243" i="1"/>
  <c r="EL241" i="1"/>
  <c r="EL239" i="1"/>
  <c r="EL237" i="1"/>
  <c r="EL235" i="1"/>
  <c r="EL233" i="1"/>
  <c r="EL231" i="1"/>
  <c r="EL229" i="1"/>
  <c r="EL227" i="1"/>
  <c r="EL225" i="1"/>
  <c r="EL223" i="1"/>
  <c r="EM279" i="1"/>
  <c r="EM271" i="1"/>
  <c r="EM263" i="1"/>
  <c r="EM255" i="1"/>
  <c r="EM247" i="1"/>
  <c r="EM239" i="1"/>
  <c r="EM231" i="1"/>
  <c r="EM223" i="1"/>
  <c r="EL219" i="1"/>
  <c r="EL215" i="1"/>
  <c r="EL211" i="1"/>
  <c r="EL207" i="1"/>
  <c r="EL203" i="1"/>
  <c r="EL199" i="1"/>
  <c r="EL195" i="1"/>
  <c r="EL191" i="1"/>
  <c r="EL187" i="1"/>
  <c r="EL183" i="1"/>
  <c r="EL179" i="1"/>
  <c r="EL175" i="1"/>
  <c r="EL171" i="1"/>
  <c r="EL167" i="1"/>
  <c r="EL163" i="1"/>
  <c r="EL159" i="1"/>
  <c r="EL155" i="1"/>
  <c r="EL151" i="1"/>
  <c r="EL147" i="1"/>
  <c r="EL143" i="1"/>
  <c r="EL139" i="1"/>
  <c r="EL135" i="1"/>
  <c r="EL131" i="1"/>
  <c r="EL127" i="1"/>
  <c r="EL123" i="1"/>
  <c r="EL119" i="1"/>
  <c r="EL115" i="1"/>
  <c r="EL111" i="1"/>
  <c r="EL109" i="1"/>
  <c r="EL107" i="1"/>
  <c r="EL105" i="1"/>
  <c r="EL103" i="1"/>
  <c r="EL101" i="1"/>
  <c r="EL99" i="1"/>
  <c r="EL97" i="1"/>
  <c r="EL95" i="1"/>
  <c r="EL93" i="1"/>
  <c r="EL91" i="1"/>
  <c r="EL89" i="1"/>
  <c r="EL87" i="1"/>
  <c r="EL85" i="1"/>
  <c r="EL83" i="1"/>
  <c r="EL81" i="1"/>
  <c r="EL79" i="1"/>
  <c r="EL77" i="1"/>
  <c r="EL75" i="1"/>
  <c r="EL73" i="1"/>
  <c r="EL71" i="1"/>
  <c r="EL69" i="1"/>
  <c r="EL67" i="1"/>
  <c r="EL65" i="1"/>
  <c r="EL63" i="1"/>
  <c r="EL61" i="1"/>
  <c r="EL59" i="1"/>
  <c r="EL57" i="1"/>
  <c r="EL55" i="1"/>
  <c r="EL53" i="1"/>
  <c r="EL51" i="1"/>
  <c r="EL49" i="1"/>
  <c r="EL47" i="1"/>
  <c r="EL45" i="1"/>
  <c r="EL43" i="1"/>
  <c r="EL41" i="1"/>
  <c r="EL39" i="1"/>
  <c r="EL37" i="1"/>
  <c r="EL35" i="1"/>
  <c r="EL33" i="1"/>
  <c r="EL31" i="1"/>
  <c r="EL27" i="1"/>
  <c r="EL25" i="1"/>
  <c r="EL23" i="1"/>
  <c r="EL21" i="1"/>
  <c r="EL19" i="1"/>
  <c r="EL17" i="1"/>
  <c r="EL15" i="1"/>
  <c r="EM273" i="1"/>
  <c r="EM265" i="1"/>
  <c r="EM257" i="1"/>
  <c r="EM249" i="1"/>
  <c r="EM241" i="1"/>
  <c r="EM233" i="1"/>
  <c r="EM225" i="1"/>
  <c r="EM219" i="1"/>
  <c r="EM215" i="1"/>
  <c r="EM211" i="1"/>
  <c r="EM207" i="1"/>
  <c r="EM203" i="1"/>
  <c r="EM199" i="1"/>
  <c r="EM195" i="1"/>
  <c r="EM191" i="1"/>
  <c r="EM187" i="1"/>
  <c r="EM183" i="1"/>
  <c r="EM179" i="1"/>
  <c r="EM175" i="1"/>
  <c r="EM171" i="1"/>
  <c r="EM167" i="1"/>
  <c r="EM163" i="1"/>
  <c r="EM159" i="1"/>
  <c r="EM155" i="1"/>
  <c r="EM151" i="1"/>
  <c r="EM147" i="1"/>
  <c r="EM143" i="1"/>
  <c r="EM139" i="1"/>
  <c r="EM135" i="1"/>
  <c r="EM131" i="1"/>
  <c r="EM127" i="1"/>
  <c r="EM123" i="1"/>
  <c r="EM119" i="1"/>
  <c r="EM115" i="1"/>
  <c r="EM111" i="1"/>
  <c r="EM109" i="1"/>
  <c r="EM107" i="1"/>
  <c r="EM105" i="1"/>
  <c r="EM103" i="1"/>
  <c r="EM101" i="1"/>
  <c r="EM99" i="1"/>
  <c r="EM97" i="1"/>
  <c r="EM95" i="1"/>
  <c r="EM93" i="1"/>
  <c r="EM91" i="1"/>
  <c r="EM89" i="1"/>
  <c r="EM87" i="1"/>
  <c r="EM85" i="1"/>
  <c r="EM83" i="1"/>
  <c r="EM81" i="1"/>
  <c r="EM79" i="1"/>
  <c r="EM77" i="1"/>
  <c r="EM75" i="1"/>
  <c r="EM73" i="1"/>
  <c r="EM71" i="1"/>
  <c r="EM69" i="1"/>
  <c r="EM67" i="1"/>
  <c r="EM65" i="1"/>
  <c r="EM63" i="1"/>
  <c r="EM61" i="1"/>
  <c r="EM59" i="1"/>
  <c r="EM57" i="1"/>
  <c r="EM55" i="1"/>
  <c r="EM53" i="1"/>
  <c r="EM51" i="1"/>
  <c r="EM49" i="1"/>
  <c r="EM47" i="1"/>
  <c r="EM45" i="1"/>
  <c r="EM43" i="1"/>
  <c r="EM41" i="1"/>
  <c r="EM39" i="1"/>
  <c r="EM37" i="1"/>
  <c r="EM35" i="1"/>
  <c r="EM33" i="1"/>
  <c r="EM31" i="1"/>
  <c r="EM27" i="1"/>
  <c r="EM25" i="1"/>
  <c r="EM23" i="1"/>
  <c r="EM21" i="1"/>
  <c r="EM19" i="1"/>
  <c r="EM17" i="1"/>
  <c r="EM15" i="1"/>
  <c r="EM277" i="1"/>
  <c r="EM261" i="1"/>
  <c r="EM245" i="1"/>
  <c r="EM229" i="1"/>
  <c r="EM217" i="1"/>
  <c r="EM209" i="1"/>
  <c r="EM201" i="1"/>
  <c r="EM193" i="1"/>
  <c r="EM185" i="1"/>
  <c r="EM177" i="1"/>
  <c r="EM169" i="1"/>
  <c r="EM161" i="1"/>
  <c r="EM153" i="1"/>
  <c r="EM145" i="1"/>
  <c r="EM137" i="1"/>
  <c r="EM129" i="1"/>
  <c r="EM121" i="1"/>
  <c r="EM113" i="1"/>
  <c r="EM108" i="1"/>
  <c r="EM104" i="1"/>
  <c r="EM100" i="1"/>
  <c r="EM96" i="1"/>
  <c r="EM92" i="1"/>
  <c r="EM88" i="1"/>
  <c r="EM84" i="1"/>
  <c r="EM80" i="1"/>
  <c r="EM76" i="1"/>
  <c r="EM72" i="1"/>
  <c r="EM68" i="1"/>
  <c r="EM64" i="1"/>
  <c r="EM60" i="1"/>
  <c r="EM56" i="1"/>
  <c r="EM52" i="1"/>
  <c r="EM48" i="1"/>
  <c r="EM44" i="1"/>
  <c r="EM40" i="1"/>
  <c r="EM36" i="1"/>
  <c r="EM32" i="1"/>
  <c r="EM28" i="1"/>
  <c r="EM24" i="1"/>
  <c r="EM20" i="1"/>
  <c r="EM16" i="1"/>
  <c r="EM275" i="1"/>
  <c r="EM259" i="1"/>
  <c r="EM243" i="1"/>
  <c r="EM227" i="1"/>
  <c r="EL217" i="1"/>
  <c r="EL209" i="1"/>
  <c r="EL201" i="1"/>
  <c r="EL193" i="1"/>
  <c r="EL185" i="1"/>
  <c r="EL177" i="1"/>
  <c r="EL169" i="1"/>
  <c r="EL161" i="1"/>
  <c r="EL153" i="1"/>
  <c r="EL145" i="1"/>
  <c r="EL137" i="1"/>
  <c r="EL129" i="1"/>
  <c r="EL121" i="1"/>
  <c r="EL113" i="1"/>
  <c r="EL108" i="1"/>
  <c r="EL104" i="1"/>
  <c r="EL100" i="1"/>
  <c r="EL96" i="1"/>
  <c r="EL92" i="1"/>
  <c r="EL88" i="1"/>
  <c r="EL84" i="1"/>
  <c r="EL80" i="1"/>
  <c r="EL76" i="1"/>
  <c r="EL72" i="1"/>
  <c r="EL68" i="1"/>
  <c r="EL64" i="1"/>
  <c r="EL60" i="1"/>
  <c r="EL56" i="1"/>
  <c r="EL52" i="1"/>
  <c r="EL48" i="1"/>
  <c r="EL44" i="1"/>
  <c r="EL40" i="1"/>
  <c r="EL36" i="1"/>
  <c r="EL32" i="1"/>
  <c r="EL28" i="1"/>
  <c r="EL24" i="1"/>
  <c r="EL20" i="1"/>
  <c r="EL16" i="1"/>
  <c r="EM269" i="1"/>
  <c r="EM253" i="1"/>
  <c r="EM237" i="1"/>
  <c r="EM221" i="1"/>
  <c r="EM213" i="1"/>
  <c r="EM205" i="1"/>
  <c r="EM197" i="1"/>
  <c r="EM189" i="1"/>
  <c r="EM181" i="1"/>
  <c r="EM173" i="1"/>
  <c r="EM165" i="1"/>
  <c r="EM157" i="1"/>
  <c r="EM149" i="1"/>
  <c r="EM141" i="1"/>
  <c r="EM133" i="1"/>
  <c r="EM125" i="1"/>
  <c r="EM117" i="1"/>
  <c r="EM110" i="1"/>
  <c r="EM106" i="1"/>
  <c r="EM102" i="1"/>
  <c r="EM98" i="1"/>
  <c r="EM94" i="1"/>
  <c r="EM90" i="1"/>
  <c r="EM86" i="1"/>
  <c r="EM82" i="1"/>
  <c r="EM78" i="1"/>
  <c r="EM74" i="1"/>
  <c r="EM70" i="1"/>
  <c r="EM66" i="1"/>
  <c r="EM62" i="1"/>
  <c r="EM58" i="1"/>
  <c r="EM54" i="1"/>
  <c r="EM50" i="1"/>
  <c r="EM46" i="1"/>
  <c r="EM42" i="1"/>
  <c r="EM38" i="1"/>
  <c r="EM34" i="1"/>
  <c r="EM30" i="1"/>
  <c r="EM26" i="1"/>
  <c r="EM22" i="1"/>
  <c r="EM18" i="1"/>
  <c r="EM14" i="1"/>
  <c r="EM267" i="1"/>
  <c r="EM251" i="1"/>
  <c r="C61" i="15" s="1"/>
  <c r="D61" i="15" s="1"/>
  <c r="EM235" i="1"/>
  <c r="EL221" i="1"/>
  <c r="EL213" i="1"/>
  <c r="EL205" i="1"/>
  <c r="EL197" i="1"/>
  <c r="EL189" i="1"/>
  <c r="EL181" i="1"/>
  <c r="EL173" i="1"/>
  <c r="EL165" i="1"/>
  <c r="EL157" i="1"/>
  <c r="EL149" i="1"/>
  <c r="EL141" i="1"/>
  <c r="EL133" i="1"/>
  <c r="EL125" i="1"/>
  <c r="EL117" i="1"/>
  <c r="EL110" i="1"/>
  <c r="EL106" i="1"/>
  <c r="EL102" i="1"/>
  <c r="EL98" i="1"/>
  <c r="EL94" i="1"/>
  <c r="EL90" i="1"/>
  <c r="EL86" i="1"/>
  <c r="EL82" i="1"/>
  <c r="EL78" i="1"/>
  <c r="EL74" i="1"/>
  <c r="EL70" i="1"/>
  <c r="EL66" i="1"/>
  <c r="EL62" i="1"/>
  <c r="EL58" i="1"/>
  <c r="EL54" i="1"/>
  <c r="EL50" i="1"/>
  <c r="EL46" i="1"/>
  <c r="EL42" i="1"/>
  <c r="EL38" i="1"/>
  <c r="EL34" i="1"/>
  <c r="EL30" i="1"/>
  <c r="EL26" i="1"/>
  <c r="EL22" i="1"/>
  <c r="EL18" i="1"/>
  <c r="EL14" i="1"/>
  <c r="ET9" i="1"/>
  <c r="ET8" i="1"/>
  <c r="EM13" i="1"/>
  <c r="EL7" i="1"/>
  <c r="EL6" i="1"/>
  <c r="EL10" i="1"/>
  <c r="ET12" i="1"/>
  <c r="EL5" i="1"/>
  <c r="EM9" i="1"/>
  <c r="EL8" i="1"/>
  <c r="EL13" i="1"/>
  <c r="ET11" i="1"/>
  <c r="EM6" i="1"/>
  <c r="EM10" i="1"/>
  <c r="ET29" i="1"/>
  <c r="EL12" i="1"/>
  <c r="ET5" i="1"/>
  <c r="EL9" i="1"/>
  <c r="EM8" i="1"/>
  <c r="EM7" i="1"/>
  <c r="EM11" i="1"/>
  <c r="ET6" i="1"/>
  <c r="ET10" i="1"/>
  <c r="D20" i="11"/>
  <c r="D24" i="11"/>
  <c r="D28" i="11"/>
  <c r="D32" i="11"/>
  <c r="D37" i="11"/>
  <c r="D41" i="11"/>
  <c r="D45" i="11"/>
  <c r="D16" i="11"/>
  <c r="D50" i="11"/>
  <c r="D17" i="11"/>
  <c r="D21" i="11"/>
  <c r="D25" i="11"/>
  <c r="D29" i="11"/>
  <c r="D33" i="11"/>
  <c r="D38" i="11"/>
  <c r="D42" i="11"/>
  <c r="D47" i="11"/>
  <c r="D51" i="11"/>
  <c r="C14" i="11"/>
  <c r="C13" i="11" s="1"/>
  <c r="D13" i="11" s="1"/>
  <c r="D18" i="11"/>
  <c r="D22" i="11"/>
  <c r="D26" i="11"/>
  <c r="D30" i="11"/>
  <c r="D34" i="11"/>
  <c r="D39" i="11"/>
  <c r="D43" i="11"/>
  <c r="D48" i="11"/>
  <c r="D52" i="11"/>
  <c r="D15" i="11"/>
  <c r="D19" i="11"/>
  <c r="D23" i="11"/>
  <c r="D27" i="11"/>
  <c r="D31" i="11"/>
  <c r="C35" i="11"/>
  <c r="D35" i="11" s="1"/>
  <c r="D40" i="11"/>
  <c r="D44" i="11"/>
  <c r="D49" i="11"/>
  <c r="D53" i="11"/>
  <c r="D14" i="11"/>
  <c r="D36" i="11"/>
  <c r="D46" i="11"/>
  <c r="C14" i="15" l="1"/>
  <c r="D43" i="15"/>
  <c r="C44" i="15"/>
  <c r="D44" i="15" s="1"/>
  <c r="D46" i="15"/>
  <c r="EO63" i="1"/>
  <c r="DM67" i="1"/>
  <c r="DM120" i="1"/>
  <c r="DM56" i="1"/>
  <c r="EI281" i="1"/>
  <c r="EJ281" i="1"/>
  <c r="EH281" i="1"/>
  <c r="DM91" i="1"/>
  <c r="EO31" i="1"/>
  <c r="EO72" i="1"/>
  <c r="EO118" i="1"/>
  <c r="DM69" i="1"/>
  <c r="EB29" i="1"/>
  <c r="ER281" i="1"/>
  <c r="EB108" i="1"/>
  <c r="DM118" i="1"/>
  <c r="DM75" i="1"/>
  <c r="DM80" i="1"/>
  <c r="DM212" i="1"/>
  <c r="EB116" i="1"/>
  <c r="DM72" i="1"/>
  <c r="DM39" i="1"/>
  <c r="EG281" i="1"/>
  <c r="EB172" i="1"/>
  <c r="EB104" i="1"/>
  <c r="EB44" i="1"/>
  <c r="EB72" i="1"/>
  <c r="EB200" i="1"/>
  <c r="EB56" i="1"/>
  <c r="EB184" i="1"/>
  <c r="EB28" i="1"/>
  <c r="EB156" i="1"/>
  <c r="EB32" i="1"/>
  <c r="EB96" i="1"/>
  <c r="EB160" i="1"/>
  <c r="EB241" i="1"/>
  <c r="EB52" i="1"/>
  <c r="EB132" i="1"/>
  <c r="EB196" i="1"/>
  <c r="EB22" i="1"/>
  <c r="EB38" i="1"/>
  <c r="EB54" i="1"/>
  <c r="EB70" i="1"/>
  <c r="EB86" i="1"/>
  <c r="EB102" i="1"/>
  <c r="EB118" i="1"/>
  <c r="EB134" i="1"/>
  <c r="EB150" i="1"/>
  <c r="EB166" i="1"/>
  <c r="EB182" i="1"/>
  <c r="EB198" i="1"/>
  <c r="EB214" i="1"/>
  <c r="EB265" i="1"/>
  <c r="EB19" i="1"/>
  <c r="EB35" i="1"/>
  <c r="EB51" i="1"/>
  <c r="EB67" i="1"/>
  <c r="EB83" i="1"/>
  <c r="EB99" i="1"/>
  <c r="EB115" i="1"/>
  <c r="EB131" i="1"/>
  <c r="EB147" i="1"/>
  <c r="EB163" i="1"/>
  <c r="EB179" i="1"/>
  <c r="EB195" i="1"/>
  <c r="EB211" i="1"/>
  <c r="EB253" i="1"/>
  <c r="EB17" i="1"/>
  <c r="EB37" i="1"/>
  <c r="EB53" i="1"/>
  <c r="EB69" i="1"/>
  <c r="EB85" i="1"/>
  <c r="EB101" i="1"/>
  <c r="EB117" i="1"/>
  <c r="EB133" i="1"/>
  <c r="EB149" i="1"/>
  <c r="EB165" i="1"/>
  <c r="EB181" i="1"/>
  <c r="EB197" i="1"/>
  <c r="EB213" i="1"/>
  <c r="EB261" i="1"/>
  <c r="EB234" i="1"/>
  <c r="EB250" i="1"/>
  <c r="EB266" i="1"/>
  <c r="EB223" i="1"/>
  <c r="EB239" i="1"/>
  <c r="EB255" i="1"/>
  <c r="EB271" i="1"/>
  <c r="EB224" i="1"/>
  <c r="EB240" i="1"/>
  <c r="EB256" i="1"/>
  <c r="EB272" i="1"/>
  <c r="EB12" i="1"/>
  <c r="EB8" i="1"/>
  <c r="EB11" i="1"/>
  <c r="EB273" i="1"/>
  <c r="EB88" i="1"/>
  <c r="EB217" i="1"/>
  <c r="EB60" i="1"/>
  <c r="EB188" i="1"/>
  <c r="EB48" i="1"/>
  <c r="EB112" i="1"/>
  <c r="EB176" i="1"/>
  <c r="EB280" i="1"/>
  <c r="EB68" i="1"/>
  <c r="EB148" i="1"/>
  <c r="EB212" i="1"/>
  <c r="EB26" i="1"/>
  <c r="EB42" i="1"/>
  <c r="EB58" i="1"/>
  <c r="EB74" i="1"/>
  <c r="EB90" i="1"/>
  <c r="EB106" i="1"/>
  <c r="EB122" i="1"/>
  <c r="EB138" i="1"/>
  <c r="EB154" i="1"/>
  <c r="EB170" i="1"/>
  <c r="EB186" i="1"/>
  <c r="EB202" i="1"/>
  <c r="EB221" i="1"/>
  <c r="EB23" i="1"/>
  <c r="EB39" i="1"/>
  <c r="EB55" i="1"/>
  <c r="EB71" i="1"/>
  <c r="EB87" i="1"/>
  <c r="EB103" i="1"/>
  <c r="EB119" i="1"/>
  <c r="EB135" i="1"/>
  <c r="EB151" i="1"/>
  <c r="EB167" i="1"/>
  <c r="EB183" i="1"/>
  <c r="EB199" i="1"/>
  <c r="EB215" i="1"/>
  <c r="EB269" i="1"/>
  <c r="EB21" i="1"/>
  <c r="EB41" i="1"/>
  <c r="EB57" i="1"/>
  <c r="EB73" i="1"/>
  <c r="EB89" i="1"/>
  <c r="EB105" i="1"/>
  <c r="EB121" i="1"/>
  <c r="EB137" i="1"/>
  <c r="EB153" i="1"/>
  <c r="EB169" i="1"/>
  <c r="EB185" i="1"/>
  <c r="EB201" i="1"/>
  <c r="EB218" i="1"/>
  <c r="EB277" i="1"/>
  <c r="EB238" i="1"/>
  <c r="EB254" i="1"/>
  <c r="EB270" i="1"/>
  <c r="EB227" i="1"/>
  <c r="EB243" i="1"/>
  <c r="EB259" i="1"/>
  <c r="EB275" i="1"/>
  <c r="EB228" i="1"/>
  <c r="EB244" i="1"/>
  <c r="EB260" i="1"/>
  <c r="EB276" i="1"/>
  <c r="EB6" i="1"/>
  <c r="EB5" i="1"/>
  <c r="EB9" i="1"/>
  <c r="EB76" i="1"/>
  <c r="EB136" i="1"/>
  <c r="EB120" i="1"/>
  <c r="EB92" i="1"/>
  <c r="EB225" i="1"/>
  <c r="EB64" i="1"/>
  <c r="EB128" i="1"/>
  <c r="EB192" i="1"/>
  <c r="EB20" i="1"/>
  <c r="EB84" i="1"/>
  <c r="EB164" i="1"/>
  <c r="EB257" i="1"/>
  <c r="EB14" i="1"/>
  <c r="EB30" i="1"/>
  <c r="EB46" i="1"/>
  <c r="EB62" i="1"/>
  <c r="EB78" i="1"/>
  <c r="EB94" i="1"/>
  <c r="EB110" i="1"/>
  <c r="EB126" i="1"/>
  <c r="EB142" i="1"/>
  <c r="EB158" i="1"/>
  <c r="EB174" i="1"/>
  <c r="EB190" i="1"/>
  <c r="EB206" i="1"/>
  <c r="EB233" i="1"/>
  <c r="EB27" i="1"/>
  <c r="EB43" i="1"/>
  <c r="EB59" i="1"/>
  <c r="EB75" i="1"/>
  <c r="EB91" i="1"/>
  <c r="EB107" i="1"/>
  <c r="EB123" i="1"/>
  <c r="EB139" i="1"/>
  <c r="EB155" i="1"/>
  <c r="EB171" i="1"/>
  <c r="EB187" i="1"/>
  <c r="EB203" i="1"/>
  <c r="EB222" i="1"/>
  <c r="EB25" i="1"/>
  <c r="EB45" i="1"/>
  <c r="EB61" i="1"/>
  <c r="EB77" i="1"/>
  <c r="EB93" i="1"/>
  <c r="EB109" i="1"/>
  <c r="EB125" i="1"/>
  <c r="EB141" i="1"/>
  <c r="EB157" i="1"/>
  <c r="EB173" i="1"/>
  <c r="EB189" i="1"/>
  <c r="EB205" i="1"/>
  <c r="EB229" i="1"/>
  <c r="EB226" i="1"/>
  <c r="EB242" i="1"/>
  <c r="EB258" i="1"/>
  <c r="EB274" i="1"/>
  <c r="EB231" i="1"/>
  <c r="EB247" i="1"/>
  <c r="EB263" i="1"/>
  <c r="EB279" i="1"/>
  <c r="EB216" i="1"/>
  <c r="EB232" i="1"/>
  <c r="EB248" i="1"/>
  <c r="EB264" i="1"/>
  <c r="EB13" i="1"/>
  <c r="EB7" i="1"/>
  <c r="EB140" i="1"/>
  <c r="EB204" i="1"/>
  <c r="EB40" i="1"/>
  <c r="EB168" i="1"/>
  <c r="EB24" i="1"/>
  <c r="EB152" i="1"/>
  <c r="EB124" i="1"/>
  <c r="EB16" i="1"/>
  <c r="EB80" i="1"/>
  <c r="EB144" i="1"/>
  <c r="EB208" i="1"/>
  <c r="EB36" i="1"/>
  <c r="EB100" i="1"/>
  <c r="EB180" i="1"/>
  <c r="EB18" i="1"/>
  <c r="EB34" i="1"/>
  <c r="EB50" i="1"/>
  <c r="EB66" i="1"/>
  <c r="EB82" i="1"/>
  <c r="EB98" i="1"/>
  <c r="EB114" i="1"/>
  <c r="EB130" i="1"/>
  <c r="EB146" i="1"/>
  <c r="EB162" i="1"/>
  <c r="EB178" i="1"/>
  <c r="EB194" i="1"/>
  <c r="EB210" i="1"/>
  <c r="EB249" i="1"/>
  <c r="EB15" i="1"/>
  <c r="EB31" i="1"/>
  <c r="EB47" i="1"/>
  <c r="EB63" i="1"/>
  <c r="EB79" i="1"/>
  <c r="EB95" i="1"/>
  <c r="EB111" i="1"/>
  <c r="EB127" i="1"/>
  <c r="EB143" i="1"/>
  <c r="EB159" i="1"/>
  <c r="EB175" i="1"/>
  <c r="EB191" i="1"/>
  <c r="EB207" i="1"/>
  <c r="EB237" i="1"/>
  <c r="EB33" i="1"/>
  <c r="EB49" i="1"/>
  <c r="EB65" i="1"/>
  <c r="EB81" i="1"/>
  <c r="EB97" i="1"/>
  <c r="EB113" i="1"/>
  <c r="EB129" i="1"/>
  <c r="EB145" i="1"/>
  <c r="EB161" i="1"/>
  <c r="EB177" i="1"/>
  <c r="EB193" i="1"/>
  <c r="EB209" i="1"/>
  <c r="EB245" i="1"/>
  <c r="EB230" i="1"/>
  <c r="EB246" i="1"/>
  <c r="EB262" i="1"/>
  <c r="EB278" i="1"/>
  <c r="EB219" i="1"/>
  <c r="EB235" i="1"/>
  <c r="EB251" i="1"/>
  <c r="C58" i="15" s="1"/>
  <c r="D58" i="15" s="1"/>
  <c r="EB267" i="1"/>
  <c r="EB220" i="1"/>
  <c r="EB236" i="1"/>
  <c r="EB252" i="1"/>
  <c r="EB268" i="1"/>
  <c r="EB10" i="1"/>
  <c r="EQ281" i="1"/>
  <c r="EW281" i="1"/>
  <c r="EK281" i="1"/>
  <c r="DY281" i="1"/>
  <c r="EV281" i="1"/>
  <c r="DZ281" i="1"/>
  <c r="EF281" i="1"/>
  <c r="EE281" i="1"/>
  <c r="EC281" i="1"/>
  <c r="ED281" i="1"/>
  <c r="DX281" i="1"/>
  <c r="DL281" i="1"/>
  <c r="EM281" i="1"/>
  <c r="ET281" i="1"/>
  <c r="EL281" i="1"/>
  <c r="BD1317" i="5"/>
  <c r="BC1315" i="5"/>
  <c r="DK261" i="1" s="1"/>
  <c r="BB1313" i="5"/>
  <c r="DJ192" i="1" s="1"/>
  <c r="BB1312" i="5"/>
  <c r="DJ191" i="1" s="1"/>
  <c r="BB1311" i="5"/>
  <c r="DJ188" i="1" s="1"/>
  <c r="BB1310" i="5"/>
  <c r="DJ187" i="1" s="1"/>
  <c r="BB1309" i="5"/>
  <c r="DJ149" i="1" s="1"/>
  <c r="BB1308" i="5"/>
  <c r="DJ148" i="1" s="1"/>
  <c r="CI148" i="1" s="1"/>
  <c r="BB1307" i="5"/>
  <c r="DJ141" i="1" s="1"/>
  <c r="BB1306" i="5"/>
  <c r="DJ172" i="1" s="1"/>
  <c r="BB1305" i="5"/>
  <c r="DJ44" i="1" s="1"/>
  <c r="BB1304" i="5"/>
  <c r="DJ43" i="1" s="1"/>
  <c r="BB1303" i="5"/>
  <c r="DJ92" i="1" s="1"/>
  <c r="BB1302" i="5"/>
  <c r="DJ257" i="1" s="1"/>
  <c r="CI257" i="1" s="1"/>
  <c r="BA1300" i="5"/>
  <c r="DI213" i="1" s="1"/>
  <c r="BA1299" i="5"/>
  <c r="DI191" i="1" s="1"/>
  <c r="BA1298" i="5"/>
  <c r="DI141" i="1" s="1"/>
  <c r="BA1297" i="5"/>
  <c r="DI65" i="1" s="1"/>
  <c r="BA1296" i="5"/>
  <c r="DI40" i="1" s="1"/>
  <c r="BA1295" i="5"/>
  <c r="DI44" i="1" s="1"/>
  <c r="BA1294" i="5"/>
  <c r="DI43" i="1" s="1"/>
  <c r="BA1293" i="5"/>
  <c r="DI34" i="1" s="1"/>
  <c r="BA1292" i="5"/>
  <c r="DI85" i="1" s="1"/>
  <c r="BA1291" i="5"/>
  <c r="DI255" i="1" s="1"/>
  <c r="BA1290" i="5"/>
  <c r="DI258" i="1" s="1"/>
  <c r="BA1289" i="5"/>
  <c r="DI19" i="1" s="1"/>
  <c r="CI19" i="1" s="1"/>
  <c r="I1287" i="5"/>
  <c r="K1285" i="5"/>
  <c r="I1282" i="5"/>
  <c r="AY1281" i="5"/>
  <c r="AY1280" i="5"/>
  <c r="AY1279" i="5"/>
  <c r="AY1278" i="5"/>
  <c r="AY1277" i="5"/>
  <c r="AY1276" i="5"/>
  <c r="AY1275" i="5"/>
  <c r="AY1274" i="5"/>
  <c r="AY1273" i="5"/>
  <c r="AY1272" i="5"/>
  <c r="AY1271" i="5"/>
  <c r="AY1270" i="5"/>
  <c r="AY1269" i="5"/>
  <c r="AY1268" i="5"/>
  <c r="AY1267" i="5"/>
  <c r="AY1266" i="5"/>
  <c r="AY1265" i="5"/>
  <c r="AY1264" i="5"/>
  <c r="AY1263" i="5"/>
  <c r="AY1262" i="5"/>
  <c r="AY1261" i="5"/>
  <c r="AY1260" i="5"/>
  <c r="AY1259" i="5"/>
  <c r="AY1258" i="5"/>
  <c r="AY1257" i="5"/>
  <c r="AY1256" i="5"/>
  <c r="AY1255" i="5"/>
  <c r="AY1254" i="5"/>
  <c r="AY1253" i="5"/>
  <c r="AY1252" i="5"/>
  <c r="AY1251" i="5"/>
  <c r="AY1250" i="5"/>
  <c r="AY1249" i="5"/>
  <c r="AY1248" i="5"/>
  <c r="AY1247" i="5"/>
  <c r="AY1246" i="5"/>
  <c r="AY1245" i="5"/>
  <c r="AY1244" i="5"/>
  <c r="AY1243" i="5"/>
  <c r="AY1242" i="5"/>
  <c r="AY1241" i="5"/>
  <c r="AY1240" i="5"/>
  <c r="AY1239" i="5"/>
  <c r="AY1238" i="5"/>
  <c r="AY1237" i="5"/>
  <c r="AY1236" i="5"/>
  <c r="AY1235" i="5"/>
  <c r="AY1234" i="5"/>
  <c r="AY1233" i="5"/>
  <c r="AY1232" i="5"/>
  <c r="AY1231" i="5"/>
  <c r="AY1230" i="5"/>
  <c r="AY1229" i="5"/>
  <c r="AY1228" i="5"/>
  <c r="AY1227" i="5"/>
  <c r="AY1226" i="5"/>
  <c r="AY1225" i="5"/>
  <c r="AY1224" i="5"/>
  <c r="AY1223" i="5"/>
  <c r="AY1222" i="5"/>
  <c r="AY1221" i="5"/>
  <c r="AY1220" i="5"/>
  <c r="AY1219" i="5"/>
  <c r="AY1218" i="5"/>
  <c r="AY1217" i="5"/>
  <c r="AY1216" i="5"/>
  <c r="AY1215" i="5"/>
  <c r="AY1214" i="5"/>
  <c r="AY1213" i="5"/>
  <c r="AY1212" i="5"/>
  <c r="AY1211" i="5"/>
  <c r="AY1210" i="5"/>
  <c r="AY1209" i="5"/>
  <c r="AY1208" i="5"/>
  <c r="AY1207" i="5"/>
  <c r="AY1206" i="5"/>
  <c r="AY1205" i="5"/>
  <c r="AY1204" i="5"/>
  <c r="AY1203" i="5"/>
  <c r="AY1202" i="5"/>
  <c r="AY1201" i="5"/>
  <c r="AY1200" i="5"/>
  <c r="AY1199" i="5"/>
  <c r="AY1198" i="5"/>
  <c r="AY1197" i="5"/>
  <c r="AY1196" i="5"/>
  <c r="AY1195" i="5"/>
  <c r="AY1194" i="5"/>
  <c r="AY1193" i="5"/>
  <c r="AY1192" i="5"/>
  <c r="AY1191" i="5"/>
  <c r="AY1190" i="5"/>
  <c r="AY1189" i="5"/>
  <c r="AY1188" i="5"/>
  <c r="AY1187" i="5"/>
  <c r="AY1186" i="5"/>
  <c r="AY1185" i="5"/>
  <c r="AY1184" i="5"/>
  <c r="AY1183" i="5"/>
  <c r="AY1182" i="5"/>
  <c r="AY1181" i="5"/>
  <c r="AY1180" i="5"/>
  <c r="AY1179" i="5"/>
  <c r="AY1178" i="5"/>
  <c r="AY1177" i="5"/>
  <c r="AY1176" i="5"/>
  <c r="AY1175" i="5"/>
  <c r="AY1174" i="5"/>
  <c r="AY1173" i="5"/>
  <c r="AY1172" i="5"/>
  <c r="AY1171" i="5"/>
  <c r="AY1170" i="5"/>
  <c r="AY1169" i="5"/>
  <c r="AY1168" i="5"/>
  <c r="AY1167" i="5"/>
  <c r="AY1166" i="5"/>
  <c r="AY1165" i="5"/>
  <c r="AY1164" i="5"/>
  <c r="I1163" i="5"/>
  <c r="AY1162" i="5"/>
  <c r="AY1161" i="5"/>
  <c r="AY1160" i="5"/>
  <c r="AY1159" i="5"/>
  <c r="AY1158" i="5"/>
  <c r="AY1157" i="5"/>
  <c r="AY1156" i="5"/>
  <c r="AY1155" i="5"/>
  <c r="AY1154" i="5"/>
  <c r="AY1153" i="5"/>
  <c r="AY1152" i="5"/>
  <c r="AY1151" i="5"/>
  <c r="AY1150" i="5"/>
  <c r="AX1148" i="5"/>
  <c r="DP181" i="1" s="1"/>
  <c r="AX1147" i="5"/>
  <c r="DP137" i="1" s="1"/>
  <c r="AX1146" i="5"/>
  <c r="DP110" i="1" s="1"/>
  <c r="AX1145" i="5"/>
  <c r="DP274" i="1" s="1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V1111" i="5"/>
  <c r="AV1110" i="5"/>
  <c r="I1108" i="5"/>
  <c r="I1106" i="5"/>
  <c r="I1104" i="5"/>
  <c r="AU1102" i="5"/>
  <c r="I1100" i="5"/>
  <c r="AT1098" i="5"/>
  <c r="I1096" i="5"/>
  <c r="AS1094" i="5"/>
  <c r="DS238" i="1" s="1"/>
  <c r="DM238" i="1" s="1"/>
  <c r="AS1093" i="5"/>
  <c r="DS237" i="1" s="1"/>
  <c r="AS1092" i="5"/>
  <c r="DS236" i="1" s="1"/>
  <c r="AS1091" i="5"/>
  <c r="DS242" i="1" s="1"/>
  <c r="AS1090" i="5"/>
  <c r="DS241" i="1" s="1"/>
  <c r="DM241" i="1" s="1"/>
  <c r="AS1089" i="5"/>
  <c r="DS240" i="1" s="1"/>
  <c r="AS1088" i="5"/>
  <c r="DS239" i="1" s="1"/>
  <c r="AS1087" i="5"/>
  <c r="DS235" i="1" s="1"/>
  <c r="DM235" i="1" s="1"/>
  <c r="AS1086" i="5"/>
  <c r="DS232" i="1" s="1"/>
  <c r="DM232" i="1" s="1"/>
  <c r="AS1085" i="5"/>
  <c r="DS214" i="1" s="1"/>
  <c r="DM214" i="1" s="1"/>
  <c r="AS1084" i="5"/>
  <c r="DS194" i="1" s="1"/>
  <c r="DM194" i="1" s="1"/>
  <c r="AS1083" i="5"/>
  <c r="DS213" i="1" s="1"/>
  <c r="AS1082" i="5"/>
  <c r="DS211" i="1" s="1"/>
  <c r="AS1081" i="5"/>
  <c r="DS193" i="1" s="1"/>
  <c r="DM193" i="1" s="1"/>
  <c r="AS1080" i="5"/>
  <c r="DS210" i="1" s="1"/>
  <c r="AS1079" i="5"/>
  <c r="DS209" i="1" s="1"/>
  <c r="AS1078" i="5"/>
  <c r="DS208" i="1" s="1"/>
  <c r="AS1077" i="5"/>
  <c r="DS207" i="1" s="1"/>
  <c r="AS1076" i="5"/>
  <c r="DS206" i="1" s="1"/>
  <c r="AS1075" i="5"/>
  <c r="DS205" i="1" s="1"/>
  <c r="AS1074" i="5"/>
  <c r="DS204" i="1" s="1"/>
  <c r="AS1073" i="5"/>
  <c r="DS192" i="1" s="1"/>
  <c r="DM192" i="1" s="1"/>
  <c r="AS1072" i="5"/>
  <c r="DS203" i="1" s="1"/>
  <c r="DM203" i="1" s="1"/>
  <c r="AS1071" i="5"/>
  <c r="DS202" i="1" s="1"/>
  <c r="DM202" i="1" s="1"/>
  <c r="AS1070" i="5"/>
  <c r="DS201" i="1" s="1"/>
  <c r="DM201" i="1" s="1"/>
  <c r="AS1069" i="5"/>
  <c r="DS200" i="1" s="1"/>
  <c r="DM200" i="1" s="1"/>
  <c r="AS1068" i="5"/>
  <c r="DS199" i="1" s="1"/>
  <c r="DM199" i="1" s="1"/>
  <c r="AS1067" i="5"/>
  <c r="DS198" i="1" s="1"/>
  <c r="DM198" i="1" s="1"/>
  <c r="AS1066" i="5"/>
  <c r="DS197" i="1" s="1"/>
  <c r="DM197" i="1" s="1"/>
  <c r="AS1065" i="5"/>
  <c r="DS196" i="1" s="1"/>
  <c r="DM196" i="1" s="1"/>
  <c r="AS1064" i="5"/>
  <c r="DS195" i="1" s="1"/>
  <c r="DM195" i="1" s="1"/>
  <c r="AS1063" i="5"/>
  <c r="DS191" i="1" s="1"/>
  <c r="DM191" i="1" s="1"/>
  <c r="AS1062" i="5"/>
  <c r="DS190" i="1" s="1"/>
  <c r="AS1061" i="5"/>
  <c r="DS189" i="1" s="1"/>
  <c r="DM189" i="1" s="1"/>
  <c r="AS1060" i="5"/>
  <c r="DS188" i="1" s="1"/>
  <c r="DM188" i="1" s="1"/>
  <c r="AS1059" i="5"/>
  <c r="DS187" i="1" s="1"/>
  <c r="DM187" i="1" s="1"/>
  <c r="AS1058" i="5"/>
  <c r="DS186" i="1" s="1"/>
  <c r="DM186" i="1" s="1"/>
  <c r="AS1057" i="5"/>
  <c r="DS185" i="1" s="1"/>
  <c r="DM185" i="1" s="1"/>
  <c r="AS1056" i="5"/>
  <c r="DS184" i="1" s="1"/>
  <c r="DM184" i="1" s="1"/>
  <c r="AS1055" i="5"/>
  <c r="DS183" i="1" s="1"/>
  <c r="DM183" i="1" s="1"/>
  <c r="AS1054" i="5"/>
  <c r="DS182" i="1" s="1"/>
  <c r="DM182" i="1" s="1"/>
  <c r="AS1053" i="5"/>
  <c r="DS181" i="1" s="1"/>
  <c r="AS1052" i="5"/>
  <c r="DS180" i="1" s="1"/>
  <c r="DM180" i="1" s="1"/>
  <c r="AS1051" i="5"/>
  <c r="DS179" i="1" s="1"/>
  <c r="AS1050" i="5"/>
  <c r="DS178" i="1" s="1"/>
  <c r="AS1049" i="5"/>
  <c r="DS177" i="1" s="1"/>
  <c r="DM177" i="1" s="1"/>
  <c r="AS1048" i="5"/>
  <c r="DS176" i="1" s="1"/>
  <c r="DM176" i="1" s="1"/>
  <c r="AS1047" i="5"/>
  <c r="DS159" i="1" s="1"/>
  <c r="AS1046" i="5"/>
  <c r="DS158" i="1" s="1"/>
  <c r="AS1045" i="5"/>
  <c r="DS157" i="1" s="1"/>
  <c r="AS1044" i="5"/>
  <c r="DS156" i="1" s="1"/>
  <c r="AS1043" i="5"/>
  <c r="DS155" i="1" s="1"/>
  <c r="AS1042" i="5"/>
  <c r="DS154" i="1" s="1"/>
  <c r="AS1041" i="5"/>
  <c r="DS153" i="1" s="1"/>
  <c r="AS1040" i="5"/>
  <c r="DS152" i="1" s="1"/>
  <c r="AS1039" i="5"/>
  <c r="DS151" i="1" s="1"/>
  <c r="DM151" i="1" s="1"/>
  <c r="AS1038" i="5"/>
  <c r="DS150" i="1" s="1"/>
  <c r="AS1037" i="5"/>
  <c r="DS149" i="1" s="1"/>
  <c r="AS1036" i="5"/>
  <c r="DS148" i="1" s="1"/>
  <c r="AS1035" i="5"/>
  <c r="DS147" i="1" s="1"/>
  <c r="AS1034" i="5"/>
  <c r="DS146" i="1" s="1"/>
  <c r="AS1033" i="5"/>
  <c r="DS145" i="1" s="1"/>
  <c r="AS1032" i="5"/>
  <c r="DS144" i="1" s="1"/>
  <c r="AS1031" i="5"/>
  <c r="DS143" i="1" s="1"/>
  <c r="AS1030" i="5"/>
  <c r="DS142" i="1" s="1"/>
  <c r="AS1029" i="5"/>
  <c r="DS141" i="1" s="1"/>
  <c r="DM141" i="1" s="1"/>
  <c r="AS1028" i="5"/>
  <c r="DS140" i="1" s="1"/>
  <c r="AS1027" i="5"/>
  <c r="DS139" i="1" s="1"/>
  <c r="AS1026" i="5"/>
  <c r="DS138" i="1" s="1"/>
  <c r="AS1025" i="5"/>
  <c r="DS137" i="1" s="1"/>
  <c r="AS1024" i="5"/>
  <c r="DS136" i="1" s="1"/>
  <c r="AS1023" i="5"/>
  <c r="DS135" i="1" s="1"/>
  <c r="DM135" i="1" s="1"/>
  <c r="AS1022" i="5"/>
  <c r="DS134" i="1" s="1"/>
  <c r="AS1021" i="5"/>
  <c r="DS133" i="1" s="1"/>
  <c r="AS1020" i="5"/>
  <c r="DS132" i="1" s="1"/>
  <c r="AS1019" i="5"/>
  <c r="DS131" i="1" s="1"/>
  <c r="AS1018" i="5"/>
  <c r="DS130" i="1" s="1"/>
  <c r="AS1017" i="5"/>
  <c r="DS175" i="1" s="1"/>
  <c r="DM175" i="1" s="1"/>
  <c r="AS1016" i="5"/>
  <c r="DS174" i="1" s="1"/>
  <c r="DM174" i="1" s="1"/>
  <c r="AS1015" i="5"/>
  <c r="DS173" i="1" s="1"/>
  <c r="AS1014" i="5"/>
  <c r="DS172" i="1" s="1"/>
  <c r="DM172" i="1" s="1"/>
  <c r="AS1013" i="5"/>
  <c r="DS171" i="1" s="1"/>
  <c r="AS1012" i="5"/>
  <c r="DS170" i="1" s="1"/>
  <c r="AS1011" i="5"/>
  <c r="DS169" i="1" s="1"/>
  <c r="AS1010" i="5"/>
  <c r="DS168" i="1" s="1"/>
  <c r="AS1009" i="5"/>
  <c r="DS167" i="1" s="1"/>
  <c r="AS1008" i="5"/>
  <c r="DS166" i="1" s="1"/>
  <c r="AS1007" i="5"/>
  <c r="DS165" i="1" s="1"/>
  <c r="DM165" i="1" s="1"/>
  <c r="AS1006" i="5"/>
  <c r="DS164" i="1" s="1"/>
  <c r="AS1005" i="5"/>
  <c r="DS163" i="1" s="1"/>
  <c r="AS1004" i="5"/>
  <c r="DS162" i="1" s="1"/>
  <c r="AS1003" i="5"/>
  <c r="DS161" i="1" s="1"/>
  <c r="AS1002" i="5"/>
  <c r="DS160" i="1" s="1"/>
  <c r="DM160" i="1" s="1"/>
  <c r="AS1001" i="5"/>
  <c r="DS27" i="1" s="1"/>
  <c r="AS1000" i="5"/>
  <c r="DS28" i="1" s="1"/>
  <c r="DM28" i="1" s="1"/>
  <c r="AS999" i="5"/>
  <c r="DS26" i="1" s="1"/>
  <c r="AS998" i="5"/>
  <c r="DS65" i="1" s="1"/>
  <c r="DM65" i="1" s="1"/>
  <c r="AS997" i="5"/>
  <c r="DS105" i="1" s="1"/>
  <c r="AS996" i="5"/>
  <c r="DS129" i="1" s="1"/>
  <c r="DM129" i="1" s="1"/>
  <c r="AS995" i="5"/>
  <c r="DS128" i="1" s="1"/>
  <c r="AS994" i="5"/>
  <c r="DS127" i="1" s="1"/>
  <c r="AS993" i="5"/>
  <c r="DS126" i="1" s="1"/>
  <c r="AS992" i="5"/>
  <c r="DS125" i="1" s="1"/>
  <c r="AS991" i="5"/>
  <c r="DS104" i="1" s="1"/>
  <c r="AS990" i="5"/>
  <c r="DS124" i="1" s="1"/>
  <c r="AS989" i="5"/>
  <c r="DS123" i="1" s="1"/>
  <c r="AS988" i="5"/>
  <c r="DS122" i="1" s="1"/>
  <c r="AS987" i="5"/>
  <c r="DS121" i="1" s="1"/>
  <c r="AS986" i="5"/>
  <c r="DS119" i="1" s="1"/>
  <c r="AS985" i="5"/>
  <c r="DS117" i="1" s="1"/>
  <c r="AS984" i="5"/>
  <c r="DS115" i="1" s="1"/>
  <c r="AS983" i="5"/>
  <c r="DS114" i="1" s="1"/>
  <c r="AS982" i="5"/>
  <c r="DS113" i="1" s="1"/>
  <c r="AS981" i="5"/>
  <c r="DS112" i="1" s="1"/>
  <c r="AS980" i="5"/>
  <c r="DS111" i="1" s="1"/>
  <c r="AS979" i="5"/>
  <c r="DS110" i="1" s="1"/>
  <c r="AS978" i="5"/>
  <c r="DS109" i="1" s="1"/>
  <c r="AS977" i="5"/>
  <c r="DS108" i="1" s="1"/>
  <c r="AS976" i="5"/>
  <c r="DS107" i="1" s="1"/>
  <c r="AS975" i="5"/>
  <c r="DS103" i="1" s="1"/>
  <c r="DM103" i="1" s="1"/>
  <c r="AS974" i="5"/>
  <c r="DS55" i="1" s="1"/>
  <c r="DM55" i="1" s="1"/>
  <c r="AS973" i="5"/>
  <c r="DS58" i="1" s="1"/>
  <c r="DM58" i="1" s="1"/>
  <c r="AS972" i="5"/>
  <c r="DS57" i="1" s="1"/>
  <c r="DM57" i="1" s="1"/>
  <c r="AS971" i="5"/>
  <c r="DS41" i="1" s="1"/>
  <c r="DM41" i="1" s="1"/>
  <c r="AS970" i="5"/>
  <c r="DS40" i="1" s="1"/>
  <c r="DM40" i="1" s="1"/>
  <c r="AS969" i="5"/>
  <c r="DS46" i="1" s="1"/>
  <c r="AS968" i="5"/>
  <c r="DS45" i="1" s="1"/>
  <c r="DM45" i="1" s="1"/>
  <c r="AS967" i="5"/>
  <c r="AS966" i="5"/>
  <c r="DS44" i="1" s="1"/>
  <c r="DM44" i="1" s="1"/>
  <c r="AS965" i="5"/>
  <c r="DS43" i="1" s="1"/>
  <c r="DM43" i="1" s="1"/>
  <c r="AS964" i="5"/>
  <c r="DS42" i="1" s="1"/>
  <c r="DM42" i="1" s="1"/>
  <c r="AS963" i="5"/>
  <c r="DS74" i="1" s="1"/>
  <c r="AS962" i="5"/>
  <c r="DS73" i="1" s="1"/>
  <c r="DM73" i="1" s="1"/>
  <c r="AS961" i="5"/>
  <c r="DS71" i="1" s="1"/>
  <c r="AS960" i="5"/>
  <c r="DS70" i="1" s="1"/>
  <c r="AS959" i="5"/>
  <c r="DS68" i="1" s="1"/>
  <c r="AS958" i="5"/>
  <c r="DS84" i="1" s="1"/>
  <c r="AS957" i="5"/>
  <c r="DS83" i="1" s="1"/>
  <c r="AS956" i="5"/>
  <c r="DS82" i="1" s="1"/>
  <c r="DM82" i="1" s="1"/>
  <c r="AS955" i="5"/>
  <c r="DS81" i="1" s="1"/>
  <c r="AS954" i="5"/>
  <c r="DS79" i="1" s="1"/>
  <c r="AS953" i="5"/>
  <c r="DS78" i="1" s="1"/>
  <c r="AS952" i="5"/>
  <c r="DS77" i="1" s="1"/>
  <c r="AS951" i="5"/>
  <c r="DS76" i="1" s="1"/>
  <c r="AS950" i="5"/>
  <c r="DS66" i="1" s="1"/>
  <c r="AS949" i="5"/>
  <c r="DS89" i="1" s="1"/>
  <c r="AS948" i="5"/>
  <c r="DS88" i="1" s="1"/>
  <c r="AS947" i="5"/>
  <c r="DS87" i="1" s="1"/>
  <c r="AS946" i="5"/>
  <c r="DS102" i="1" s="1"/>
  <c r="AS945" i="5"/>
  <c r="DS101" i="1" s="1"/>
  <c r="AS944" i="5"/>
  <c r="DS100" i="1" s="1"/>
  <c r="AS943" i="5"/>
  <c r="DS99" i="1" s="1"/>
  <c r="AS942" i="5"/>
  <c r="DS97" i="1" s="1"/>
  <c r="AS941" i="5"/>
  <c r="DS96" i="1" s="1"/>
  <c r="AS940" i="5"/>
  <c r="DS86" i="1" s="1"/>
  <c r="DM86" i="1" s="1"/>
  <c r="AS939" i="5"/>
  <c r="DS85" i="1" s="1"/>
  <c r="AS938" i="5"/>
  <c r="DS95" i="1" s="1"/>
  <c r="AS937" i="5"/>
  <c r="DS94" i="1" s="1"/>
  <c r="AS936" i="5"/>
  <c r="DS93" i="1" s="1"/>
  <c r="AS935" i="5"/>
  <c r="DS92" i="1" s="1"/>
  <c r="AS934" i="5"/>
  <c r="DS90" i="1" s="1"/>
  <c r="AS933" i="5"/>
  <c r="AS932" i="5"/>
  <c r="AS931" i="5"/>
  <c r="AS930" i="5"/>
  <c r="AS929" i="5"/>
  <c r="DS16" i="1" s="1"/>
  <c r="AS928" i="5"/>
  <c r="DS15" i="1" s="1"/>
  <c r="DM15" i="1" s="1"/>
  <c r="AS927" i="5"/>
  <c r="DS14" i="1" s="1"/>
  <c r="DM14" i="1" s="1"/>
  <c r="AS926" i="5"/>
  <c r="DS13" i="1" s="1"/>
  <c r="AS925" i="5"/>
  <c r="DS12" i="1" s="1"/>
  <c r="AS924" i="5"/>
  <c r="DS11" i="1" s="1"/>
  <c r="AS923" i="5"/>
  <c r="DS10" i="1" s="1"/>
  <c r="AS922" i="5"/>
  <c r="DS9" i="1" s="1"/>
  <c r="AS921" i="5"/>
  <c r="DS8" i="1" s="1"/>
  <c r="AS920" i="5"/>
  <c r="DS7" i="1" s="1"/>
  <c r="AS919" i="5"/>
  <c r="DS6" i="1" s="1"/>
  <c r="AS918" i="5"/>
  <c r="DS5" i="1" s="1"/>
  <c r="AS917" i="5"/>
  <c r="AS916" i="5"/>
  <c r="DS234" i="1" s="1"/>
  <c r="AS915" i="5"/>
  <c r="DS233" i="1" s="1"/>
  <c r="AS914" i="5"/>
  <c r="DS244" i="1" s="1"/>
  <c r="AS913" i="5"/>
  <c r="DS246" i="1" s="1"/>
  <c r="AS912" i="5"/>
  <c r="DS245" i="1" s="1"/>
  <c r="AS911" i="5"/>
  <c r="DS279" i="1" s="1"/>
  <c r="AS910" i="5"/>
  <c r="DS278" i="1" s="1"/>
  <c r="AS909" i="5"/>
  <c r="DS277" i="1" s="1"/>
  <c r="AS908" i="5"/>
  <c r="DS276" i="1" s="1"/>
  <c r="AS907" i="5"/>
  <c r="DS275" i="1" s="1"/>
  <c r="AS906" i="5"/>
  <c r="DS274" i="1" s="1"/>
  <c r="AS905" i="5"/>
  <c r="DS280" i="1" s="1"/>
  <c r="AS904" i="5"/>
  <c r="DS273" i="1" s="1"/>
  <c r="AS903" i="5"/>
  <c r="DS265" i="1" s="1"/>
  <c r="AS902" i="5"/>
  <c r="DS264" i="1" s="1"/>
  <c r="AS901" i="5"/>
  <c r="DS263" i="1" s="1"/>
  <c r="AS900" i="5"/>
  <c r="DS262" i="1" s="1"/>
  <c r="AS899" i="5"/>
  <c r="DS261" i="1" s="1"/>
  <c r="AS898" i="5"/>
  <c r="DS260" i="1" s="1"/>
  <c r="AS897" i="5"/>
  <c r="DS272" i="1" s="1"/>
  <c r="AS896" i="5"/>
  <c r="DS271" i="1" s="1"/>
  <c r="AS895" i="5"/>
  <c r="DS270" i="1" s="1"/>
  <c r="AS894" i="5"/>
  <c r="DS269" i="1" s="1"/>
  <c r="AS893" i="5"/>
  <c r="DS268" i="1" s="1"/>
  <c r="AS892" i="5"/>
  <c r="DS267" i="1" s="1"/>
  <c r="AS891" i="5"/>
  <c r="DS266" i="1" s="1"/>
  <c r="AS890" i="5"/>
  <c r="DS259" i="1" s="1"/>
  <c r="AS889" i="5"/>
  <c r="DS254" i="1" s="1"/>
  <c r="AS888" i="5"/>
  <c r="DS253" i="1" s="1"/>
  <c r="AS887" i="5"/>
  <c r="DS252" i="1" s="1"/>
  <c r="AS886" i="5"/>
  <c r="DS251" i="1" s="1"/>
  <c r="AS885" i="5"/>
  <c r="DS250" i="1" s="1"/>
  <c r="AS884" i="5"/>
  <c r="DS249" i="1" s="1"/>
  <c r="AS883" i="5"/>
  <c r="DS248" i="1" s="1"/>
  <c r="AS882" i="5"/>
  <c r="DS255" i="1" s="1"/>
  <c r="AS881" i="5"/>
  <c r="DS247" i="1" s="1"/>
  <c r="AS880" i="5"/>
  <c r="DS257" i="1" s="1"/>
  <c r="AS879" i="5"/>
  <c r="DS258" i="1" s="1"/>
  <c r="AS878" i="5"/>
  <c r="DS256" i="1" s="1"/>
  <c r="DM256" i="1" s="1"/>
  <c r="AS877" i="5"/>
  <c r="DS23" i="1" s="1"/>
  <c r="AS876" i="5"/>
  <c r="DS22" i="1" s="1"/>
  <c r="AS875" i="5"/>
  <c r="DS21" i="1" s="1"/>
  <c r="AS874" i="5"/>
  <c r="AS873" i="5"/>
  <c r="AS872" i="5"/>
  <c r="DS18" i="1" s="1"/>
  <c r="AS871" i="5"/>
  <c r="DS17" i="1" s="1"/>
  <c r="AS870" i="5"/>
  <c r="DS24" i="1" s="1"/>
  <c r="AS869" i="5"/>
  <c r="DS25" i="1" s="1"/>
  <c r="I867" i="5"/>
  <c r="I865" i="5"/>
  <c r="I863" i="5"/>
  <c r="I862" i="5"/>
  <c r="I861" i="5"/>
  <c r="I859" i="5"/>
  <c r="I854" i="5"/>
  <c r="I852" i="5"/>
  <c r="AR857" i="5"/>
  <c r="AR856" i="5"/>
  <c r="AR855" i="5"/>
  <c r="AR854" i="5"/>
  <c r="AR853" i="5"/>
  <c r="DT247" i="1" s="1"/>
  <c r="AR850" i="5"/>
  <c r="DT226" i="1" s="1"/>
  <c r="DM226" i="1" s="1"/>
  <c r="AR849" i="5"/>
  <c r="DT231" i="1" s="1"/>
  <c r="DM231" i="1" s="1"/>
  <c r="AR848" i="5"/>
  <c r="DT230" i="1" s="1"/>
  <c r="DM230" i="1" s="1"/>
  <c r="AR847" i="5"/>
  <c r="DT229" i="1" s="1"/>
  <c r="AR846" i="5"/>
  <c r="AR845" i="5"/>
  <c r="AR844" i="5"/>
  <c r="DT227" i="1" s="1"/>
  <c r="DM227" i="1" s="1"/>
  <c r="AR843" i="5"/>
  <c r="DT225" i="1" s="1"/>
  <c r="DM225" i="1" s="1"/>
  <c r="AR842" i="5"/>
  <c r="DT224" i="1" s="1"/>
  <c r="DM224" i="1" s="1"/>
  <c r="AR841" i="5"/>
  <c r="DT220" i="1" s="1"/>
  <c r="AR840" i="5"/>
  <c r="DT219" i="1" s="1"/>
  <c r="AR839" i="5"/>
  <c r="DT218" i="1" s="1"/>
  <c r="DM218" i="1" s="1"/>
  <c r="AR838" i="5"/>
  <c r="DT217" i="1" s="1"/>
  <c r="DM217" i="1" s="1"/>
  <c r="AR837" i="5"/>
  <c r="DT216" i="1" s="1"/>
  <c r="AR836" i="5"/>
  <c r="DT215" i="1" s="1"/>
  <c r="AR835" i="5"/>
  <c r="DT223" i="1" s="1"/>
  <c r="DM223" i="1" s="1"/>
  <c r="AR834" i="5"/>
  <c r="DT222" i="1" s="1"/>
  <c r="AR833" i="5"/>
  <c r="DT221" i="1" s="1"/>
  <c r="DM221" i="1" s="1"/>
  <c r="AR832" i="5"/>
  <c r="DT64" i="1" s="1"/>
  <c r="DM64" i="1" s="1"/>
  <c r="AR831" i="5"/>
  <c r="DT63" i="1" s="1"/>
  <c r="DM63" i="1" s="1"/>
  <c r="AR830" i="5"/>
  <c r="DT62" i="1" s="1"/>
  <c r="DM62" i="1" s="1"/>
  <c r="AR829" i="5"/>
  <c r="DT61" i="1" s="1"/>
  <c r="AR828" i="5"/>
  <c r="DT60" i="1" s="1"/>
  <c r="DM60" i="1" s="1"/>
  <c r="AR827" i="5"/>
  <c r="DT59" i="1" s="1"/>
  <c r="AR826" i="5"/>
  <c r="DT48" i="1" s="1"/>
  <c r="AR825" i="5"/>
  <c r="DT54" i="1" s="1"/>
  <c r="AR824" i="5"/>
  <c r="DT53" i="1" s="1"/>
  <c r="AR823" i="5"/>
  <c r="DT52" i="1" s="1"/>
  <c r="AR822" i="5"/>
  <c r="DT47" i="1" s="1"/>
  <c r="AR821" i="5"/>
  <c r="DT51" i="1" s="1"/>
  <c r="AR820" i="5"/>
  <c r="DT50" i="1" s="1"/>
  <c r="AR819" i="5"/>
  <c r="DT49" i="1" s="1"/>
  <c r="AR818" i="5"/>
  <c r="DT38" i="1" s="1"/>
  <c r="DM38" i="1" s="1"/>
  <c r="AR817" i="5"/>
  <c r="DT37" i="1" s="1"/>
  <c r="DM37" i="1" s="1"/>
  <c r="AR816" i="5"/>
  <c r="DT36" i="1" s="1"/>
  <c r="DM36" i="1" s="1"/>
  <c r="AR815" i="5"/>
  <c r="DT35" i="1" s="1"/>
  <c r="AR814" i="5"/>
  <c r="DT34" i="1" s="1"/>
  <c r="AR813" i="5"/>
  <c r="DT32" i="1" s="1"/>
  <c r="DM32" i="1" s="1"/>
  <c r="AR812" i="5"/>
  <c r="DT31" i="1" s="1"/>
  <c r="DM31" i="1" s="1"/>
  <c r="AR811" i="5"/>
  <c r="DT33" i="1" s="1"/>
  <c r="AR810" i="5"/>
  <c r="DT30" i="1" s="1"/>
  <c r="DM30" i="1" s="1"/>
  <c r="AR809" i="5"/>
  <c r="DT29" i="1" s="1"/>
  <c r="AQ807" i="5"/>
  <c r="DH206" i="1" s="1"/>
  <c r="AQ806" i="5"/>
  <c r="DH205" i="1" s="1"/>
  <c r="AQ805" i="5"/>
  <c r="DH204" i="1" s="1"/>
  <c r="AQ804" i="5"/>
  <c r="DH157" i="1" s="1"/>
  <c r="AQ803" i="5"/>
  <c r="DH111" i="1" s="1"/>
  <c r="AQ802" i="5"/>
  <c r="DH52" i="1" s="1"/>
  <c r="CI52" i="1" s="1"/>
  <c r="AQ801" i="5"/>
  <c r="DH34" i="1" s="1"/>
  <c r="AQ800" i="5"/>
  <c r="DH96" i="1" s="1"/>
  <c r="J797" i="5"/>
  <c r="I796" i="5"/>
  <c r="I798" i="5"/>
  <c r="AP794" i="5"/>
  <c r="DG228" i="1" s="1"/>
  <c r="AP793" i="5"/>
  <c r="DG211" i="1" s="1"/>
  <c r="CI211" i="1" s="1"/>
  <c r="AP792" i="5"/>
  <c r="DG210" i="1" s="1"/>
  <c r="AP791" i="5"/>
  <c r="DG199" i="1" s="1"/>
  <c r="AP790" i="5"/>
  <c r="DG197" i="1" s="1"/>
  <c r="AP789" i="5"/>
  <c r="DG188" i="1" s="1"/>
  <c r="AP788" i="5"/>
  <c r="DG178" i="1" s="1"/>
  <c r="AP787" i="5"/>
  <c r="DG133" i="1" s="1"/>
  <c r="AP786" i="5"/>
  <c r="DG175" i="1" s="1"/>
  <c r="CI175" i="1" s="1"/>
  <c r="AP785" i="5"/>
  <c r="DG172" i="1" s="1"/>
  <c r="AP784" i="5"/>
  <c r="DG122" i="1" s="1"/>
  <c r="AP783" i="5"/>
  <c r="DG55" i="1" s="1"/>
  <c r="AP782" i="5"/>
  <c r="DG57" i="1" s="1"/>
  <c r="AP781" i="5"/>
  <c r="DG41" i="1" s="1"/>
  <c r="AP780" i="5"/>
  <c r="DG45" i="1" s="1"/>
  <c r="AP779" i="5"/>
  <c r="DG99" i="1" s="1"/>
  <c r="CI99" i="1" s="1"/>
  <c r="AP778" i="5"/>
  <c r="DG86" i="1" s="1"/>
  <c r="AP777" i="5"/>
  <c r="DG15" i="1" s="1"/>
  <c r="AP776" i="5"/>
  <c r="DG263" i="1" s="1"/>
  <c r="AP775" i="5"/>
  <c r="DG271" i="1" s="1"/>
  <c r="AP774" i="5"/>
  <c r="DG17" i="1" s="1"/>
  <c r="AO772" i="5"/>
  <c r="DF140" i="1" s="1"/>
  <c r="AO771" i="5"/>
  <c r="DF40" i="1" s="1"/>
  <c r="AN769" i="5"/>
  <c r="DE209" i="1" s="1"/>
  <c r="AN768" i="5"/>
  <c r="DE206" i="1" s="1"/>
  <c r="AN767" i="5"/>
  <c r="DE203" i="1" s="1"/>
  <c r="AN766" i="5"/>
  <c r="DE188" i="1" s="1"/>
  <c r="AN765" i="5"/>
  <c r="DE184" i="1" s="1"/>
  <c r="CI184" i="1" s="1"/>
  <c r="AN764" i="5"/>
  <c r="DE180" i="1" s="1"/>
  <c r="AN763" i="5"/>
  <c r="DE140" i="1" s="1"/>
  <c r="CI140" i="1" s="1"/>
  <c r="AN762" i="5"/>
  <c r="DE168" i="1" s="1"/>
  <c r="AN761" i="5"/>
  <c r="DE163" i="1" s="1"/>
  <c r="AN760" i="5"/>
  <c r="DE26" i="1" s="1"/>
  <c r="AN759" i="5"/>
  <c r="DE121" i="1" s="1"/>
  <c r="AN758" i="5"/>
  <c r="DE57" i="1" s="1"/>
  <c r="AN757" i="5"/>
  <c r="DE41" i="1" s="1"/>
  <c r="AN756" i="5"/>
  <c r="DE34" i="1" s="1"/>
  <c r="AN755" i="5"/>
  <c r="DE82" i="1" s="1"/>
  <c r="AN754" i="5"/>
  <c r="DE14" i="1" s="1"/>
  <c r="AN753" i="5"/>
  <c r="DE260" i="1" s="1"/>
  <c r="AN752" i="5"/>
  <c r="DE268" i="1" s="1"/>
  <c r="AM750" i="5"/>
  <c r="DD252" i="1" s="1"/>
  <c r="AM749" i="5"/>
  <c r="DD251" i="1" s="1"/>
  <c r="D14" i="15" l="1"/>
  <c r="DM29" i="1"/>
  <c r="DO281" i="1"/>
  <c r="DP281" i="1"/>
  <c r="DQ24" i="1"/>
  <c r="DQ20" i="1"/>
  <c r="DQ258" i="1"/>
  <c r="EZ258" i="1"/>
  <c r="EX258" i="1" s="1"/>
  <c r="EZ242" i="1"/>
  <c r="EX242" i="1" s="1"/>
  <c r="EZ236" i="1"/>
  <c r="EX236" i="1" s="1"/>
  <c r="EZ227" i="1"/>
  <c r="EX227" i="1" s="1"/>
  <c r="EZ220" i="1"/>
  <c r="EX220" i="1" s="1"/>
  <c r="EZ216" i="1"/>
  <c r="EX216" i="1" s="1"/>
  <c r="EZ211" i="1"/>
  <c r="EX211" i="1" s="1"/>
  <c r="EZ207" i="1"/>
  <c r="EX207" i="1" s="1"/>
  <c r="EZ201" i="1"/>
  <c r="EX201" i="1" s="1"/>
  <c r="EZ197" i="1"/>
  <c r="EX197" i="1" s="1"/>
  <c r="EZ193" i="1"/>
  <c r="EX193" i="1" s="1"/>
  <c r="EZ179" i="1"/>
  <c r="EX179" i="1" s="1"/>
  <c r="EZ171" i="1"/>
  <c r="EX171" i="1" s="1"/>
  <c r="EZ167" i="1"/>
  <c r="EX167" i="1" s="1"/>
  <c r="EZ162" i="1"/>
  <c r="EX162" i="1" s="1"/>
  <c r="EZ158" i="1"/>
  <c r="EX158" i="1" s="1"/>
  <c r="EZ154" i="1"/>
  <c r="EX154" i="1" s="1"/>
  <c r="EZ150" i="1"/>
  <c r="EX150" i="1" s="1"/>
  <c r="EZ146" i="1"/>
  <c r="EX146" i="1" s="1"/>
  <c r="EZ142" i="1"/>
  <c r="EX142" i="1" s="1"/>
  <c r="EZ137" i="1"/>
  <c r="EX137" i="1" s="1"/>
  <c r="EZ133" i="1"/>
  <c r="EX133" i="1" s="1"/>
  <c r="EZ128" i="1"/>
  <c r="EX128" i="1" s="1"/>
  <c r="EZ124" i="1"/>
  <c r="EX124" i="1" s="1"/>
  <c r="EZ120" i="1"/>
  <c r="EX120" i="1" s="1"/>
  <c r="EZ115" i="1"/>
  <c r="EX115" i="1" s="1"/>
  <c r="EZ111" i="1"/>
  <c r="EX111" i="1" s="1"/>
  <c r="EZ107" i="1"/>
  <c r="EX107" i="1" s="1"/>
  <c r="EZ102" i="1"/>
  <c r="EX102" i="1" s="1"/>
  <c r="EZ98" i="1"/>
  <c r="EX98" i="1" s="1"/>
  <c r="EZ94" i="1"/>
  <c r="EX94" i="1" s="1"/>
  <c r="EZ90" i="1"/>
  <c r="EX90" i="1" s="1"/>
  <c r="EZ85" i="1"/>
  <c r="EX85" i="1" s="1"/>
  <c r="EZ80" i="1"/>
  <c r="EX80" i="1" s="1"/>
  <c r="EZ76" i="1"/>
  <c r="EX76" i="1" s="1"/>
  <c r="EZ71" i="1"/>
  <c r="EX71" i="1" s="1"/>
  <c r="EZ67" i="1"/>
  <c r="EX67" i="1" s="1"/>
  <c r="EZ56" i="1"/>
  <c r="EX56" i="1" s="1"/>
  <c r="EZ52" i="1"/>
  <c r="EX52" i="1" s="1"/>
  <c r="EZ48" i="1"/>
  <c r="EX48" i="1" s="1"/>
  <c r="EZ43" i="1"/>
  <c r="EX43" i="1" s="1"/>
  <c r="EZ35" i="1"/>
  <c r="EX35" i="1" s="1"/>
  <c r="EZ29" i="1"/>
  <c r="EX29" i="1" s="1"/>
  <c r="EZ24" i="1"/>
  <c r="EX24" i="1" s="1"/>
  <c r="EZ20" i="1"/>
  <c r="EX20" i="1" s="1"/>
  <c r="EZ16" i="1"/>
  <c r="EX16" i="1" s="1"/>
  <c r="EZ12" i="1"/>
  <c r="EX12" i="1" s="1"/>
  <c r="EZ8" i="1"/>
  <c r="EX8" i="1" s="1"/>
  <c r="EZ257" i="1"/>
  <c r="EX257" i="1" s="1"/>
  <c r="EZ240" i="1"/>
  <c r="EX240" i="1" s="1"/>
  <c r="EZ234" i="1"/>
  <c r="EX234" i="1" s="1"/>
  <c r="EZ224" i="1"/>
  <c r="EX224" i="1" s="1"/>
  <c r="EZ219" i="1"/>
  <c r="EX219" i="1" s="1"/>
  <c r="EZ215" i="1"/>
  <c r="EX215" i="1" s="1"/>
  <c r="EZ210" i="1"/>
  <c r="EX210" i="1" s="1"/>
  <c r="EZ206" i="1"/>
  <c r="EX206" i="1" s="1"/>
  <c r="EZ200" i="1"/>
  <c r="EX200" i="1" s="1"/>
  <c r="EZ196" i="1"/>
  <c r="EX196" i="1" s="1"/>
  <c r="EZ192" i="1"/>
  <c r="EX192" i="1" s="1"/>
  <c r="EZ178" i="1"/>
  <c r="EX178" i="1" s="1"/>
  <c r="EZ170" i="1"/>
  <c r="EX170" i="1" s="1"/>
  <c r="EZ166" i="1"/>
  <c r="EX166" i="1" s="1"/>
  <c r="EZ161" i="1"/>
  <c r="EX161" i="1" s="1"/>
  <c r="EZ157" i="1"/>
  <c r="EX157" i="1" s="1"/>
  <c r="EZ153" i="1"/>
  <c r="EX153" i="1" s="1"/>
  <c r="EZ149" i="1"/>
  <c r="EX149" i="1" s="1"/>
  <c r="EZ145" i="1"/>
  <c r="EX145" i="1" s="1"/>
  <c r="EZ140" i="1"/>
  <c r="EX140" i="1" s="1"/>
  <c r="EZ136" i="1"/>
  <c r="EX136" i="1" s="1"/>
  <c r="EZ132" i="1"/>
  <c r="EX132" i="1" s="1"/>
  <c r="EZ127" i="1"/>
  <c r="EX127" i="1" s="1"/>
  <c r="EZ123" i="1"/>
  <c r="EX123" i="1" s="1"/>
  <c r="EZ119" i="1"/>
  <c r="EX119" i="1" s="1"/>
  <c r="EZ114" i="1"/>
  <c r="EX114" i="1" s="1"/>
  <c r="EZ110" i="1"/>
  <c r="EX110" i="1" s="1"/>
  <c r="EZ106" i="1"/>
  <c r="EX106" i="1" s="1"/>
  <c r="EZ101" i="1"/>
  <c r="EX101" i="1" s="1"/>
  <c r="EZ97" i="1"/>
  <c r="EX97" i="1" s="1"/>
  <c r="EZ93" i="1"/>
  <c r="EX93" i="1" s="1"/>
  <c r="EZ89" i="1"/>
  <c r="EX89" i="1" s="1"/>
  <c r="EZ84" i="1"/>
  <c r="EX84" i="1" s="1"/>
  <c r="EZ79" i="1"/>
  <c r="EX79" i="1" s="1"/>
  <c r="EZ75" i="1"/>
  <c r="EX75" i="1" s="1"/>
  <c r="EZ70" i="1"/>
  <c r="EX70" i="1" s="1"/>
  <c r="EZ66" i="1"/>
  <c r="EX66" i="1" s="1"/>
  <c r="EZ55" i="1"/>
  <c r="EX55" i="1" s="1"/>
  <c r="EZ51" i="1"/>
  <c r="EX51" i="1" s="1"/>
  <c r="EZ47" i="1"/>
  <c r="EX47" i="1" s="1"/>
  <c r="EZ42" i="1"/>
  <c r="EX42" i="1" s="1"/>
  <c r="EZ34" i="1"/>
  <c r="EX34" i="1" s="1"/>
  <c r="EZ27" i="1"/>
  <c r="EX27" i="1" s="1"/>
  <c r="EZ23" i="1"/>
  <c r="EX23" i="1" s="1"/>
  <c r="EZ19" i="1"/>
  <c r="EX19" i="1" s="1"/>
  <c r="EZ15" i="1"/>
  <c r="EX15" i="1" s="1"/>
  <c r="EZ11" i="1"/>
  <c r="EX11" i="1" s="1"/>
  <c r="EZ7" i="1"/>
  <c r="EX7" i="1" s="1"/>
  <c r="EZ244" i="1"/>
  <c r="EX244" i="1" s="1"/>
  <c r="EZ239" i="1"/>
  <c r="EX239" i="1" s="1"/>
  <c r="EZ233" i="1"/>
  <c r="EX233" i="1" s="1"/>
  <c r="EZ222" i="1"/>
  <c r="EX222" i="1" s="1"/>
  <c r="EZ218" i="1"/>
  <c r="EX218" i="1" s="1"/>
  <c r="EZ213" i="1"/>
  <c r="EX213" i="1" s="1"/>
  <c r="EZ209" i="1"/>
  <c r="EX209" i="1" s="1"/>
  <c r="EZ205" i="1"/>
  <c r="EX205" i="1" s="1"/>
  <c r="EZ199" i="1"/>
  <c r="EX199" i="1" s="1"/>
  <c r="EZ195" i="1"/>
  <c r="EX195" i="1" s="1"/>
  <c r="EZ190" i="1"/>
  <c r="EX190" i="1" s="1"/>
  <c r="EZ174" i="1"/>
  <c r="EX174" i="1" s="1"/>
  <c r="EZ169" i="1"/>
  <c r="EX169" i="1" s="1"/>
  <c r="EZ164" i="1"/>
  <c r="EX164" i="1" s="1"/>
  <c r="EZ160" i="1"/>
  <c r="EX160" i="1" s="1"/>
  <c r="EZ156" i="1"/>
  <c r="EX156" i="1" s="1"/>
  <c r="EZ152" i="1"/>
  <c r="EX152" i="1" s="1"/>
  <c r="EZ148" i="1"/>
  <c r="EX148" i="1" s="1"/>
  <c r="EZ144" i="1"/>
  <c r="EX144" i="1" s="1"/>
  <c r="EZ139" i="1"/>
  <c r="EX139" i="1" s="1"/>
  <c r="EZ135" i="1"/>
  <c r="EX135" i="1" s="1"/>
  <c r="EZ131" i="1"/>
  <c r="EX131" i="1" s="1"/>
  <c r="EZ126" i="1"/>
  <c r="EX126" i="1" s="1"/>
  <c r="EZ122" i="1"/>
  <c r="EX122" i="1" s="1"/>
  <c r="EZ118" i="1"/>
  <c r="EX118" i="1" s="1"/>
  <c r="EZ113" i="1"/>
  <c r="EX113" i="1" s="1"/>
  <c r="EZ109" i="1"/>
  <c r="EX109" i="1" s="1"/>
  <c r="EZ105" i="1"/>
  <c r="EX105" i="1" s="1"/>
  <c r="EZ100" i="1"/>
  <c r="EX100" i="1" s="1"/>
  <c r="EZ96" i="1"/>
  <c r="EX96" i="1" s="1"/>
  <c r="EZ92" i="1"/>
  <c r="EX92" i="1" s="1"/>
  <c r="EZ88" i="1"/>
  <c r="EX88" i="1" s="1"/>
  <c r="EZ83" i="1"/>
  <c r="EX83" i="1" s="1"/>
  <c r="EZ78" i="1"/>
  <c r="EX78" i="1" s="1"/>
  <c r="EZ74" i="1"/>
  <c r="EX74" i="1" s="1"/>
  <c r="EZ69" i="1"/>
  <c r="EX69" i="1" s="1"/>
  <c r="EZ61" i="1"/>
  <c r="EX61" i="1" s="1"/>
  <c r="EZ54" i="1"/>
  <c r="EX54" i="1" s="1"/>
  <c r="EZ50" i="1"/>
  <c r="EX50" i="1" s="1"/>
  <c r="EZ46" i="1"/>
  <c r="EX46" i="1" s="1"/>
  <c r="EZ41" i="1"/>
  <c r="EX41" i="1" s="1"/>
  <c r="EZ33" i="1"/>
  <c r="EX33" i="1" s="1"/>
  <c r="EZ26" i="1"/>
  <c r="EX26" i="1" s="1"/>
  <c r="EZ22" i="1"/>
  <c r="EX22" i="1" s="1"/>
  <c r="EZ18" i="1"/>
  <c r="EX18" i="1" s="1"/>
  <c r="EZ14" i="1"/>
  <c r="EX14" i="1" s="1"/>
  <c r="EZ10" i="1"/>
  <c r="EX10" i="1" s="1"/>
  <c r="EZ6" i="1"/>
  <c r="EX6" i="1" s="1"/>
  <c r="EZ243" i="1"/>
  <c r="EX243" i="1" s="1"/>
  <c r="EZ237" i="1"/>
  <c r="EX237" i="1" s="1"/>
  <c r="EZ229" i="1"/>
  <c r="EX229" i="1" s="1"/>
  <c r="EZ221" i="1"/>
  <c r="EX221" i="1" s="1"/>
  <c r="EZ217" i="1"/>
  <c r="EX217" i="1" s="1"/>
  <c r="EZ212" i="1"/>
  <c r="EX212" i="1" s="1"/>
  <c r="EZ208" i="1"/>
  <c r="EX208" i="1" s="1"/>
  <c r="EZ204" i="1"/>
  <c r="EX204" i="1" s="1"/>
  <c r="EZ198" i="1"/>
  <c r="EX198" i="1" s="1"/>
  <c r="EZ194" i="1"/>
  <c r="EX194" i="1" s="1"/>
  <c r="EZ189" i="1"/>
  <c r="EX189" i="1" s="1"/>
  <c r="EZ173" i="1"/>
  <c r="EX173" i="1" s="1"/>
  <c r="EZ168" i="1"/>
  <c r="EX168" i="1" s="1"/>
  <c r="EZ163" i="1"/>
  <c r="EX163" i="1" s="1"/>
  <c r="EZ159" i="1"/>
  <c r="EX159" i="1" s="1"/>
  <c r="EZ155" i="1"/>
  <c r="EX155" i="1" s="1"/>
  <c r="EZ151" i="1"/>
  <c r="EX151" i="1" s="1"/>
  <c r="EZ147" i="1"/>
  <c r="EX147" i="1" s="1"/>
  <c r="EZ143" i="1"/>
  <c r="EX143" i="1" s="1"/>
  <c r="EZ138" i="1"/>
  <c r="EX138" i="1" s="1"/>
  <c r="EZ134" i="1"/>
  <c r="EX134" i="1" s="1"/>
  <c r="EZ130" i="1"/>
  <c r="EX130" i="1" s="1"/>
  <c r="EZ125" i="1"/>
  <c r="EX125" i="1" s="1"/>
  <c r="EZ121" i="1"/>
  <c r="EX121" i="1" s="1"/>
  <c r="EZ117" i="1"/>
  <c r="EX117" i="1" s="1"/>
  <c r="EZ112" i="1"/>
  <c r="EX112" i="1" s="1"/>
  <c r="EZ108" i="1"/>
  <c r="EX108" i="1" s="1"/>
  <c r="EZ104" i="1"/>
  <c r="EX104" i="1" s="1"/>
  <c r="EZ99" i="1"/>
  <c r="EX99" i="1" s="1"/>
  <c r="EZ95" i="1"/>
  <c r="EX95" i="1" s="1"/>
  <c r="EZ91" i="1"/>
  <c r="EX91" i="1" s="1"/>
  <c r="EZ87" i="1"/>
  <c r="EX87" i="1" s="1"/>
  <c r="EZ81" i="1"/>
  <c r="EX81" i="1" s="1"/>
  <c r="EZ77" i="1"/>
  <c r="EX77" i="1" s="1"/>
  <c r="EZ72" i="1"/>
  <c r="EX72" i="1" s="1"/>
  <c r="EZ68" i="1"/>
  <c r="EX68" i="1" s="1"/>
  <c r="EZ59" i="1"/>
  <c r="EX59" i="1" s="1"/>
  <c r="EZ53" i="1"/>
  <c r="EX53" i="1" s="1"/>
  <c r="EZ49" i="1"/>
  <c r="EX49" i="1" s="1"/>
  <c r="EZ44" i="1"/>
  <c r="EX44" i="1" s="1"/>
  <c r="EZ40" i="1"/>
  <c r="EX40" i="1" s="1"/>
  <c r="EZ30" i="1"/>
  <c r="EX30" i="1" s="1"/>
  <c r="EZ25" i="1"/>
  <c r="EX25" i="1" s="1"/>
  <c r="EZ21" i="1"/>
  <c r="EX21" i="1" s="1"/>
  <c r="EZ17" i="1"/>
  <c r="EX17" i="1" s="1"/>
  <c r="EZ13" i="1"/>
  <c r="EX13" i="1" s="1"/>
  <c r="EZ9" i="1"/>
  <c r="EX9" i="1" s="1"/>
  <c r="EZ5" i="1"/>
  <c r="EX5" i="1" s="1"/>
  <c r="DQ10" i="1"/>
  <c r="DQ90" i="1"/>
  <c r="DQ95" i="1"/>
  <c r="DQ98" i="1"/>
  <c r="DM98" i="1" s="1"/>
  <c r="DQ102" i="1"/>
  <c r="DQ66" i="1"/>
  <c r="DQ79" i="1"/>
  <c r="DQ70" i="1"/>
  <c r="DQ49" i="1"/>
  <c r="DQ52" i="1"/>
  <c r="DQ107" i="1"/>
  <c r="DQ111" i="1"/>
  <c r="DQ115" i="1"/>
  <c r="DQ122" i="1"/>
  <c r="DQ125" i="1"/>
  <c r="DQ105" i="1"/>
  <c r="DQ26" i="1"/>
  <c r="DQ166" i="1"/>
  <c r="DQ170" i="1"/>
  <c r="DQ131" i="1"/>
  <c r="DQ136" i="1"/>
  <c r="DQ140" i="1"/>
  <c r="DQ145" i="1"/>
  <c r="DQ149" i="1"/>
  <c r="DQ154" i="1"/>
  <c r="DQ158" i="1"/>
  <c r="DQ190" i="1"/>
  <c r="DQ229" i="1"/>
  <c r="DQ236" i="1"/>
  <c r="DQ17" i="1"/>
  <c r="DQ21" i="1"/>
  <c r="DQ257" i="1"/>
  <c r="DQ5" i="1"/>
  <c r="DQ11" i="1"/>
  <c r="DQ92" i="1"/>
  <c r="DQ85" i="1"/>
  <c r="DQ99" i="1"/>
  <c r="DQ87" i="1"/>
  <c r="DQ76" i="1"/>
  <c r="DQ83" i="1"/>
  <c r="DQ71" i="1"/>
  <c r="DQ50" i="1"/>
  <c r="DQ53" i="1"/>
  <c r="DQ108" i="1"/>
  <c r="DQ112" i="1"/>
  <c r="DQ117" i="1"/>
  <c r="DQ123" i="1"/>
  <c r="DQ126" i="1"/>
  <c r="DQ106" i="1"/>
  <c r="DM106" i="1" s="1"/>
  <c r="DQ27" i="1"/>
  <c r="DQ167" i="1"/>
  <c r="DQ171" i="1"/>
  <c r="DQ132" i="1"/>
  <c r="DQ137" i="1"/>
  <c r="DQ142" i="1"/>
  <c r="DQ146" i="1"/>
  <c r="DQ150" i="1"/>
  <c r="DQ155" i="1"/>
  <c r="DQ159" i="1"/>
  <c r="DQ205" i="1"/>
  <c r="DQ239" i="1"/>
  <c r="DQ237" i="1"/>
  <c r="DQ18" i="1"/>
  <c r="DQ22" i="1"/>
  <c r="DQ233" i="1"/>
  <c r="DQ6" i="1"/>
  <c r="DQ12" i="1"/>
  <c r="DQ93" i="1"/>
  <c r="DQ96" i="1"/>
  <c r="DQ100" i="1"/>
  <c r="DQ88" i="1"/>
  <c r="DQ77" i="1"/>
  <c r="DQ84" i="1"/>
  <c r="DQ74" i="1"/>
  <c r="DQ51" i="1"/>
  <c r="DQ54" i="1"/>
  <c r="DQ109" i="1"/>
  <c r="DQ113" i="1"/>
  <c r="DQ119" i="1"/>
  <c r="DQ124" i="1"/>
  <c r="DQ127" i="1"/>
  <c r="DQ59" i="1"/>
  <c r="DQ161" i="1"/>
  <c r="DQ168" i="1"/>
  <c r="DQ173" i="1"/>
  <c r="DQ133" i="1"/>
  <c r="DQ138" i="1"/>
  <c r="DQ143" i="1"/>
  <c r="DQ147" i="1"/>
  <c r="DQ152" i="1"/>
  <c r="DQ156" i="1"/>
  <c r="DQ178" i="1"/>
  <c r="DQ211" i="1"/>
  <c r="DQ240" i="1"/>
  <c r="DQ243" i="1"/>
  <c r="DM243" i="1" s="1"/>
  <c r="DQ25" i="1"/>
  <c r="DQ19" i="1"/>
  <c r="DQ23" i="1"/>
  <c r="DQ234" i="1"/>
  <c r="DQ8" i="1"/>
  <c r="DQ16" i="1"/>
  <c r="DQ94" i="1"/>
  <c r="DQ97" i="1"/>
  <c r="DQ101" i="1"/>
  <c r="DM101" i="1" s="1"/>
  <c r="DQ89" i="1"/>
  <c r="DQ78" i="1"/>
  <c r="DQ68" i="1"/>
  <c r="DQ46" i="1"/>
  <c r="DQ47" i="1"/>
  <c r="DQ48" i="1"/>
  <c r="DQ110" i="1"/>
  <c r="DQ114" i="1"/>
  <c r="DQ121" i="1"/>
  <c r="DM121" i="1" s="1"/>
  <c r="DQ104" i="1"/>
  <c r="DQ128" i="1"/>
  <c r="DQ61" i="1"/>
  <c r="DQ162" i="1"/>
  <c r="DM162" i="1" s="1"/>
  <c r="DQ169" i="1"/>
  <c r="DQ130" i="1"/>
  <c r="DQ134" i="1"/>
  <c r="DQ139" i="1"/>
  <c r="DQ144" i="1"/>
  <c r="DQ148" i="1"/>
  <c r="DQ153" i="1"/>
  <c r="DQ157" i="1"/>
  <c r="DQ179" i="1"/>
  <c r="DM179" i="1" s="1"/>
  <c r="DQ213" i="1"/>
  <c r="DQ242" i="1"/>
  <c r="DM247" i="1"/>
  <c r="DM250" i="1"/>
  <c r="DM254" i="1"/>
  <c r="DM268" i="1"/>
  <c r="DM272" i="1"/>
  <c r="DM263" i="1"/>
  <c r="DM280" i="1"/>
  <c r="DM277" i="1"/>
  <c r="DM24" i="1"/>
  <c r="DM90" i="1"/>
  <c r="DM102" i="1"/>
  <c r="DM66" i="1"/>
  <c r="DM79" i="1"/>
  <c r="DM70" i="1"/>
  <c r="DM105" i="1"/>
  <c r="DM26" i="1"/>
  <c r="DM170" i="1"/>
  <c r="DM136" i="1"/>
  <c r="DM140" i="1"/>
  <c r="DM149" i="1"/>
  <c r="DM154" i="1"/>
  <c r="DM158" i="1"/>
  <c r="DM190" i="1"/>
  <c r="DM229" i="1"/>
  <c r="DM236" i="1"/>
  <c r="DM255" i="1"/>
  <c r="DM251" i="1"/>
  <c r="DM259" i="1"/>
  <c r="DM269" i="1"/>
  <c r="DM260" i="1"/>
  <c r="DM264" i="1"/>
  <c r="DM274" i="1"/>
  <c r="DM278" i="1"/>
  <c r="DM257" i="1"/>
  <c r="DM92" i="1"/>
  <c r="DM85" i="1"/>
  <c r="DM99" i="1"/>
  <c r="DM76" i="1"/>
  <c r="DM71" i="1"/>
  <c r="DM117" i="1"/>
  <c r="DM126" i="1"/>
  <c r="DM167" i="1"/>
  <c r="DM142" i="1"/>
  <c r="DM146" i="1"/>
  <c r="DM150" i="1"/>
  <c r="DM155" i="1"/>
  <c r="EB281" i="1"/>
  <c r="DM248" i="1"/>
  <c r="DM252" i="1"/>
  <c r="DM266" i="1"/>
  <c r="DM270" i="1"/>
  <c r="DM261" i="1"/>
  <c r="DM265" i="1"/>
  <c r="DM275" i="1"/>
  <c r="DM279" i="1"/>
  <c r="DM181" i="1"/>
  <c r="DM12" i="1"/>
  <c r="DM100" i="1"/>
  <c r="DM77" i="1"/>
  <c r="DM74" i="1"/>
  <c r="DM119" i="1"/>
  <c r="DM59" i="1"/>
  <c r="DM161" i="1"/>
  <c r="DM168" i="1"/>
  <c r="DM173" i="1"/>
  <c r="DM138" i="1"/>
  <c r="DM143" i="1"/>
  <c r="DM147" i="1"/>
  <c r="DM156" i="1"/>
  <c r="DM178" i="1"/>
  <c r="DM211" i="1"/>
  <c r="DM249" i="1"/>
  <c r="DM267" i="1"/>
  <c r="DM271" i="1"/>
  <c r="DM262" i="1"/>
  <c r="DM273" i="1"/>
  <c r="DM276" i="1"/>
  <c r="DM25" i="1"/>
  <c r="CH25" i="1" s="1"/>
  <c r="DM16" i="1"/>
  <c r="DM97" i="1"/>
  <c r="DM78" i="1"/>
  <c r="DM68" i="1"/>
  <c r="DM61" i="1"/>
  <c r="DM169" i="1"/>
  <c r="DM144" i="1"/>
  <c r="DM148" i="1"/>
  <c r="CI34" i="1"/>
  <c r="CA295" i="10"/>
  <c r="DS20" i="1"/>
  <c r="DS19" i="1"/>
  <c r="DT228" i="1"/>
  <c r="DM228" i="1" s="1"/>
  <c r="AL744" i="5"/>
  <c r="AL742" i="5"/>
  <c r="AL741" i="5"/>
  <c r="DC240" i="1" s="1"/>
  <c r="CI240" i="1" s="1"/>
  <c r="AL740" i="5"/>
  <c r="DC192" i="1" s="1"/>
  <c r="AL739" i="5"/>
  <c r="AL738" i="5"/>
  <c r="AL737" i="5"/>
  <c r="DC180" i="1" s="1"/>
  <c r="AL736" i="5"/>
  <c r="DC177" i="1" s="1"/>
  <c r="CI177" i="1" s="1"/>
  <c r="AL735" i="5"/>
  <c r="DC147" i="1" s="1"/>
  <c r="AL734" i="5"/>
  <c r="DC133" i="1" s="1"/>
  <c r="AL733" i="5"/>
  <c r="DC171" i="1" s="1"/>
  <c r="AL732" i="5"/>
  <c r="DC126" i="1" s="1"/>
  <c r="CI126" i="1" s="1"/>
  <c r="AL731" i="5"/>
  <c r="DC56" i="1" s="1"/>
  <c r="CI56" i="1" s="1"/>
  <c r="AL730" i="5"/>
  <c r="DC40" i="1" s="1"/>
  <c r="CI40" i="1" s="1"/>
  <c r="AL729" i="5"/>
  <c r="DC35" i="1" s="1"/>
  <c r="AL728" i="5"/>
  <c r="DC77" i="1" s="1"/>
  <c r="AL727" i="5"/>
  <c r="AL726" i="5"/>
  <c r="DC100" i="1" s="1"/>
  <c r="AL725" i="5"/>
  <c r="DC278" i="1" s="1"/>
  <c r="AL724" i="5"/>
  <c r="DC269" i="1" s="1"/>
  <c r="AL722" i="5"/>
  <c r="DC235" i="1" s="1"/>
  <c r="CI235" i="1" s="1"/>
  <c r="AL721" i="5"/>
  <c r="DC232" i="1" s="1"/>
  <c r="CI232" i="1" s="1"/>
  <c r="AL720" i="5"/>
  <c r="DC226" i="1" s="1"/>
  <c r="AL719" i="5"/>
  <c r="DC231" i="1" s="1"/>
  <c r="AL718" i="5"/>
  <c r="DC213" i="1" s="1"/>
  <c r="AL717" i="5"/>
  <c r="DC210" i="1" s="1"/>
  <c r="AL716" i="5"/>
  <c r="DC203" i="1" s="1"/>
  <c r="AL715" i="5"/>
  <c r="DC202" i="1" s="1"/>
  <c r="AL714" i="5"/>
  <c r="DC188" i="1" s="1"/>
  <c r="AL713" i="5"/>
  <c r="DC187" i="1" s="1"/>
  <c r="AL712" i="5"/>
  <c r="DC186" i="1" s="1"/>
  <c r="CI186" i="1" s="1"/>
  <c r="AL711" i="5"/>
  <c r="DC155" i="1" s="1"/>
  <c r="AL710" i="5"/>
  <c r="DC149" i="1" s="1"/>
  <c r="CI149" i="1" s="1"/>
  <c r="AL709" i="5"/>
  <c r="DC139" i="1" s="1"/>
  <c r="CI139" i="1" s="1"/>
  <c r="AL708" i="5"/>
  <c r="DC172" i="1" s="1"/>
  <c r="CI172" i="1" s="1"/>
  <c r="AL707" i="5"/>
  <c r="DC65" i="1" s="1"/>
  <c r="CI65" i="1" s="1"/>
  <c r="AL706" i="5"/>
  <c r="DC128" i="1" s="1"/>
  <c r="CI128" i="1" s="1"/>
  <c r="AL705" i="5"/>
  <c r="DC121" i="1" s="1"/>
  <c r="AL704" i="5"/>
  <c r="DC41" i="1" s="1"/>
  <c r="CI41" i="1" s="1"/>
  <c r="AL703" i="5"/>
  <c r="DC74" i="1" s="1"/>
  <c r="AL702" i="5"/>
  <c r="DC88" i="1" s="1"/>
  <c r="AL701" i="5"/>
  <c r="DC102" i="1" s="1"/>
  <c r="CI102" i="1" s="1"/>
  <c r="AL700" i="5"/>
  <c r="DC85" i="1" s="1"/>
  <c r="AL699" i="5"/>
  <c r="DC95" i="1" s="1"/>
  <c r="AL698" i="5"/>
  <c r="AL697" i="5"/>
  <c r="DC266" i="1" s="1"/>
  <c r="AL696" i="5"/>
  <c r="DC248" i="1" s="1"/>
  <c r="AL695" i="5"/>
  <c r="DC17" i="1" s="1"/>
  <c r="AK693" i="5"/>
  <c r="DB226" i="1" s="1"/>
  <c r="AK692" i="5"/>
  <c r="AK691" i="5"/>
  <c r="DB113" i="1" s="1"/>
  <c r="AK690" i="5"/>
  <c r="DB103" i="1" s="1"/>
  <c r="AK689" i="5"/>
  <c r="DB88" i="1" s="1"/>
  <c r="AJ687" i="5"/>
  <c r="DA231" i="1" s="1"/>
  <c r="AJ686" i="5"/>
  <c r="DA229" i="1" s="1"/>
  <c r="AJ685" i="5"/>
  <c r="DA225" i="1" s="1"/>
  <c r="AJ684" i="5"/>
  <c r="DA216" i="1" s="1"/>
  <c r="CI216" i="1" s="1"/>
  <c r="AJ683" i="5"/>
  <c r="DA213" i="1" s="1"/>
  <c r="AJ682" i="5"/>
  <c r="AJ681" i="5"/>
  <c r="AJ680" i="5"/>
  <c r="DA203" i="1" s="1"/>
  <c r="AJ679" i="5"/>
  <c r="DA181" i="1" s="1"/>
  <c r="CI181" i="1" s="1"/>
  <c r="AJ678" i="5"/>
  <c r="DA159" i="1" s="1"/>
  <c r="CI159" i="1" s="1"/>
  <c r="AJ677" i="5"/>
  <c r="DA157" i="1" s="1"/>
  <c r="AJ676" i="5"/>
  <c r="DA156" i="1" s="1"/>
  <c r="AJ675" i="5"/>
  <c r="DA147" i="1" s="1"/>
  <c r="AJ674" i="5"/>
  <c r="DA143" i="1" s="1"/>
  <c r="CI143" i="1" s="1"/>
  <c r="AJ673" i="5"/>
  <c r="DA138" i="1" s="1"/>
  <c r="CI138" i="1" s="1"/>
  <c r="AJ672" i="5"/>
  <c r="DA137" i="1" s="1"/>
  <c r="AJ671" i="5"/>
  <c r="DA136" i="1" s="1"/>
  <c r="CI136" i="1" s="1"/>
  <c r="AJ670" i="5"/>
  <c r="DA134" i="1" s="1"/>
  <c r="AJ669" i="5"/>
  <c r="DA133" i="1" s="1"/>
  <c r="AJ668" i="5"/>
  <c r="DA131" i="1" s="1"/>
  <c r="CI131" i="1" s="1"/>
  <c r="AJ667" i="5"/>
  <c r="DA168" i="1" s="1"/>
  <c r="CI168" i="1" s="1"/>
  <c r="AJ666" i="5"/>
  <c r="DA167" i="1" s="1"/>
  <c r="CI167" i="1" s="1"/>
  <c r="AJ665" i="5"/>
  <c r="DA166" i="1" s="1"/>
  <c r="CI166" i="1" s="1"/>
  <c r="AJ664" i="5"/>
  <c r="DA165" i="1" s="1"/>
  <c r="CI165" i="1" s="1"/>
  <c r="AJ663" i="5"/>
  <c r="DA26" i="1" s="1"/>
  <c r="AJ662" i="5"/>
  <c r="DA60" i="1" s="1"/>
  <c r="AJ661" i="5"/>
  <c r="DA129" i="1" s="1"/>
  <c r="AJ660" i="5"/>
  <c r="DA125" i="1" s="1"/>
  <c r="CI125" i="1" s="1"/>
  <c r="AJ659" i="5"/>
  <c r="DA122" i="1" s="1"/>
  <c r="AJ658" i="5"/>
  <c r="DA121" i="1" s="1"/>
  <c r="CI121" i="1" s="1"/>
  <c r="AJ657" i="5"/>
  <c r="DA115" i="1" s="1"/>
  <c r="CI115" i="1" s="1"/>
  <c r="AJ656" i="5"/>
  <c r="DA110" i="1" s="1"/>
  <c r="CI110" i="1" s="1"/>
  <c r="AJ655" i="5"/>
  <c r="DA109" i="1" s="1"/>
  <c r="AJ654" i="5"/>
  <c r="DA103" i="1" s="1"/>
  <c r="AJ653" i="5"/>
  <c r="DA51" i="1" s="1"/>
  <c r="CI51" i="1" s="1"/>
  <c r="AJ652" i="5"/>
  <c r="DA43" i="1" s="1"/>
  <c r="CI43" i="1" s="1"/>
  <c r="AJ651" i="5"/>
  <c r="DA77" i="1" s="1"/>
  <c r="AJ650" i="5"/>
  <c r="DA76" i="1" s="1"/>
  <c r="AJ649" i="5"/>
  <c r="DA89" i="1" s="1"/>
  <c r="AJ648" i="5"/>
  <c r="DA87" i="1" s="1"/>
  <c r="AJ647" i="5"/>
  <c r="DA100" i="1" s="1"/>
  <c r="AJ646" i="5"/>
  <c r="DA85" i="1" s="1"/>
  <c r="AJ645" i="5"/>
  <c r="DA11" i="1" s="1"/>
  <c r="CI11" i="1" s="1"/>
  <c r="AJ644" i="5"/>
  <c r="DA8" i="1" s="1"/>
  <c r="CI8" i="1" s="1"/>
  <c r="AJ643" i="5"/>
  <c r="DA233" i="1" s="1"/>
  <c r="CI233" i="1" s="1"/>
  <c r="AJ642" i="5"/>
  <c r="DA279" i="1" s="1"/>
  <c r="CI279" i="1" s="1"/>
  <c r="AJ641" i="5"/>
  <c r="DA278" i="1" s="1"/>
  <c r="AJ640" i="5"/>
  <c r="DA277" i="1" s="1"/>
  <c r="AJ639" i="5"/>
  <c r="DA280" i="1" s="1"/>
  <c r="AJ638" i="5"/>
  <c r="DA265" i="1" s="1"/>
  <c r="CI265" i="1" s="1"/>
  <c r="AJ637" i="5"/>
  <c r="DA264" i="1" s="1"/>
  <c r="AJ636" i="5"/>
  <c r="DA262" i="1" s="1"/>
  <c r="AJ635" i="5"/>
  <c r="DA260" i="1" s="1"/>
  <c r="AJ634" i="5"/>
  <c r="DA272" i="1" s="1"/>
  <c r="AJ633" i="5"/>
  <c r="DA271" i="1" s="1"/>
  <c r="AJ632" i="5"/>
  <c r="DA269" i="1" s="1"/>
  <c r="AJ631" i="5"/>
  <c r="DA254" i="1" s="1"/>
  <c r="AJ630" i="5"/>
  <c r="DA248" i="1" s="1"/>
  <c r="AJ629" i="5"/>
  <c r="DA258" i="1" s="1"/>
  <c r="AJ628" i="5"/>
  <c r="DA256" i="1" s="1"/>
  <c r="AJ627" i="5"/>
  <c r="DA24" i="1" s="1"/>
  <c r="AI625" i="5"/>
  <c r="CZ158" i="1" s="1"/>
  <c r="CI158" i="1" s="1"/>
  <c r="AI624" i="5"/>
  <c r="CZ278" i="1" s="1"/>
  <c r="AI623" i="5"/>
  <c r="CZ276" i="1" s="1"/>
  <c r="AI622" i="5"/>
  <c r="CZ275" i="1" s="1"/>
  <c r="AI621" i="5"/>
  <c r="CZ274" i="1" s="1"/>
  <c r="AI620" i="5"/>
  <c r="CZ273" i="1" s="1"/>
  <c r="AI619" i="5"/>
  <c r="CZ262" i="1" s="1"/>
  <c r="AI618" i="5"/>
  <c r="CZ261" i="1" s="1"/>
  <c r="AI617" i="5"/>
  <c r="CZ272" i="1" s="1"/>
  <c r="AI616" i="5"/>
  <c r="CZ271" i="1" s="1"/>
  <c r="AI615" i="5"/>
  <c r="CZ268" i="1" s="1"/>
  <c r="AI614" i="5"/>
  <c r="CZ267" i="1" s="1"/>
  <c r="AI613" i="5"/>
  <c r="CZ259" i="1" s="1"/>
  <c r="AI612" i="5"/>
  <c r="CZ254" i="1" s="1"/>
  <c r="AI611" i="5"/>
  <c r="CZ251" i="1" s="1"/>
  <c r="AI610" i="5"/>
  <c r="CZ250" i="1" s="1"/>
  <c r="AI609" i="5"/>
  <c r="AI608" i="5"/>
  <c r="AI607" i="5"/>
  <c r="CZ255" i="1" s="1"/>
  <c r="AI606" i="5"/>
  <c r="CZ247" i="1" s="1"/>
  <c r="AJ604" i="5"/>
  <c r="DA207" i="1" s="1"/>
  <c r="AJ603" i="5"/>
  <c r="DA206" i="1" s="1"/>
  <c r="CI206" i="1" s="1"/>
  <c r="AJ602" i="5"/>
  <c r="DA197" i="1" s="1"/>
  <c r="AJ601" i="5"/>
  <c r="DA178" i="1" s="1"/>
  <c r="AJ600" i="5"/>
  <c r="DA163" i="1" s="1"/>
  <c r="CI163" i="1" s="1"/>
  <c r="AJ599" i="5"/>
  <c r="DA44" i="1" s="1"/>
  <c r="AJ598" i="5"/>
  <c r="DA42" i="1" s="1"/>
  <c r="CI42" i="1" s="1"/>
  <c r="AJ597" i="5"/>
  <c r="DA84" i="1" s="1"/>
  <c r="AJ596" i="5"/>
  <c r="DA261" i="1" s="1"/>
  <c r="AJ595" i="5"/>
  <c r="DA259" i="1" s="1"/>
  <c r="AJ594" i="5"/>
  <c r="DA249" i="1" s="1"/>
  <c r="AJ593" i="5"/>
  <c r="DA21" i="1" s="1"/>
  <c r="CI21" i="1" s="1"/>
  <c r="AI591" i="5"/>
  <c r="CZ222" i="1" s="1"/>
  <c r="CI222" i="1" s="1"/>
  <c r="AI590" i="5"/>
  <c r="CZ133" i="1" s="1"/>
  <c r="AI589" i="5"/>
  <c r="CZ123" i="1" s="1"/>
  <c r="AI588" i="5"/>
  <c r="CZ29" i="1" s="1"/>
  <c r="CI29" i="1" s="1"/>
  <c r="AI587" i="5"/>
  <c r="CZ253" i="1" s="1"/>
  <c r="AI586" i="5"/>
  <c r="CZ252" i="1" s="1"/>
  <c r="AI585" i="5"/>
  <c r="AI584" i="5"/>
  <c r="CZ248" i="1" s="1"/>
  <c r="AI583" i="5"/>
  <c r="CZ18" i="1" s="1"/>
  <c r="AH567" i="5"/>
  <c r="CY12" i="1" s="1"/>
  <c r="CI12" i="1" s="1"/>
  <c r="AH568" i="5"/>
  <c r="CY97" i="1" s="1"/>
  <c r="CI97" i="1" s="1"/>
  <c r="AH569" i="5"/>
  <c r="CY84" i="1" s="1"/>
  <c r="CI84" i="1" s="1"/>
  <c r="AH570" i="5"/>
  <c r="CY35" i="1" s="1"/>
  <c r="CI35" i="1" s="1"/>
  <c r="AH571" i="5"/>
  <c r="CY44" i="1" s="1"/>
  <c r="AH572" i="5"/>
  <c r="CY109" i="1" s="1"/>
  <c r="CI109" i="1" s="1"/>
  <c r="AH573" i="5"/>
  <c r="CY114" i="1" s="1"/>
  <c r="CI114" i="1" s="1"/>
  <c r="AH574" i="5"/>
  <c r="CY59" i="1" s="1"/>
  <c r="AH575" i="5"/>
  <c r="CY60" i="1" s="1"/>
  <c r="AH576" i="5"/>
  <c r="CY191" i="1" s="1"/>
  <c r="AH577" i="5"/>
  <c r="CY197" i="1" s="1"/>
  <c r="CI197" i="1" s="1"/>
  <c r="AH578" i="5"/>
  <c r="CY203" i="1" s="1"/>
  <c r="AH579" i="5"/>
  <c r="CY209" i="1" s="1"/>
  <c r="CI209" i="1" s="1"/>
  <c r="AH580" i="5"/>
  <c r="CY220" i="1" s="1"/>
  <c r="CI220" i="1" s="1"/>
  <c r="AH581" i="5"/>
  <c r="CY230" i="1" s="1"/>
  <c r="AH566" i="5"/>
  <c r="CY261" i="1" s="1"/>
  <c r="AG539" i="5"/>
  <c r="CX95" i="1" s="1"/>
  <c r="AG540" i="5"/>
  <c r="CX96" i="1" s="1"/>
  <c r="CI96" i="1" s="1"/>
  <c r="AG541" i="5"/>
  <c r="CX87" i="1" s="1"/>
  <c r="AG542" i="5"/>
  <c r="CX88" i="1" s="1"/>
  <c r="CI88" i="1" s="1"/>
  <c r="AG543" i="5"/>
  <c r="CX89" i="1" s="1"/>
  <c r="AG544" i="5"/>
  <c r="CX81" i="1" s="1"/>
  <c r="CI81" i="1" s="1"/>
  <c r="AG545" i="5"/>
  <c r="CX33" i="1" s="1"/>
  <c r="CI33" i="1" s="1"/>
  <c r="AG546" i="5"/>
  <c r="CX47" i="1" s="1"/>
  <c r="CI47" i="1" s="1"/>
  <c r="AG547" i="5"/>
  <c r="CX111" i="1" s="1"/>
  <c r="AG548" i="5"/>
  <c r="CX122" i="1" s="1"/>
  <c r="CI122" i="1" s="1"/>
  <c r="AG549" i="5"/>
  <c r="CX123" i="1" s="1"/>
  <c r="CI123" i="1" s="1"/>
  <c r="AG550" i="5"/>
  <c r="CX124" i="1" s="1"/>
  <c r="CI124" i="1" s="1"/>
  <c r="AG551" i="5"/>
  <c r="CX170" i="1" s="1"/>
  <c r="CI170" i="1" s="1"/>
  <c r="AG552" i="5"/>
  <c r="CX137" i="1" s="1"/>
  <c r="AG553" i="5"/>
  <c r="CX152" i="1" s="1"/>
  <c r="AG554" i="5"/>
  <c r="CX153" i="1" s="1"/>
  <c r="CI153" i="1" s="1"/>
  <c r="AG555" i="5"/>
  <c r="CX155" i="1" s="1"/>
  <c r="CI155" i="1" s="1"/>
  <c r="AG556" i="5"/>
  <c r="CX156" i="1" s="1"/>
  <c r="CI156" i="1" s="1"/>
  <c r="AG557" i="5"/>
  <c r="CX157" i="1" s="1"/>
  <c r="AG558" i="5"/>
  <c r="CX204" i="1" s="1"/>
  <c r="CI204" i="1" s="1"/>
  <c r="AG559" i="5"/>
  <c r="CX205" i="1" s="1"/>
  <c r="CI205" i="1" s="1"/>
  <c r="AG560" i="5"/>
  <c r="CX207" i="1" s="1"/>
  <c r="AG561" i="5"/>
  <c r="CX210" i="1" s="1"/>
  <c r="CI210" i="1" s="1"/>
  <c r="AG562" i="5"/>
  <c r="CX213" i="1" s="1"/>
  <c r="CI213" i="1" s="1"/>
  <c r="AG563" i="5"/>
  <c r="CX229" i="1" s="1"/>
  <c r="CI229" i="1" s="1"/>
  <c r="AG564" i="5"/>
  <c r="CX237" i="1" s="1"/>
  <c r="CI237" i="1" s="1"/>
  <c r="AG538" i="5"/>
  <c r="CX256" i="1" s="1"/>
  <c r="DS281" i="1" l="1"/>
  <c r="DT281" i="1"/>
  <c r="DQ281" i="1"/>
  <c r="EX281" i="1"/>
  <c r="CI207" i="1"/>
  <c r="CI157" i="1"/>
  <c r="CI77" i="1"/>
  <c r="CI231" i="1"/>
  <c r="DC242" i="1"/>
  <c r="CZ249" i="1"/>
  <c r="AF536" i="5"/>
  <c r="CW112" i="1" s="1"/>
  <c r="CI112" i="1" s="1"/>
  <c r="AF535" i="5"/>
  <c r="CW18" i="1" s="1"/>
  <c r="CI18" i="1" s="1"/>
  <c r="AF534" i="5"/>
  <c r="CW17" i="1" s="1"/>
  <c r="CI17" i="1" s="1"/>
  <c r="AF533" i="5"/>
  <c r="CW24" i="1" s="1"/>
  <c r="CI24" i="1" s="1"/>
  <c r="CH24" i="1" s="1"/>
  <c r="AE530" i="5"/>
  <c r="CV92" i="1" s="1"/>
  <c r="CI92" i="1" s="1"/>
  <c r="AE531" i="5"/>
  <c r="CV199" i="1" s="1"/>
  <c r="AE529" i="5"/>
  <c r="CV260" i="1" s="1"/>
  <c r="AD527" i="5"/>
  <c r="CU226" i="1" s="1"/>
  <c r="AD526" i="5"/>
  <c r="CU224" i="1" s="1"/>
  <c r="AD525" i="5"/>
  <c r="CU215" i="1" s="1"/>
  <c r="CI215" i="1" s="1"/>
  <c r="AD524" i="5"/>
  <c r="CU179" i="1" s="1"/>
  <c r="CI179" i="1" s="1"/>
  <c r="AD523" i="5"/>
  <c r="CU178" i="1" s="1"/>
  <c r="AD522" i="5"/>
  <c r="CU141" i="1" s="1"/>
  <c r="AD521" i="5"/>
  <c r="CU61" i="1" s="1"/>
  <c r="CI61" i="1" s="1"/>
  <c r="AD520" i="5"/>
  <c r="CU59" i="1" s="1"/>
  <c r="CI59" i="1" s="1"/>
  <c r="AD519" i="5"/>
  <c r="CU103" i="1" s="1"/>
  <c r="AD518" i="5"/>
  <c r="CU53" i="1" s="1"/>
  <c r="CI53" i="1" s="1"/>
  <c r="AD517" i="5"/>
  <c r="CU254" i="1" s="1"/>
  <c r="AD516" i="5"/>
  <c r="CU250" i="1" s="1"/>
  <c r="AD515" i="5"/>
  <c r="CU249" i="1" s="1"/>
  <c r="AD514" i="5"/>
  <c r="CU247" i="1" s="1"/>
  <c r="I511" i="5"/>
  <c r="AC506" i="5"/>
  <c r="CT73" i="1" s="1"/>
  <c r="CI73" i="1" s="1"/>
  <c r="AB504" i="5"/>
  <c r="CS60" i="1" s="1"/>
  <c r="CI60" i="1" s="1"/>
  <c r="I503" i="5"/>
  <c r="AA501" i="5"/>
  <c r="DV253" i="1" s="1"/>
  <c r="Z499" i="5"/>
  <c r="CR203" i="1" s="1"/>
  <c r="Z498" i="5"/>
  <c r="CR188" i="1" s="1"/>
  <c r="Z497" i="5"/>
  <c r="CR187" i="1" s="1"/>
  <c r="CI187" i="1" s="1"/>
  <c r="Z496" i="5"/>
  <c r="CR103" i="1" s="1"/>
  <c r="Z495" i="5"/>
  <c r="CR76" i="1" s="1"/>
  <c r="CI76" i="1" s="1"/>
  <c r="Z494" i="5"/>
  <c r="CR86" i="1" s="1"/>
  <c r="DM253" i="1" l="1"/>
  <c r="DV281" i="1"/>
  <c r="Y492" i="5"/>
  <c r="X490" i="5"/>
  <c r="DU237" i="1" s="1"/>
  <c r="DM237" i="1" s="1"/>
  <c r="X489" i="5"/>
  <c r="DU242" i="1" s="1"/>
  <c r="DM242" i="1" s="1"/>
  <c r="X488" i="5"/>
  <c r="DU240" i="1" s="1"/>
  <c r="DM240" i="1" s="1"/>
  <c r="X487" i="5"/>
  <c r="DU239" i="1" s="1"/>
  <c r="DM239" i="1" s="1"/>
  <c r="X486" i="5"/>
  <c r="DU220" i="1" s="1"/>
  <c r="DM220" i="1" s="1"/>
  <c r="X485" i="5"/>
  <c r="DU219" i="1" s="1"/>
  <c r="DM219" i="1" s="1"/>
  <c r="X484" i="5"/>
  <c r="DU216" i="1" s="1"/>
  <c r="DM216" i="1" s="1"/>
  <c r="X483" i="5"/>
  <c r="DU215" i="1" s="1"/>
  <c r="DM215" i="1" s="1"/>
  <c r="X482" i="5"/>
  <c r="DU222" i="1" s="1"/>
  <c r="DM222" i="1" s="1"/>
  <c r="X481" i="5"/>
  <c r="DU213" i="1" s="1"/>
  <c r="DM213" i="1" s="1"/>
  <c r="X480" i="5"/>
  <c r="DU210" i="1" s="1"/>
  <c r="DM210" i="1" s="1"/>
  <c r="X479" i="5"/>
  <c r="DU209" i="1" s="1"/>
  <c r="DM209" i="1" s="1"/>
  <c r="X478" i="5"/>
  <c r="DU208" i="1" s="1"/>
  <c r="DM208" i="1" s="1"/>
  <c r="X477" i="5"/>
  <c r="DU207" i="1" s="1"/>
  <c r="DM207" i="1" s="1"/>
  <c r="X476" i="5"/>
  <c r="DU206" i="1" s="1"/>
  <c r="DM206" i="1" s="1"/>
  <c r="X475" i="5"/>
  <c r="DU205" i="1" s="1"/>
  <c r="DM205" i="1" s="1"/>
  <c r="X474" i="5"/>
  <c r="DU204" i="1" s="1"/>
  <c r="DM204" i="1" s="1"/>
  <c r="X473" i="5"/>
  <c r="DU159" i="1" s="1"/>
  <c r="DM159" i="1" s="1"/>
  <c r="X472" i="5"/>
  <c r="DU157" i="1" s="1"/>
  <c r="DM157" i="1" s="1"/>
  <c r="X471" i="5"/>
  <c r="DU153" i="1" s="1"/>
  <c r="DM153" i="1" s="1"/>
  <c r="X470" i="5"/>
  <c r="DU152" i="1" s="1"/>
  <c r="DM152" i="1" s="1"/>
  <c r="X469" i="5"/>
  <c r="DU145" i="1" s="1"/>
  <c r="DM145" i="1" s="1"/>
  <c r="X468" i="5"/>
  <c r="DU139" i="1" s="1"/>
  <c r="DM139" i="1" s="1"/>
  <c r="X467" i="5"/>
  <c r="DU137" i="1" s="1"/>
  <c r="DM137" i="1" s="1"/>
  <c r="X466" i="5"/>
  <c r="DU134" i="1" s="1"/>
  <c r="DM134" i="1" s="1"/>
  <c r="X465" i="5"/>
  <c r="DU133" i="1" s="1"/>
  <c r="DM133" i="1" s="1"/>
  <c r="X464" i="5"/>
  <c r="DU132" i="1" s="1"/>
  <c r="DM132" i="1" s="1"/>
  <c r="X463" i="5"/>
  <c r="DU131" i="1" s="1"/>
  <c r="DM131" i="1" s="1"/>
  <c r="X462" i="5"/>
  <c r="DU130" i="1" s="1"/>
  <c r="DM130" i="1" s="1"/>
  <c r="X461" i="5"/>
  <c r="DU171" i="1" s="1"/>
  <c r="DM171" i="1" s="1"/>
  <c r="X460" i="5"/>
  <c r="DU166" i="1" s="1"/>
  <c r="DM166" i="1" s="1"/>
  <c r="X459" i="5"/>
  <c r="DU164" i="1" s="1"/>
  <c r="DM164" i="1" s="1"/>
  <c r="X458" i="5"/>
  <c r="DU163" i="1" s="1"/>
  <c r="DM163" i="1" s="1"/>
  <c r="X457" i="5"/>
  <c r="DU27" i="1" s="1"/>
  <c r="DM27" i="1" s="1"/>
  <c r="X456" i="5"/>
  <c r="DU128" i="1" s="1"/>
  <c r="DM128" i="1" s="1"/>
  <c r="X455" i="5"/>
  <c r="DU127" i="1" s="1"/>
  <c r="DM127" i="1" s="1"/>
  <c r="X454" i="5"/>
  <c r="DU125" i="1" s="1"/>
  <c r="DM125" i="1" s="1"/>
  <c r="X453" i="5"/>
  <c r="DU104" i="1" s="1"/>
  <c r="DM104" i="1" s="1"/>
  <c r="X452" i="5"/>
  <c r="DU124" i="1" s="1"/>
  <c r="DM124" i="1" s="1"/>
  <c r="X451" i="5"/>
  <c r="DU123" i="1" s="1"/>
  <c r="DM123" i="1" s="1"/>
  <c r="X450" i="5"/>
  <c r="DU122" i="1" s="1"/>
  <c r="DM122" i="1" s="1"/>
  <c r="X449" i="5"/>
  <c r="DU115" i="1" s="1"/>
  <c r="DM115" i="1" s="1"/>
  <c r="X448" i="5"/>
  <c r="DU114" i="1" s="1"/>
  <c r="DM114" i="1" s="1"/>
  <c r="X447" i="5"/>
  <c r="DU113" i="1" s="1"/>
  <c r="DM113" i="1" s="1"/>
  <c r="X446" i="5"/>
  <c r="DU112" i="1" s="1"/>
  <c r="DM112" i="1" s="1"/>
  <c r="X445" i="5"/>
  <c r="DU111" i="1" s="1"/>
  <c r="DM111" i="1" s="1"/>
  <c r="X444" i="5"/>
  <c r="DU110" i="1" s="1"/>
  <c r="DM110" i="1" s="1"/>
  <c r="X443" i="5"/>
  <c r="DU109" i="1" s="1"/>
  <c r="DM109" i="1" s="1"/>
  <c r="X442" i="5"/>
  <c r="DU108" i="1" s="1"/>
  <c r="DM108" i="1" s="1"/>
  <c r="X441" i="5"/>
  <c r="DU107" i="1" s="1"/>
  <c r="DM107" i="1" s="1"/>
  <c r="X440" i="5"/>
  <c r="DU48" i="1" s="1"/>
  <c r="DM48" i="1" s="1"/>
  <c r="X439" i="5"/>
  <c r="DU54" i="1" s="1"/>
  <c r="DM54" i="1" s="1"/>
  <c r="X438" i="5"/>
  <c r="DU53" i="1" s="1"/>
  <c r="DM53" i="1" s="1"/>
  <c r="X437" i="5"/>
  <c r="DU52" i="1" s="1"/>
  <c r="DM52" i="1" s="1"/>
  <c r="X436" i="5"/>
  <c r="DU47" i="1" s="1"/>
  <c r="DM47" i="1" s="1"/>
  <c r="X435" i="5"/>
  <c r="DU51" i="1" s="1"/>
  <c r="DM51" i="1" s="1"/>
  <c r="X434" i="5"/>
  <c r="DU50" i="1" s="1"/>
  <c r="DM50" i="1" s="1"/>
  <c r="X433" i="5"/>
  <c r="DU49" i="1" s="1"/>
  <c r="DM49" i="1" s="1"/>
  <c r="X432" i="5"/>
  <c r="DU46" i="1" s="1"/>
  <c r="DM46" i="1" s="1"/>
  <c r="X431" i="5"/>
  <c r="DU35" i="1" s="1"/>
  <c r="DM35" i="1" s="1"/>
  <c r="X430" i="5"/>
  <c r="DU34" i="1" s="1"/>
  <c r="DM34" i="1" s="1"/>
  <c r="X429" i="5"/>
  <c r="DU33" i="1" s="1"/>
  <c r="DM33" i="1" s="1"/>
  <c r="X428" i="5"/>
  <c r="DU84" i="1" s="1"/>
  <c r="DM84" i="1" s="1"/>
  <c r="X427" i="5"/>
  <c r="DU83" i="1" s="1"/>
  <c r="DM83" i="1" s="1"/>
  <c r="X426" i="5"/>
  <c r="DU81" i="1" s="1"/>
  <c r="DM81" i="1" s="1"/>
  <c r="X425" i="5"/>
  <c r="DU89" i="1" s="1"/>
  <c r="DM89" i="1" s="1"/>
  <c r="X424" i="5"/>
  <c r="DU88" i="1" s="1"/>
  <c r="DM88" i="1" s="1"/>
  <c r="X423" i="5"/>
  <c r="DU87" i="1" s="1"/>
  <c r="DM87" i="1" s="1"/>
  <c r="X422" i="5"/>
  <c r="DU96" i="1" s="1"/>
  <c r="DM96" i="1" s="1"/>
  <c r="X421" i="5"/>
  <c r="DU95" i="1" s="1"/>
  <c r="DM95" i="1" s="1"/>
  <c r="X420" i="5"/>
  <c r="DU94" i="1" s="1"/>
  <c r="DM94" i="1" s="1"/>
  <c r="X419" i="5"/>
  <c r="X418" i="5"/>
  <c r="X417" i="5"/>
  <c r="DU13" i="1" s="1"/>
  <c r="DM13" i="1" s="1"/>
  <c r="X416" i="5"/>
  <c r="DU11" i="1" s="1"/>
  <c r="DM11" i="1" s="1"/>
  <c r="X415" i="5"/>
  <c r="DU10" i="1" s="1"/>
  <c r="DM10" i="1" s="1"/>
  <c r="X414" i="5"/>
  <c r="DU9" i="1" s="1"/>
  <c r="DM9" i="1" s="1"/>
  <c r="X413" i="5"/>
  <c r="DU8" i="1" s="1"/>
  <c r="DM8" i="1" s="1"/>
  <c r="X412" i="5"/>
  <c r="DU7" i="1" s="1"/>
  <c r="DM7" i="1" s="1"/>
  <c r="X411" i="5"/>
  <c r="DU6" i="1" s="1"/>
  <c r="DM6" i="1" s="1"/>
  <c r="X410" i="5"/>
  <c r="DU5" i="1" s="1"/>
  <c r="X409" i="5"/>
  <c r="DU234" i="1" s="1"/>
  <c r="DM234" i="1" s="1"/>
  <c r="X408" i="5"/>
  <c r="DU233" i="1" s="1"/>
  <c r="DM233" i="1" s="1"/>
  <c r="X407" i="5"/>
  <c r="DU244" i="1" s="1"/>
  <c r="DM244" i="1" s="1"/>
  <c r="X406" i="5"/>
  <c r="DU246" i="1" s="1"/>
  <c r="DM246" i="1" s="1"/>
  <c r="X405" i="5"/>
  <c r="DU245" i="1" s="1"/>
  <c r="DM245" i="1" s="1"/>
  <c r="X404" i="5"/>
  <c r="DU258" i="1" s="1"/>
  <c r="DM258" i="1" s="1"/>
  <c r="X403" i="5"/>
  <c r="DU23" i="1" s="1"/>
  <c r="DM23" i="1" s="1"/>
  <c r="X402" i="5"/>
  <c r="DU22" i="1" s="1"/>
  <c r="DM22" i="1" s="1"/>
  <c r="X401" i="5"/>
  <c r="DU21" i="1" s="1"/>
  <c r="DM21" i="1" s="1"/>
  <c r="X400" i="5"/>
  <c r="DU20" i="1" s="1"/>
  <c r="DM20" i="1" s="1"/>
  <c r="X399" i="5"/>
  <c r="DU19" i="1" s="1"/>
  <c r="DM19" i="1" s="1"/>
  <c r="X398" i="5"/>
  <c r="DU18" i="1" s="1"/>
  <c r="DM18" i="1" s="1"/>
  <c r="X397" i="5"/>
  <c r="DU17" i="1" s="1"/>
  <c r="DM17" i="1" s="1"/>
  <c r="W388" i="5"/>
  <c r="CO66" i="1" s="1"/>
  <c r="CI66" i="1" s="1"/>
  <c r="W389" i="5"/>
  <c r="CO45" i="1" s="1"/>
  <c r="W390" i="5"/>
  <c r="CO26" i="1" s="1"/>
  <c r="W391" i="5"/>
  <c r="CO137" i="1" s="1"/>
  <c r="CI137" i="1" s="1"/>
  <c r="W392" i="5"/>
  <c r="CO185" i="1" s="1"/>
  <c r="CI185" i="1" s="1"/>
  <c r="W393" i="5"/>
  <c r="CO191" i="1" s="1"/>
  <c r="W394" i="5"/>
  <c r="CO199" i="1" s="1"/>
  <c r="CI199" i="1" s="1"/>
  <c r="W395" i="5"/>
  <c r="CO227" i="1" s="1"/>
  <c r="W387" i="5"/>
  <c r="CO101" i="1" s="1"/>
  <c r="CI101" i="1" s="1"/>
  <c r="DM5" i="1" l="1"/>
  <c r="DU93" i="1"/>
  <c r="DM93" i="1" s="1"/>
  <c r="I384" i="5"/>
  <c r="I382" i="5"/>
  <c r="V381" i="5"/>
  <c r="U230" i="5"/>
  <c r="U265" i="5"/>
  <c r="U376" i="5"/>
  <c r="I378" i="5"/>
  <c r="T377" i="5"/>
  <c r="EP238" i="1" s="1"/>
  <c r="EO238" i="1" s="1"/>
  <c r="T375" i="5"/>
  <c r="EP241" i="1" s="1"/>
  <c r="EO241" i="1" s="1"/>
  <c r="T374" i="5"/>
  <c r="EP235" i="1" s="1"/>
  <c r="EO235" i="1" s="1"/>
  <c r="T373" i="5"/>
  <c r="EP232" i="1" s="1"/>
  <c r="EO232" i="1" s="1"/>
  <c r="T372" i="5"/>
  <c r="EP226" i="1" s="1"/>
  <c r="EO226" i="1" s="1"/>
  <c r="T371" i="5"/>
  <c r="EP231" i="1" s="1"/>
  <c r="EO231" i="1" s="1"/>
  <c r="T370" i="5"/>
  <c r="EP230" i="1" s="1"/>
  <c r="EO230" i="1" s="1"/>
  <c r="T369" i="5"/>
  <c r="EP228" i="1" s="1"/>
  <c r="EO228" i="1" s="1"/>
  <c r="T368" i="5"/>
  <c r="EP227" i="1" s="1"/>
  <c r="EO227" i="1" s="1"/>
  <c r="T367" i="5"/>
  <c r="EP225" i="1" s="1"/>
  <c r="EO225" i="1" s="1"/>
  <c r="T366" i="5"/>
  <c r="EP224" i="1" s="1"/>
  <c r="EO224" i="1" s="1"/>
  <c r="T365" i="5"/>
  <c r="EP214" i="1" s="1"/>
  <c r="EO214" i="1" s="1"/>
  <c r="T364" i="5"/>
  <c r="EP194" i="1" s="1"/>
  <c r="EO194" i="1" s="1"/>
  <c r="T363" i="5"/>
  <c r="EP211" i="1" s="1"/>
  <c r="EO211" i="1" s="1"/>
  <c r="T362" i="5"/>
  <c r="EP193" i="1" s="1"/>
  <c r="EO193" i="1" s="1"/>
  <c r="T361" i="5"/>
  <c r="EP192" i="1" s="1"/>
  <c r="EO192" i="1" s="1"/>
  <c r="T360" i="5"/>
  <c r="EP203" i="1" s="1"/>
  <c r="EO203" i="1" s="1"/>
  <c r="T359" i="5"/>
  <c r="EP202" i="1" s="1"/>
  <c r="EO202" i="1" s="1"/>
  <c r="T358" i="5"/>
  <c r="EP201" i="1" s="1"/>
  <c r="EO201" i="1" s="1"/>
  <c r="T357" i="5"/>
  <c r="EP200" i="1" s="1"/>
  <c r="EO200" i="1" s="1"/>
  <c r="T356" i="5"/>
  <c r="EP199" i="1" s="1"/>
  <c r="EO199" i="1" s="1"/>
  <c r="T355" i="5"/>
  <c r="EP198" i="1" s="1"/>
  <c r="EO198" i="1" s="1"/>
  <c r="T354" i="5"/>
  <c r="EP197" i="1" s="1"/>
  <c r="EO197" i="1" s="1"/>
  <c r="T353" i="5"/>
  <c r="EP196" i="1" s="1"/>
  <c r="EO196" i="1" s="1"/>
  <c r="T352" i="5"/>
  <c r="EP195" i="1" s="1"/>
  <c r="EO195" i="1" s="1"/>
  <c r="T351" i="5"/>
  <c r="EP191" i="1" s="1"/>
  <c r="EO191" i="1" s="1"/>
  <c r="T350" i="5"/>
  <c r="EP190" i="1" s="1"/>
  <c r="EO190" i="1" s="1"/>
  <c r="T349" i="5"/>
  <c r="EP189" i="1" s="1"/>
  <c r="EO189" i="1" s="1"/>
  <c r="T348" i="5"/>
  <c r="EP188" i="1" s="1"/>
  <c r="EO188" i="1" s="1"/>
  <c r="T347" i="5"/>
  <c r="EP187" i="1" s="1"/>
  <c r="EO187" i="1" s="1"/>
  <c r="T346" i="5"/>
  <c r="EP186" i="1" s="1"/>
  <c r="EO186" i="1" s="1"/>
  <c r="T345" i="5"/>
  <c r="EP185" i="1" s="1"/>
  <c r="EO185" i="1" s="1"/>
  <c r="T344" i="5"/>
  <c r="EP184" i="1" s="1"/>
  <c r="EO184" i="1" s="1"/>
  <c r="T343" i="5"/>
  <c r="EP183" i="1" s="1"/>
  <c r="EO183" i="1" s="1"/>
  <c r="T342" i="5"/>
  <c r="EP182" i="1" s="1"/>
  <c r="EO182" i="1" s="1"/>
  <c r="T341" i="5"/>
  <c r="EP181" i="1" s="1"/>
  <c r="EO181" i="1" s="1"/>
  <c r="T340" i="5"/>
  <c r="EP180" i="1" s="1"/>
  <c r="EO180" i="1" s="1"/>
  <c r="T339" i="5"/>
  <c r="EP179" i="1" s="1"/>
  <c r="EO179" i="1" s="1"/>
  <c r="T338" i="5"/>
  <c r="EP178" i="1" s="1"/>
  <c r="EO178" i="1" s="1"/>
  <c r="T337" i="5"/>
  <c r="EP151" i="1" s="1"/>
  <c r="EO151" i="1" s="1"/>
  <c r="T336" i="5"/>
  <c r="EP150" i="1" s="1"/>
  <c r="EO150" i="1" s="1"/>
  <c r="T335" i="5"/>
  <c r="EP149" i="1" s="1"/>
  <c r="EO149" i="1" s="1"/>
  <c r="T334" i="5"/>
  <c r="EP148" i="1" s="1"/>
  <c r="EO148" i="1" s="1"/>
  <c r="T333" i="5"/>
  <c r="EP147" i="1" s="1"/>
  <c r="EO147" i="1" s="1"/>
  <c r="T332" i="5"/>
  <c r="EP146" i="1" s="1"/>
  <c r="EO146" i="1" s="1"/>
  <c r="T331" i="5"/>
  <c r="EP144" i="1" s="1"/>
  <c r="EO144" i="1" s="1"/>
  <c r="T330" i="5"/>
  <c r="EP143" i="1" s="1"/>
  <c r="EO143" i="1" s="1"/>
  <c r="T329" i="5"/>
  <c r="EP142" i="1" s="1"/>
  <c r="EO142" i="1" s="1"/>
  <c r="T328" i="5"/>
  <c r="EP141" i="1" s="1"/>
  <c r="EO141" i="1" s="1"/>
  <c r="T327" i="5"/>
  <c r="EP140" i="1" s="1"/>
  <c r="EO140" i="1" s="1"/>
  <c r="T326" i="5"/>
  <c r="EP138" i="1" s="1"/>
  <c r="EO138" i="1" s="1"/>
  <c r="T325" i="5"/>
  <c r="EP136" i="1" s="1"/>
  <c r="EO136" i="1" s="1"/>
  <c r="T324" i="5"/>
  <c r="EP135" i="1" s="1"/>
  <c r="EO135" i="1" s="1"/>
  <c r="T323" i="5"/>
  <c r="EP175" i="1" s="1"/>
  <c r="EO175" i="1" s="1"/>
  <c r="T322" i="5"/>
  <c r="EP174" i="1" s="1"/>
  <c r="EO174" i="1" s="1"/>
  <c r="T321" i="5"/>
  <c r="EP173" i="1" s="1"/>
  <c r="EO173" i="1" s="1"/>
  <c r="T320" i="5"/>
  <c r="EP172" i="1" s="1"/>
  <c r="EO172" i="1" s="1"/>
  <c r="T319" i="5"/>
  <c r="EP165" i="1" s="1"/>
  <c r="EO165" i="1" s="1"/>
  <c r="T318" i="5"/>
  <c r="EP27" i="1" s="1"/>
  <c r="EO27" i="1" s="1"/>
  <c r="T317" i="5"/>
  <c r="EP28" i="1" s="1"/>
  <c r="EO28" i="1" s="1"/>
  <c r="T316" i="5"/>
  <c r="EP26" i="1" s="1"/>
  <c r="EO26" i="1" s="1"/>
  <c r="T315" i="5"/>
  <c r="EP65" i="1" s="1"/>
  <c r="EO65" i="1" s="1"/>
  <c r="T314" i="5"/>
  <c r="EP64" i="1" s="1"/>
  <c r="EO64" i="1" s="1"/>
  <c r="T313" i="5"/>
  <c r="EP62" i="1" s="1"/>
  <c r="EO62" i="1" s="1"/>
  <c r="T312" i="5"/>
  <c r="EP61" i="1" s="1"/>
  <c r="EO61" i="1" s="1"/>
  <c r="T311" i="5"/>
  <c r="EP60" i="1" s="1"/>
  <c r="EO60" i="1" s="1"/>
  <c r="T310" i="5"/>
  <c r="EP59" i="1" s="1"/>
  <c r="EO59" i="1" s="1"/>
  <c r="T309" i="5"/>
  <c r="EP106" i="1" s="1"/>
  <c r="EO106" i="1" s="1"/>
  <c r="T308" i="5"/>
  <c r="EP105" i="1" s="1"/>
  <c r="EO105" i="1" s="1"/>
  <c r="T307" i="5"/>
  <c r="EP129" i="1" s="1"/>
  <c r="EO129" i="1" s="1"/>
  <c r="T306" i="5"/>
  <c r="EP121" i="1" s="1"/>
  <c r="EO121" i="1" s="1"/>
  <c r="T305" i="5"/>
  <c r="EP119" i="1" s="1"/>
  <c r="EO119" i="1" s="1"/>
  <c r="T304" i="5"/>
  <c r="EP117" i="1" s="1"/>
  <c r="EO117" i="1" s="1"/>
  <c r="T303" i="5"/>
  <c r="EP103" i="1" s="1"/>
  <c r="EO103" i="1" s="1"/>
  <c r="T302" i="5"/>
  <c r="EP56" i="1" s="1"/>
  <c r="EO56" i="1" s="1"/>
  <c r="T301" i="5"/>
  <c r="EP55" i="1" s="1"/>
  <c r="EO55" i="1" s="1"/>
  <c r="T300" i="5"/>
  <c r="EP58" i="1" s="1"/>
  <c r="EO58" i="1" s="1"/>
  <c r="T299" i="5"/>
  <c r="EP57" i="1" s="1"/>
  <c r="EO57" i="1" s="1"/>
  <c r="T298" i="5"/>
  <c r="EP41" i="1" s="1"/>
  <c r="EO41" i="1" s="1"/>
  <c r="T297" i="5"/>
  <c r="EP40" i="1" s="1"/>
  <c r="EO40" i="1" s="1"/>
  <c r="T296" i="5"/>
  <c r="T295" i="5"/>
  <c r="EP44" i="1" s="1"/>
  <c r="EO44" i="1" s="1"/>
  <c r="T294" i="5"/>
  <c r="EP43" i="1" s="1"/>
  <c r="EO43" i="1" s="1"/>
  <c r="T293" i="5"/>
  <c r="EP42" i="1" s="1"/>
  <c r="EO42" i="1" s="1"/>
  <c r="T292" i="5"/>
  <c r="EP36" i="1" s="1"/>
  <c r="EO36" i="1" s="1"/>
  <c r="T291" i="5"/>
  <c r="EP30" i="1" s="1"/>
  <c r="EO30" i="1" s="1"/>
  <c r="T290" i="5"/>
  <c r="EP29" i="1" s="1"/>
  <c r="EO29" i="1" s="1"/>
  <c r="T289" i="5"/>
  <c r="EP74" i="1" s="1"/>
  <c r="EO74" i="1" s="1"/>
  <c r="T288" i="5"/>
  <c r="EP73" i="1" s="1"/>
  <c r="EO73" i="1" s="1"/>
  <c r="T287" i="5"/>
  <c r="EP71" i="1" s="1"/>
  <c r="EO71" i="1" s="1"/>
  <c r="T286" i="5"/>
  <c r="EP70" i="1" s="1"/>
  <c r="EO70" i="1" s="1"/>
  <c r="T285" i="5"/>
  <c r="EP69" i="1" s="1"/>
  <c r="EO69" i="1" s="1"/>
  <c r="T284" i="5"/>
  <c r="EP68" i="1" s="1"/>
  <c r="EO68" i="1" s="1"/>
  <c r="T283" i="5"/>
  <c r="EP82" i="1" s="1"/>
  <c r="EO82" i="1" s="1"/>
  <c r="T282" i="5"/>
  <c r="EP79" i="1" s="1"/>
  <c r="EO79" i="1" s="1"/>
  <c r="T281" i="5"/>
  <c r="EP78" i="1" s="1"/>
  <c r="EO78" i="1" s="1"/>
  <c r="T280" i="5"/>
  <c r="EP77" i="1" s="1"/>
  <c r="EO77" i="1" s="1"/>
  <c r="T279" i="5"/>
  <c r="EP76" i="1" s="1"/>
  <c r="EO76" i="1" s="1"/>
  <c r="T278" i="5"/>
  <c r="EP66" i="1" s="1"/>
  <c r="EO66" i="1" s="1"/>
  <c r="T277" i="5"/>
  <c r="EP102" i="1" s="1"/>
  <c r="EO102" i="1" s="1"/>
  <c r="T276" i="5"/>
  <c r="EP101" i="1" s="1"/>
  <c r="EO101" i="1" s="1"/>
  <c r="T275" i="5"/>
  <c r="EP99" i="1" s="1"/>
  <c r="EO99" i="1" s="1"/>
  <c r="T274" i="5"/>
  <c r="EP98" i="1" s="1"/>
  <c r="EO98" i="1" s="1"/>
  <c r="T273" i="5"/>
  <c r="EP97" i="1" s="1"/>
  <c r="EO97" i="1" s="1"/>
  <c r="T272" i="5"/>
  <c r="EP86" i="1" s="1"/>
  <c r="EO86" i="1" s="1"/>
  <c r="T271" i="5"/>
  <c r="EP85" i="1" s="1"/>
  <c r="EO85" i="1" s="1"/>
  <c r="T270" i="5"/>
  <c r="EP92" i="1" s="1"/>
  <c r="EO92" i="1" s="1"/>
  <c r="T269" i="5"/>
  <c r="EP90" i="1" s="1"/>
  <c r="EO90" i="1" s="1"/>
  <c r="T268" i="5"/>
  <c r="EP16" i="1" s="1"/>
  <c r="EO16" i="1" s="1"/>
  <c r="T267" i="5"/>
  <c r="EP15" i="1" s="1"/>
  <c r="EO15" i="1" s="1"/>
  <c r="T266" i="5"/>
  <c r="EP14" i="1" s="1"/>
  <c r="EO14" i="1" s="1"/>
  <c r="T264" i="5"/>
  <c r="EP45" i="1" s="1"/>
  <c r="EO45" i="1" s="1"/>
  <c r="T263" i="5"/>
  <c r="EP279" i="1" s="1"/>
  <c r="EO279" i="1" s="1"/>
  <c r="T262" i="5"/>
  <c r="EP278" i="1" s="1"/>
  <c r="EO278" i="1" s="1"/>
  <c r="T261" i="5"/>
  <c r="EP277" i="1" s="1"/>
  <c r="EO277" i="1" s="1"/>
  <c r="T260" i="5"/>
  <c r="EP276" i="1" s="1"/>
  <c r="EO276" i="1" s="1"/>
  <c r="T259" i="5"/>
  <c r="EP275" i="1" s="1"/>
  <c r="EO275" i="1" s="1"/>
  <c r="T258" i="5"/>
  <c r="EP274" i="1" s="1"/>
  <c r="EO274" i="1" s="1"/>
  <c r="T257" i="5"/>
  <c r="EP280" i="1" s="1"/>
  <c r="EO280" i="1" s="1"/>
  <c r="T256" i="5"/>
  <c r="EP273" i="1" s="1"/>
  <c r="EO273" i="1" s="1"/>
  <c r="T255" i="5"/>
  <c r="EP265" i="1" s="1"/>
  <c r="EO265" i="1" s="1"/>
  <c r="T254" i="5"/>
  <c r="EP264" i="1" s="1"/>
  <c r="EO264" i="1" s="1"/>
  <c r="T253" i="5"/>
  <c r="EP263" i="1" s="1"/>
  <c r="EO263" i="1" s="1"/>
  <c r="T252" i="5"/>
  <c r="EP262" i="1" s="1"/>
  <c r="EO262" i="1" s="1"/>
  <c r="T251" i="5"/>
  <c r="EP261" i="1" s="1"/>
  <c r="EO261" i="1" s="1"/>
  <c r="T250" i="5"/>
  <c r="EP260" i="1" s="1"/>
  <c r="EO260" i="1" s="1"/>
  <c r="T249" i="5"/>
  <c r="EP272" i="1" s="1"/>
  <c r="EO272" i="1" s="1"/>
  <c r="T248" i="5"/>
  <c r="EP271" i="1" s="1"/>
  <c r="EO271" i="1" s="1"/>
  <c r="T247" i="5"/>
  <c r="EP270" i="1" s="1"/>
  <c r="EO270" i="1" s="1"/>
  <c r="T246" i="5"/>
  <c r="EP269" i="1" s="1"/>
  <c r="EO269" i="1" s="1"/>
  <c r="T245" i="5"/>
  <c r="EP268" i="1" s="1"/>
  <c r="EO268" i="1" s="1"/>
  <c r="T244" i="5"/>
  <c r="EP267" i="1" s="1"/>
  <c r="EO267" i="1" s="1"/>
  <c r="T243" i="5"/>
  <c r="EP266" i="1" s="1"/>
  <c r="EO266" i="1" s="1"/>
  <c r="T242" i="5"/>
  <c r="EP259" i="1" s="1"/>
  <c r="EO259" i="1" s="1"/>
  <c r="T241" i="5"/>
  <c r="EP254" i="1" s="1"/>
  <c r="EO254" i="1" s="1"/>
  <c r="T240" i="5"/>
  <c r="EP253" i="1" s="1"/>
  <c r="EO253" i="1" s="1"/>
  <c r="T239" i="5"/>
  <c r="EP252" i="1" s="1"/>
  <c r="EO252" i="1" s="1"/>
  <c r="T238" i="5"/>
  <c r="EP251" i="1" s="1"/>
  <c r="EO251" i="1" s="1"/>
  <c r="T237" i="5"/>
  <c r="EP250" i="1" s="1"/>
  <c r="EO250" i="1" s="1"/>
  <c r="T236" i="5"/>
  <c r="EP249" i="1" s="1"/>
  <c r="EO249" i="1" s="1"/>
  <c r="T235" i="5"/>
  <c r="EP248" i="1" s="1"/>
  <c r="EO248" i="1" s="1"/>
  <c r="T234" i="5"/>
  <c r="EP255" i="1" s="1"/>
  <c r="EO255" i="1" s="1"/>
  <c r="T233" i="5"/>
  <c r="EP247" i="1" s="1"/>
  <c r="EO247" i="1" s="1"/>
  <c r="T232" i="5"/>
  <c r="EP257" i="1" s="1"/>
  <c r="EO257" i="1" s="1"/>
  <c r="T231" i="5"/>
  <c r="EP256" i="1" s="1"/>
  <c r="EO256" i="1" s="1"/>
  <c r="S228" i="5"/>
  <c r="CN86" i="1" s="1"/>
  <c r="R226" i="5"/>
  <c r="CM178" i="1" s="1"/>
  <c r="CI178" i="1" s="1"/>
  <c r="R225" i="5"/>
  <c r="CM70" i="1" s="1"/>
  <c r="CI70" i="1" s="1"/>
  <c r="I224" i="5"/>
  <c r="I217" i="5"/>
  <c r="I215" i="5"/>
  <c r="Q214" i="5"/>
  <c r="CL226" i="1" s="1"/>
  <c r="Q213" i="5"/>
  <c r="CL230" i="1" s="1"/>
  <c r="CI230" i="1" s="1"/>
  <c r="Q212" i="5"/>
  <c r="CL228" i="1" s="1"/>
  <c r="CI228" i="1" s="1"/>
  <c r="Q211" i="5"/>
  <c r="CL225" i="1" s="1"/>
  <c r="Q210" i="5"/>
  <c r="CL202" i="1" s="1"/>
  <c r="Q209" i="5"/>
  <c r="CL180" i="1" s="1"/>
  <c r="CI180" i="1" s="1"/>
  <c r="Q208" i="5"/>
  <c r="CL141" i="1" s="1"/>
  <c r="Q207" i="5"/>
  <c r="Q206" i="5"/>
  <c r="CL74" i="1" s="1"/>
  <c r="CI74" i="1" s="1"/>
  <c r="Q205" i="5"/>
  <c r="CL278" i="1" s="1"/>
  <c r="Q204" i="5"/>
  <c r="CL276" i="1" s="1"/>
  <c r="Q203" i="5"/>
  <c r="CL251" i="1" s="1"/>
  <c r="Q202" i="5"/>
  <c r="CL250" i="1" s="1"/>
  <c r="Q201" i="5"/>
  <c r="CL255" i="1" s="1"/>
  <c r="Q200" i="5"/>
  <c r="CL247" i="1" s="1"/>
  <c r="Q199" i="5"/>
  <c r="CL258" i="1" s="1"/>
  <c r="CI258" i="1" s="1"/>
  <c r="Q197" i="5"/>
  <c r="CL147" i="1" s="1"/>
  <c r="CI147" i="1" s="1"/>
  <c r="P195" i="5"/>
  <c r="CP171" i="1" s="1"/>
  <c r="CI171" i="1" s="1"/>
  <c r="I83" i="5"/>
  <c r="I81" i="5"/>
  <c r="I79" i="5"/>
  <c r="I77" i="5"/>
  <c r="I75" i="5"/>
  <c r="I74" i="5"/>
  <c r="L72" i="5"/>
  <c r="M125" i="5"/>
  <c r="CJ242" i="1" s="1"/>
  <c r="CI242" i="1" s="1"/>
  <c r="M124" i="5"/>
  <c r="CJ227" i="1" s="1"/>
  <c r="M123" i="5"/>
  <c r="CJ225" i="1" s="1"/>
  <c r="M122" i="5"/>
  <c r="CJ224" i="1" s="1"/>
  <c r="CI224" i="1" s="1"/>
  <c r="M121" i="5"/>
  <c r="CJ203" i="1" s="1"/>
  <c r="M120" i="5"/>
  <c r="CJ202" i="1" s="1"/>
  <c r="M119" i="5"/>
  <c r="CJ134" i="1" s="1"/>
  <c r="CI134" i="1" s="1"/>
  <c r="M118" i="5"/>
  <c r="CJ133" i="1" s="1"/>
  <c r="CI133" i="1" s="1"/>
  <c r="M117" i="5"/>
  <c r="CJ28" i="1" s="1"/>
  <c r="M116" i="5"/>
  <c r="CJ26" i="1" s="1"/>
  <c r="M115" i="5"/>
  <c r="CJ64" i="1" s="1"/>
  <c r="CI64" i="1" s="1"/>
  <c r="M114" i="5"/>
  <c r="CJ104" i="1" s="1"/>
  <c r="CI104" i="1" s="1"/>
  <c r="M113" i="5"/>
  <c r="CJ113" i="1" s="1"/>
  <c r="CI113" i="1" s="1"/>
  <c r="M112" i="5"/>
  <c r="CJ111" i="1" s="1"/>
  <c r="CI111" i="1" s="1"/>
  <c r="M111" i="5"/>
  <c r="CJ108" i="1" s="1"/>
  <c r="M110" i="5"/>
  <c r="CJ107" i="1" s="1"/>
  <c r="CI107" i="1" s="1"/>
  <c r="M109" i="5"/>
  <c r="CJ103" i="1" s="1"/>
  <c r="CI103" i="1" s="1"/>
  <c r="M108" i="5"/>
  <c r="CJ82" i="1" s="1"/>
  <c r="CI82" i="1" s="1"/>
  <c r="M107" i="5"/>
  <c r="CJ89" i="1" s="1"/>
  <c r="CI89" i="1" s="1"/>
  <c r="M106" i="5"/>
  <c r="CJ87" i="1" s="1"/>
  <c r="CI87" i="1" s="1"/>
  <c r="M105" i="5"/>
  <c r="CJ95" i="1" s="1"/>
  <c r="CI95" i="1" s="1"/>
  <c r="M104" i="5"/>
  <c r="CJ93" i="1" s="1"/>
  <c r="CI93" i="1" s="1"/>
  <c r="M103" i="5"/>
  <c r="CJ16" i="1" s="1"/>
  <c r="CI16" i="1" s="1"/>
  <c r="M102" i="5"/>
  <c r="CJ15" i="1" s="1"/>
  <c r="CI15" i="1" s="1"/>
  <c r="M101" i="5"/>
  <c r="CJ14" i="1" s="1"/>
  <c r="CI14" i="1" s="1"/>
  <c r="M100" i="5"/>
  <c r="CJ278" i="1" s="1"/>
  <c r="M99" i="5"/>
  <c r="CJ275" i="1" s="1"/>
  <c r="M98" i="5"/>
  <c r="CJ274" i="1" s="1"/>
  <c r="M97" i="5"/>
  <c r="CJ273" i="1" s="1"/>
  <c r="M96" i="5"/>
  <c r="CJ264" i="1" s="1"/>
  <c r="M95" i="5"/>
  <c r="CJ262" i="1" s="1"/>
  <c r="M94" i="5"/>
  <c r="CJ260" i="1" s="1"/>
  <c r="CI260" i="1" s="1"/>
  <c r="M93" i="5"/>
  <c r="CJ272" i="1" s="1"/>
  <c r="M92" i="5"/>
  <c r="CJ253" i="1" s="1"/>
  <c r="M91" i="5"/>
  <c r="CJ250" i="1" s="1"/>
  <c r="M90" i="5"/>
  <c r="CJ249" i="1" s="1"/>
  <c r="M89" i="5"/>
  <c r="CJ255" i="1" s="1"/>
  <c r="N127" i="5"/>
  <c r="O186" i="5"/>
  <c r="CK226" i="1" s="1"/>
  <c r="O185" i="5"/>
  <c r="CK227" i="1" s="1"/>
  <c r="O184" i="5"/>
  <c r="CK225" i="1" s="1"/>
  <c r="O183" i="5"/>
  <c r="CK214" i="1" s="1"/>
  <c r="CI214" i="1" s="1"/>
  <c r="O182" i="5"/>
  <c r="CK208" i="1" s="1"/>
  <c r="CI208" i="1" s="1"/>
  <c r="O181" i="5"/>
  <c r="CK192" i="1" s="1"/>
  <c r="CI192" i="1" s="1"/>
  <c r="O180" i="5"/>
  <c r="CK203" i="1" s="1"/>
  <c r="O179" i="5"/>
  <c r="CK202" i="1" s="1"/>
  <c r="O178" i="5"/>
  <c r="CK191" i="1" s="1"/>
  <c r="CI191" i="1" s="1"/>
  <c r="O177" i="5"/>
  <c r="CK188" i="1" s="1"/>
  <c r="CI188" i="1" s="1"/>
  <c r="O176" i="5"/>
  <c r="CK182" i="1" s="1"/>
  <c r="CI182" i="1" s="1"/>
  <c r="O175" i="5"/>
  <c r="CK152" i="1" s="1"/>
  <c r="CI152" i="1" s="1"/>
  <c r="O174" i="5"/>
  <c r="CK141" i="1" s="1"/>
  <c r="O173" i="5"/>
  <c r="CK28" i="1" s="1"/>
  <c r="O172" i="5"/>
  <c r="CK26" i="1" s="1"/>
  <c r="O171" i="5"/>
  <c r="CK63" i="1" s="1"/>
  <c r="CI63" i="1" s="1"/>
  <c r="O170" i="5"/>
  <c r="CK62" i="1" s="1"/>
  <c r="CI62" i="1" s="1"/>
  <c r="O169" i="5"/>
  <c r="CK129" i="1" s="1"/>
  <c r="CI129" i="1" s="1"/>
  <c r="O168" i="5"/>
  <c r="CK108" i="1" s="1"/>
  <c r="O167" i="5"/>
  <c r="CK55" i="1" s="1"/>
  <c r="CI55" i="1" s="1"/>
  <c r="O166" i="5"/>
  <c r="CK58" i="1" s="1"/>
  <c r="CI58" i="1" s="1"/>
  <c r="O165" i="5"/>
  <c r="CK57" i="1" s="1"/>
  <c r="CI57" i="1" s="1"/>
  <c r="O164" i="5"/>
  <c r="CK45" i="1" s="1"/>
  <c r="CI45" i="1" s="1"/>
  <c r="O163" i="5"/>
  <c r="CK44" i="1" s="1"/>
  <c r="CI44" i="1" s="1"/>
  <c r="O162" i="5"/>
  <c r="CK32" i="1" s="1"/>
  <c r="CI32" i="1" s="1"/>
  <c r="O161" i="5"/>
  <c r="CK100" i="1" s="1"/>
  <c r="CI100" i="1" s="1"/>
  <c r="O160" i="5"/>
  <c r="CK98" i="1" s="1"/>
  <c r="CI98" i="1" s="1"/>
  <c r="O159" i="5"/>
  <c r="CK86" i="1" s="1"/>
  <c r="CI86" i="1" s="1"/>
  <c r="O158" i="5"/>
  <c r="CK85" i="1" s="1"/>
  <c r="CI85" i="1" s="1"/>
  <c r="O157" i="5"/>
  <c r="CK278" i="1" s="1"/>
  <c r="O156" i="5"/>
  <c r="CK277" i="1" s="1"/>
  <c r="CI277" i="1" s="1"/>
  <c r="O155" i="5"/>
  <c r="CK276" i="1" s="1"/>
  <c r="CI276" i="1" s="1"/>
  <c r="O154" i="5"/>
  <c r="CK275" i="1" s="1"/>
  <c r="O153" i="5"/>
  <c r="CK274" i="1" s="1"/>
  <c r="O152" i="5"/>
  <c r="CK280" i="1" s="1"/>
  <c r="CI280" i="1" s="1"/>
  <c r="O151" i="5"/>
  <c r="CK273" i="1" s="1"/>
  <c r="O150" i="5"/>
  <c r="CK264" i="1" s="1"/>
  <c r="O149" i="5"/>
  <c r="CK263" i="1" s="1"/>
  <c r="CI263" i="1" s="1"/>
  <c r="O148" i="5"/>
  <c r="CK262" i="1" s="1"/>
  <c r="O147" i="5"/>
  <c r="CK261" i="1" s="1"/>
  <c r="CI261" i="1" s="1"/>
  <c r="O146" i="5"/>
  <c r="CK272" i="1" s="1"/>
  <c r="O145" i="5"/>
  <c r="CK271" i="1" s="1"/>
  <c r="CI271" i="1" s="1"/>
  <c r="O144" i="5"/>
  <c r="CK270" i="1" s="1"/>
  <c r="CI270" i="1" s="1"/>
  <c r="O143" i="5"/>
  <c r="CK269" i="1" s="1"/>
  <c r="CI269" i="1" s="1"/>
  <c r="O142" i="5"/>
  <c r="CK268" i="1" s="1"/>
  <c r="CI268" i="1" s="1"/>
  <c r="O141" i="5"/>
  <c r="CK267" i="1" s="1"/>
  <c r="CI267" i="1" s="1"/>
  <c r="O140" i="5"/>
  <c r="CK266" i="1" s="1"/>
  <c r="CI266" i="1" s="1"/>
  <c r="O139" i="5"/>
  <c r="CK259" i="1" s="1"/>
  <c r="CI259" i="1" s="1"/>
  <c r="O138" i="5"/>
  <c r="CK254" i="1" s="1"/>
  <c r="CI254" i="1" s="1"/>
  <c r="O137" i="5"/>
  <c r="CK253" i="1" s="1"/>
  <c r="O136" i="5"/>
  <c r="CK252" i="1" s="1"/>
  <c r="CI252" i="1" s="1"/>
  <c r="O135" i="5"/>
  <c r="CK251" i="1" s="1"/>
  <c r="O134" i="5"/>
  <c r="CK250" i="1" s="1"/>
  <c r="O133" i="5"/>
  <c r="CK249" i="1" s="1"/>
  <c r="O132" i="5"/>
  <c r="CK248" i="1" s="1"/>
  <c r="CI248" i="1" s="1"/>
  <c r="O131" i="5"/>
  <c r="CK255" i="1" s="1"/>
  <c r="O130" i="5"/>
  <c r="CK247" i="1" s="1"/>
  <c r="O129" i="5"/>
  <c r="CK256" i="1" s="1"/>
  <c r="CI256" i="1" s="1"/>
  <c r="DM116" i="1" l="1"/>
  <c r="CH116" i="1" s="1"/>
  <c r="DW281" i="1"/>
  <c r="DU281" i="1"/>
  <c r="CI251" i="1"/>
  <c r="CI226" i="1"/>
  <c r="CI247" i="1"/>
  <c r="CI141" i="1"/>
  <c r="EP281" i="1"/>
  <c r="EO281" i="1"/>
  <c r="CI249" i="1"/>
  <c r="CI274" i="1"/>
  <c r="CI250" i="1"/>
  <c r="CI262" i="1"/>
  <c r="CI275" i="1"/>
  <c r="CI108" i="1"/>
  <c r="CI225" i="1"/>
  <c r="CI253" i="1"/>
  <c r="CI264" i="1"/>
  <c r="CI278" i="1"/>
  <c r="CI26" i="1"/>
  <c r="CI202" i="1"/>
  <c r="CI227" i="1"/>
  <c r="CI255" i="1"/>
  <c r="CI272" i="1"/>
  <c r="CI273" i="1"/>
  <c r="CI28" i="1"/>
  <c r="CI203" i="1"/>
  <c r="EU280" i="1"/>
  <c r="ES280" i="1" s="1"/>
  <c r="CH280" i="1" s="1"/>
  <c r="EU276" i="1"/>
  <c r="ES276" i="1" s="1"/>
  <c r="CH276" i="1" s="1"/>
  <c r="EU272" i="1"/>
  <c r="ES272" i="1" s="1"/>
  <c r="EU268" i="1"/>
  <c r="ES268" i="1" s="1"/>
  <c r="CH268" i="1" s="1"/>
  <c r="EU264" i="1"/>
  <c r="ES264" i="1" s="1"/>
  <c r="EU260" i="1"/>
  <c r="ES260" i="1" s="1"/>
  <c r="CH260" i="1" s="1"/>
  <c r="EU256" i="1"/>
  <c r="ES256" i="1" s="1"/>
  <c r="CH256" i="1" s="1"/>
  <c r="EU252" i="1"/>
  <c r="ES252" i="1" s="1"/>
  <c r="CH252" i="1" s="1"/>
  <c r="EU248" i="1"/>
  <c r="ES248" i="1" s="1"/>
  <c r="CH248" i="1" s="1"/>
  <c r="EU244" i="1"/>
  <c r="ES244" i="1" s="1"/>
  <c r="CH244" i="1" s="1"/>
  <c r="EU240" i="1"/>
  <c r="ES240" i="1" s="1"/>
  <c r="CH240" i="1" s="1"/>
  <c r="EU236" i="1"/>
  <c r="ES236" i="1" s="1"/>
  <c r="CH236" i="1" s="1"/>
  <c r="EU232" i="1"/>
  <c r="ES232" i="1" s="1"/>
  <c r="CH232" i="1" s="1"/>
  <c r="EU228" i="1"/>
  <c r="ES228" i="1" s="1"/>
  <c r="CH228" i="1" s="1"/>
  <c r="EU224" i="1"/>
  <c r="ES224" i="1" s="1"/>
  <c r="CH224" i="1" s="1"/>
  <c r="EU220" i="1"/>
  <c r="ES220" i="1" s="1"/>
  <c r="CH220" i="1" s="1"/>
  <c r="EU216" i="1"/>
  <c r="ES216" i="1" s="1"/>
  <c r="CH216" i="1" s="1"/>
  <c r="EU212" i="1"/>
  <c r="ES212" i="1" s="1"/>
  <c r="CH212" i="1" s="1"/>
  <c r="EU208" i="1"/>
  <c r="ES208" i="1" s="1"/>
  <c r="CH208" i="1" s="1"/>
  <c r="EU204" i="1"/>
  <c r="ES204" i="1" s="1"/>
  <c r="CH204" i="1" s="1"/>
  <c r="EU200" i="1"/>
  <c r="ES200" i="1" s="1"/>
  <c r="CH200" i="1" s="1"/>
  <c r="EU196" i="1"/>
  <c r="ES196" i="1" s="1"/>
  <c r="CH196" i="1" s="1"/>
  <c r="EU192" i="1"/>
  <c r="ES192" i="1" s="1"/>
  <c r="CH192" i="1" s="1"/>
  <c r="EU188" i="1"/>
  <c r="ES188" i="1" s="1"/>
  <c r="CH188" i="1" s="1"/>
  <c r="EU184" i="1"/>
  <c r="ES184" i="1" s="1"/>
  <c r="CH184" i="1" s="1"/>
  <c r="EU180" i="1"/>
  <c r="ES180" i="1" s="1"/>
  <c r="CH180" i="1" s="1"/>
  <c r="EU176" i="1"/>
  <c r="ES176" i="1" s="1"/>
  <c r="CH176" i="1" s="1"/>
  <c r="EU172" i="1"/>
  <c r="ES172" i="1" s="1"/>
  <c r="CH172" i="1" s="1"/>
  <c r="EU168" i="1"/>
  <c r="ES168" i="1" s="1"/>
  <c r="CH168" i="1" s="1"/>
  <c r="EU164" i="1"/>
  <c r="ES164" i="1" s="1"/>
  <c r="CH164" i="1" s="1"/>
  <c r="EU160" i="1"/>
  <c r="ES160" i="1" s="1"/>
  <c r="CH160" i="1" s="1"/>
  <c r="EU156" i="1"/>
  <c r="ES156" i="1" s="1"/>
  <c r="CH156" i="1" s="1"/>
  <c r="EU152" i="1"/>
  <c r="ES152" i="1" s="1"/>
  <c r="CH152" i="1" s="1"/>
  <c r="EU148" i="1"/>
  <c r="ES148" i="1" s="1"/>
  <c r="CH148" i="1" s="1"/>
  <c r="EU144" i="1"/>
  <c r="ES144" i="1" s="1"/>
  <c r="CH144" i="1" s="1"/>
  <c r="EU140" i="1"/>
  <c r="ES140" i="1" s="1"/>
  <c r="CH140" i="1" s="1"/>
  <c r="EU136" i="1"/>
  <c r="ES136" i="1" s="1"/>
  <c r="CH136" i="1" s="1"/>
  <c r="EU132" i="1"/>
  <c r="ES132" i="1" s="1"/>
  <c r="CH132" i="1" s="1"/>
  <c r="EU128" i="1"/>
  <c r="ES128" i="1" s="1"/>
  <c r="CH128" i="1" s="1"/>
  <c r="EU124" i="1"/>
  <c r="ES124" i="1" s="1"/>
  <c r="CH124" i="1" s="1"/>
  <c r="EU120" i="1"/>
  <c r="ES120" i="1" s="1"/>
  <c r="CH120" i="1" s="1"/>
  <c r="EU115" i="1"/>
  <c r="ES115" i="1" s="1"/>
  <c r="CH115" i="1" s="1"/>
  <c r="EU111" i="1"/>
  <c r="ES111" i="1" s="1"/>
  <c r="CH111" i="1" s="1"/>
  <c r="EU107" i="1"/>
  <c r="ES107" i="1" s="1"/>
  <c r="CH107" i="1" s="1"/>
  <c r="EU103" i="1"/>
  <c r="ES103" i="1" s="1"/>
  <c r="CH103" i="1" s="1"/>
  <c r="EU99" i="1"/>
  <c r="ES99" i="1" s="1"/>
  <c r="CH99" i="1" s="1"/>
  <c r="EU95" i="1"/>
  <c r="ES95" i="1" s="1"/>
  <c r="CH95" i="1" s="1"/>
  <c r="EU91" i="1"/>
  <c r="ES91" i="1" s="1"/>
  <c r="CH91" i="1" s="1"/>
  <c r="EU87" i="1"/>
  <c r="ES87" i="1" s="1"/>
  <c r="CH87" i="1" s="1"/>
  <c r="EU83" i="1"/>
  <c r="ES83" i="1" s="1"/>
  <c r="CH83" i="1" s="1"/>
  <c r="EU79" i="1"/>
  <c r="ES79" i="1" s="1"/>
  <c r="CH79" i="1" s="1"/>
  <c r="EU75" i="1"/>
  <c r="ES75" i="1" s="1"/>
  <c r="CH75" i="1" s="1"/>
  <c r="EU71" i="1"/>
  <c r="ES71" i="1" s="1"/>
  <c r="CH71" i="1" s="1"/>
  <c r="EU67" i="1"/>
  <c r="ES67" i="1" s="1"/>
  <c r="CH67" i="1" s="1"/>
  <c r="EU63" i="1"/>
  <c r="ES63" i="1" s="1"/>
  <c r="CH63" i="1" s="1"/>
  <c r="EU59" i="1"/>
  <c r="ES59" i="1" s="1"/>
  <c r="CH59" i="1" s="1"/>
  <c r="EU55" i="1"/>
  <c r="ES55" i="1" s="1"/>
  <c r="CH55" i="1" s="1"/>
  <c r="EU51" i="1"/>
  <c r="ES51" i="1" s="1"/>
  <c r="CH51" i="1" s="1"/>
  <c r="EU47" i="1"/>
  <c r="ES47" i="1" s="1"/>
  <c r="CH47" i="1" s="1"/>
  <c r="EU43" i="1"/>
  <c r="ES43" i="1" s="1"/>
  <c r="CH43" i="1" s="1"/>
  <c r="EU39" i="1"/>
  <c r="ES39" i="1" s="1"/>
  <c r="CH39" i="1" s="1"/>
  <c r="EU35" i="1"/>
  <c r="ES35" i="1" s="1"/>
  <c r="CH35" i="1" s="1"/>
  <c r="EU31" i="1"/>
  <c r="ES31" i="1" s="1"/>
  <c r="CH31" i="1" s="1"/>
  <c r="EU27" i="1"/>
  <c r="ES27" i="1" s="1"/>
  <c r="CH27" i="1" s="1"/>
  <c r="EU21" i="1"/>
  <c r="ES21" i="1" s="1"/>
  <c r="CH21" i="1" s="1"/>
  <c r="EU17" i="1"/>
  <c r="ES17" i="1" s="1"/>
  <c r="CH17" i="1" s="1"/>
  <c r="EU13" i="1"/>
  <c r="ES13" i="1" s="1"/>
  <c r="CH13" i="1" s="1"/>
  <c r="EU9" i="1"/>
  <c r="ES9" i="1" s="1"/>
  <c r="CH9" i="1" s="1"/>
  <c r="EU5" i="1"/>
  <c r="ES5" i="1" s="1"/>
  <c r="CH5" i="1" s="1"/>
  <c r="EU279" i="1"/>
  <c r="ES279" i="1" s="1"/>
  <c r="CH279" i="1" s="1"/>
  <c r="EU275" i="1"/>
  <c r="ES275" i="1" s="1"/>
  <c r="EU271" i="1"/>
  <c r="ES271" i="1" s="1"/>
  <c r="CH271" i="1" s="1"/>
  <c r="EU267" i="1"/>
  <c r="ES267" i="1" s="1"/>
  <c r="CH267" i="1" s="1"/>
  <c r="EU263" i="1"/>
  <c r="ES263" i="1" s="1"/>
  <c r="CH263" i="1" s="1"/>
  <c r="EU259" i="1"/>
  <c r="ES259" i="1" s="1"/>
  <c r="CH259" i="1" s="1"/>
  <c r="EU255" i="1"/>
  <c r="ES255" i="1" s="1"/>
  <c r="EU251" i="1"/>
  <c r="ES251" i="1" s="1"/>
  <c r="C65" i="15" s="1"/>
  <c r="EU247" i="1"/>
  <c r="ES247" i="1" s="1"/>
  <c r="EU243" i="1"/>
  <c r="ES243" i="1" s="1"/>
  <c r="CH243" i="1" s="1"/>
  <c r="EU239" i="1"/>
  <c r="ES239" i="1" s="1"/>
  <c r="CH239" i="1" s="1"/>
  <c r="EU235" i="1"/>
  <c r="ES235" i="1" s="1"/>
  <c r="CH235" i="1" s="1"/>
  <c r="EU231" i="1"/>
  <c r="ES231" i="1" s="1"/>
  <c r="CH231" i="1" s="1"/>
  <c r="EU227" i="1"/>
  <c r="ES227" i="1" s="1"/>
  <c r="EU223" i="1"/>
  <c r="ES223" i="1" s="1"/>
  <c r="CH223" i="1" s="1"/>
  <c r="EU219" i="1"/>
  <c r="ES219" i="1" s="1"/>
  <c r="CH219" i="1" s="1"/>
  <c r="EU215" i="1"/>
  <c r="ES215" i="1" s="1"/>
  <c r="CH215" i="1" s="1"/>
  <c r="EU211" i="1"/>
  <c r="ES211" i="1" s="1"/>
  <c r="CH211" i="1" s="1"/>
  <c r="EU207" i="1"/>
  <c r="ES207" i="1" s="1"/>
  <c r="CH207" i="1" s="1"/>
  <c r="EU203" i="1"/>
  <c r="ES203" i="1" s="1"/>
  <c r="EU199" i="1"/>
  <c r="ES199" i="1" s="1"/>
  <c r="CH199" i="1" s="1"/>
  <c r="EU195" i="1"/>
  <c r="ES195" i="1" s="1"/>
  <c r="CH195" i="1" s="1"/>
  <c r="EU191" i="1"/>
  <c r="ES191" i="1" s="1"/>
  <c r="CH191" i="1" s="1"/>
  <c r="EU187" i="1"/>
  <c r="ES187" i="1" s="1"/>
  <c r="CH187" i="1" s="1"/>
  <c r="EU183" i="1"/>
  <c r="ES183" i="1" s="1"/>
  <c r="CH183" i="1" s="1"/>
  <c r="EU179" i="1"/>
  <c r="ES179" i="1" s="1"/>
  <c r="CH179" i="1" s="1"/>
  <c r="EU175" i="1"/>
  <c r="ES175" i="1" s="1"/>
  <c r="CH175" i="1" s="1"/>
  <c r="EU171" i="1"/>
  <c r="ES171" i="1" s="1"/>
  <c r="CH171" i="1" s="1"/>
  <c r="EU167" i="1"/>
  <c r="ES167" i="1" s="1"/>
  <c r="CH167" i="1" s="1"/>
  <c r="EU163" i="1"/>
  <c r="ES163" i="1" s="1"/>
  <c r="CH163" i="1" s="1"/>
  <c r="EU159" i="1"/>
  <c r="ES159" i="1" s="1"/>
  <c r="CH159" i="1" s="1"/>
  <c r="EU155" i="1"/>
  <c r="ES155" i="1" s="1"/>
  <c r="CH155" i="1" s="1"/>
  <c r="EU151" i="1"/>
  <c r="ES151" i="1" s="1"/>
  <c r="CH151" i="1" s="1"/>
  <c r="EU147" i="1"/>
  <c r="ES147" i="1" s="1"/>
  <c r="CH147" i="1" s="1"/>
  <c r="EU143" i="1"/>
  <c r="ES143" i="1" s="1"/>
  <c r="CH143" i="1" s="1"/>
  <c r="EU139" i="1"/>
  <c r="ES139" i="1" s="1"/>
  <c r="CH139" i="1" s="1"/>
  <c r="EU135" i="1"/>
  <c r="ES135" i="1" s="1"/>
  <c r="CH135" i="1" s="1"/>
  <c r="EU131" i="1"/>
  <c r="ES131" i="1" s="1"/>
  <c r="CH131" i="1" s="1"/>
  <c r="EU127" i="1"/>
  <c r="ES127" i="1" s="1"/>
  <c r="CH127" i="1" s="1"/>
  <c r="EU123" i="1"/>
  <c r="ES123" i="1" s="1"/>
  <c r="CH123" i="1" s="1"/>
  <c r="EU119" i="1"/>
  <c r="ES119" i="1" s="1"/>
  <c r="CH119" i="1" s="1"/>
  <c r="EU114" i="1"/>
  <c r="ES114" i="1" s="1"/>
  <c r="CH114" i="1" s="1"/>
  <c r="EU110" i="1"/>
  <c r="ES110" i="1" s="1"/>
  <c r="CH110" i="1" s="1"/>
  <c r="EU106" i="1"/>
  <c r="ES106" i="1" s="1"/>
  <c r="CH106" i="1" s="1"/>
  <c r="EU102" i="1"/>
  <c r="ES102" i="1" s="1"/>
  <c r="CH102" i="1" s="1"/>
  <c r="EU98" i="1"/>
  <c r="ES98" i="1" s="1"/>
  <c r="CH98" i="1" s="1"/>
  <c r="EU94" i="1"/>
  <c r="ES94" i="1" s="1"/>
  <c r="CH94" i="1" s="1"/>
  <c r="EU90" i="1"/>
  <c r="ES90" i="1" s="1"/>
  <c r="CH90" i="1" s="1"/>
  <c r="EU86" i="1"/>
  <c r="ES86" i="1" s="1"/>
  <c r="CH86" i="1" s="1"/>
  <c r="EU82" i="1"/>
  <c r="ES82" i="1" s="1"/>
  <c r="CH82" i="1" s="1"/>
  <c r="EU78" i="1"/>
  <c r="ES78" i="1" s="1"/>
  <c r="CH78" i="1" s="1"/>
  <c r="EU74" i="1"/>
  <c r="ES74" i="1" s="1"/>
  <c r="CH74" i="1" s="1"/>
  <c r="EU70" i="1"/>
  <c r="ES70" i="1" s="1"/>
  <c r="CH70" i="1" s="1"/>
  <c r="EU66" i="1"/>
  <c r="ES66" i="1" s="1"/>
  <c r="CH66" i="1" s="1"/>
  <c r="EU62" i="1"/>
  <c r="ES62" i="1" s="1"/>
  <c r="CH62" i="1" s="1"/>
  <c r="EU58" i="1"/>
  <c r="ES58" i="1" s="1"/>
  <c r="CH58" i="1" s="1"/>
  <c r="EU54" i="1"/>
  <c r="ES54" i="1" s="1"/>
  <c r="CH54" i="1" s="1"/>
  <c r="EU50" i="1"/>
  <c r="ES50" i="1" s="1"/>
  <c r="CH50" i="1" s="1"/>
  <c r="EU46" i="1"/>
  <c r="ES46" i="1" s="1"/>
  <c r="CH46" i="1" s="1"/>
  <c r="EU42" i="1"/>
  <c r="ES42" i="1" s="1"/>
  <c r="CH42" i="1" s="1"/>
  <c r="EU38" i="1"/>
  <c r="ES38" i="1" s="1"/>
  <c r="CH38" i="1" s="1"/>
  <c r="EU34" i="1"/>
  <c r="ES34" i="1" s="1"/>
  <c r="CH34" i="1" s="1"/>
  <c r="EU30" i="1"/>
  <c r="ES30" i="1" s="1"/>
  <c r="CH30" i="1" s="1"/>
  <c r="EU26" i="1"/>
  <c r="ES26" i="1" s="1"/>
  <c r="EU20" i="1"/>
  <c r="ES20" i="1" s="1"/>
  <c r="CH20" i="1" s="1"/>
  <c r="EU16" i="1"/>
  <c r="ES16" i="1" s="1"/>
  <c r="CH16" i="1" s="1"/>
  <c r="EU12" i="1"/>
  <c r="ES12" i="1" s="1"/>
  <c r="CH12" i="1" s="1"/>
  <c r="EU8" i="1"/>
  <c r="ES8" i="1" s="1"/>
  <c r="CH8" i="1" s="1"/>
  <c r="EU278" i="1"/>
  <c r="ES278" i="1" s="1"/>
  <c r="EU274" i="1"/>
  <c r="ES274" i="1" s="1"/>
  <c r="EU270" i="1"/>
  <c r="ES270" i="1" s="1"/>
  <c r="CH270" i="1" s="1"/>
  <c r="EU266" i="1"/>
  <c r="ES266" i="1" s="1"/>
  <c r="CH266" i="1" s="1"/>
  <c r="EU262" i="1"/>
  <c r="ES262" i="1" s="1"/>
  <c r="EU258" i="1"/>
  <c r="ES258" i="1" s="1"/>
  <c r="CH258" i="1" s="1"/>
  <c r="EU254" i="1"/>
  <c r="ES254" i="1" s="1"/>
  <c r="CH254" i="1" s="1"/>
  <c r="EU250" i="1"/>
  <c r="ES250" i="1" s="1"/>
  <c r="EU246" i="1"/>
  <c r="ES246" i="1" s="1"/>
  <c r="CH246" i="1" s="1"/>
  <c r="EU242" i="1"/>
  <c r="ES242" i="1" s="1"/>
  <c r="CH242" i="1" s="1"/>
  <c r="EU238" i="1"/>
  <c r="ES238" i="1" s="1"/>
  <c r="CH238" i="1" s="1"/>
  <c r="EU234" i="1"/>
  <c r="ES234" i="1" s="1"/>
  <c r="CH234" i="1" s="1"/>
  <c r="EU230" i="1"/>
  <c r="ES230" i="1" s="1"/>
  <c r="CH230" i="1" s="1"/>
  <c r="EU226" i="1"/>
  <c r="ES226" i="1" s="1"/>
  <c r="EU222" i="1"/>
  <c r="ES222" i="1" s="1"/>
  <c r="CH222" i="1" s="1"/>
  <c r="EU218" i="1"/>
  <c r="ES218" i="1" s="1"/>
  <c r="CH218" i="1" s="1"/>
  <c r="EU214" i="1"/>
  <c r="ES214" i="1" s="1"/>
  <c r="CH214" i="1" s="1"/>
  <c r="EU210" i="1"/>
  <c r="ES210" i="1" s="1"/>
  <c r="CH210" i="1" s="1"/>
  <c r="EU206" i="1"/>
  <c r="ES206" i="1" s="1"/>
  <c r="CH206" i="1" s="1"/>
  <c r="EU202" i="1"/>
  <c r="ES202" i="1" s="1"/>
  <c r="EU198" i="1"/>
  <c r="ES198" i="1" s="1"/>
  <c r="CH198" i="1" s="1"/>
  <c r="EU194" i="1"/>
  <c r="ES194" i="1" s="1"/>
  <c r="CH194" i="1" s="1"/>
  <c r="EU190" i="1"/>
  <c r="ES190" i="1" s="1"/>
  <c r="CH190" i="1" s="1"/>
  <c r="EU186" i="1"/>
  <c r="ES186" i="1" s="1"/>
  <c r="CH186" i="1" s="1"/>
  <c r="EU182" i="1"/>
  <c r="ES182" i="1" s="1"/>
  <c r="CH182" i="1" s="1"/>
  <c r="EU178" i="1"/>
  <c r="ES178" i="1" s="1"/>
  <c r="CH178" i="1" s="1"/>
  <c r="EU174" i="1"/>
  <c r="ES174" i="1" s="1"/>
  <c r="CH174" i="1" s="1"/>
  <c r="EU170" i="1"/>
  <c r="ES170" i="1" s="1"/>
  <c r="CH170" i="1" s="1"/>
  <c r="EU166" i="1"/>
  <c r="ES166" i="1" s="1"/>
  <c r="CH166" i="1" s="1"/>
  <c r="EU162" i="1"/>
  <c r="ES162" i="1" s="1"/>
  <c r="CH162" i="1" s="1"/>
  <c r="EU158" i="1"/>
  <c r="ES158" i="1" s="1"/>
  <c r="CH158" i="1" s="1"/>
  <c r="EU154" i="1"/>
  <c r="ES154" i="1" s="1"/>
  <c r="CH154" i="1" s="1"/>
  <c r="EU150" i="1"/>
  <c r="ES150" i="1" s="1"/>
  <c r="CH150" i="1" s="1"/>
  <c r="EU146" i="1"/>
  <c r="ES146" i="1" s="1"/>
  <c r="CH146" i="1" s="1"/>
  <c r="EU142" i="1"/>
  <c r="ES142" i="1" s="1"/>
  <c r="CH142" i="1" s="1"/>
  <c r="EU138" i="1"/>
  <c r="ES138" i="1" s="1"/>
  <c r="CH138" i="1" s="1"/>
  <c r="EU134" i="1"/>
  <c r="ES134" i="1" s="1"/>
  <c r="CH134" i="1" s="1"/>
  <c r="EU130" i="1"/>
  <c r="ES130" i="1" s="1"/>
  <c r="CH130" i="1" s="1"/>
  <c r="EU126" i="1"/>
  <c r="ES126" i="1" s="1"/>
  <c r="CH126" i="1" s="1"/>
  <c r="EU122" i="1"/>
  <c r="ES122" i="1" s="1"/>
  <c r="CH122" i="1" s="1"/>
  <c r="EU118" i="1"/>
  <c r="ES118" i="1" s="1"/>
  <c r="CH118" i="1" s="1"/>
  <c r="EU113" i="1"/>
  <c r="ES113" i="1" s="1"/>
  <c r="CH113" i="1" s="1"/>
  <c r="EU109" i="1"/>
  <c r="ES109" i="1" s="1"/>
  <c r="CH109" i="1" s="1"/>
  <c r="EU105" i="1"/>
  <c r="ES105" i="1" s="1"/>
  <c r="CH105" i="1" s="1"/>
  <c r="EU101" i="1"/>
  <c r="ES101" i="1" s="1"/>
  <c r="CH101" i="1" s="1"/>
  <c r="EU97" i="1"/>
  <c r="ES97" i="1" s="1"/>
  <c r="CH97" i="1" s="1"/>
  <c r="EU93" i="1"/>
  <c r="ES93" i="1" s="1"/>
  <c r="CH93" i="1" s="1"/>
  <c r="EU89" i="1"/>
  <c r="ES89" i="1" s="1"/>
  <c r="CH89" i="1" s="1"/>
  <c r="EU85" i="1"/>
  <c r="ES85" i="1" s="1"/>
  <c r="CH85" i="1" s="1"/>
  <c r="EU81" i="1"/>
  <c r="ES81" i="1" s="1"/>
  <c r="CH81" i="1" s="1"/>
  <c r="EU77" i="1"/>
  <c r="ES77" i="1" s="1"/>
  <c r="CH77" i="1" s="1"/>
  <c r="EU73" i="1"/>
  <c r="ES73" i="1" s="1"/>
  <c r="CH73" i="1" s="1"/>
  <c r="EU69" i="1"/>
  <c r="ES69" i="1" s="1"/>
  <c r="CH69" i="1" s="1"/>
  <c r="EU65" i="1"/>
  <c r="ES65" i="1" s="1"/>
  <c r="CH65" i="1" s="1"/>
  <c r="EU61" i="1"/>
  <c r="ES61" i="1" s="1"/>
  <c r="CH61" i="1" s="1"/>
  <c r="EU57" i="1"/>
  <c r="ES57" i="1" s="1"/>
  <c r="CH57" i="1" s="1"/>
  <c r="EU53" i="1"/>
  <c r="ES53" i="1" s="1"/>
  <c r="CH53" i="1" s="1"/>
  <c r="EU49" i="1"/>
  <c r="ES49" i="1" s="1"/>
  <c r="CH49" i="1" s="1"/>
  <c r="EU45" i="1"/>
  <c r="ES45" i="1" s="1"/>
  <c r="CH45" i="1" s="1"/>
  <c r="EU41" i="1"/>
  <c r="ES41" i="1" s="1"/>
  <c r="CH41" i="1" s="1"/>
  <c r="EU37" i="1"/>
  <c r="ES37" i="1" s="1"/>
  <c r="CH37" i="1" s="1"/>
  <c r="EU33" i="1"/>
  <c r="ES33" i="1" s="1"/>
  <c r="CH33" i="1" s="1"/>
  <c r="EU29" i="1"/>
  <c r="ES29" i="1" s="1"/>
  <c r="CH29" i="1" s="1"/>
  <c r="EU23" i="1"/>
  <c r="ES23" i="1" s="1"/>
  <c r="CH23" i="1" s="1"/>
  <c r="EU19" i="1"/>
  <c r="ES19" i="1" s="1"/>
  <c r="CH19" i="1" s="1"/>
  <c r="EU15" i="1"/>
  <c r="ES15" i="1" s="1"/>
  <c r="CH15" i="1" s="1"/>
  <c r="EU11" i="1"/>
  <c r="ES11" i="1" s="1"/>
  <c r="CH11" i="1" s="1"/>
  <c r="EU7" i="1"/>
  <c r="ES7" i="1" s="1"/>
  <c r="CH7" i="1" s="1"/>
  <c r="EU277" i="1"/>
  <c r="ES277" i="1" s="1"/>
  <c r="CH277" i="1" s="1"/>
  <c r="EU273" i="1"/>
  <c r="ES273" i="1" s="1"/>
  <c r="EU269" i="1"/>
  <c r="ES269" i="1" s="1"/>
  <c r="CH269" i="1" s="1"/>
  <c r="EU265" i="1"/>
  <c r="ES265" i="1" s="1"/>
  <c r="CH265" i="1" s="1"/>
  <c r="EU261" i="1"/>
  <c r="ES261" i="1" s="1"/>
  <c r="CH261" i="1" s="1"/>
  <c r="EU257" i="1"/>
  <c r="ES257" i="1" s="1"/>
  <c r="CH257" i="1" s="1"/>
  <c r="EU253" i="1"/>
  <c r="ES253" i="1" s="1"/>
  <c r="EU249" i="1"/>
  <c r="ES249" i="1" s="1"/>
  <c r="EU245" i="1"/>
  <c r="ES245" i="1" s="1"/>
  <c r="CH245" i="1" s="1"/>
  <c r="EU241" i="1"/>
  <c r="ES241" i="1" s="1"/>
  <c r="CH241" i="1" s="1"/>
  <c r="EU237" i="1"/>
  <c r="ES237" i="1" s="1"/>
  <c r="CH237" i="1" s="1"/>
  <c r="EU233" i="1"/>
  <c r="ES233" i="1" s="1"/>
  <c r="CH233" i="1" s="1"/>
  <c r="EU229" i="1"/>
  <c r="ES229" i="1" s="1"/>
  <c r="CH229" i="1" s="1"/>
  <c r="EU225" i="1"/>
  <c r="ES225" i="1" s="1"/>
  <c r="EU221" i="1"/>
  <c r="ES221" i="1" s="1"/>
  <c r="CH221" i="1" s="1"/>
  <c r="EU217" i="1"/>
  <c r="ES217" i="1" s="1"/>
  <c r="CH217" i="1" s="1"/>
  <c r="EU213" i="1"/>
  <c r="ES213" i="1" s="1"/>
  <c r="CH213" i="1" s="1"/>
  <c r="EU209" i="1"/>
  <c r="ES209" i="1" s="1"/>
  <c r="CH209" i="1" s="1"/>
  <c r="EU205" i="1"/>
  <c r="ES205" i="1" s="1"/>
  <c r="CH205" i="1" s="1"/>
  <c r="EU201" i="1"/>
  <c r="ES201" i="1" s="1"/>
  <c r="CH201" i="1" s="1"/>
  <c r="EU197" i="1"/>
  <c r="ES197" i="1" s="1"/>
  <c r="CH197" i="1" s="1"/>
  <c r="EU193" i="1"/>
  <c r="ES193" i="1" s="1"/>
  <c r="CH193" i="1" s="1"/>
  <c r="EU189" i="1"/>
  <c r="ES189" i="1" s="1"/>
  <c r="CH189" i="1" s="1"/>
  <c r="EU185" i="1"/>
  <c r="ES185" i="1" s="1"/>
  <c r="CH185" i="1" s="1"/>
  <c r="EU181" i="1"/>
  <c r="ES181" i="1" s="1"/>
  <c r="CH181" i="1" s="1"/>
  <c r="EU177" i="1"/>
  <c r="ES177" i="1" s="1"/>
  <c r="CH177" i="1" s="1"/>
  <c r="EU173" i="1"/>
  <c r="ES173" i="1" s="1"/>
  <c r="CH173" i="1" s="1"/>
  <c r="EU169" i="1"/>
  <c r="ES169" i="1" s="1"/>
  <c r="CH169" i="1" s="1"/>
  <c r="EU165" i="1"/>
  <c r="ES165" i="1" s="1"/>
  <c r="CH165" i="1" s="1"/>
  <c r="EU161" i="1"/>
  <c r="ES161" i="1" s="1"/>
  <c r="CH161" i="1" s="1"/>
  <c r="EU157" i="1"/>
  <c r="ES157" i="1" s="1"/>
  <c r="CH157" i="1" s="1"/>
  <c r="EU153" i="1"/>
  <c r="ES153" i="1" s="1"/>
  <c r="CH153" i="1" s="1"/>
  <c r="EU149" i="1"/>
  <c r="ES149" i="1" s="1"/>
  <c r="CH149" i="1" s="1"/>
  <c r="EU145" i="1"/>
  <c r="ES145" i="1" s="1"/>
  <c r="CH145" i="1" s="1"/>
  <c r="EU141" i="1"/>
  <c r="ES141" i="1" s="1"/>
  <c r="EU137" i="1"/>
  <c r="ES137" i="1" s="1"/>
  <c r="CH137" i="1" s="1"/>
  <c r="EU133" i="1"/>
  <c r="ES133" i="1" s="1"/>
  <c r="CH133" i="1" s="1"/>
  <c r="EU129" i="1"/>
  <c r="ES129" i="1" s="1"/>
  <c r="CH129" i="1" s="1"/>
  <c r="EU125" i="1"/>
  <c r="ES125" i="1" s="1"/>
  <c r="CH125" i="1" s="1"/>
  <c r="EU121" i="1"/>
  <c r="ES121" i="1" s="1"/>
  <c r="CH121" i="1" s="1"/>
  <c r="EU117" i="1"/>
  <c r="ES117" i="1" s="1"/>
  <c r="CH117" i="1" s="1"/>
  <c r="EU112" i="1"/>
  <c r="ES112" i="1" s="1"/>
  <c r="CH112" i="1" s="1"/>
  <c r="EU108" i="1"/>
  <c r="ES108" i="1" s="1"/>
  <c r="EU104" i="1"/>
  <c r="ES104" i="1" s="1"/>
  <c r="CH104" i="1" s="1"/>
  <c r="EU100" i="1"/>
  <c r="ES100" i="1" s="1"/>
  <c r="CH100" i="1" s="1"/>
  <c r="EU96" i="1"/>
  <c r="ES96" i="1" s="1"/>
  <c r="CH96" i="1" s="1"/>
  <c r="EU92" i="1"/>
  <c r="ES92" i="1" s="1"/>
  <c r="CH92" i="1" s="1"/>
  <c r="EU88" i="1"/>
  <c r="ES88" i="1" s="1"/>
  <c r="CH88" i="1" s="1"/>
  <c r="EU84" i="1"/>
  <c r="ES84" i="1" s="1"/>
  <c r="CH84" i="1" s="1"/>
  <c r="EU80" i="1"/>
  <c r="ES80" i="1" s="1"/>
  <c r="CH80" i="1" s="1"/>
  <c r="EU76" i="1"/>
  <c r="ES76" i="1" s="1"/>
  <c r="CH76" i="1" s="1"/>
  <c r="EU72" i="1"/>
  <c r="ES72" i="1" s="1"/>
  <c r="CH72" i="1" s="1"/>
  <c r="EU68" i="1"/>
  <c r="ES68" i="1" s="1"/>
  <c r="CH68" i="1" s="1"/>
  <c r="EU64" i="1"/>
  <c r="ES64" i="1" s="1"/>
  <c r="CH64" i="1" s="1"/>
  <c r="EU60" i="1"/>
  <c r="ES60" i="1" s="1"/>
  <c r="CH60" i="1" s="1"/>
  <c r="EU56" i="1"/>
  <c r="ES56" i="1" s="1"/>
  <c r="CH56" i="1" s="1"/>
  <c r="EU52" i="1"/>
  <c r="ES52" i="1" s="1"/>
  <c r="CH52" i="1" s="1"/>
  <c r="EU48" i="1"/>
  <c r="ES48" i="1" s="1"/>
  <c r="CH48" i="1" s="1"/>
  <c r="EU44" i="1"/>
  <c r="ES44" i="1" s="1"/>
  <c r="CH44" i="1" s="1"/>
  <c r="EU40" i="1"/>
  <c r="ES40" i="1" s="1"/>
  <c r="CH40" i="1" s="1"/>
  <c r="EU36" i="1"/>
  <c r="ES36" i="1" s="1"/>
  <c r="CH36" i="1" s="1"/>
  <c r="EU32" i="1"/>
  <c r="ES32" i="1" s="1"/>
  <c r="CH32" i="1" s="1"/>
  <c r="EU28" i="1"/>
  <c r="ES28" i="1" s="1"/>
  <c r="EU22" i="1"/>
  <c r="ES22" i="1" s="1"/>
  <c r="CH22" i="1" s="1"/>
  <c r="EU18" i="1"/>
  <c r="ES18" i="1" s="1"/>
  <c r="CH18" i="1" s="1"/>
  <c r="EU14" i="1"/>
  <c r="ES14" i="1" s="1"/>
  <c r="CH14" i="1" s="1"/>
  <c r="EU10" i="1"/>
  <c r="ES10" i="1" s="1"/>
  <c r="CH10" i="1" s="1"/>
  <c r="EU6" i="1"/>
  <c r="ES6" i="1" s="1"/>
  <c r="CH6" i="1" s="1"/>
  <c r="AQ269" i="1"/>
  <c r="D64" i="15" l="1"/>
  <c r="C13" i="15"/>
  <c r="D13" i="15" s="1"/>
  <c r="CH272" i="1"/>
  <c r="DM281" i="1"/>
  <c r="CH273" i="1"/>
  <c r="CH202" i="1"/>
  <c r="CH253" i="1"/>
  <c r="CH262" i="1"/>
  <c r="CH226" i="1"/>
  <c r="CH26" i="1"/>
  <c r="CH225" i="1"/>
  <c r="CH250" i="1"/>
  <c r="CH203" i="1"/>
  <c r="CH255" i="1"/>
  <c r="CH278" i="1"/>
  <c r="CH108" i="1"/>
  <c r="CH274" i="1"/>
  <c r="CH141" i="1"/>
  <c r="CH251" i="1"/>
  <c r="CH28" i="1"/>
  <c r="CH227" i="1"/>
  <c r="CH264" i="1"/>
  <c r="CH275" i="1"/>
  <c r="CH249" i="1"/>
  <c r="CH247" i="1"/>
  <c r="ES281" i="1"/>
  <c r="EU281" i="1"/>
  <c r="CI281" i="1"/>
  <c r="F32" i="3"/>
  <c r="E32" i="3"/>
  <c r="D32" i="3"/>
  <c r="C32" i="3"/>
  <c r="F30" i="3"/>
  <c r="E30" i="3"/>
  <c r="D30" i="3"/>
  <c r="C30" i="3"/>
  <c r="F29" i="3"/>
  <c r="E29" i="3"/>
  <c r="D29" i="3"/>
  <c r="C29" i="3"/>
  <c r="F28" i="3"/>
  <c r="E28" i="3"/>
  <c r="D28" i="3"/>
  <c r="C28" i="3"/>
  <c r="E27" i="3"/>
  <c r="E26" i="3"/>
  <c r="D26" i="3"/>
  <c r="C26" i="3"/>
  <c r="F25" i="3"/>
  <c r="F18" i="3" s="1"/>
  <c r="E25" i="3"/>
  <c r="D25" i="3"/>
  <c r="C25" i="3"/>
  <c r="C24" i="3"/>
  <c r="F23" i="3"/>
  <c r="E23" i="3"/>
  <c r="D23" i="3"/>
  <c r="C23" i="3"/>
  <c r="F22" i="3"/>
  <c r="E22" i="3"/>
  <c r="D22" i="3"/>
  <c r="C22" i="3"/>
  <c r="F20" i="3"/>
  <c r="E20" i="3"/>
  <c r="D20" i="3"/>
  <c r="D18" i="3" s="1"/>
  <c r="C20" i="3"/>
  <c r="C18" i="3" s="1"/>
  <c r="E19" i="3"/>
  <c r="C19" i="3"/>
  <c r="E18" i="3"/>
  <c r="F17" i="3"/>
  <c r="E17" i="3"/>
  <c r="D17" i="3"/>
  <c r="C17" i="3"/>
  <c r="F16" i="3"/>
  <c r="E16" i="3"/>
  <c r="D16" i="3"/>
  <c r="C16" i="3"/>
  <c r="F14" i="3"/>
  <c r="E14" i="3"/>
  <c r="D14" i="3"/>
  <c r="C14" i="3"/>
  <c r="F13" i="3"/>
  <c r="E13" i="3"/>
  <c r="D13" i="3"/>
  <c r="C13" i="3"/>
  <c r="F12" i="3"/>
  <c r="E12" i="3"/>
  <c r="D12" i="3"/>
  <c r="C12" i="3"/>
  <c r="F11" i="3"/>
  <c r="F5" i="3" s="1"/>
  <c r="E11" i="3"/>
  <c r="D11" i="3"/>
  <c r="C11" i="3"/>
  <c r="E10" i="3"/>
  <c r="D10" i="3"/>
  <c r="C10" i="3"/>
  <c r="F9" i="3"/>
  <c r="E9" i="3"/>
  <c r="D9" i="3"/>
  <c r="C9" i="3"/>
  <c r="F8" i="3"/>
  <c r="E8" i="3"/>
  <c r="D8" i="3"/>
  <c r="D5" i="3" s="1"/>
  <c r="C8" i="3"/>
  <c r="E7" i="3"/>
  <c r="D7" i="3"/>
  <c r="C7" i="3"/>
  <c r="F6" i="3"/>
  <c r="E6" i="3"/>
  <c r="D6" i="3"/>
  <c r="C6" i="3"/>
  <c r="C5" i="3" s="1"/>
  <c r="CH281" i="1" l="1"/>
  <c r="CH283" i="1" s="1"/>
  <c r="E5" i="3"/>
</calcChain>
</file>

<file path=xl/comments1.xml><?xml version="1.0" encoding="utf-8"?>
<comments xmlns="http://schemas.openxmlformats.org/spreadsheetml/2006/main">
  <authors>
    <author>Автор</author>
  </authors>
  <commentList>
    <comment ref="H2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исключаем -1,59руб. -1,2руб. (60%)</t>
        </r>
      </text>
    </comment>
    <comment ref="H2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исключаем -1,59руб. -1,2руб. (60%)</t>
        </r>
      </text>
    </comment>
    <comment ref="H2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исключаем -1,59руб. -1,2руб. (60%)</t>
        </r>
      </text>
    </comment>
  </commentList>
</comments>
</file>

<file path=xl/sharedStrings.xml><?xml version="1.0" encoding="utf-8"?>
<sst xmlns="http://schemas.openxmlformats.org/spreadsheetml/2006/main" count="23889" uniqueCount="1857">
  <si>
    <t>№ п/п</t>
  </si>
  <si>
    <t>Адрес</t>
  </si>
  <si>
    <t>Общая площадь МКД, м2</t>
  </si>
  <si>
    <t>в т.ч.</t>
  </si>
  <si>
    <t>Площадь МОП, м2</t>
  </si>
  <si>
    <t>ЖЭУ</t>
  </si>
  <si>
    <t>Вид благоустройства</t>
  </si>
  <si>
    <t>Размер платы утв.</t>
  </si>
  <si>
    <t>Размер платы на содержание ж/ф, руб./м2</t>
  </si>
  <si>
    <t>Тарифы 1пг 2024</t>
  </si>
  <si>
    <t>Плановые расходы на содержание и текущий ремонт общего имущества на 1пг. 2024г.</t>
  </si>
  <si>
    <t>План на 2025 год</t>
  </si>
  <si>
    <t>площадь жилых помещений, м2</t>
  </si>
  <si>
    <t>площадь нежилых помещений, м2</t>
  </si>
  <si>
    <t>Текущий ремонт ОИ МКД</t>
  </si>
  <si>
    <t>Содержание ОИ МКД</t>
  </si>
  <si>
    <t>Работы по управлению МКД</t>
  </si>
  <si>
    <t>Уборка придомовой территории</t>
  </si>
  <si>
    <t>Уборка лестничных клеток</t>
  </si>
  <si>
    <t>Обслуживание МП</t>
  </si>
  <si>
    <t>Обслуживание и содержание лифтов</t>
  </si>
  <si>
    <t>Обслуживание газового хозяйства</t>
  </si>
  <si>
    <t>Холодное в/с</t>
  </si>
  <si>
    <t>Горячее в/с</t>
  </si>
  <si>
    <t>Водоотведение</t>
  </si>
  <si>
    <t>Отопление</t>
  </si>
  <si>
    <t>Газоснабжение</t>
  </si>
  <si>
    <t>Электроснабжение</t>
  </si>
  <si>
    <t>Обращение с ТКО</t>
  </si>
  <si>
    <t>Взнос на капремонт</t>
  </si>
  <si>
    <t>Текущий ремонт общего имущества МКД</t>
  </si>
  <si>
    <t>Содержание общего имущества МКД</t>
  </si>
  <si>
    <t>Диспетчерская служба</t>
  </si>
  <si>
    <t>Услуги паспортного стола (МФЦ)</t>
  </si>
  <si>
    <t>Услуги расчётного центра</t>
  </si>
  <si>
    <t>Уборка мест общего пользования МКД</t>
  </si>
  <si>
    <t>Обслуживание мусоропроводов</t>
  </si>
  <si>
    <t>Обслуживание и содержание лифтового хозяйства</t>
  </si>
  <si>
    <t>Обслуживание систем ЛДСС</t>
  </si>
  <si>
    <t>Обслуживание ВДГО</t>
  </si>
  <si>
    <t>носитель</t>
  </si>
  <si>
    <t>энергия</t>
  </si>
  <si>
    <t>стоимость за 1м3</t>
  </si>
  <si>
    <t>газ</t>
  </si>
  <si>
    <t>отопление</t>
  </si>
  <si>
    <t>руб./м3</t>
  </si>
  <si>
    <t>руб./Гкал</t>
  </si>
  <si>
    <t>руб./м3 ГВС</t>
  </si>
  <si>
    <t>руб./кВт*ч</t>
  </si>
  <si>
    <t>руб./м2</t>
  </si>
  <si>
    <t>г.Одинцово, 1-я Вокзальная, 46</t>
  </si>
  <si>
    <t>ЖЭУ-6,7</t>
  </si>
  <si>
    <t>СД</t>
  </si>
  <si>
    <t>г.Одинцово, 1-я Вокзальная, 50</t>
  </si>
  <si>
    <t>г.Одинцово, 1-я Вокзальная, 52</t>
  </si>
  <si>
    <t>г.Одинцово, Баковская, 2</t>
  </si>
  <si>
    <t>г.Одинцово, Баковская, 4</t>
  </si>
  <si>
    <t>г.Одинцово, Баковская, 8</t>
  </si>
  <si>
    <t>г.Одинцово, БЗРИ, 1</t>
  </si>
  <si>
    <t>г.Одинцово, БЗРИ, 2</t>
  </si>
  <si>
    <t>г.Одинцово, БЗРИ, 4</t>
  </si>
  <si>
    <t>г.Одинцово, БЗРИ, 5</t>
  </si>
  <si>
    <t>г.Одинцово, БЗРИ, 6</t>
  </si>
  <si>
    <t>г.Одинцово, БЗРИ, 7</t>
  </si>
  <si>
    <t>г.Одинцово, БЗРИ, 8</t>
  </si>
  <si>
    <t>г.Одинцово, Буденовское шоссе, 9</t>
  </si>
  <si>
    <t>ЖЭУ-13</t>
  </si>
  <si>
    <t>x</t>
  </si>
  <si>
    <t>г.Одинцово, Буденовское шоссе, 11</t>
  </si>
  <si>
    <t>г.Одинцово, бульвар маршала Крылова, 1</t>
  </si>
  <si>
    <t>ЖЭУ-5</t>
  </si>
  <si>
    <t>г.Одинцово, бульвар маршала Крылова, 3</t>
  </si>
  <si>
    <t>г.Одинцово, бульвар маршала Крылова, 27</t>
  </si>
  <si>
    <t>г.Одинцово, Верхне-Пролетарская, 1 корп.2</t>
  </si>
  <si>
    <t>ЖЭУ-8</t>
  </si>
  <si>
    <t>ОСС</t>
  </si>
  <si>
    <t>г.Одинцово, Верхне-Пролетарская, 3 к.1</t>
  </si>
  <si>
    <t>г.Одинцово, Верхне-Пролетарская, 3 к.2</t>
  </si>
  <si>
    <t>г.Одинцово, Верхне-Пролетарская, 29</t>
  </si>
  <si>
    <t>г.Одинцово, Верхне-Пролетарская, 31</t>
  </si>
  <si>
    <t>г.Одинцово, Верхне-Пролетарская, 33</t>
  </si>
  <si>
    <t>неблагоустройка</t>
  </si>
  <si>
    <t>Умен.</t>
  </si>
  <si>
    <t>г.Одинцово, Верхне-Пролетарская, 37</t>
  </si>
  <si>
    <t>г.Одинцово, Вокзальная, 7</t>
  </si>
  <si>
    <t>г.Одинцово, Вокзальная, 9</t>
  </si>
  <si>
    <t>г.Одинцово, Вокзальная, 11</t>
  </si>
  <si>
    <t>г.Одинцово, Вокзальная, 13</t>
  </si>
  <si>
    <t>г.Одинцово, Вокзальная, 17</t>
  </si>
  <si>
    <t>г.Одинцово, Вокзальная, 51</t>
  </si>
  <si>
    <t>г.Одинцово, Вокзальная, 69</t>
  </si>
  <si>
    <t>г.Одинцово, Глазынинская, 2</t>
  </si>
  <si>
    <t>г.Одинцово, Глазынинская, 4</t>
  </si>
  <si>
    <t>г.Одинцово, Глазынинская, 10</t>
  </si>
  <si>
    <t>г.Одинцово, Глазынинская, 12</t>
  </si>
  <si>
    <t>г.Одинцово, Глазынинская, 14</t>
  </si>
  <si>
    <t>г.Одинцово, Глазынинская, 20</t>
  </si>
  <si>
    <t>г.Одинцово, Глазынинская, 22</t>
  </si>
  <si>
    <t>г.Одинцово, Глазынинская, 24</t>
  </si>
  <si>
    <t>г.Одинцово, Говорова, 8 корпус 1</t>
  </si>
  <si>
    <t>г.Одинцово, Говорова, 8 корпус 2</t>
  </si>
  <si>
    <t>г.Одинцово, Говорова, 38</t>
  </si>
  <si>
    <t>г.Одинцово, Говорова, 40</t>
  </si>
  <si>
    <t>г.Одинцово, Комсомольская, 2</t>
  </si>
  <si>
    <t>г.Одинцово, Комсомольская, 4</t>
  </si>
  <si>
    <t>г.Одинцово, Комсомольская, 6</t>
  </si>
  <si>
    <t>г.Одинцово, Комсомольская, 7</t>
  </si>
  <si>
    <t>г.Одинцово, Комсомольская, 7а</t>
  </si>
  <si>
    <t>г.Одинцово, Комсомольская, 9</t>
  </si>
  <si>
    <t>г.Одинцово, Красногорское шоссе, 4</t>
  </si>
  <si>
    <t>г.Одинцово, Любы Новоселовой бульвар, 1 к.1</t>
  </si>
  <si>
    <t>ЖЭУ-3</t>
  </si>
  <si>
    <t>г.Одинцово, Любы Новоселовой бульвар, 1 к.2</t>
  </si>
  <si>
    <t>г.Одинцово, Любы Новоселовой бульвар, 2 корп.1</t>
  </si>
  <si>
    <t>ЖЭУ-1,2</t>
  </si>
  <si>
    <t>г.Одинцово, Любы Новоселовой бульвар, 2 корп.2</t>
  </si>
  <si>
    <t>г.Одинцово, Любы Новоселовой бульвар, 2А</t>
  </si>
  <si>
    <t>г.Одинцово, Любы Новоселовой бульвар, 4 корп.1</t>
  </si>
  <si>
    <t>г.Одинцово, Любы Новоселовой бульвар, 4 корп.2</t>
  </si>
  <si>
    <t>г.Одинцово, Любы Новоселовой бульвар, 4А</t>
  </si>
  <si>
    <t>г.Одинцово, Любы Новоселовой бульвар, 9 к.1</t>
  </si>
  <si>
    <t>г.Одинцово, Любы Новоселовой бульвар, 9 к.2</t>
  </si>
  <si>
    <t>г.Одинцово, Любы Новоселовой бульвар, 10 к.1</t>
  </si>
  <si>
    <t>г.Одинцово, Любы Новоселовой бульвар, 10 к.2</t>
  </si>
  <si>
    <t>г.Одинцово, Любы Новоселовой бульвар, 10 А</t>
  </si>
  <si>
    <t>г.Одинцово, Любы Новоселовой бульвар, 11 к.1</t>
  </si>
  <si>
    <t>г.Одинцово, Любы Новоселовой бульвар, 11 к.2</t>
  </si>
  <si>
    <t>г.Одинцово, Любы Новоселовой бульвар, 12</t>
  </si>
  <si>
    <t>г.Одинцово, Любы Новоселовой бульвар, 12 корп.А</t>
  </si>
  <si>
    <t>г.Одинцово, Любы Новоселовой бульвар, 13</t>
  </si>
  <si>
    <t>г.Одинцово, Любы Новоселовой бульвар, 15</t>
  </si>
  <si>
    <t>г.Одинцово, Маршала Бирюзова, 2</t>
  </si>
  <si>
    <t>г.Одинцово, Маршала Бирюзова, 2а</t>
  </si>
  <si>
    <t>г.Одинцово, Маршала Бирюзова, 4</t>
  </si>
  <si>
    <t>г.Одинцово, Маршала Бирюзова, 6</t>
  </si>
  <si>
    <t>г.Одинцово, Маршала Бирюзова, 8</t>
  </si>
  <si>
    <t>г.Одинцово, Маршала Бирюзова, 10 к.1</t>
  </si>
  <si>
    <t>г.Одинцово, Маршала Бирюзова, 10 к.2</t>
  </si>
  <si>
    <t>г.Одинцово, Маршала Бирюзова, 12</t>
  </si>
  <si>
    <t>г.Одинцово, Маршала Бирюзова, 14</t>
  </si>
  <si>
    <t>г.Одинцово, Маршала Бирюзова, 16</t>
  </si>
  <si>
    <t>г.Одинцово, Маршала Бирюзова, 18</t>
  </si>
  <si>
    <t>г.Одинцово, Маршала Бирюзова, 20</t>
  </si>
  <si>
    <t>г.Одинцово, Маршала Бирюзова, 24 корп.1</t>
  </si>
  <si>
    <t>г.Одинцово, Маршала Бирюзова, 24 корп.2</t>
  </si>
  <si>
    <t>г.Одинцово, Маршала Бирюзова, 26</t>
  </si>
  <si>
    <t>г.Одинцово, Маршала Бирюзова, 28</t>
  </si>
  <si>
    <t>г.Одинцово, Маршала Бирюзова, 30 корп.А</t>
  </si>
  <si>
    <t>г.Одинцово, Маршала Бирюзова, 30 корп.Б</t>
  </si>
  <si>
    <t>г.Одинцово, Маршала Жукова, 1 А</t>
  </si>
  <si>
    <t>г.Одинцово, Маршала Жукова, 4</t>
  </si>
  <si>
    <t>г.Одинцово, Маршала Жукова, 7 к.1</t>
  </si>
  <si>
    <t>г.Одинцово, Маршала Жукова, 7 к.2</t>
  </si>
  <si>
    <t>г.Одинцово, Маршала Жукова, 10</t>
  </si>
  <si>
    <t>г.Одинцово, Маршала Жукова, 12</t>
  </si>
  <si>
    <t>г.Одинцово, Маршала Жукова, 13</t>
  </si>
  <si>
    <t>г.Одинцово, Маршала Жукова, 14</t>
  </si>
  <si>
    <t>г.Одинцово, Маршала Жукова, 15</t>
  </si>
  <si>
    <t>г.Одинцово, Маршала Жукова, 16</t>
  </si>
  <si>
    <t>г.Одинцово, Маршала Жукова, 17</t>
  </si>
  <si>
    <t>г.Одинцово, Маршала Жукова, 19</t>
  </si>
  <si>
    <t>г.Одинцово, Маршала Жукова, 21</t>
  </si>
  <si>
    <t>г.Одинцово, Маршала Жукова, 25 к.1</t>
  </si>
  <si>
    <t>г.Одинцово, Маршала Жукова, 25 к.2</t>
  </si>
  <si>
    <t>г.Одинцово, Маршала Жукова, 27 к.1</t>
  </si>
  <si>
    <t>г.Одинцово, Маршала Жукова, 27 к.2</t>
  </si>
  <si>
    <t>г.Одинцово, Маршала Жукова, 29</t>
  </si>
  <si>
    <t>г.Одинцово, Маршала Жукова, 33</t>
  </si>
  <si>
    <t>г.Одинцово, Маршала Жукова, 35</t>
  </si>
  <si>
    <t>г.Одинцово, Маршала Жукова, 37</t>
  </si>
  <si>
    <t>г.Одинцово, Маршала Жукова, 41</t>
  </si>
  <si>
    <t>г.Одинцово, Маршала Жукова, 43</t>
  </si>
  <si>
    <t>г.Одинцово, Маршала Жукова, 45</t>
  </si>
  <si>
    <t>г.Одинцово, Маршала Жукова, 47</t>
  </si>
  <si>
    <t>г.Одинцово, Маршала Жукова, 49</t>
  </si>
  <si>
    <t>г.Одинцово, Можайское шоссе, 15</t>
  </si>
  <si>
    <t>г.Одинцово, Можайское шоссе, 23</t>
  </si>
  <si>
    <t>г.Одинцово, Можайское шоссе, 25</t>
  </si>
  <si>
    <t>г.Одинцово, Можайское шоссе, 26</t>
  </si>
  <si>
    <t>г.Одинцово, Можайское шоссе, 30</t>
  </si>
  <si>
    <t>г.Одинцово, Можайское шоссе, 32</t>
  </si>
  <si>
    <t>г.Одинцово, Можайское шоссе, 36</t>
  </si>
  <si>
    <t>г.Одинцово, Можайское шоссе, 38</t>
  </si>
  <si>
    <t>г.Одинцово, Можайское шоссе, 40</t>
  </si>
  <si>
    <t>г.Одинцово, Можайское шоссе, 41</t>
  </si>
  <si>
    <t>г.Одинцово, Можайское шоссе, 42</t>
  </si>
  <si>
    <t>г.Одинцово, Можайское шоссе, 44</t>
  </si>
  <si>
    <t>г.Одинцово, Можайское шоссе, 46</t>
  </si>
  <si>
    <t>г.Одинцово, Можайское шоссе, 48</t>
  </si>
  <si>
    <t>г.Одинцово, Можайское шоссе, 52</t>
  </si>
  <si>
    <t>г.Одинцово, Можайское шоссе, 54</t>
  </si>
  <si>
    <t>г.Одинцово, Можайское шоссе, 58</t>
  </si>
  <si>
    <t>г.Одинцово, Можайское шоссе, 62</t>
  </si>
  <si>
    <t>г.Одинцово, Можайское шоссе, 64</t>
  </si>
  <si>
    <t>г.Одинцово, Можайское шоссе, 66</t>
  </si>
  <si>
    <t>г.Одинцово, Можайское шоссе, 70</t>
  </si>
  <si>
    <t>г.Одинцово, Можайское шоссе, 76</t>
  </si>
  <si>
    <t>г.Одинцово, Можайское шоссе, 80</t>
  </si>
  <si>
    <t>г.Одинцово, Можайское шоссе, 82</t>
  </si>
  <si>
    <t>г.Одинцово, Можайское шоссе, 84</t>
  </si>
  <si>
    <t>г.Одинцово, Можайское шоссе, 86</t>
  </si>
  <si>
    <t>г.Одинцово, Можайское шоссе, 88</t>
  </si>
  <si>
    <t>г.Одинцово, Можайское шоссе, 90</t>
  </si>
  <si>
    <t>г.Одинцово, Можайское шоссе, 92</t>
  </si>
  <si>
    <t>г.Одинцово, Можайское шоссе, 94</t>
  </si>
  <si>
    <t>г.Одинцово, Можайское шоссе, 100</t>
  </si>
  <si>
    <t>г.Одинцово, Можайское шоссе, 102</t>
  </si>
  <si>
    <t>г.Одинцово, Можайское шоссе, 104</t>
  </si>
  <si>
    <t>г.Одинцово, Можайское шоссе, 106</t>
  </si>
  <si>
    <t>г.Одинцово, Можайское шоссе, 108</t>
  </si>
  <si>
    <t>г.Одинцово, Можайское шоссе, 108А</t>
  </si>
  <si>
    <t>г.Одинцово, Можайское шоссе, 110</t>
  </si>
  <si>
    <t>г.Одинцово, Можайское шоссе, 112</t>
  </si>
  <si>
    <t>г.Одинцово, Можайское шоссе, 114</t>
  </si>
  <si>
    <t>г.Одинцово, Можайское шоссе, 116</t>
  </si>
  <si>
    <t>г.Одинцово, Можайское шоссе, 118</t>
  </si>
  <si>
    <t>г.Одинцово, Можайское шоссе, 120</t>
  </si>
  <si>
    <t>г.Одинцово, Можайское шоссе, 130</t>
  </si>
  <si>
    <t>г.Одинцово, Можайское шоссе, 132</t>
  </si>
  <si>
    <t>г.Одинцово, Можайское шоссе, 134</t>
  </si>
  <si>
    <t>г.Одинцово, Можайское шоссе, 136</t>
  </si>
  <si>
    <t>г.Одинцово, Молодежная, 1А</t>
  </si>
  <si>
    <t>г.Одинцово, Молодежная, 1Б</t>
  </si>
  <si>
    <t>г.Одинцово, Неделина, 5</t>
  </si>
  <si>
    <t>г.Одинцово, Неделина, 7</t>
  </si>
  <si>
    <t>г.Одинцово, Ново-Спортивная, 10</t>
  </si>
  <si>
    <t>г.Одинцово, Ново-Спортивная, 16 к.1</t>
  </si>
  <si>
    <t>г.Одинцово, Ново-Спортивная, 16 к.2</t>
  </si>
  <si>
    <t>г.Одинцово, Ново-Спортивная, 18 к.1</t>
  </si>
  <si>
    <t>г.Одинцово, Ново-Спортивная, 18 к.2</t>
  </si>
  <si>
    <t>г.Одинцово, Ново-Спортивная, 20 к.1</t>
  </si>
  <si>
    <t>г.Одинцово, Ново-Спортивная, 20 к.2</t>
  </si>
  <si>
    <t>г.Одинцово, Садовая, 22 корп.А</t>
  </si>
  <si>
    <t>г.Одинцово, Садовая, 24</t>
  </si>
  <si>
    <t>г.Одинцово, Садовая, 26</t>
  </si>
  <si>
    <t>г.Одинцово, Садовая, 30</t>
  </si>
  <si>
    <t>г.Одинцово, Садовая, 32</t>
  </si>
  <si>
    <t>г.Одинцово, Северная, 4</t>
  </si>
  <si>
    <t>г.Одинцово, Северная, 6</t>
  </si>
  <si>
    <t>г.Одинцово, Северная, 8</t>
  </si>
  <si>
    <t>г.Одинцово, Северная, 12</t>
  </si>
  <si>
    <t>г.Одинцово, Северная, 14</t>
  </si>
  <si>
    <t>г.Одинцово, Северная, 16</t>
  </si>
  <si>
    <t>г.Одинцово, Северная, 24</t>
  </si>
  <si>
    <t>г.Одинцово, Северная, 26</t>
  </si>
  <si>
    <t>г.Одинцово, Северная, 28</t>
  </si>
  <si>
    <t>г.Одинцово, Северная, 30</t>
  </si>
  <si>
    <t>г.Одинцово, Северная, 32</t>
  </si>
  <si>
    <t>г.Одинцово, Северная, 36</t>
  </si>
  <si>
    <t>г.Одинцово, Северная, 42</t>
  </si>
  <si>
    <t>г.Одинцово, Северная, 44</t>
  </si>
  <si>
    <t>г.Одинцово, Северная, 46</t>
  </si>
  <si>
    <t>г.Одинцово, Северная, 48</t>
  </si>
  <si>
    <t>г.Одинцово, Северная, 50</t>
  </si>
  <si>
    <t>г.Одинцово, Северная, 52</t>
  </si>
  <si>
    <t>г.Одинцово, Северная, 54</t>
  </si>
  <si>
    <t>г.Одинцово, Северная, 62 корп.1</t>
  </si>
  <si>
    <t>г.Одинцово, Северная, 62 корп.2</t>
  </si>
  <si>
    <t>г.Одинцово, Северная, 64</t>
  </si>
  <si>
    <t>г.Одинцово, Советская, 1</t>
  </si>
  <si>
    <t>г.Одинцово, Солнечная, 2а</t>
  </si>
  <si>
    <t>г.Одинцово, Солнечная, 3</t>
  </si>
  <si>
    <t>г.Одинцово, Солнечная, 4</t>
  </si>
  <si>
    <t>г.Одинцово, Солнечная, 6</t>
  </si>
  <si>
    <t>г.Одинцово, Солнечная, 8</t>
  </si>
  <si>
    <t>г.Одинцово, Солнечная, 9</t>
  </si>
  <si>
    <t>г.Одинцово, Солнечная, 10</t>
  </si>
  <si>
    <t>г.Одинцово, Солнечная, 12</t>
  </si>
  <si>
    <t>г.Одинцово, Солнечная, 24</t>
  </si>
  <si>
    <t>г.Одинцово, Сосновая, 12</t>
  </si>
  <si>
    <t>г.Одинцово, Сосновая, 30</t>
  </si>
  <si>
    <t>г.Одинцово, Союзная, 4</t>
  </si>
  <si>
    <t>г.Одинцово, Союзная, 10</t>
  </si>
  <si>
    <t>г.Одинцово, Союзная, 24</t>
  </si>
  <si>
    <t>г.Одинцово, Союзная, 28</t>
  </si>
  <si>
    <t>г.Одинцово, Союзная, 30</t>
  </si>
  <si>
    <t>г.Одинцово, Союзная, 36</t>
  </si>
  <si>
    <t>г.Одинцово, Чикина, 17</t>
  </si>
  <si>
    <t>п.Огарево, Огарево, 4</t>
  </si>
  <si>
    <t>ЖЭУ-4</t>
  </si>
  <si>
    <t>п.Огарево, Огарево, 6</t>
  </si>
  <si>
    <t>п.Усово-Тупик, Усово-Тупик, 1</t>
  </si>
  <si>
    <t>п.Усово-Тупик, Усово-Тупик, 3</t>
  </si>
  <si>
    <t>п.Усово-Тупик, Усово-Тупик, 5</t>
  </si>
  <si>
    <t>п.Усово-Тупик, Усово-Тупик, 9</t>
  </si>
  <si>
    <t>п.Усово-Тупик, Усово-Тупик, 11</t>
  </si>
  <si>
    <t>п.Усово-Тупик, Усово-Тупик, 12</t>
  </si>
  <si>
    <t>п.Усово-Тупик, Усово-Тупик, 13</t>
  </si>
  <si>
    <t>п.Усово-Тупик, Усово-Тупик, 20</t>
  </si>
  <si>
    <t>УСОВО, Усово, 62</t>
  </si>
  <si>
    <t>с.Жаворонки, 7 Советская, 41</t>
  </si>
  <si>
    <t>с.Покровское, Дачная, 17</t>
  </si>
  <si>
    <t>с.Покровское, Дачная, 17а</t>
  </si>
  <si>
    <t>Всего:</t>
  </si>
  <si>
    <t>Работы, выполняемые в отношении всех видов фундаментов</t>
  </si>
  <si>
    <t>Работы, выполняемые в зданиях с подвалами</t>
  </si>
  <si>
    <t>Работы, выполняемые для надлежащего содержания стен</t>
  </si>
  <si>
    <t>Работы, выполняемые в целях надлежащего содержания перекрытий и покрытий</t>
  </si>
  <si>
    <t>Работы, выполняемые в целях надлежащего содержания балок (ригелей) перекрытий и покрытий</t>
  </si>
  <si>
    <t>Работы, выполняемые в целях надлежащего содержания крыш</t>
  </si>
  <si>
    <t>Работы, выполняемые в целях надлежащего содержания лестниц</t>
  </si>
  <si>
    <t>Работы, выполняемые в целях надлежащего содержания фасадов</t>
  </si>
  <si>
    <t>Работы, выполняемые в целях надлежащего содержания перегородок</t>
  </si>
  <si>
    <t>Работы, выполняемые в целях надлежащего содержания внутренней отделки</t>
  </si>
  <si>
    <t>Работы, выполняемые в целях надлежащего содержания полов помещений общего имущества</t>
  </si>
  <si>
    <t>Работы, выполняемые в целях надлежащего содержания оконных и дверных заполнений</t>
  </si>
  <si>
    <t>Работы, выполняемые в целях надлежащего содержания мусоропроводов</t>
  </si>
  <si>
    <t>Работы, выполняемые в целях надлежащего содержания систем вентиляции и дымоудаления</t>
  </si>
  <si>
    <t>Работы, выполняемые в целях надлежащего содержания дымовых и вентиляционных каналов</t>
  </si>
  <si>
    <t>Общие работы, выполняемые для надлежащего содержания систем водоснабжения (ХВС, ГВС), отопления и водоотведения</t>
  </si>
  <si>
    <t>Работы, выполняемые в целях надлежащего содержания систем теплоснабжения</t>
  </si>
  <si>
    <t>Работы, выполняемые в целях надлежащего содержания ИТП и водоподкачек</t>
  </si>
  <si>
    <t>Работы, выполняемые в целях надлежащего содержания электрооборудования, радио- и телекоммуникационного оборудования</t>
  </si>
  <si>
    <t>Работы, выполняемые в целях надлежащего содержания и ремонта лифтов</t>
  </si>
  <si>
    <t>Работы, выполняемые в целях надлежащего содержания систем внутридомового газового оборудования</t>
  </si>
  <si>
    <t>Работы по содержанию помещений, входящих в состав общего имущества</t>
  </si>
  <si>
    <t>Работы по содержанию придомовой территории</t>
  </si>
  <si>
    <t>Организация накопления отходов I - IV классов опасности и их передача в специализированные организации</t>
  </si>
  <si>
    <t>Работы по обеспечению требований пожарной безопасности</t>
  </si>
  <si>
    <t>Обеспечение устранения аварий на внутридомовых инженерных системах</t>
  </si>
  <si>
    <t>ВНИИССОК п., Березовая, 1</t>
  </si>
  <si>
    <t>ЖЭУ-10</t>
  </si>
  <si>
    <t>конкурс</t>
  </si>
  <si>
    <t>ВНИИССОК п., Березовая, 2</t>
  </si>
  <si>
    <t>ВНИИССОК п., Березовая, 4</t>
  </si>
  <si>
    <t>ВНИИССОК п., Березовая, 5</t>
  </si>
  <si>
    <t>ВНИИССОК п., Березовая, 6</t>
  </si>
  <si>
    <t>ВНИИССОК п., Березовая, 7</t>
  </si>
  <si>
    <t>ВНИИССОК п., Березовая, 8</t>
  </si>
  <si>
    <t>ВНИИССОК п., Березовая, 9</t>
  </si>
  <si>
    <t>ВНИИССОК п., Березовая, 11</t>
  </si>
  <si>
    <t>ВНИИССОК п., ВНИИССОК, 7</t>
  </si>
  <si>
    <t>ВНИИССОК п., ВНИИССОК, 9</t>
  </si>
  <si>
    <t>ВНИИССОК п., ВНИИССОК, 11</t>
  </si>
  <si>
    <t>ВНИИССОК п., Дружбы, 1</t>
  </si>
  <si>
    <t>ВНИИССОК п., Дружбы, 4</t>
  </si>
  <si>
    <t>ВНИИССОК п., Дружбы, 5</t>
  </si>
  <si>
    <t>ВНИИССОК п., Дружбы, 6</t>
  </si>
  <si>
    <t>ВНИИССОК п., Дружбы, 7</t>
  </si>
  <si>
    <t>ВНИИССОК п., Дружбы, 8</t>
  </si>
  <si>
    <t>ВНИИССОК п., Дружбы, 9</t>
  </si>
  <si>
    <t>ВНИИССОК п., Дружбы, 10</t>
  </si>
  <si>
    <t>ВНИИССОК п., Дружбы, 13</t>
  </si>
  <si>
    <t>ВНИИССОК п., Дружбы, 17</t>
  </si>
  <si>
    <t>ВНИИССОК п., Дружбы, 19</t>
  </si>
  <si>
    <t>ВНИИССОК п., Дружбы, 21</t>
  </si>
  <si>
    <t>ВНИИССОК п., Дружбы, 23</t>
  </si>
  <si>
    <t>ВНИИССОК п., Дружбы, 27</t>
  </si>
  <si>
    <t>ВНИИССОК п., Рябиновая, 1</t>
  </si>
  <si>
    <t>ВНИИССОК п., Рябиновая, 3</t>
  </si>
  <si>
    <t>ВНИИССОК п., Рябиновая, 4</t>
  </si>
  <si>
    <t>ВНИИССОК п., Рябиновая, 6</t>
  </si>
  <si>
    <t>ВНИИССОК п., Рябиновая, 7</t>
  </si>
  <si>
    <t>ВНИИССОК п., Рябиновая, 8</t>
  </si>
  <si>
    <t>ВНИИССОК п., Рябиновая, 9</t>
  </si>
  <si>
    <t>ВНИИССОК п., Рябиновая, 10</t>
  </si>
  <si>
    <t>Размер платы за содержание жилого помещения в зависимости от уровня благоустройства (п.ВНИИССОК).</t>
  </si>
  <si>
    <t>Размер платы в месяц с НДС 20%, руб./м2</t>
  </si>
  <si>
    <t>с 01.12.2023</t>
  </si>
  <si>
    <t>Работы, необходимые для надлежащего содержания несущих конструкций МКД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</si>
  <si>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</si>
  <si>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</si>
  <si>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</si>
  <si>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</si>
  <si>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</si>
  <si>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</si>
  <si>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</si>
  <si>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</si>
  <si>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</si>
  <si>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</si>
  <si>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</si>
  <si>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</si>
  <si>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Работы, необходимые для надлежащего содержания оборудования и систем инженерно-технического обеспечения, входящих в состав общего имущества МКД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</si>
  <si>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</si>
  <si>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</si>
  <si>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</si>
  <si>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</si>
  <si>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</si>
  <si>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</si>
  <si>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</si>
  <si>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</si>
  <si>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</si>
  <si>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Работы и услуги по содержанию иного общего имущества в МКД</t>
  </si>
  <si>
    <t>3.1</t>
  </si>
  <si>
    <t>3.2</t>
  </si>
  <si>
    <t>3.3</t>
  </si>
  <si>
    <t>3.4</t>
  </si>
  <si>
    <t>Форма №10.09.09</t>
  </si>
  <si>
    <t>Тарифы по домам в разрезе услуг поставщиков</t>
  </si>
  <si>
    <t>ООО "МосОблЕИРЦ"</t>
  </si>
  <si>
    <t>с 01.02.2025 по 28.02.2025</t>
  </si>
  <si>
    <t>Набор адресов</t>
  </si>
  <si>
    <t>Группа наборов: ОДИНЦОВСКИЙ Р-Н АО УЖХ (с архивом)_ДЛЯ ВЫГРУЗКИ ОТЧЕТОВ</t>
  </si>
  <si>
    <t>Управляющая компания услуги</t>
  </si>
  <si>
    <t>168.АО «УЖХ» (УЖХ №812460918)</t>
  </si>
  <si>
    <t>675095.АО "УЖХ" (УЖХ №812460918)</t>
  </si>
  <si>
    <t>Поставщик</t>
  </si>
  <si>
    <t>Услуга</t>
  </si>
  <si>
    <t>Тариф</t>
  </si>
  <si>
    <t>Норматив</t>
  </si>
  <si>
    <t>1115.Отопление</t>
  </si>
  <si>
    <t>1128.Подогрев воды для ГВС</t>
  </si>
  <si>
    <t>100176.Холодное в/с ОДН</t>
  </si>
  <si>
    <t>100178.Горячее в/с (носитель) ОДН</t>
  </si>
  <si>
    <t>100180.Горячее в/с (энергия) ОДН</t>
  </si>
  <si>
    <t>105331.Водоотведение ОДН</t>
  </si>
  <si>
    <t>934174.Содержание и ремонт жилья</t>
  </si>
  <si>
    <t>976416.Электроснабжение ОДН</t>
  </si>
  <si>
    <t>1091.Водоотведение</t>
  </si>
  <si>
    <t>1105.Холодное водоснабжение</t>
  </si>
  <si>
    <t>1111.Холодное водоснабжение для ГВС</t>
  </si>
  <si>
    <t>г Одинцово, б-р Любы Новоселовой, 1 к. 1</t>
  </si>
  <si>
    <t>АО "Одинцовская теплосеть" (УЖХ №812460918)</t>
  </si>
  <si>
    <t>2891,74</t>
  </si>
  <si>
    <t>0,020000</t>
  </si>
  <si>
    <t>3,170000</t>
  </si>
  <si>
    <t>АО «УЖХ» (УЖХ №812460918)</t>
  </si>
  <si>
    <t>43,24</t>
  </si>
  <si>
    <t>0,012000</t>
  </si>
  <si>
    <t>0,000719</t>
  </si>
  <si>
    <t>46,73</t>
  </si>
  <si>
    <t>0,024000</t>
  </si>
  <si>
    <t>48,44</t>
  </si>
  <si>
    <t>0,000000</t>
  </si>
  <si>
    <t>7,33</t>
  </si>
  <si>
    <t>3,230000</t>
  </si>
  <si>
    <t>ОАО"Одинцовский Водоканал" (УЖХ № 812460918)</t>
  </si>
  <si>
    <t>7,460000</t>
  </si>
  <si>
    <t>4,290000</t>
  </si>
  <si>
    <t>г Одинцово, б-р Любы Новоселовой, 1 к. 2</t>
  </si>
  <si>
    <t>г Одинцово, б-р Любы Новоселовой, 2 к. 1</t>
  </si>
  <si>
    <t>г Одинцово, б-р Любы Новоселовой, 2 к. 2</t>
  </si>
  <si>
    <t>г Одинцово, б-р Любы Новоселовой, 2А</t>
  </si>
  <si>
    <t>г Одинцово, б-р Любы Новоселовой, 4 к. 1</t>
  </si>
  <si>
    <t>14.03.2025</t>
  </si>
  <si>
    <t>г Одинцово, б-р Любы Новоселовой, 4 к. 2</t>
  </si>
  <si>
    <t>г Одинцово, б-р Любы Новоселовой, 4А</t>
  </si>
  <si>
    <t>0,007000</t>
  </si>
  <si>
    <t>0,000042</t>
  </si>
  <si>
    <t>0,014000</t>
  </si>
  <si>
    <t>934175.Содержание и ремонт жилья</t>
  </si>
  <si>
    <t>48,16</t>
  </si>
  <si>
    <t>976414.Электроснабжение ОДН</t>
  </si>
  <si>
    <t>5,57</t>
  </si>
  <si>
    <t>г Одинцово, б-р Любы Новоселовой, 9 к. 1</t>
  </si>
  <si>
    <t>г Одинцово, б-р Любы Новоселовой, 9 к. 2</t>
  </si>
  <si>
    <t>г Одинцово, б-р Любы Новоселовой, 10 к. 1</t>
  </si>
  <si>
    <t>г Одинцово, б-р Любы Новоселовой, 10 к. 2</t>
  </si>
  <si>
    <t>г Одинцово, б-р Любы Новоселовой, 10А</t>
  </si>
  <si>
    <t>1114.Отопление</t>
  </si>
  <si>
    <t>1127.Подогрев воды для ГВС</t>
  </si>
  <si>
    <t>1090.Водоотведение</t>
  </si>
  <si>
    <t>1100.Холодное водоснабжение</t>
  </si>
  <si>
    <t>1110.Холодное водоснабжение для ГВС</t>
  </si>
  <si>
    <t>г Одинцово, б-р Любы Новоселовой, 11 к. 1</t>
  </si>
  <si>
    <t>г Одинцово, б-р Любы Новоселовой, 11 к. 2</t>
  </si>
  <si>
    <t>г Одинцово, б-р Любы Новоселовой, 12</t>
  </si>
  <si>
    <t>0,013000</t>
  </si>
  <si>
    <t>0,000779</t>
  </si>
  <si>
    <t>0,026000</t>
  </si>
  <si>
    <t>934172.Содержание и ремонт жилья</t>
  </si>
  <si>
    <t>33,17</t>
  </si>
  <si>
    <t>976415.Электроснабжение ОДН</t>
  </si>
  <si>
    <t>0,683000</t>
  </si>
  <si>
    <t>г Одинцово, б-р Любы Новоселовой, 12А</t>
  </si>
  <si>
    <t>1515.Подогрев воды для ГВС</t>
  </si>
  <si>
    <t>0,006000</t>
  </si>
  <si>
    <t>0,000359</t>
  </si>
  <si>
    <t>1503.Содержание и ремонт жилья</t>
  </si>
  <si>
    <t>1507.Вода для ГВС</t>
  </si>
  <si>
    <t>г Одинцово, б-р Любы Новоселовой, 13</t>
  </si>
  <si>
    <t>АО "УЖХ" (УЖХ №812460918)</t>
  </si>
  <si>
    <t>902947.Установка ОДПУ</t>
  </si>
  <si>
    <t>0,00</t>
  </si>
  <si>
    <t>г Одинцово, б-р Любы Новоселовой, 15</t>
  </si>
  <si>
    <t>г Одинцово, б-р Маршала Крылова, 1</t>
  </si>
  <si>
    <t>г Одинцово, б-р Маршала Крылова, 3</t>
  </si>
  <si>
    <t>г Одинцово, б-р Маршала Крылова, 27</t>
  </si>
  <si>
    <t>0,000419</t>
  </si>
  <si>
    <t>г Одинцово, ул 1-я Вокзальная, 41</t>
  </si>
  <si>
    <t>г Одинцово, ул 1-я Вокзальная, 43</t>
  </si>
  <si>
    <t>г Одинцово, ул 1-я Вокзальная, 46</t>
  </si>
  <si>
    <t>г Одинцово, ул 1-я Вокзальная, 50</t>
  </si>
  <si>
    <t>г Одинцово, ул 1-я Вокзальная, 52</t>
  </si>
  <si>
    <t>г Одинцово, ул Баковская, 2</t>
  </si>
  <si>
    <t>г Одинцово, ул Баковская, 4</t>
  </si>
  <si>
    <t>г Одинцово, ул Баковская, 8</t>
  </si>
  <si>
    <t>г Одинцово, ул Бзри, 1</t>
  </si>
  <si>
    <t>АО "Мосэнергосбыт"</t>
  </si>
  <si>
    <t>1095.Электроснабжение</t>
  </si>
  <si>
    <t>50,000000</t>
  </si>
  <si>
    <t>г Одинцово, ул Бзри, 2</t>
  </si>
  <si>
    <t>г Одинцово, ул Бзри, 4</t>
  </si>
  <si>
    <t>г Одинцово, ул Бзри, 5</t>
  </si>
  <si>
    <t>138642.Электроснабжение день</t>
  </si>
  <si>
    <t>8,94</t>
  </si>
  <si>
    <t>138643.Электроснабжение ночь</t>
  </si>
  <si>
    <t>3,70</t>
  </si>
  <si>
    <t>г Одинцово, ул Бзри, 6</t>
  </si>
  <si>
    <t>г Одинцово, ул Бзри, 7</t>
  </si>
  <si>
    <t>г Одинцово, ул Бзри, 8</t>
  </si>
  <si>
    <t>г Одинцово, ул Верхне-Пролетарская, 1 к. 1</t>
  </si>
  <si>
    <t>149489.Долг прошлых периодов</t>
  </si>
  <si>
    <t>0</t>
  </si>
  <si>
    <t>149490.Установка ОДПУ</t>
  </si>
  <si>
    <t>г Одинцово, ул Верхне-Пролетарская, 1 к. 2</t>
  </si>
  <si>
    <t>984623.Содержание жилого помещения</t>
  </si>
  <si>
    <t>39,51</t>
  </si>
  <si>
    <t>г Одинцово, ул Верхне-Пролетарская, 3 к. 1</t>
  </si>
  <si>
    <t>981043.Содержание и ремонт жилья</t>
  </si>
  <si>
    <t>39,28</t>
  </si>
  <si>
    <t>г Одинцово, ул Верхне-Пролетарская, 3 к. 2</t>
  </si>
  <si>
    <t>г Одинцово, ул Верхне-Пролетарская, 5</t>
  </si>
  <si>
    <t>г Одинцово, ул Верхне-Пролетарская, 16</t>
  </si>
  <si>
    <t>г Одинцово, ул Верхне-Пролетарская, 27</t>
  </si>
  <si>
    <t>г Одинцово, ул Верхне-Пролетарская, 29</t>
  </si>
  <si>
    <t>0,010000</t>
  </si>
  <si>
    <t>981038.Содержание ж/ф</t>
  </si>
  <si>
    <t>26,91</t>
  </si>
  <si>
    <t>г Одинцово, ул Верхне-Пролетарская, 31</t>
  </si>
  <si>
    <t>г Одинцово, ул Верхне-Пролетарская, 33</t>
  </si>
  <si>
    <t>1160.Содержание и ремонт жилья</t>
  </si>
  <si>
    <t>16,23</t>
  </si>
  <si>
    <t>г Одинцово, ул Верхне-Пролетарская, 37</t>
  </si>
  <si>
    <t>г Одинцово, ул Вокзальная, 7</t>
  </si>
  <si>
    <t>г Одинцово, ул Вокзальная, 9</t>
  </si>
  <si>
    <t>г Одинцово, ул Вокзальная, 11</t>
  </si>
  <si>
    <t>г Одинцово, ул Вокзальная, 13</t>
  </si>
  <si>
    <t>г Одинцово, ул Вокзальная, 17</t>
  </si>
  <si>
    <t>г Одинцово, ул Вокзальная, 39Б</t>
  </si>
  <si>
    <t>г Одинцово, ул Вокзальная, 51</t>
  </si>
  <si>
    <t>0,000036</t>
  </si>
  <si>
    <t>г Одинцово, ул Вокзальная, 69</t>
  </si>
  <si>
    <t>г Одинцово, ул Восточная, 6а</t>
  </si>
  <si>
    <t>г Одинцово, ул Восточная, 6б</t>
  </si>
  <si>
    <t>г Одинцово, ул Глазынинская, 2</t>
  </si>
  <si>
    <t>г Одинцово, ул Глазынинская, 4</t>
  </si>
  <si>
    <t>875557.Водоотведение ОДН</t>
  </si>
  <si>
    <t>875569.Холодное в/с ОДН</t>
  </si>
  <si>
    <t>г Одинцово, ул Глазынинская, 10</t>
  </si>
  <si>
    <t>г Одинцово, ул Глазынинская, 12</t>
  </si>
  <si>
    <t>871660.Содержание ж/ф</t>
  </si>
  <si>
    <t>871671.Водоотведение ОДН</t>
  </si>
  <si>
    <t>г Одинцово, ул Глазынинская, 14</t>
  </si>
  <si>
    <t>г Одинцово, ул Глазынинская, 16</t>
  </si>
  <si>
    <t>г Одинцово, ул Глазынинская, 20</t>
  </si>
  <si>
    <t>981041.Содержание ж/ф</t>
  </si>
  <si>
    <t>г Одинцово, ул Глазынинская, 22</t>
  </si>
  <si>
    <t>г Одинцово, ул Глазынинская, 24</t>
  </si>
  <si>
    <t>г Одинцово, ул Говорова, 7</t>
  </si>
  <si>
    <t>0,011900</t>
  </si>
  <si>
    <t>г Одинцово, ул Говорова, 8 к. 1</t>
  </si>
  <si>
    <t>г Одинцово, ул Говорова, 8 к. 2</t>
  </si>
  <si>
    <t>г Одинцово, ул Говорова, 38</t>
  </si>
  <si>
    <t>г Одинцово, ул Говорова, 40</t>
  </si>
  <si>
    <t>г Одинцово, ул Комсомольская, 2</t>
  </si>
  <si>
    <t>г Одинцово, ул Комсомольская, 3</t>
  </si>
  <si>
    <t>г Одинцово, ул Комсомольская, 4</t>
  </si>
  <si>
    <t>г Одинцово, ул Комсомольская, 6</t>
  </si>
  <si>
    <t>г Одинцово, ул Комсомольская, 7</t>
  </si>
  <si>
    <t>г Одинцово, ул Комсомольская, 7А</t>
  </si>
  <si>
    <t>г Одинцово, ул Комсомольская, 9</t>
  </si>
  <si>
    <t>г Одинцово, ул Комсомольская, 16 к. 1</t>
  </si>
  <si>
    <t>г Одинцово, ул Комсомольская, 16 к. 2</t>
  </si>
  <si>
    <t>г Одинцово, ул Комсомольская, 16 к. 3</t>
  </si>
  <si>
    <t>г Одинцово, ул Комсомольская, 18</t>
  </si>
  <si>
    <t>г Одинцово, ул Комсомольская, 20</t>
  </si>
  <si>
    <t>г Одинцово, ул Маковского, 6</t>
  </si>
  <si>
    <t>г Одинцово, ул Маковского, 10</t>
  </si>
  <si>
    <t>г Одинцово, ул Маковского, 22</t>
  </si>
  <si>
    <t>г Одинцово, ул Маршала Бирюзова, 2</t>
  </si>
  <si>
    <t>г Одинцово, ул Маршала Бирюзова, 2а</t>
  </si>
  <si>
    <t>0,005000</t>
  </si>
  <si>
    <t>0,000300</t>
  </si>
  <si>
    <t>1186.Долг прошлых периодов</t>
  </si>
  <si>
    <t>г Одинцово, ул Маршала Бирюзова, 4</t>
  </si>
  <si>
    <t>г Одинцово, ул Маршала Бирюзова, 6</t>
  </si>
  <si>
    <t>г Одинцово, ул Маршала Бирюзова, 8</t>
  </si>
  <si>
    <t>г Одинцово, ул Маршала Бирюзова, 10 к. 1</t>
  </si>
  <si>
    <t>г Одинцово, ул Маршала Бирюзова, 10 к. 2</t>
  </si>
  <si>
    <t>г Одинцово, ул Маршала Бирюзова, 12</t>
  </si>
  <si>
    <t>г Одинцово, ул Маршала Бирюзова, 14</t>
  </si>
  <si>
    <t>г Одинцово, ул Маршала Бирюзова, 16</t>
  </si>
  <si>
    <t>г Одинцово, ул Маршала Бирюзова, 18</t>
  </si>
  <si>
    <t>г Одинцово, ул Маршала Бирюзова, 20</t>
  </si>
  <si>
    <t>г Одинцово, ул Маршала Бирюзова, 24 к. 1</t>
  </si>
  <si>
    <t>г Одинцово, ул Маршала Бирюзова, 24 к. 2</t>
  </si>
  <si>
    <t>г Одинцово, ул Маршала Бирюзова, 26</t>
  </si>
  <si>
    <t>г Одинцово, ул Маршала Бирюзова, 28</t>
  </si>
  <si>
    <t>г Одинцово, ул Маршала Бирюзова, 30А</t>
  </si>
  <si>
    <t>г Одинцово, ул Маршала Бирюзова, 30Б</t>
  </si>
  <si>
    <t>г Одинцово, ул Маршала Жукова, 1А</t>
  </si>
  <si>
    <t>г Одинцово, ул Маршала Жукова, 4</t>
  </si>
  <si>
    <t>г Одинцово, ул Маршала Жукова, 7 к. 1</t>
  </si>
  <si>
    <t>г Одинцово, ул Маршала Жукова, 7 к. 2</t>
  </si>
  <si>
    <t>г Одинцово, ул Маршала Жукова, 10</t>
  </si>
  <si>
    <t>г Одинцово, ул Маршала Жукова, 12</t>
  </si>
  <si>
    <t>г Одинцово, ул Маршала Жукова, 13</t>
  </si>
  <si>
    <t>г Одинцово, ул Маршала Жукова, 14</t>
  </si>
  <si>
    <t>г Одинцово, ул Маршала Жукова, 15</t>
  </si>
  <si>
    <t>г Одинцово, ул Маршала Жукова, 16</t>
  </si>
  <si>
    <t>г Одинцово, ул Маршала Жукова, 17</t>
  </si>
  <si>
    <t>г Одинцово, ул Маршала Жукова, 19</t>
  </si>
  <si>
    <t>г Одинцово, ул Маршала Жукова, 21</t>
  </si>
  <si>
    <t>г Одинцово, ул Маршала Жукова, 25 к. 1</t>
  </si>
  <si>
    <t>г Одинцово, ул Маршала Жукова, 25 к. 2</t>
  </si>
  <si>
    <t>г Одинцово, ул Маршала Жукова, 27 к. 1</t>
  </si>
  <si>
    <t>г Одинцово, ул Маршала Жукова, 27 к. 2</t>
  </si>
  <si>
    <t>100177.Холодное в/с ОДН</t>
  </si>
  <si>
    <t>105329.Водоотведение ОДН</t>
  </si>
  <si>
    <t>г Одинцово, ул Маршала Жукова, 29</t>
  </si>
  <si>
    <t>г Одинцово, ул Маршала Жукова, 31</t>
  </si>
  <si>
    <t>1163.Содержание и ремонт жилья</t>
  </si>
  <si>
    <t>28,98</t>
  </si>
  <si>
    <t>г Одинцово, ул Маршала Жукова, 33</t>
  </si>
  <si>
    <t>г Одинцово, ул Маршала Жукова, 35</t>
  </si>
  <si>
    <t>г Одинцово, ул Маршала Жукова, 37</t>
  </si>
  <si>
    <t>г Одинцово, ул Маршала Жукова, 41</t>
  </si>
  <si>
    <t>г Одинцово, ул Маршала Жукова, 43</t>
  </si>
  <si>
    <t>г Одинцово, ул Маршала Жукова, 45</t>
  </si>
  <si>
    <t>г Одинцово, ул Маршала Жукова, 47</t>
  </si>
  <si>
    <t>г Одинцово, ул Маршала Жукова, 49</t>
  </si>
  <si>
    <t>г Одинцово, ул Маршала Неделина, 5</t>
  </si>
  <si>
    <t>г Одинцово, ул Маршала Неделина, 7</t>
  </si>
  <si>
    <t>г Одинцово, ул Маршала Толубко, 3 к. 3</t>
  </si>
  <si>
    <t>г Одинцово, ул Молодежная, 1А</t>
  </si>
  <si>
    <t>1162.Содержание и ремонт жилья</t>
  </si>
  <si>
    <t>33,04</t>
  </si>
  <si>
    <t>976413.Электроснабжение ОДН</t>
  </si>
  <si>
    <t>г Одинцово, ул Молодежная, 1Б</t>
  </si>
  <si>
    <t>г Одинцово, ул Новоспортивная, 10</t>
  </si>
  <si>
    <t>г Одинцово, ул Новоспортивная, 16 к. 1</t>
  </si>
  <si>
    <t>г Одинцово, ул Новоспортивная, 16 к. 2</t>
  </si>
  <si>
    <t>г Одинцово, ул Новоспортивная, 18 к. 1</t>
  </si>
  <si>
    <t>г Одинцово, ул Новоспортивная, 18 к. 2</t>
  </si>
  <si>
    <t>г Одинцово, ул Новоспортивная, 20 к. 1</t>
  </si>
  <si>
    <t>г Одинцово, ул Новоспортивная, 20 к. 2</t>
  </si>
  <si>
    <t>г Одинцово, ул Садовая, 22А</t>
  </si>
  <si>
    <t>г Одинцово, ул Садовая, 24</t>
  </si>
  <si>
    <t>г Одинцово, ул Садовая, 26</t>
  </si>
  <si>
    <t>г Одинцово, ул Садовая, 30</t>
  </si>
  <si>
    <t>г Одинцово, ул Садовая, 32</t>
  </si>
  <si>
    <t>г Одинцово, ул Северная, 4</t>
  </si>
  <si>
    <t>г Одинцово, ул Северная, 6</t>
  </si>
  <si>
    <t>г Одинцово, ул Северная, 8</t>
  </si>
  <si>
    <t>г Одинцово, ул Северная, 12</t>
  </si>
  <si>
    <t>г Одинцово, ул Северная, 14</t>
  </si>
  <si>
    <t>г Одинцово, ул Северная, 16</t>
  </si>
  <si>
    <t>г Одинцово, ул Северная, 24</t>
  </si>
  <si>
    <t>г Одинцово, ул Северная, 26</t>
  </si>
  <si>
    <t>г Одинцово, ул Северная, 28</t>
  </si>
  <si>
    <t>г Одинцово, ул Северная, 30</t>
  </si>
  <si>
    <t>г Одинцово, ул Северная, 32</t>
  </si>
  <si>
    <t>г Одинцово, ул Северная, 36</t>
  </si>
  <si>
    <t>г Одинцово, ул Северная, 42</t>
  </si>
  <si>
    <t>г Одинцово, ул Северная, 44</t>
  </si>
  <si>
    <t>г Одинцово, ул Северная, 46</t>
  </si>
  <si>
    <t>г Одинцово, ул Северная, 48</t>
  </si>
  <si>
    <t>г Одинцово, ул Северная, 50</t>
  </si>
  <si>
    <t>г Одинцово, ул Северная, 52</t>
  </si>
  <si>
    <t>г Одинцово, ул Северная, 54</t>
  </si>
  <si>
    <t>г Одинцово, ул Северная, 62 к. 1</t>
  </si>
  <si>
    <t>г Одинцово, ул Северная, 62 к. 2</t>
  </si>
  <si>
    <t>г Одинцово, ул Северная, 64</t>
  </si>
  <si>
    <t>г Одинцово, ул Советская, 1</t>
  </si>
  <si>
    <t>г Одинцово, ул Солнечная, 2</t>
  </si>
  <si>
    <t>г Одинцово, ул Солнечная, 2А</t>
  </si>
  <si>
    <t>г Одинцово, ул Солнечная, 3</t>
  </si>
  <si>
    <t>984622.Содержание жилого помещения</t>
  </si>
  <si>
    <t>27,19</t>
  </si>
  <si>
    <t>г Одинцово, ул Солнечная, 4</t>
  </si>
  <si>
    <t>г Одинцово, ул Солнечная, 5</t>
  </si>
  <si>
    <t>г Одинцово, ул Солнечная, 6</t>
  </si>
  <si>
    <t>г Одинцово, ул Солнечная, 7</t>
  </si>
  <si>
    <t>0,000644</t>
  </si>
  <si>
    <t>г Одинцово, ул Солнечная, 8</t>
  </si>
  <si>
    <t>г Одинцово, ул Солнечная, 9</t>
  </si>
  <si>
    <t>г Одинцово, ул Солнечная, 10</t>
  </si>
  <si>
    <t>г Одинцово, ул Солнечная, 12</t>
  </si>
  <si>
    <t>г Одинцово, ул Солнечная, 16</t>
  </si>
  <si>
    <t>г Одинцово, ул Солнечная, 24</t>
  </si>
  <si>
    <t>16,02</t>
  </si>
  <si>
    <t>г Одинцово, ул Солнечная, 26</t>
  </si>
  <si>
    <t>г Одинцово, ул Сосновая, 12</t>
  </si>
  <si>
    <t>г Одинцово, ул Сосновая, 14</t>
  </si>
  <si>
    <t>г Одинцово, ул Сосновая, 20</t>
  </si>
  <si>
    <t>г Одинцово, ул Сосновая, 22</t>
  </si>
  <si>
    <t>г Одинцово, ул Сосновая, 24</t>
  </si>
  <si>
    <t>г Одинцово, ул Сосновая, 28</t>
  </si>
  <si>
    <t>г Одинцово, ул Сосновая, 30</t>
  </si>
  <si>
    <t>г Одинцово, ул Сосновая, 32</t>
  </si>
  <si>
    <t>г Одинцово, ул Сосновая, 34</t>
  </si>
  <si>
    <t>г Одинцово, ул Союзная, 2</t>
  </si>
  <si>
    <t>г Одинцово, ул Союзная, 4</t>
  </si>
  <si>
    <t>г Одинцово, ул Союзная, 6</t>
  </si>
  <si>
    <t>г Одинцово, ул Союзная, 8</t>
  </si>
  <si>
    <t>г Одинцово, ул Союзная, 10</t>
  </si>
  <si>
    <t>г Одинцово, ул Союзная, 24</t>
  </si>
  <si>
    <t>г Одинцово, ул Союзная, 28</t>
  </si>
  <si>
    <t>г Одинцово, ул Союзная, 30</t>
  </si>
  <si>
    <t>г Одинцово, ул Союзная, 32</t>
  </si>
  <si>
    <t>г Одинцово, ул Союзная, 32А</t>
  </si>
  <si>
    <t>г Одинцово, ул Союзная, 34</t>
  </si>
  <si>
    <t>г Одинцово, ул Союзная, 36</t>
  </si>
  <si>
    <t>г Одинцово, ул Чикина, 17</t>
  </si>
  <si>
    <t>г Одинцово, ш Красногорское, 4</t>
  </si>
  <si>
    <t>44,80</t>
  </si>
  <si>
    <t>г Одинцово, ш Можайское, 15</t>
  </si>
  <si>
    <t>г Одинцово, ш Можайское, 23</t>
  </si>
  <si>
    <t>г Одинцово, ш Можайское, 25</t>
  </si>
  <si>
    <t>г Одинцово, ш Можайское, 26</t>
  </si>
  <si>
    <t>г Одинцово, ш Можайское, 30</t>
  </si>
  <si>
    <t>г Одинцово, ш Можайское, 32</t>
  </si>
  <si>
    <t>г Одинцово, ш Можайское, 36</t>
  </si>
  <si>
    <t>г Одинцово, ш Можайское, 38</t>
  </si>
  <si>
    <t>г Одинцово, ш Можайское, 40</t>
  </si>
  <si>
    <t>г Одинцово, ш Можайское, 41</t>
  </si>
  <si>
    <t>г Одинцово, ш Можайское, 42</t>
  </si>
  <si>
    <t>г Одинцово, ш Можайское, 44</t>
  </si>
  <si>
    <t>г Одинцово, ш Можайское, 46</t>
  </si>
  <si>
    <t>г Одинцово, ш Можайское, 48</t>
  </si>
  <si>
    <t>г Одинцово, ш Можайское, 52</t>
  </si>
  <si>
    <t>г Одинцово, ш Можайское, 54</t>
  </si>
  <si>
    <t>г Одинцово, ш Можайское, 58</t>
  </si>
  <si>
    <t>г Одинцово, ш Можайское, 62</t>
  </si>
  <si>
    <t>г Одинцово, ш Можайское, 64</t>
  </si>
  <si>
    <t>г Одинцово, ш Можайское, 66</t>
  </si>
  <si>
    <t>г Одинцово, ш Можайское, 70</t>
  </si>
  <si>
    <t>г Одинцово, ш Можайское, 76</t>
  </si>
  <si>
    <t>г Одинцово, ш Можайское, 80</t>
  </si>
  <si>
    <t>г Одинцово, ш Можайское, 82</t>
  </si>
  <si>
    <t>г Одинцово, ш Можайское, 84</t>
  </si>
  <si>
    <t>г Одинцово, ш Можайское, 86</t>
  </si>
  <si>
    <t>г Одинцово, ш Можайское, 88</t>
  </si>
  <si>
    <t>г Одинцово, ш Можайское, 90</t>
  </si>
  <si>
    <t>г Одинцово, ш Можайское, 92</t>
  </si>
  <si>
    <t>г Одинцово, ш Можайское, 94</t>
  </si>
  <si>
    <t>г Одинцово, ш Можайское, 100</t>
  </si>
  <si>
    <t>1164.Содержание и ремонт жилья</t>
  </si>
  <si>
    <t>37,57</t>
  </si>
  <si>
    <t>г Одинцово, ш Можайское, 102</t>
  </si>
  <si>
    <t>г Одинцово, ш Можайское, 104</t>
  </si>
  <si>
    <t>г Одинцово, ш Можайское, 106</t>
  </si>
  <si>
    <t>г Одинцово, ш Можайское, 108</t>
  </si>
  <si>
    <t>г Одинцово, ш Можайское, 108А</t>
  </si>
  <si>
    <t>г Одинцово, ш Можайское, 110</t>
  </si>
  <si>
    <t>г Одинцово, ш Можайское, 112</t>
  </si>
  <si>
    <t>г Одинцово, ш Можайское, 114</t>
  </si>
  <si>
    <t>г Одинцово, ш Можайское, 116</t>
  </si>
  <si>
    <t>г Одинцово, ш Можайское, 118</t>
  </si>
  <si>
    <t>г Одинцово, ш Можайское, 120</t>
  </si>
  <si>
    <t>934170.Содержание и ремонт жилья</t>
  </si>
  <si>
    <t>г Одинцово, ш Можайское, 130</t>
  </si>
  <si>
    <t>г Одинцово, ш Можайское, 132</t>
  </si>
  <si>
    <t>г Одинцово, ш Можайское, 134</t>
  </si>
  <si>
    <t>г Одинцово, ш Можайское, 136</t>
  </si>
  <si>
    <t>п ВНИИССОК, -, 7</t>
  </si>
  <si>
    <t>975012.Электроснабжение</t>
  </si>
  <si>
    <t>5,13</t>
  </si>
  <si>
    <t>963460.Содержание ж/ф</t>
  </si>
  <si>
    <t>34,98</t>
  </si>
  <si>
    <t>963464.Водоотведение ОДН</t>
  </si>
  <si>
    <t>963487. Горячее в/с (носитель) ОДН</t>
  </si>
  <si>
    <t>963509. Горячее в/с (энергия) ОДН</t>
  </si>
  <si>
    <t>963522. Холодное в/с ОДН</t>
  </si>
  <si>
    <t>963533. Электроснабжение ОДН</t>
  </si>
  <si>
    <t>п ВНИИССОК, -, 9</t>
  </si>
  <si>
    <t>АО "Одинцовская теплосеть" (дог.9593/23)(АО "УЖХ)</t>
  </si>
  <si>
    <t>963640.Горячее в/с (носитель)</t>
  </si>
  <si>
    <t>963662. Водоотведение</t>
  </si>
  <si>
    <t>7,560000</t>
  </si>
  <si>
    <t>963663.Холодное в/с</t>
  </si>
  <si>
    <t>4,330000</t>
  </si>
  <si>
    <t>963461.Содержание ж/ф</t>
  </si>
  <si>
    <t>40,33</t>
  </si>
  <si>
    <t>963691.ХВС (повышающий коэффициент)</t>
  </si>
  <si>
    <t>963692.ГВС носитель (повышающий коэффициент)</t>
  </si>
  <si>
    <t>АО Одинцовская теплосеть (дог.593/23)(АО "УЖХ")</t>
  </si>
  <si>
    <t>963665. Горячее в/с (энергия)</t>
  </si>
  <si>
    <t>963666.Отопление</t>
  </si>
  <si>
    <t>Филиал АО "Мособлгаз" Запад (УЖХ № 812460918)</t>
  </si>
  <si>
    <t>967948.Газоснабжение</t>
  </si>
  <si>
    <t>8,67</t>
  </si>
  <si>
    <t>10,000000</t>
  </si>
  <si>
    <t>п ВНИИССОК, -, 11</t>
  </si>
  <si>
    <t>963456.Содержание ж/ф</t>
  </si>
  <si>
    <t>23,78</t>
  </si>
  <si>
    <t>963466.Водоотведение ОДН</t>
  </si>
  <si>
    <t>963488. Горячее в/с (носитель) ОДН</t>
  </si>
  <si>
    <t>963519. Горячее в/с (энергия) ОДН</t>
  </si>
  <si>
    <t>0,000778</t>
  </si>
  <si>
    <t>963531. Холодное в/с ОДН</t>
  </si>
  <si>
    <t>963532. Электроснабжение ОДН</t>
  </si>
  <si>
    <t>п ВНИИССОК, ул Березовая, 1</t>
  </si>
  <si>
    <t>АО "Одинцовская теплосеть" (КТТ-Дубки)(АО «УЖХ»)</t>
  </si>
  <si>
    <t>970279.Водоотведение</t>
  </si>
  <si>
    <t>32,83</t>
  </si>
  <si>
    <t>970280.Горячее в/с (энергия)</t>
  </si>
  <si>
    <t>2508,54</t>
  </si>
  <si>
    <t>970281.Отопление КПУ</t>
  </si>
  <si>
    <t>963462.Содержание ж/ф</t>
  </si>
  <si>
    <t>41,47</t>
  </si>
  <si>
    <t>963484. Водоотведение ОДН</t>
  </si>
  <si>
    <t>963493. Горячее в/с (энергия) ОДН</t>
  </si>
  <si>
    <t>п ВНИИССОК, ул Березовая, 2</t>
  </si>
  <si>
    <t>963483. Водоотведение ОДН</t>
  </si>
  <si>
    <t>963486. Горячее в/с (носитель) ОДН</t>
  </si>
  <si>
    <t>963490. Горячее в/с (энергия) ОДН</t>
  </si>
  <si>
    <t>963521. Холодное в/с ОДН</t>
  </si>
  <si>
    <t>п ВНИИССОК, ул Березовая, 4</t>
  </si>
  <si>
    <t>п ВНИИССОК, ул Березовая, 5</t>
  </si>
  <si>
    <t>п ВНИИССОК, ул Березовая, 6</t>
  </si>
  <si>
    <t>п ВНИИССОК, ул Березовая, 7</t>
  </si>
  <si>
    <t>п ВНИИССОК, ул Березовая, 8</t>
  </si>
  <si>
    <t>п ВНИИССОК, ул Березовая, 9</t>
  </si>
  <si>
    <t>п ВНИИССОК, ул Березовая, 11</t>
  </si>
  <si>
    <t>п ВНИИССОК, ул Дружбы, 1</t>
  </si>
  <si>
    <t>970277.Горячее в/с (носитель)</t>
  </si>
  <si>
    <t>970278.Холодное в/с</t>
  </si>
  <si>
    <t>963463.Водоотведение ОДН</t>
  </si>
  <si>
    <t>963485. Горячее в/с (носитель) ОДН</t>
  </si>
  <si>
    <t>963489. Горячее в/с (энергия) ОДН</t>
  </si>
  <si>
    <t>963520. Холодное в/с ОДН</t>
  </si>
  <si>
    <t>986438.Содержание жилого помещения</t>
  </si>
  <si>
    <t>39,40</t>
  </si>
  <si>
    <t>п ВНИИССОК, ул Дружбы, 4</t>
  </si>
  <si>
    <t>п ВНИИССОК, ул Дружбы, 5</t>
  </si>
  <si>
    <t>п ВНИИССОК, ул Дружбы, 6</t>
  </si>
  <si>
    <t>п ВНИИССОК, ул Дружбы, 7</t>
  </si>
  <si>
    <t>п ВНИИССОК, ул Дружбы, 8</t>
  </si>
  <si>
    <t>п ВНИИССОК, ул Дружбы, 9</t>
  </si>
  <si>
    <t>п ВНИИССОК, ул Дружбы, 10</t>
  </si>
  <si>
    <t>п ВНИИССОК, ул Дружбы, 13</t>
  </si>
  <si>
    <t>п ВНИИССОК, ул Дружбы, 17</t>
  </si>
  <si>
    <t>п ВНИИССОК, ул Дружбы, 19</t>
  </si>
  <si>
    <t>973986.Содержание ж/ф</t>
  </si>
  <si>
    <t>37,89</t>
  </si>
  <si>
    <t>п ВНИИССОК, ул Дружбы, 21</t>
  </si>
  <si>
    <t>п ВНИИССОК, ул Дружбы, 23</t>
  </si>
  <si>
    <t>п ВНИИССОК, ул Дружбы, 27</t>
  </si>
  <si>
    <t>п ВНИИССОК, ул Рябиновая, 1</t>
  </si>
  <si>
    <t>п ВНИИССОК, ул Рябиновая, 3</t>
  </si>
  <si>
    <t>п ВНИИССОК, ул Рябиновая, 4</t>
  </si>
  <si>
    <t>п ВНИИССОК, ул Рябиновая, 6</t>
  </si>
  <si>
    <t>п ВНИИССОК, ул Рябиновая, 7</t>
  </si>
  <si>
    <t>п ВНИИССОК, ул Рябиновая, 8</t>
  </si>
  <si>
    <t>п ВНИИССОК, ул Рябиновая, 9</t>
  </si>
  <si>
    <t>п ВНИИССОК, ул Рябиновая, 10</t>
  </si>
  <si>
    <t>п дома отдыха "Огарево", -, 4</t>
  </si>
  <si>
    <t>976450.Горячее в/с (энергия) ОДН</t>
  </si>
  <si>
    <t>п дома отдыха "Огарево", -, 6</t>
  </si>
  <si>
    <t>п Покровское, ул Дачная, 17а</t>
  </si>
  <si>
    <t>1093.Электроснабжение</t>
  </si>
  <si>
    <t>70,000000</t>
  </si>
  <si>
    <t>1157.Содержание и ремонт жилья</t>
  </si>
  <si>
    <t>19,94</t>
  </si>
  <si>
    <t>1180.Вывоз ЖБО</t>
  </si>
  <si>
    <t>347,63</t>
  </si>
  <si>
    <t>0,091700</t>
  </si>
  <si>
    <t>п Усово-Тупик, -, 1</t>
  </si>
  <si>
    <t>981042.Содержание ж/ф</t>
  </si>
  <si>
    <t>п Усово-Тупик, -, 3</t>
  </si>
  <si>
    <t>п Усово-Тупик, -, 5</t>
  </si>
  <si>
    <t>п Усово-Тупик, -, 9</t>
  </si>
  <si>
    <t>0,000594</t>
  </si>
  <si>
    <t>п Усово-Тупик, -, 11</t>
  </si>
  <si>
    <t>п Усово-Тупик, -, 12</t>
  </si>
  <si>
    <t>п Усово-Тупик, -, 13</t>
  </si>
  <si>
    <t>п Усово-Тупик, -, 20</t>
  </si>
  <si>
    <t>с Жаворонки, ул 7-я Советская, 41</t>
  </si>
  <si>
    <t>1154.Содержание и ремонт жилья</t>
  </si>
  <si>
    <t>15,00</t>
  </si>
  <si>
    <t>1179.Вывоз ЖБО</t>
  </si>
  <si>
    <t>343,38</t>
  </si>
  <si>
    <t>с Усово, Усово, 62</t>
  </si>
  <si>
    <t>100181.Электроснабжение ОДН</t>
  </si>
  <si>
    <t>4,71</t>
  </si>
  <si>
    <t>ООО "МосОблЕИРЦ" _______________</t>
  </si>
  <si>
    <t>г.Одинцово, 1-я Вокзальная, 41</t>
  </si>
  <si>
    <t>г.Одинцово, 1-я Вокзальная, 43</t>
  </si>
  <si>
    <t>г.Одинцово, Верхне-Пролетарская, 1 корп.1</t>
  </si>
  <si>
    <t>г.Одинцово, Верхне-Пролетарская, 5</t>
  </si>
  <si>
    <t>г.Одинцово, Верхне-Пролетарская, 16</t>
  </si>
  <si>
    <t>г.Одинцово, Верхне-Пролетарская, 27</t>
  </si>
  <si>
    <t>г.Одинцово, Вокзальная, 39 корп.Б</t>
  </si>
  <si>
    <t>г.Одинцово, Восточная, 6а</t>
  </si>
  <si>
    <t>г.Одинцово, Восточная, 6б</t>
  </si>
  <si>
    <t>г.Одинцово, Глазынинская, 16</t>
  </si>
  <si>
    <t>г.Одинцово, Говорова, 7</t>
  </si>
  <si>
    <t>г.Одинцово, Комсомольская, 3</t>
  </si>
  <si>
    <t>г.Одинцово, Комсомольская, 16 корп.1</t>
  </si>
  <si>
    <t>г.Одинцово, Комсомольская, 16 корп.2</t>
  </si>
  <si>
    <t>г.Одинцово, Комсомольская, 16 корп.3</t>
  </si>
  <si>
    <t>г.Одинцово, Комсомольская, 18</t>
  </si>
  <si>
    <t>г.Одинцово, Комсомольская, 20</t>
  </si>
  <si>
    <t>г.Одинцово, Маковского, 6</t>
  </si>
  <si>
    <t>г.Одинцово, Маковского, 10</t>
  </si>
  <si>
    <t>г.Одинцово, Маковского, 22</t>
  </si>
  <si>
    <t>г.Одинцово, Маршала Жукова, 31</t>
  </si>
  <si>
    <t>г.Одинцово, Маршала Толубко, 3 корп.3</t>
  </si>
  <si>
    <t>г.Одинцово, Солнечная, 2</t>
  </si>
  <si>
    <t>г.Одинцово, Солнечная, 5</t>
  </si>
  <si>
    <t>г.Одинцово, Солнечная, 7</t>
  </si>
  <si>
    <t>г.Одинцово, Солнечная, 16</t>
  </si>
  <si>
    <t>г.Одинцово, Солнечная, 26</t>
  </si>
  <si>
    <t>г.Одинцово, Сосновая, 14</t>
  </si>
  <si>
    <t>г.Одинцово, Сосновая, 20</t>
  </si>
  <si>
    <t>г.Одинцово, Сосновая, 22</t>
  </si>
  <si>
    <t>г.Одинцово, Сосновая, 24</t>
  </si>
  <si>
    <t>г.Одинцово, Сосновая, 28</t>
  </si>
  <si>
    <t>г.Одинцово, Сосновая, 32</t>
  </si>
  <si>
    <t>г.Одинцово, Сосновая, 34</t>
  </si>
  <si>
    <t>г.Одинцово, Союзная, 2</t>
  </si>
  <si>
    <t>г.Одинцово, Союзная, 6</t>
  </si>
  <si>
    <t>г.Одинцово, Союзная, 8</t>
  </si>
  <si>
    <t>г.Одинцово, Союзная, 32</t>
  </si>
  <si>
    <t>г.Одинцово, Союзная, 32а</t>
  </si>
  <si>
    <t>г.Одинцово, Союзная, 34</t>
  </si>
  <si>
    <t>Итого</t>
  </si>
  <si>
    <t xml:space="preserve">Одинцово Всё, весь фонд,      </t>
  </si>
  <si>
    <t>электроэнергия</t>
  </si>
  <si>
    <t>&lt;...&gt;</t>
  </si>
  <si>
    <t>Электроэнергия</t>
  </si>
  <si>
    <t>ВНИИССОК, Дружбы, 23</t>
  </si>
  <si>
    <t>ВНИИССОК, Дружбы, 19</t>
  </si>
  <si>
    <t>ВНИИССОК, Березовая, 7</t>
  </si>
  <si>
    <t>ВНИИССОК, Березовая, 2</t>
  </si>
  <si>
    <t>ВНИИССОК, ,, 9</t>
  </si>
  <si>
    <t>ВНИИССОК, ,, 11</t>
  </si>
  <si>
    <t>ВНИИССОК, - , 7</t>
  </si>
  <si>
    <t>ВНИИССОК , , , все</t>
  </si>
  <si>
    <t>Водоснабжение</t>
  </si>
  <si>
    <t xml:space="preserve">Холодная вода </t>
  </si>
  <si>
    <t>юридические услуги</t>
  </si>
  <si>
    <t>ВНИИССОК, Дружбы, 5</t>
  </si>
  <si>
    <t>Устронение протечки</t>
  </si>
  <si>
    <t>Одинцово, Северная, 4</t>
  </si>
  <si>
    <t>Одинцово, Садовая, 32</t>
  </si>
  <si>
    <t>Одинцово, Садовая, 24</t>
  </si>
  <si>
    <t>Одинцово, Садовая, 22 А</t>
  </si>
  <si>
    <t>Одинцово, Можайское шоссе, 66</t>
  </si>
  <si>
    <t>Одинцово, Можайское шоссе, 64</t>
  </si>
  <si>
    <t>Одинцово, Можайское шоссе, 44</t>
  </si>
  <si>
    <t>Одинцово, Можайское шоссе, 130</t>
  </si>
  <si>
    <t>Одинцово, Вокзальная, 17</t>
  </si>
  <si>
    <t>Одинцово, Вокзальная, 13</t>
  </si>
  <si>
    <t>Одинцово, Бирюзова, 12</t>
  </si>
  <si>
    <t>Установка зеркал</t>
  </si>
  <si>
    <t>Одинцово, Северная, 64</t>
  </si>
  <si>
    <t>Одинцово, Красногорское шоссе, 4</t>
  </si>
  <si>
    <t>Одинцово, Вокзальная, 7</t>
  </si>
  <si>
    <t>Одинцово, Верхне-Пролетарская, 31</t>
  </si>
  <si>
    <t>Одинцово, Бирюзова, 2</t>
  </si>
  <si>
    <t>ВНИИССОК, Березовая, 11</t>
  </si>
  <si>
    <t>БЗРИ, БЗРИ, 4</t>
  </si>
  <si>
    <t>Установка двери</t>
  </si>
  <si>
    <t>Услуги по доставке счетов- квитанций</t>
  </si>
  <si>
    <t>Транспортный налог</t>
  </si>
  <si>
    <t>Усово, -, 62</t>
  </si>
  <si>
    <t>Усово Тупик, -, 5</t>
  </si>
  <si>
    <t>Усово Тупик, -, 3</t>
  </si>
  <si>
    <t>Усово Тупик, -, 20</t>
  </si>
  <si>
    <t>Усово Тупик, -, 12</t>
  </si>
  <si>
    <t>Усово Тупик, -, 11</t>
  </si>
  <si>
    <t>Одинцово, Союзная, 28</t>
  </si>
  <si>
    <t>Одинцово, Северная, 62</t>
  </si>
  <si>
    <t>Одинцово, Северная, 44</t>
  </si>
  <si>
    <t>Одинцово, Садовая, 30</t>
  </si>
  <si>
    <t>Одинцово, Неделина, 7</t>
  </si>
  <si>
    <t>Одинцово, Неделина, 5</t>
  </si>
  <si>
    <t>Одинцово, Можайское шоссе, 94</t>
  </si>
  <si>
    <t>Одинцово, Можайское шоссе, 92</t>
  </si>
  <si>
    <t>Одинцово, Можайское шоссе, 90</t>
  </si>
  <si>
    <t>Одинцово, Можайское шоссе, 88</t>
  </si>
  <si>
    <t>Одинцово, Можайское шоссе, 86</t>
  </si>
  <si>
    <t>Одинцово, Можайское шоссе, 84</t>
  </si>
  <si>
    <t>Одинцово, Можайское шоссе, 82</t>
  </si>
  <si>
    <t>Одинцово, Можайское шоссе, 80</t>
  </si>
  <si>
    <t>Одинцово, Можайское шоссе, 70</t>
  </si>
  <si>
    <t>Одинцово, Можайское шоссе, 62</t>
  </si>
  <si>
    <t>Одинцово, Можайское шоссе, 58</t>
  </si>
  <si>
    <t>Одинцово, Можайское шоссе, 54</t>
  </si>
  <si>
    <t>Одинцово, Можайское шоссе, 52</t>
  </si>
  <si>
    <t>Одинцово, Можайское шоссе, 48</t>
  </si>
  <si>
    <t>Одинцово, Можайское шоссе, 46</t>
  </si>
  <si>
    <t>Одинцово, Можайское шоссе, 42</t>
  </si>
  <si>
    <t>Одинцово, Можайское шоссе, 41</t>
  </si>
  <si>
    <t>Одинцово, Можайское шоссе, 40</t>
  </si>
  <si>
    <t>Одинцово, Можайское шоссе, 38</t>
  </si>
  <si>
    <t>Одинцово, Можайское шоссе, 36</t>
  </si>
  <si>
    <t>Одинцово, Можайское шоссе, 30</t>
  </si>
  <si>
    <t>Одинцово, Можайское шоссе, 26</t>
  </si>
  <si>
    <t>Одинцово, Можайское шоссе, 25</t>
  </si>
  <si>
    <t>Одинцово, Можайское шоссе, 23</t>
  </si>
  <si>
    <t>Одинцово, Можайское шоссе, 15</t>
  </si>
  <si>
    <t>Одинцово, Можайское шоссе, 132</t>
  </si>
  <si>
    <t>Одинцово, Можайское шоссе, 120, ЖЭУ-8</t>
  </si>
  <si>
    <t>Одинцово, Можайское шоссе, 118</t>
  </si>
  <si>
    <t>Одинцово, Можайское шоссе, 116</t>
  </si>
  <si>
    <t>Одинцово, Можайское шоссе, 114</t>
  </si>
  <si>
    <t>Одинцово, Можайское шоссе, 112</t>
  </si>
  <si>
    <t>Одинцово, Можайское шоссе, 110</t>
  </si>
  <si>
    <t>Одинцово, Можайское шоссе, 104</t>
  </si>
  <si>
    <t>Одинцово, Можайское шоссе, 102</t>
  </si>
  <si>
    <t>Одинцово, Крылова, 3</t>
  </si>
  <si>
    <t>Одинцово, Крылова, 1</t>
  </si>
  <si>
    <t>Одинцово, Комсомольская, 6</t>
  </si>
  <si>
    <t>Одинцово, Комсомольская, 2</t>
  </si>
  <si>
    <t>Одинцово, Жукова, 7/2</t>
  </si>
  <si>
    <t>Одинцово, Жукова, 7/1</t>
  </si>
  <si>
    <t>Одинцово, Жукова, 47</t>
  </si>
  <si>
    <t>Одинцово, Жукова, 45</t>
  </si>
  <si>
    <t>Одинцово, Жукова, 43</t>
  </si>
  <si>
    <t>Одинцово, Жукова, 41</t>
  </si>
  <si>
    <t>Одинцово, Жукова, 4</t>
  </si>
  <si>
    <t>Одинцово, Жукова, 37</t>
  </si>
  <si>
    <t>Одинцово, Жукова, 35</t>
  </si>
  <si>
    <t>Одинцово, Жукова, 33</t>
  </si>
  <si>
    <t>Одинцово, Жукова, 29</t>
  </si>
  <si>
    <t>Одинцово, Жукова, 27</t>
  </si>
  <si>
    <t>Одинцово, Жукова, 25</t>
  </si>
  <si>
    <t>Одинцово, Жукова, 21</t>
  </si>
  <si>
    <t>Одинцово, Жукова, 19, ЖЭУ-1</t>
  </si>
  <si>
    <t>Одинцово, Жукова, 17</t>
  </si>
  <si>
    <t>Одинцово, Жукова, 16</t>
  </si>
  <si>
    <t>Одинцово, Жукова, 15, ЖЭУ-10</t>
  </si>
  <si>
    <t>Одинцово, Жукова, 14</t>
  </si>
  <si>
    <t>Одинцово, Жукова, 13</t>
  </si>
  <si>
    <t>Одинцово, Жукова, 12</t>
  </si>
  <si>
    <t>Одинцово, Жукова, 10</t>
  </si>
  <si>
    <t>Одинцово, Глазынинская, 4</t>
  </si>
  <si>
    <t>Одинцово, Глазынинская, 24</t>
  </si>
  <si>
    <t>Одинцово, Глазынинская, 22</t>
  </si>
  <si>
    <t>Одинцово, Глазынинская, 20</t>
  </si>
  <si>
    <t>Одинцово, Глазынинская, 2</t>
  </si>
  <si>
    <t>Одинцово, Глазынинская, 14</t>
  </si>
  <si>
    <t>Одинцово, Глазынинская, 12</t>
  </si>
  <si>
    <t>Одинцово, Глазынинская, 10</t>
  </si>
  <si>
    <t>Одинцово, Вокзальная, 69</t>
  </si>
  <si>
    <t>Одинцово, Бульвар Любы Новоселовой, 9</t>
  </si>
  <si>
    <t>Одинцово, Бульвар Любы Новоселовой, 4</t>
  </si>
  <si>
    <t>Одинцово, Бульвар Любы Новоселовой, 2А</t>
  </si>
  <si>
    <t>Одинцово, Бульвар Любы Новоселовой, 2</t>
  </si>
  <si>
    <t>Одинцово, Бульвар Любы Новоселовой, 15</t>
  </si>
  <si>
    <t>Одинцово, Бульвар Любы Новоселовой, 13</t>
  </si>
  <si>
    <t>Одинцово, Бульвар Любы Новоселовой, 11</t>
  </si>
  <si>
    <t>Одинцово, Бульвар Любы Новоселовой, 10А</t>
  </si>
  <si>
    <t>Одинцово, Бульвар Любы Новоселовой, 10/2</t>
  </si>
  <si>
    <t>Одинцово, Бульвар Любы Новоселовой, 10/1</t>
  </si>
  <si>
    <t>Одинцово, Бульвар Любы Новоселовой, 1</t>
  </si>
  <si>
    <t>Одинцово, Бирюзова, 8</t>
  </si>
  <si>
    <t>Одинцово, Бирюзова, 6</t>
  </si>
  <si>
    <t>Одинцово, Бирюзова, 4</t>
  </si>
  <si>
    <t>Одинцово, Бирюзова, 30, б</t>
  </si>
  <si>
    <t>Одинцово, Бирюзова, 30</t>
  </si>
  <si>
    <t>Одинцово, Бирюзова, 28</t>
  </si>
  <si>
    <t>Одинцово, Бирюзова, 26</t>
  </si>
  <si>
    <t>Одинцово, Бирюзова, 24/2</t>
  </si>
  <si>
    <t>Одинцово, Бирюзова, 24/1</t>
  </si>
  <si>
    <t>Одинцово, Бирюзова, 20</t>
  </si>
  <si>
    <t>Одинцово, Бирюзова, 18</t>
  </si>
  <si>
    <t>Одинцово, Бирюзова, 16</t>
  </si>
  <si>
    <t>Одинцово, Бирюзова, 14</t>
  </si>
  <si>
    <t>Одинцово, Бирюзова, 10</t>
  </si>
  <si>
    <t>Одинцово, Баковская, 8</t>
  </si>
  <si>
    <t>Одинцово, 1-я Вокзальная, 52</t>
  </si>
  <si>
    <t>Одинцово, 1-я Вокзальная, 50</t>
  </si>
  <si>
    <t>Одинцово, 1-я Вокзальная, 48</t>
  </si>
  <si>
    <t>Одинцово, 1-я Вокзальная, 46</t>
  </si>
  <si>
    <t>Одинцово, 1-я Вокзальная, 43</t>
  </si>
  <si>
    <t>Одинцово, 1-я Вокзальная, 41</t>
  </si>
  <si>
    <t>Огарево, Огарево, 6</t>
  </si>
  <si>
    <t>Огарево, Огарево, 4</t>
  </si>
  <si>
    <t>БЗРИ, БЗРИ, 8</t>
  </si>
  <si>
    <t>БЗРИ, БЗРИ, 7</t>
  </si>
  <si>
    <t>БЗРИ, БЗРИ, 6</t>
  </si>
  <si>
    <t>БЗРИ, БЗРИ, 5</t>
  </si>
  <si>
    <t>БЗРИ, БЗРИ, 2</t>
  </si>
  <si>
    <t>БЗРИ, БЗРИ, 1</t>
  </si>
  <si>
    <t>Баковка, Буденовское шоссе, 9</t>
  </si>
  <si>
    <t>Баковка, Буденовское шоссе, 11</t>
  </si>
  <si>
    <t>ТО газового оборудования</t>
  </si>
  <si>
    <t>Одинцово, Ново-Спортивная, 16, 1</t>
  </si>
  <si>
    <t>ВНИИССОК, Рябиновая, 3</t>
  </si>
  <si>
    <t>Технологическое присоединение энергопринемающих устройств к электрической сети</t>
  </si>
  <si>
    <t>ВНИИССОК, Рябиновая, 9</t>
  </si>
  <si>
    <t>ВНИИССОК, Рябиновая, 8</t>
  </si>
  <si>
    <t>ВНИИССОК, Рябиновая, 7</t>
  </si>
  <si>
    <t>ВНИИССОК, Рябиновая, 6</t>
  </si>
  <si>
    <t>ВНИИССОК, Рябиновая, 4</t>
  </si>
  <si>
    <t>ВНИИССОК, Рябиновая, 10</t>
  </si>
  <si>
    <t>ВНИИССОК, Рябиновая, 1</t>
  </si>
  <si>
    <t>ВНИИССОК, Дружбы, 9</t>
  </si>
  <si>
    <t>ВНИИССОК, Дружбы, 8</t>
  </si>
  <si>
    <t>ВНИИССОК, Дружбы, 7</t>
  </si>
  <si>
    <t>ВНИИССОК, Дружбы, 6</t>
  </si>
  <si>
    <t>ВНИИССОК, Дружбы, 4</t>
  </si>
  <si>
    <t>ВНИИССОК, Дружбы, 27</t>
  </si>
  <si>
    <t>ВНИИССОК, Дружбы, 21</t>
  </si>
  <si>
    <t>ВНИИССОК, Дружбы, 17</t>
  </si>
  <si>
    <t>ВНИИССОК, Дружбы, 13</t>
  </si>
  <si>
    <t>ВНИИССОК, Дружбы, 10</t>
  </si>
  <si>
    <t>ВНИИССОК, Дружбы, 1</t>
  </si>
  <si>
    <t>ВНИИССОК, Березовая, 9</t>
  </si>
  <si>
    <t>ВНИИССОК, Березовая, 8</t>
  </si>
  <si>
    <t>ВНИИССОК, Березовая, 6</t>
  </si>
  <si>
    <t>ВНИИССОК, Березовая, 5</t>
  </si>
  <si>
    <t>ВНИИССОК, Березовая, 4</t>
  </si>
  <si>
    <t>ВНИИССОК, Березовая, 1</t>
  </si>
  <si>
    <t>Техническое обслуживание ИТП</t>
  </si>
  <si>
    <t>Тех. обслуживание систем противопожарной защиты зданий</t>
  </si>
  <si>
    <t>Телефонные переговоры</t>
  </si>
  <si>
    <t>Страховые взносы</t>
  </si>
  <si>
    <t>Страхование лифтов и др.имущества</t>
  </si>
  <si>
    <t>страхование гражданской ответственности</t>
  </si>
  <si>
    <t>страхование автотранспортных средств</t>
  </si>
  <si>
    <t>Стоимость услуг по ЕПД</t>
  </si>
  <si>
    <t>Списание материалов в эксплуат</t>
  </si>
  <si>
    <t>Усово Тупик, Усово Тупик, 9</t>
  </si>
  <si>
    <t>Усово Тупик, -, 13</t>
  </si>
  <si>
    <t>Усово Тупик, -, 1</t>
  </si>
  <si>
    <t>Одинцово, Чикина, 17</t>
  </si>
  <si>
    <t>Одинцово, Советская, 1</t>
  </si>
  <si>
    <t>Одинцово, Северная, 8</t>
  </si>
  <si>
    <t>Одинцово, Северная, 6</t>
  </si>
  <si>
    <t>Одинцово, Северная, 54</t>
  </si>
  <si>
    <t>Одинцово, Северная, 52</t>
  </si>
  <si>
    <t>Одинцово, Северная, 50</t>
  </si>
  <si>
    <t>Одинцово, Северная, 48</t>
  </si>
  <si>
    <t>Одинцово, Северная, 46</t>
  </si>
  <si>
    <t>Одинцово, Северная, 42</t>
  </si>
  <si>
    <t>Одинцово, Северная, 36</t>
  </si>
  <si>
    <t>Одинцово, Северная, 32</t>
  </si>
  <si>
    <t>Одинцово, Северная, 30</t>
  </si>
  <si>
    <t>Одинцово, Северная, 28</t>
  </si>
  <si>
    <t>Одинцово, Северная, 26</t>
  </si>
  <si>
    <t>Одинцово, Северная, 24</t>
  </si>
  <si>
    <t>Одинцово, Северная, 16</t>
  </si>
  <si>
    <t>Одинцово, Северная, 14</t>
  </si>
  <si>
    <t>Одинцово, Северная, 12</t>
  </si>
  <si>
    <t>Одинцово, Садовая, 26</t>
  </si>
  <si>
    <t>Одинцово, Ново-Спортивная, 20, 2</t>
  </si>
  <si>
    <t>Одинцово, Ново-Спортивная, 20, 1</t>
  </si>
  <si>
    <t>Одинцово, Ново-Спортивная, 18, 2</t>
  </si>
  <si>
    <t>Одинцово, Ново-Спортивная, 18, 1</t>
  </si>
  <si>
    <t>Одинцово, Ново-Спортивная, 16, 2</t>
  </si>
  <si>
    <t>Одинцово, Ново-Спортивная, 10</t>
  </si>
  <si>
    <t>Одинцово, Молодежная, 1Б</t>
  </si>
  <si>
    <t>Одинцово, Молодежная, 1А</t>
  </si>
  <si>
    <t>Одинцово, Можайское шоссе, 76</t>
  </si>
  <si>
    <t>Одинцово, Можайское шоссе, 32</t>
  </si>
  <si>
    <t>Одинцово, Можайское шоссе, 136</t>
  </si>
  <si>
    <t>Одинцово, Можайское шоссе, 134</t>
  </si>
  <si>
    <t>Одинцово, Можайское шоссе, 108А</t>
  </si>
  <si>
    <t>Одинцово, Можайское шоссе, 108</t>
  </si>
  <si>
    <t>Одинцово, Можайское шоссе, 106</t>
  </si>
  <si>
    <t>Одинцово, Можайское шоссе, 100, ЖЭУ-8</t>
  </si>
  <si>
    <t>Одинцово, Крылова, 27</t>
  </si>
  <si>
    <t>Одинцово, Жукова, 7</t>
  </si>
  <si>
    <t>Одинцово, Жукова, 49</t>
  </si>
  <si>
    <t>Одинцово, Жукова, 1, А</t>
  </si>
  <si>
    <t>Одинцово, Говорова, 8</t>
  </si>
  <si>
    <t>Одинцово, Говорова, 40</t>
  </si>
  <si>
    <t>Одинцово, Говорова, 38</t>
  </si>
  <si>
    <t>Одинцово, Вокзальная, 9</t>
  </si>
  <si>
    <t>Одинцово, Вокзальная, 51</t>
  </si>
  <si>
    <t>Одинцово, Вокзальная, 35</t>
  </si>
  <si>
    <t>Одинцово, Вокзальная, 11</t>
  </si>
  <si>
    <t>Одинцово, Бульвар Любы Новоселовой, 4А</t>
  </si>
  <si>
    <t>Одинцово, Бульвар Любы Новоселовой, 12а,</t>
  </si>
  <si>
    <t>Одинцово, Бульвар Любы Новоселовой, 12,</t>
  </si>
  <si>
    <t>Одинцово, Бульвар Любы Новоселовой, 10</t>
  </si>
  <si>
    <t>Одинцово, Бирюзова, 24</t>
  </si>
  <si>
    <t>Одинцово, Бирюзова, 2 А</t>
  </si>
  <si>
    <t>Одинцово, БЗРИ, 5</t>
  </si>
  <si>
    <t>Одинцово, БЗРИ, 4</t>
  </si>
  <si>
    <t>Одинцово, БЗРИ, 2</t>
  </si>
  <si>
    <t>Одинцово, БЗРИ, 1</t>
  </si>
  <si>
    <t>Одинцово, Баковская, 4</t>
  </si>
  <si>
    <t>Одинцово, Баковская, 2</t>
  </si>
  <si>
    <t>Одинцово, 1-я Вокзальная, 53</t>
  </si>
  <si>
    <t>Одинцово, 1-я Вокзальная, 47</t>
  </si>
  <si>
    <t>Одинцово, 1-я Вокзальная, 45</t>
  </si>
  <si>
    <t>Одинцово , Жукова , 23 , 1</t>
  </si>
  <si>
    <t>Жаворонки, 7 Советская, 41</t>
  </si>
  <si>
    <t>Голицыно с.Покровское, Дачная, 17 А</t>
  </si>
  <si>
    <t>Голицыно с.Покровское, Дачная, 17</t>
  </si>
  <si>
    <t>Списание материалов в производство</t>
  </si>
  <si>
    <t>списание материалов (РСГ)</t>
  </si>
  <si>
    <t>списание материалов (ПТБ)</t>
  </si>
  <si>
    <t>Списание материалов (ЖЭУ общие)</t>
  </si>
  <si>
    <t>списание материалов (ГСМ)</t>
  </si>
  <si>
    <t>Одинцово, Союзная, 24</t>
  </si>
  <si>
    <t>Одинцово, Комсомольская, 7А</t>
  </si>
  <si>
    <t>Одинцово, Верхне-Пролетарская, 1, 1</t>
  </si>
  <si>
    <t>Содержание и техническое обслуживание общего имущества жилищного фонда</t>
  </si>
  <si>
    <t>Одинцово, Союзная, 4</t>
  </si>
  <si>
    <t>Одинцово, Союзная, 36</t>
  </si>
  <si>
    <t>Одинцово, Союзная, 30</t>
  </si>
  <si>
    <t>Одинцово, Союзная, 26</t>
  </si>
  <si>
    <t>Одинцово, Союзная, 10</t>
  </si>
  <si>
    <t>Одинцово, Сосновая, 30</t>
  </si>
  <si>
    <t>Одинцово, Сосновая, 12</t>
  </si>
  <si>
    <t>Одинцово, Солнечная, 9</t>
  </si>
  <si>
    <t>Одинцово, Солнечная, 8, ЖЭУ-7</t>
  </si>
  <si>
    <t>Одинцово, Солнечная, 6</t>
  </si>
  <si>
    <t>Одинцово, Солнечная, 4</t>
  </si>
  <si>
    <t>Одинцово, Солнечная, 3</t>
  </si>
  <si>
    <t>Одинцово, Солнечная, 2а, ЖЭУ-6</t>
  </si>
  <si>
    <t>Одинцово, Солнечная, 24</t>
  </si>
  <si>
    <t>Одинцово, Солнечная, 12</t>
  </si>
  <si>
    <t>Одинцово, Солнечная, 10</t>
  </si>
  <si>
    <t>Одинцово, Комсомольская, 9</t>
  </si>
  <si>
    <t>Одинцово, Комсомольская, 7</t>
  </si>
  <si>
    <t>Одинцово, Комсомольская, 4</t>
  </si>
  <si>
    <t>Одинцово, Верхне-Пролетарская, 45</t>
  </si>
  <si>
    <t>Одинцово, Верхне-Пролетарская, 43</t>
  </si>
  <si>
    <t>Одинцово, Верхне-Пролетарская, 37</t>
  </si>
  <si>
    <t>Одинцово, Верхне-Пролетарская, 33</t>
  </si>
  <si>
    <t>Одинцово, Верхне-Пролетарская, 3    , 2</t>
  </si>
  <si>
    <t>Одинцово, Верхне-Пролетарская, 3    , 1</t>
  </si>
  <si>
    <t>Одинцово, Верхне-Пролетарская, 29, ЖЭУ-2</t>
  </si>
  <si>
    <t>Одинцово, Верхне-Пролетарская, 1, 2</t>
  </si>
  <si>
    <t>Содержание и текущий ремонт общего имущества собственников помещений МКД</t>
  </si>
  <si>
    <t>Смена водосточных труб</t>
  </si>
  <si>
    <t>Санитарное содержание мест общего пользования и прилегающей территории к многоквартирным домам</t>
  </si>
  <si>
    <t>Ремонтные работы</t>
  </si>
  <si>
    <t>Ремонт цоколя</t>
  </si>
  <si>
    <t>Ремонт фасада</t>
  </si>
  <si>
    <t>Ремонт системы горячего водоснабжения (ГВС)</t>
  </si>
  <si>
    <t>Ремонт помещения</t>
  </si>
  <si>
    <t>ремонт подъезда</t>
  </si>
  <si>
    <t>Одинцово, Говорова, 8 а</t>
  </si>
  <si>
    <t>Одинцово, Бирюзова, 28/2</t>
  </si>
  <si>
    <t>Одинцово, Бирюзова, 28/1, ЖЭУ-1</t>
  </si>
  <si>
    <t>РЕМОНТ ПОДЪЕЗДА</t>
  </si>
  <si>
    <t>Ремонт МОП</t>
  </si>
  <si>
    <t>РЕМОНТ КРЫЛЬЦА</t>
  </si>
  <si>
    <t>Огарево, -, 4</t>
  </si>
  <si>
    <t>РЕМОНТ КРОВЛИ НАД КВАРТИРАМИ</t>
  </si>
  <si>
    <t>Ремонт кровли козырька</t>
  </si>
  <si>
    <t xml:space="preserve">РЕМОНТ КРОВЛИ </t>
  </si>
  <si>
    <t>Ремонт козырька</t>
  </si>
  <si>
    <t>Одинцово, Союзная, 32</t>
  </si>
  <si>
    <t>Ремонт входных групп</t>
  </si>
  <si>
    <t>Ремонт водосточных труб</t>
  </si>
  <si>
    <t>Ремонт вентиляционных труб</t>
  </si>
  <si>
    <t>Ремонт балкона</t>
  </si>
  <si>
    <t>Одинцово, Солнечная, 2</t>
  </si>
  <si>
    <t>Ремонт асфальтового покрытия</t>
  </si>
  <si>
    <t>ремонт автотранспорта</t>
  </si>
  <si>
    <t>Резервы предстоящих расходов</t>
  </si>
  <si>
    <t>Резерв предстоящих расходов (резерв отпусков)</t>
  </si>
  <si>
    <t>Прочистка внутридомой канализации</t>
  </si>
  <si>
    <t>Прочие расходы</t>
  </si>
  <si>
    <t>Промывка системы отопления</t>
  </si>
  <si>
    <t>Проверка теплосчетчиков</t>
  </si>
  <si>
    <t>проверка вентиляционных и дымоходных каналов</t>
  </si>
  <si>
    <t>Очистка кровли от снега, наледи и сосулек</t>
  </si>
  <si>
    <t>Откидной пандус для дет. колясок</t>
  </si>
  <si>
    <t>Оплата труда</t>
  </si>
  <si>
    <t>Оплата больничного</t>
  </si>
  <si>
    <t>Оказание услуг по ведению информационной базы по учету лиц, зарегистрированных в жилищном фонде</t>
  </si>
  <si>
    <t>обучение, консультации</t>
  </si>
  <si>
    <t>Усово Тупик, -, все</t>
  </si>
  <si>
    <t>Одинцово, Бульвар Любы Новоселовой, 25</t>
  </si>
  <si>
    <t>Мамоново, Вокзальная, 51</t>
  </si>
  <si>
    <t>Обслуживание лифтов</t>
  </si>
  <si>
    <t>Мытье окон с применением альпинистского снаряжения</t>
  </si>
  <si>
    <t>монтаж/демонтаж</t>
  </si>
  <si>
    <t>Канализация ОДН</t>
  </si>
  <si>
    <t>Интернет</t>
  </si>
  <si>
    <t>Зарплата" текущий ремонт"</t>
  </si>
  <si>
    <t>Зарплата АУП (домоуправления)</t>
  </si>
  <si>
    <t>Замена стеклопакета</t>
  </si>
  <si>
    <t>Замена окон</t>
  </si>
  <si>
    <t>Домофон</t>
  </si>
  <si>
    <t>Горячая вода (энергия) ОДН</t>
  </si>
  <si>
    <t>Горячая вода (носитель) ОДН</t>
  </si>
  <si>
    <t xml:space="preserve">Герметизация межпанельных швов </t>
  </si>
  <si>
    <t>Вывоз мусора КГМ</t>
  </si>
  <si>
    <t>Восстановление тяги вентиляционных каналов</t>
  </si>
  <si>
    <t>Водоснабжение ОДН</t>
  </si>
  <si>
    <t>Взносы в ФСС от НС и ПЗ</t>
  </si>
  <si>
    <t>Амортизация ОС</t>
  </si>
  <si>
    <t>Амортизация  ОС</t>
  </si>
  <si>
    <t>Амортизация</t>
  </si>
  <si>
    <t>Агентское вознаграждение по взысканию дебиторской задолженности договор №812463219 от 22.08.19</t>
  </si>
  <si>
    <t>Агентское вознаграждение</t>
  </si>
  <si>
    <t>Аварийно-техническое обслуживание многоквартирных домов</t>
  </si>
  <si>
    <t>Содержание и текущий ремонт</t>
  </si>
  <si>
    <t>Теплоэнергия</t>
  </si>
  <si>
    <t>ЖБО</t>
  </si>
  <si>
    <t xml:space="preserve">Горячая вода </t>
  </si>
  <si>
    <t>Канализация</t>
  </si>
  <si>
    <t>Газ для населения</t>
  </si>
  <si>
    <t>АГВ и газ</t>
  </si>
  <si>
    <t>20.01</t>
  </si>
  <si>
    <t>Адрес наш</t>
  </si>
  <si>
    <t>Статьи затрат</t>
  </si>
  <si>
    <t>Кредит</t>
  </si>
  <si>
    <t>Дебет</t>
  </si>
  <si>
    <t>Номенклатурные группы</t>
  </si>
  <si>
    <t>Сальдо на конец периода</t>
  </si>
  <si>
    <t>Обороты за период</t>
  </si>
  <si>
    <t>Сальдо на начало периода</t>
  </si>
  <si>
    <t>Счет</t>
  </si>
  <si>
    <t>Выводимые данные: БУ (данные бухгалтерского учета)</t>
  </si>
  <si>
    <t>Оборотно-сальдовая ведомость по счету 20.01 за 2024 г.</t>
  </si>
  <si>
    <t xml:space="preserve">АО "Управление жилищного хозяйства"                              </t>
  </si>
  <si>
    <t>25</t>
  </si>
  <si>
    <t>Оборотно-сальдовая ведомость по счету 25 за 2024 г.</t>
  </si>
  <si>
    <t>Техническое сопровождение программного обеспечения</t>
  </si>
  <si>
    <t>Списание материалов (АУП)</t>
  </si>
  <si>
    <t>Списание материалов</t>
  </si>
  <si>
    <t>разъездные расходы</t>
  </si>
  <si>
    <t>Програмное обеспечение</t>
  </si>
  <si>
    <t xml:space="preserve">Проведение экспертизы </t>
  </si>
  <si>
    <t>Проведение переодического медицинского осмотра</t>
  </si>
  <si>
    <t>почта</t>
  </si>
  <si>
    <t>лицензии</t>
  </si>
  <si>
    <t>Консультационные услуги</t>
  </si>
  <si>
    <t>Информационные услуги</t>
  </si>
  <si>
    <t xml:space="preserve">Информационные услуги </t>
  </si>
  <si>
    <t>Зарплата АУП (управление МУП)</t>
  </si>
  <si>
    <t>Взносы на кап. ремонт</t>
  </si>
  <si>
    <t>Аудиторские услуги</t>
  </si>
  <si>
    <t>Аренда водонагревателя</t>
  </si>
  <si>
    <t>Абон.плата за услуги по ведению и хранению реестра владельцев именных ценных бумаг</t>
  </si>
  <si>
    <t>26</t>
  </si>
  <si>
    <t>Оборотно-сальдовая ведомость по счету 26 за 2024 г.</t>
  </si>
  <si>
    <t>Все</t>
  </si>
  <si>
    <t>г.Одинцово, Маршала Жукова, 23 к.1</t>
  </si>
  <si>
    <t>Замена окон/стеклопакетов</t>
  </si>
  <si>
    <t>Лифты</t>
  </si>
  <si>
    <t>МФЦ</t>
  </si>
  <si>
    <t>г.Одинцово, 1-я Вокзальная, 45</t>
  </si>
  <si>
    <t>г.Одинцово, 1-я Вокзальная, 47</t>
  </si>
  <si>
    <t>г.Одинцово, 1-я Вокзальная, 48</t>
  </si>
  <si>
    <t>г.Одинцово, 1-я Вокзальная, 53</t>
  </si>
  <si>
    <t>Ремонт козырька, кровли козырька</t>
  </si>
  <si>
    <t>г.Одинцово, Маршала Жукова, 27</t>
  </si>
  <si>
    <t>Ремонт МОП/подъезда</t>
  </si>
  <si>
    <t>г.Одинцово, Маршала Бирюзова, 10</t>
  </si>
  <si>
    <t>Ремонт системы ГВС</t>
  </si>
  <si>
    <t>Уборка МОП</t>
  </si>
  <si>
    <t>г.Одинцово, Верхне-Пролетарская, 43</t>
  </si>
  <si>
    <t>г.Одинцово, Верхне-Пролетарская, 45</t>
  </si>
  <si>
    <t>Материалы, ГСМ</t>
  </si>
  <si>
    <t>ЕИРЦ</t>
  </si>
  <si>
    <t>Членство в организациях</t>
  </si>
  <si>
    <t>Услуги банка</t>
  </si>
  <si>
    <t xml:space="preserve">Субсидии </t>
  </si>
  <si>
    <t>Списание ОС со 100% износом</t>
  </si>
  <si>
    <t>Списание НДС, не подтвержденного счетом-фактурой поставщика</t>
  </si>
  <si>
    <t>Списание дебиторской (кредиторской) задолженности</t>
  </si>
  <si>
    <t>Расходы по сомнительным долгам</t>
  </si>
  <si>
    <t>Расходы не основной деятельности</t>
  </si>
  <si>
    <t>Расходы на услуги банков</t>
  </si>
  <si>
    <t>Прочие услуги</t>
  </si>
  <si>
    <t>Прочие внереализационные расходы не принимаемые к НУ</t>
  </si>
  <si>
    <t>Прочие внереализационные доходы-расходы(ОТС)</t>
  </si>
  <si>
    <t>Прочие внереализационные доходы (расходы)</t>
  </si>
  <si>
    <t>Проценты к получению (уплате)</t>
  </si>
  <si>
    <t>Проценты  по кредиту</t>
  </si>
  <si>
    <t>Прибыль(убытки) прошлых периодов</t>
  </si>
  <si>
    <t>Пени, штрафы и иные санкций, перечисляемые в бюджет и не учитываемые в целях налогообложения пункт 2 статья 270 НК РФ</t>
  </si>
  <si>
    <t>Пени, штрафы и аналогичные за неисполнение договорных отношений</t>
  </si>
  <si>
    <t xml:space="preserve">НДС не учитываемый </t>
  </si>
  <si>
    <t>Налоги и сборы</t>
  </si>
  <si>
    <t>Исправительные записи по операциям прошлых лет</t>
  </si>
  <si>
    <t>Исполнительский сбор(штраф)</t>
  </si>
  <si>
    <t>Доходы (расходы), связанные с реализацией права требования как оказания финансовых услуг</t>
  </si>
  <si>
    <t>Доходы (расходы), связанные с реализацией основных средств</t>
  </si>
  <si>
    <t>Госпошлина</t>
  </si>
  <si>
    <t>Возмещение ущерба(расходов)</t>
  </si>
  <si>
    <t>Аренда помещений</t>
  </si>
  <si>
    <t>91.02</t>
  </si>
  <si>
    <t>Прочие доходы и расходы</t>
  </si>
  <si>
    <t>Оборотно-сальдовая ведомость по счету 91.02 за 2024 г.</t>
  </si>
  <si>
    <t>Обороты за период и сальдо на конец</t>
  </si>
  <si>
    <t>51</t>
  </si>
  <si>
    <t>БАНК ГПБ (АО) (Расчетный)
Пени, штрафы</t>
  </si>
  <si>
    <t>Пени, штрафы и иные санкций, перечисляемые в бюджет и не учитываемые в целях налогообложения пункт 2 статья 270 НК РФ
&lt;...&gt;пени, штрафы, неустойки</t>
  </si>
  <si>
    <t>Списание с расчетного счета 00БП-004910 от 06.12.2024 14:57:57
Штраф по постановлению N 5/1692/3ЛК/КНМ  от 21.11.2024    УИН 0316223411411067687440114 по вх.д. 4605 от 06.12.2024</t>
  </si>
  <si>
    <t>06.12.2024</t>
  </si>
  <si>
    <t>Списание с расчетного счета 00БП-004909 от 06.12.2024 14:57:56
Оплата  по исполнительному производству  N 431014/24/50026-ИП от 04.12..2024  ( дело N 5/2225/3Р от 22.05.2024) по вх.д. 4604 от 06.12.2024</t>
  </si>
  <si>
    <t>Списание с расчетного счета 00БП-004356 от 30.10.2024 17:14:20
Оплата по постановлению 18810550241029877141 от 29.10.2024 по вх.д. 4085 от 30.10.2024</t>
  </si>
  <si>
    <t>30.10.2024</t>
  </si>
  <si>
    <t>Списание с расчетного счета 00БП-004340 от 28.10.2024 14:12:21
Штраф по постановлению № 5/1772/27Р  от 24.10.2024 по вх.д. 4069 от 28.10.2024</t>
  </si>
  <si>
    <t>28.10.2024</t>
  </si>
  <si>
    <t>Списание с расчетного счета 00БП-004339 от 28.10.2024 14:12:09
Штраф по постановлению № 5/2225/34Р  от 21.10.2024 по вх.д. 4068 от 28.10.2024</t>
  </si>
  <si>
    <t>Списание с расчетного счета 00БП-004338 от 28.10.2024 14:11:57
Штраф по постановлению № 5/2225/35Р  от 21.10.2024 по вх.д. 4067 от 28.10.2024</t>
  </si>
  <si>
    <t>Списание с расчетного счета 00БП-004193 от 16.10.2024 12:47:26
Штраф по постановлению № 5/2246/19Р  от 09.10.2024 по вх.д. 3936 от 16.10.2024</t>
  </si>
  <si>
    <t>16.10.2024</t>
  </si>
  <si>
    <t>Списание с расчетного счета 00БП-004192 от 16.10.2024 12:47:14
Штраф по постановлению № 5/1853/50Р  от 15.10.2024 по вх.д. 3935 от 16.10.2024</t>
  </si>
  <si>
    <t>Списание с расчетного счета 00БП-003900 от 03.10.2024 14:07:55
Штраф по постановлению N5/1554/5Р Минист. по содерж. территорий и государственному жилищному надзору Московской области по вх.д. 3657 от 03.10.2024</t>
  </si>
  <si>
    <t>03.10.2024</t>
  </si>
  <si>
    <t>Списание с расчетного счета 00БП-003684 от 16.09.2024 18:22:28
Штраф по постановлению №5/2128/9ЛК/КНМ  Министерства по содержанию территорий и государственному жилищному надзору Московской области по вх.д. 3335 от</t>
  </si>
  <si>
    <t>16.09.2024</t>
  </si>
  <si>
    <t>Списание с расчетного счета 00БП-003150 от 14.08.2024 14:36:33
Административные штрафы ответственности за правонарушения в сфере благоустройства № 5/2246/3Р от 07.08.2024 по вх.д. 2930 от 14.08.2024</t>
  </si>
  <si>
    <t>14.08.2024</t>
  </si>
  <si>
    <t>Списание с расчетного счета 00БП-003003 от 05.08.2024 14:29:12
Административные штрафы ответственности за правонарушения в сфере благоустройства № 5/1966/4ЛК/КНМ от 01.08.2024 по вх.д. 2802 от 05.08.2024</t>
  </si>
  <si>
    <t>05.08.2024</t>
  </si>
  <si>
    <t>Списание с расчетного счета 00БП-003002 от 05.08.2024 14:28:47
Административные штрафы ответственности за правонарушения в сфере благоустройства № 5/2213/3ЛК/КНМ от 01.08.2024 по вх.д. 2801 от 05.08.2024</t>
  </si>
  <si>
    <t>Списание с расчетного счета 00БП-002783 от 15.07.2024 14:14:44
Административные штрафы ответственности за правонарушения в сфере благоустройства № 5/2213/2ЛК/КНМ от 11.07.2024 по вх.д. 2612 от 15.07.2024</t>
  </si>
  <si>
    <t>15.07.2024</t>
  </si>
  <si>
    <t>Списание с расчетного счета 00БП-002146 от 28.05.2024 13:59:14
Административные штрафы ответственности за правонарушения в сфере благоустройства № 5/1721/45Р от 21.05.2024 по вх.д. 2044 от 28.05.2024</t>
  </si>
  <si>
    <t>28.05.2024</t>
  </si>
  <si>
    <t>Списание с расчетного счета 00БП-001980 от 16.05.2024 14:10:27
Административные штрафы ответственности за правонарушения в сфере благоустройства № 5/2225/2Р от 13.05.2024 по вх.д. 1904 от 16.05.2024</t>
  </si>
  <si>
    <t>16.05.2024</t>
  </si>
  <si>
    <t>Списание с расчетного счета 00БП-001979 от 16.05.2024 14:10:16
Административные штрафы ответственности за правонарушения в сфере благоустройства № 5/2225/1Р от 13.05.2024 по вх.д. 1903 от 16.05.2024</t>
  </si>
  <si>
    <t>БАНК ГПБ (АО) (Расчетный)
Штраф, пени</t>
  </si>
  <si>
    <t>Пени, штрафы и иные санкций, перечисляемые в бюджет и не учитываемые в целях налогообложения пункт 2 статья 270 НК РФ
&lt;...&gt;пени, штрафы</t>
  </si>
  <si>
    <t>Списание с расчетного счета 00БП-000921 от 18.03.2024 17:10:35
Возврат излишне перечисленной суммы пособия по временной нетрудоспособности ЧУЙКО ВАЛЕРИЯ ФЕДОРОВИЧА СНИЛС 108-818-546 78 ЗА 2024 ГОД. по вх.д. 894 от</t>
  </si>
  <si>
    <t>18.03.2024</t>
  </si>
  <si>
    <t>Списание с расчетного счета 00БП-000332 от 05.02.2024 11:49:54
Административные штрафы ответственности за правонарушения в сфере благоустройства № 28/1721/7Р от 02.02.2024 по вх.д. 314 от 05.02.2024</t>
  </si>
  <si>
    <t>05.02.2024</t>
  </si>
  <si>
    <t>Сальдо на начало</t>
  </si>
  <si>
    <t>Текущее сальдо</t>
  </si>
  <si>
    <t>Аналитика Кт</t>
  </si>
  <si>
    <t>Аналитика Дт</t>
  </si>
  <si>
    <t>Документ</t>
  </si>
  <si>
    <t>Период</t>
  </si>
  <si>
    <t>Отбор: Прочие доходы и расходы Равно "Пени, штрафы и иные санкций, перечисляемые в бюджет и не учитываемые в целях налогообложения пункт 2 статья 270 НК РФ"</t>
  </si>
  <si>
    <t>Карточка счета 91.02 за 2024 г.</t>
  </si>
  <si>
    <t>Средняя площадь жилых и нежилых помещений за 2023г., м2</t>
  </si>
  <si>
    <t>Средняя площадь жилых и нежилых помещений за 2023г., м2 ДЛЯ МУСОРОПРОВОДОВ</t>
  </si>
  <si>
    <t>Количество лифтов</t>
  </si>
  <si>
    <t>Расчёт доли начислений на обслуживание лифтов по МКД</t>
  </si>
  <si>
    <t>ИТП / ОДПУ (Отопление)</t>
  </si>
  <si>
    <t>Количество досок по рекламе</t>
  </si>
  <si>
    <t>в т.ч. 26</t>
  </si>
  <si>
    <t>в т.ч. 91.02</t>
  </si>
  <si>
    <t>Услуги ЕИРЦ</t>
  </si>
  <si>
    <t>РАСХОДЫ ВСЕГО, руб.</t>
  </si>
  <si>
    <t>Факт размера платы на содержание ж/ф, руб./м2</t>
  </si>
  <si>
    <t>Начисления населению по услуге "Содержание ж/ф" за 2023г.</t>
  </si>
  <si>
    <t>Холодное в/с ОДН</t>
  </si>
  <si>
    <t>Горячее в/с (носитель) ОДН</t>
  </si>
  <si>
    <t>Горячее в/с (энергия) ОДН</t>
  </si>
  <si>
    <t>Водоотведение ОДН</t>
  </si>
  <si>
    <t>Электроснабжение ОДН</t>
  </si>
  <si>
    <t>Начисления по нежилым помещениям за 2023г.</t>
  </si>
  <si>
    <t>Реклама</t>
  </si>
  <si>
    <t>Прибыль/Убыток</t>
  </si>
  <si>
    <t>Оплачено населением по услуге "Содержание ж/ф" за 2023г.</t>
  </si>
  <si>
    <t>Задолженность населения по услуге СиР на конец 2023г.</t>
  </si>
  <si>
    <t>пассажирских</t>
  </si>
  <si>
    <t>грузовых</t>
  </si>
  <si>
    <t>Фонд УЖХ</t>
  </si>
  <si>
    <t>ВНИИССОК</t>
  </si>
  <si>
    <t>Усово-Тупик</t>
  </si>
  <si>
    <t>Списание материалов по ЖЭУ</t>
  </si>
  <si>
    <t>Списание материалов (база)</t>
  </si>
  <si>
    <t>Списание материалов (РСГ)</t>
  </si>
  <si>
    <t>Ремонт кровли</t>
  </si>
  <si>
    <t>Ремонт откосов</t>
  </si>
  <si>
    <t>Ремонт отмостки</t>
  </si>
  <si>
    <t>Ремонт устройства отливов</t>
  </si>
  <si>
    <t>Герметизация межпанельных швов</t>
  </si>
  <si>
    <t>Ремонт крыльца</t>
  </si>
  <si>
    <t>Установка дверей</t>
  </si>
  <si>
    <t>Ремонт вентиляции</t>
  </si>
  <si>
    <t>Монтаж/Демонтаж</t>
  </si>
  <si>
    <t>Электромонтажные работы</t>
  </si>
  <si>
    <t>Зарплата ЖЭУ</t>
  </si>
  <si>
    <t>Зарплата АДС</t>
  </si>
  <si>
    <t>Проверка теплосчётчиков</t>
  </si>
  <si>
    <t>Мытьё окон с применением альпинистского снаряжения</t>
  </si>
  <si>
    <t>Уборка снега</t>
  </si>
  <si>
    <t>Промывка системы канализации</t>
  </si>
  <si>
    <t>Проверка вентиляционных каналов</t>
  </si>
  <si>
    <t>Прочие СОИ</t>
  </si>
  <si>
    <t>Работы по звысканию дебиторской задолженности</t>
  </si>
  <si>
    <t>Юридические услуги</t>
  </si>
  <si>
    <t>Услуги по доставке ЕПД</t>
  </si>
  <si>
    <t>Прочие</t>
  </si>
  <si>
    <t>Зарплата АУП</t>
  </si>
  <si>
    <t>Зарплата ПТБ, РСГ</t>
  </si>
  <si>
    <t>Госпошлина, услуги банка</t>
  </si>
  <si>
    <t>Прочие ИТП</t>
  </si>
  <si>
    <t>Пени, штрафы</t>
  </si>
  <si>
    <t>Обслуживание и содержание лифтов (ВНИИССОК)</t>
  </si>
  <si>
    <t>Обслуживание и содержание лифтов (Усово-Тупик)</t>
  </si>
  <si>
    <t>Страхование лифтов и др. имущества</t>
  </si>
  <si>
    <t>шт.</t>
  </si>
  <si>
    <t>%</t>
  </si>
  <si>
    <t>нет</t>
  </si>
  <si>
    <t>ОДПУ</t>
  </si>
  <si>
    <t>г.Одинцово, Верхне-Пролетарская, 67</t>
  </si>
  <si>
    <t>г.Одинцово, Говорова, 8</t>
  </si>
  <si>
    <t>г.Одинцово, Говорова, 8 А</t>
  </si>
  <si>
    <t>ЖЭУ-1,2,3</t>
  </si>
  <si>
    <t>ИТП ГВС</t>
  </si>
  <si>
    <t>ИТП</t>
  </si>
  <si>
    <t>г.Одинцово, Маршала Жукова, 1 корп.А</t>
  </si>
  <si>
    <t>п.Усово-Тупик, Усово-Тупик, 4</t>
  </si>
  <si>
    <t>(площадь только по ОДПУ, кроме КШ4, Сою4, Ог6)</t>
  </si>
  <si>
    <t>(БЗРИ)</t>
  </si>
  <si>
    <t>(все, кроме ВНИИССОК)</t>
  </si>
  <si>
    <t>(все, кроме ВНИИССОК и МЖ25)</t>
  </si>
  <si>
    <t>площадь без ВНИИССОК</t>
  </si>
  <si>
    <t>Площадь</t>
  </si>
  <si>
    <t>доходы</t>
  </si>
  <si>
    <t>расходы</t>
  </si>
  <si>
    <t xml:space="preserve">Отчет об использовании денежных средств </t>
  </si>
  <si>
    <t xml:space="preserve">населения в рамках оказания услуг по управлению,  содержанию и  ремонту общего имущества </t>
  </si>
  <si>
    <t xml:space="preserve"> в многоквартирном доме за 2023г.</t>
  </si>
  <si>
    <t xml:space="preserve">по адресу: </t>
  </si>
  <si>
    <t>Общая площадь квартир/нежилых помещений</t>
  </si>
  <si>
    <t>кв. м.</t>
  </si>
  <si>
    <t>Действующий размер платы за содержание и текущий ремонт</t>
  </si>
  <si>
    <t>руб./кв.м</t>
  </si>
  <si>
    <t>Начислено за содержание и текущий ремонт</t>
  </si>
  <si>
    <t>руб.</t>
  </si>
  <si>
    <t>Оплачено за содержание и текущий ремонт</t>
  </si>
  <si>
    <t>Задолженность за услуги по содержанию и текущему ремонту ж/ф на конец 2023г.</t>
  </si>
  <si>
    <t>Дополнительный доход от использования общедомового имущества (реклама в МОП)</t>
  </si>
  <si>
    <t>№ п.п.</t>
  </si>
  <si>
    <t>Наименование работ, затрат</t>
  </si>
  <si>
    <t>Фактические расходы УК, рублей в год</t>
  </si>
  <si>
    <t>Расходы в месяц за 1 кв.м. общей площади дома</t>
  </si>
  <si>
    <t>Расходы по управлению,  содержанию и  ремонту общего имущества , итого</t>
  </si>
  <si>
    <t>1.</t>
  </si>
  <si>
    <t>Текущий ремонт общего имущества жилого дома, в т. ч.</t>
  </si>
  <si>
    <t>Ремонт и установка пандуса</t>
  </si>
  <si>
    <t>1.13</t>
  </si>
  <si>
    <t>Смена и ремонт водосточных труб</t>
  </si>
  <si>
    <t>1.14</t>
  </si>
  <si>
    <t>1.15</t>
  </si>
  <si>
    <t>1.16</t>
  </si>
  <si>
    <t>1.17</t>
  </si>
  <si>
    <t>1.18</t>
  </si>
  <si>
    <t>1.19</t>
  </si>
  <si>
    <t>1.20</t>
  </si>
  <si>
    <t>Материалы</t>
  </si>
  <si>
    <t>2.</t>
  </si>
  <si>
    <t>Содержание общего имущства в многоквартирном доме, в т.ч.</t>
  </si>
  <si>
    <t>Работы, необходимые для надлежащего содержания общедомового имущества</t>
  </si>
  <si>
    <t>3.</t>
  </si>
  <si>
    <t>Работы по управлению многоквартирным домом</t>
  </si>
  <si>
    <t>4.</t>
  </si>
  <si>
    <t>5.</t>
  </si>
  <si>
    <t>6.</t>
  </si>
  <si>
    <t>7.</t>
  </si>
  <si>
    <t>8.</t>
  </si>
  <si>
    <t>9.</t>
  </si>
  <si>
    <t>Обслуживание внутридомового газового обслуживания</t>
  </si>
  <si>
    <t>10.</t>
  </si>
  <si>
    <t>Услуги расчетного центра</t>
  </si>
  <si>
    <t>11.</t>
  </si>
  <si>
    <t>Госпошлина, штрафы, пени и прочие</t>
  </si>
  <si>
    <t>Начальник ПЭО АО "Управление жилищного хозяйства"     ____________________________________________________ Третьяков И. А.</t>
  </si>
  <si>
    <t>Генеральный директор АО "Управление жилищного хозяйства" ________________________________________________  Кочевалин С. В.</t>
  </si>
  <si>
    <t>Обороты за 2024</t>
  </si>
  <si>
    <t>ЮНИКОН ООО</t>
  </si>
  <si>
    <t>ЭЛСЕРВИС</t>
  </si>
  <si>
    <t>Электротехмонтаж ТД АО</t>
  </si>
  <si>
    <t>Электротехмонтаж   ТД</t>
  </si>
  <si>
    <t>Штарком</t>
  </si>
  <si>
    <t>ЧИСТОГРАД ПЛЮС</t>
  </si>
  <si>
    <t>Центральное бюро судебных экспертиз № 1</t>
  </si>
  <si>
    <t>Центр судебных экспертиз Основа ООО</t>
  </si>
  <si>
    <t>Центр Содействие ООО</t>
  </si>
  <si>
    <t>Центр домофонного сервиса</t>
  </si>
  <si>
    <t>Халмер</t>
  </si>
  <si>
    <t>Фонд капитального ремонта</t>
  </si>
  <si>
    <t>ФГУП "Комплекс"</t>
  </si>
  <si>
    <t>Учебно курсовой комбинат жкх</t>
  </si>
  <si>
    <t>Управление технического надзора капитального ремонта</t>
  </si>
  <si>
    <t>УниПром ООО</t>
  </si>
  <si>
    <t>ТРК Одинцово</t>
  </si>
  <si>
    <t>ТРЕК ГРУПП</t>
  </si>
  <si>
    <t>ТПИС</t>
  </si>
  <si>
    <t>ТК Экспертиза</t>
  </si>
  <si>
    <t>ТеплоПрофи Рус ООО</t>
  </si>
  <si>
    <t>ТЕПЛОПРИБОР</t>
  </si>
  <si>
    <t>Стрела</t>
  </si>
  <si>
    <t>Стребкова Ольга Николаевна</t>
  </si>
  <si>
    <t>Столичный Центр Экспертизы и Оценки</t>
  </si>
  <si>
    <t>Старец Андрей Петрович</t>
  </si>
  <si>
    <t>СК Элит-Групп ООО</t>
  </si>
  <si>
    <t>СК Стеклосервис ООО</t>
  </si>
  <si>
    <t>СК КС</t>
  </si>
  <si>
    <t>СИТИЛИНК</t>
  </si>
  <si>
    <t>Сериков Евгений Николаевич</t>
  </si>
  <si>
    <t>Седов Максим Геннадьевич</t>
  </si>
  <si>
    <t>Сантехкомплект</t>
  </si>
  <si>
    <t>РЭУ им. Г.В.Плеханова</t>
  </si>
  <si>
    <t>Русь-Телеком</t>
  </si>
  <si>
    <t>Русь ЭО</t>
  </si>
  <si>
    <t>РТС-тендер</t>
  </si>
  <si>
    <t>РСИЦ</t>
  </si>
  <si>
    <t>Ростелеком ПАО</t>
  </si>
  <si>
    <t>Ремонтно-эксплуатационное управление "Западный"</t>
  </si>
  <si>
    <t>Рамапанорама</t>
  </si>
  <si>
    <t>Профприбор ООО</t>
  </si>
  <si>
    <t>Профессионал</t>
  </si>
  <si>
    <t>ПромТекс ООО</t>
  </si>
  <si>
    <t>Прищепова Анна Алексеевна</t>
  </si>
  <si>
    <t>Прима -Сервис ООО</t>
  </si>
  <si>
    <t>ПРЕМЬЕР</t>
  </si>
  <si>
    <t>Почта России</t>
  </si>
  <si>
    <t>Потолочные решения</t>
  </si>
  <si>
    <t>Полиграф Плюс</t>
  </si>
  <si>
    <t>ПК Интеграция</t>
  </si>
  <si>
    <t>Петроснаб ООО</t>
  </si>
  <si>
    <t>Партнер</t>
  </si>
  <si>
    <t>ОРТК-ПРОЦЕССИНГ</t>
  </si>
  <si>
    <t>Организация и проведение деловых мероприятий</t>
  </si>
  <si>
    <t>ОнЛайн Трейд</t>
  </si>
  <si>
    <t>Окна Мастер</t>
  </si>
  <si>
    <t>Одинцовский информационный центр</t>
  </si>
  <si>
    <t>Одинц.Теплосеть</t>
  </si>
  <si>
    <t>ОБРАЗОВАТЕЛЬНЫЙ СТАНДАРТ</t>
  </si>
  <si>
    <t>НТ  ООО</t>
  </si>
  <si>
    <t>Новый регистратор АО</t>
  </si>
  <si>
    <t>МФЦ МКУ (многофункциональный центр)</t>
  </si>
  <si>
    <t>Мосэнергосбыт</t>
  </si>
  <si>
    <t>Мособлэнерго АО (Московская областная энергосетевая компания)</t>
  </si>
  <si>
    <t>Мособлгаз АО</t>
  </si>
  <si>
    <t>Мое Дело</t>
  </si>
  <si>
    <t>МИКС БАЙ</t>
  </si>
  <si>
    <t>Мегаприбор ООО</t>
  </si>
  <si>
    <t>Маркет-Аудит ноу</t>
  </si>
  <si>
    <t>М-ВЕСТ ООО</t>
  </si>
  <si>
    <t>ЛУНДА</t>
  </si>
  <si>
    <t>ЛИФТЕК</t>
  </si>
  <si>
    <t>Леруа Мерлен Восток</t>
  </si>
  <si>
    <t>ЛАЗУРИТ ООО</t>
  </si>
  <si>
    <t>КРИПТО-ПРО</t>
  </si>
  <si>
    <t>Кран-Гарант</t>
  </si>
  <si>
    <t>КОМУС-РАЗВИТИЕ</t>
  </si>
  <si>
    <t>КОМУС</t>
  </si>
  <si>
    <t>Компания ВТС</t>
  </si>
  <si>
    <t>Коммунальные услуги</t>
  </si>
  <si>
    <t>Кит Инвест</t>
  </si>
  <si>
    <t>Калина</t>
  </si>
  <si>
    <t>ИП Шматкова  В.В.</t>
  </si>
  <si>
    <t>ИП Шипилова Любовь Анатольевна</t>
  </si>
  <si>
    <t>ИП Шипилов Антон Анатольевич</t>
  </si>
  <si>
    <t>ИП Шило Игорь Михайлович</t>
  </si>
  <si>
    <t>ИП Харламов Дмитрий Викторович</t>
  </si>
  <si>
    <t>ИП Удальцов Д.Н.</t>
  </si>
  <si>
    <t>ИП Трофимов Николай Николаевич</t>
  </si>
  <si>
    <t>ИП Тимошевич Алексей Дмитриевич</t>
  </si>
  <si>
    <t>ИП Селиверстов Ю.П.</t>
  </si>
  <si>
    <t>ИП Поворознюк Дмитрий Владимирович</t>
  </si>
  <si>
    <t>ИП Поворознюк Владимир Иванович</t>
  </si>
  <si>
    <t>ИП Петруня Константин Николаевич</t>
  </si>
  <si>
    <t>ИП Петров Владимир Александрович</t>
  </si>
  <si>
    <t>ИП Паншин Андрей Львович</t>
  </si>
  <si>
    <t>ИП Никольский Сергей Николаевич</t>
  </si>
  <si>
    <t>ИП Николенко Андрей Фёдорович</t>
  </si>
  <si>
    <t>ИП Нацына Любовь Анатольевна</t>
  </si>
  <si>
    <t>ИП Миронов Вадим Сергеевич</t>
  </si>
  <si>
    <t>ИП Мальцев Руслан Олегович</t>
  </si>
  <si>
    <t>ИП Лютая Елена Витальевна</t>
  </si>
  <si>
    <t>ИП Лемсадзе Ю.Л.</t>
  </si>
  <si>
    <t>ИП Лейкин Александр Леонидович</t>
  </si>
  <si>
    <t>ИП Кривоспиченко Александр Аркадьевич</t>
  </si>
  <si>
    <t>ИП Клейменов Николай Иванович</t>
  </si>
  <si>
    <t>ИП Кирьянов Алексей Михайлович</t>
  </si>
  <si>
    <t>ИП Карунный Александр Вячеславович</t>
  </si>
  <si>
    <t>ИП Исаева Ирина Анатольевна</t>
  </si>
  <si>
    <t>ИП Зенькович Роман Леонидович</t>
  </si>
  <si>
    <t>ИП Жильцов Алексей Федорович</t>
  </si>
  <si>
    <t>ИП Ефанова Елена Викторовна</t>
  </si>
  <si>
    <t>ИП Диминец Игорь Валерьевич</t>
  </si>
  <si>
    <t>ИП Гордеев Р.Н.</t>
  </si>
  <si>
    <t>ИП Воробьев Дмитрий Александрович</t>
  </si>
  <si>
    <t>ИП Вердеш Александр Петрович</t>
  </si>
  <si>
    <t>ИП Багдасарян Гомерос Феликсович</t>
  </si>
  <si>
    <t>ИП Алешина Наталья Валентиновна</t>
  </si>
  <si>
    <t>ИП Акопян Гайк Геворгович</t>
  </si>
  <si>
    <t>ИНТЕРСТРОЙСЕРВИС</t>
  </si>
  <si>
    <t>Институт управления ЖКХ</t>
  </si>
  <si>
    <t>ИНЖЕНЕНЕРНЫЙ СЕРВИС АВГ</t>
  </si>
  <si>
    <t>ЖКХ -Маркет</t>
  </si>
  <si>
    <t>ЖИЛСТРОЙСНАБ ООО</t>
  </si>
  <si>
    <t>Дюкон Насосы</t>
  </si>
  <si>
    <t>Дубки-Альтамед ООО</t>
  </si>
  <si>
    <t>ДорХан</t>
  </si>
  <si>
    <t>Графф-Мебель ООО</t>
  </si>
  <si>
    <t>Гратан XXI</t>
  </si>
  <si>
    <t>Голицыно Телеком ООО</t>
  </si>
  <si>
    <t>ГлавЭксперт ООО</t>
  </si>
  <si>
    <t>ГКП ООО (Группа компаний ПРОПРИБОРЫ)</t>
  </si>
  <si>
    <t>ВымпелКом</t>
  </si>
  <si>
    <t>ВТ инжиниринг-Н</t>
  </si>
  <si>
    <t>ВсеИнструменты.ру ООО</t>
  </si>
  <si>
    <t>Восток-Сервис-Спецкомплект</t>
  </si>
  <si>
    <t>Внедренческий центр АВИС</t>
  </si>
  <si>
    <t>Виктория</t>
  </si>
  <si>
    <t>ВИКС</t>
  </si>
  <si>
    <t>Аудит Хаус</t>
  </si>
  <si>
    <t>АСТАТ</t>
  </si>
  <si>
    <t>АСТ ООО</t>
  </si>
  <si>
    <t>АКАДЕМИЯ ЦЕНТР АНО ДПО</t>
  </si>
  <si>
    <t>Автопрестиж</t>
  </si>
  <si>
    <t>АБС-СОФТ</t>
  </si>
  <si>
    <t>60</t>
  </si>
  <si>
    <t>Контрагенты</t>
  </si>
  <si>
    <t>Конечное сальдо Кт</t>
  </si>
  <si>
    <t>Конечное сальдо Дт</t>
  </si>
  <si>
    <t>97</t>
  </si>
  <si>
    <t>91</t>
  </si>
  <si>
    <t>20</t>
  </si>
  <si>
    <t>19</t>
  </si>
  <si>
    <t>10</t>
  </si>
  <si>
    <t>08</t>
  </si>
  <si>
    <t>Оборот Кт</t>
  </si>
  <si>
    <t>76</t>
  </si>
  <si>
    <t>71</t>
  </si>
  <si>
    <t>62</t>
  </si>
  <si>
    <t>58</t>
  </si>
  <si>
    <t>Оборот Дт</t>
  </si>
  <si>
    <t>Начальное сальдо Кт</t>
  </si>
  <si>
    <t>Начальное сальдо Дт</t>
  </si>
  <si>
    <t>Обороты счета 60 за 2024 г.</t>
  </si>
  <si>
    <t>АО "Управление жилищного хозяйства"</t>
  </si>
  <si>
    <t>Мусоропровод</t>
  </si>
  <si>
    <t>Управ</t>
  </si>
  <si>
    <t>Сод</t>
  </si>
  <si>
    <t>ТР</t>
  </si>
  <si>
    <t>Оплата труда РСГ</t>
  </si>
  <si>
    <t>Оплата труда ЖЭУ</t>
  </si>
  <si>
    <t>Оплата труда АУП</t>
  </si>
  <si>
    <t>Общехозяйственные расходы (метериалы, оборудование)</t>
  </si>
  <si>
    <t>Амортизация, кап. Ремонт</t>
  </si>
  <si>
    <t>Амортизация, взносы на кап. ремонт</t>
  </si>
  <si>
    <t xml:space="preserve">Информационные, консультационные услуги (лицензии, почта, экспертиза, аудит) </t>
  </si>
  <si>
    <t>Общепроизводственные расходы</t>
  </si>
  <si>
    <t>Налоги, взносы</t>
  </si>
  <si>
    <t>Штрафы, пени, пошлины и т. п.</t>
  </si>
  <si>
    <t>Доходы от рекламы</t>
  </si>
  <si>
    <t>Услуги расчетного центра, МФЦ, доставки ЕПД</t>
  </si>
  <si>
    <t>Аренда</t>
  </si>
  <si>
    <t>Содержание ж/ф</t>
  </si>
  <si>
    <t>Содержание ж/ф.</t>
  </si>
  <si>
    <t>Содержание жилого помещения</t>
  </si>
  <si>
    <t>Итог Сумма по полю Итого 
начислено</t>
  </si>
  <si>
    <t>Итог Сумма по полю Оплачено</t>
  </si>
  <si>
    <t>Названия строк</t>
  </si>
  <si>
    <t>Сумма по полю Итого 
начислено</t>
  </si>
  <si>
    <t>Сумма по полю Оплачено</t>
  </si>
  <si>
    <t>г.Одинцово (Архив), Кутузовская ул., 12</t>
  </si>
  <si>
    <t>г.Одинцово (Архив), Кутузовская ул., 2</t>
  </si>
  <si>
    <t>г.Одинцово (Архив), Кутузовская ул., 7</t>
  </si>
  <si>
    <t>г.Одинцово (Архив), Кутузовская ул., 72В</t>
  </si>
  <si>
    <t>г.Одинцово (Архив), Кутузовская ул., 74В</t>
  </si>
  <si>
    <t>г.Одинцово (Архив), Северная, 5 корп.3</t>
  </si>
  <si>
    <t>г.Одинцово (Архив), Чистяковой ул., 78</t>
  </si>
  <si>
    <t>г.Одинцово, 1-я Вокзальная, 44</t>
  </si>
  <si>
    <t>г.Одинцово, Белорусская, 11</t>
  </si>
  <si>
    <t>г.Одинцово, Белорусская, 13</t>
  </si>
  <si>
    <t>г.Одинцово, Белорусская, 3</t>
  </si>
  <si>
    <t>г.Одинцово, Белорусская, 9</t>
  </si>
  <si>
    <t>г.Одинцово, Буденовское шоссе, 3</t>
  </si>
  <si>
    <t>г.Одинцово, Буденовское шоссе, 8</t>
  </si>
  <si>
    <t>г.Одинцово, Вокзальная, 37</t>
  </si>
  <si>
    <t>г.Одинцово, Говорова, 83</t>
  </si>
  <si>
    <t>г.Одинцово, Говорова, 85</t>
  </si>
  <si>
    <t>г.Одинцово, д.Мамоново Вокзальная, 51</t>
  </si>
  <si>
    <t>г.Одинцово, дер Мамоново Колхозная, 120</t>
  </si>
  <si>
    <t>г.Одинцово, дер Мамоново Колхозная, 172</t>
  </si>
  <si>
    <t>г.Одинцово, дер Мамоново Колхозная, 38</t>
  </si>
  <si>
    <t>г.Одинцово, Луначарского проезд, 12</t>
  </si>
  <si>
    <t>г.Одинцово, Луначарского проезд, 14</t>
  </si>
  <si>
    <t>г.Одинцово, Луначарского, 17</t>
  </si>
  <si>
    <t>г.Одинцово, Луначарского, 4</t>
  </si>
  <si>
    <t>г.Одинцово, Маршала Жукова, 11А</t>
  </si>
  <si>
    <t>г.Одинцово, Маршала Жукова, 23</t>
  </si>
  <si>
    <t>г.Одинцово, Маршала Толубко, 1</t>
  </si>
  <si>
    <t>г.Одинцово, Маршала Толубко, 3 корп.1</t>
  </si>
  <si>
    <t>г.Одинцово, Маршала Толубко, 3 корп.4</t>
  </si>
  <si>
    <t>г.Одинцово, Можайское шоссе, 98</t>
  </si>
  <si>
    <t>г.Одинцово, Новое Яскино, 13</t>
  </si>
  <si>
    <t>г.Одинцово, Новое Яскино, 35</t>
  </si>
  <si>
    <t>г.Одинцово, Новое Яскино, 36</t>
  </si>
  <si>
    <t>г.Одинцово, Новое Яскино, 47</t>
  </si>
  <si>
    <t>г.Одинцово, Новое Яскино, 59</t>
  </si>
  <si>
    <t>г.Одинцово, Новое Яскино, 65</t>
  </si>
  <si>
    <t>г.Одинцово, Новое Яскино, 70</t>
  </si>
  <si>
    <t>г.Одинцово, Новое Яскино, 80</t>
  </si>
  <si>
    <t>г.Одинцово, Новое Яскино, 81</t>
  </si>
  <si>
    <t>г.Одинцово, Привокзальная, 28</t>
  </si>
  <si>
    <t>г.Одинцово, Ракетчиков, 30</t>
  </si>
  <si>
    <t>г.Одинцово, Ракетчиков, 33</t>
  </si>
  <si>
    <t>г.Одинцово, Ракетчиков, 36</t>
  </si>
  <si>
    <t>г.Одинцово, Ракетчиков, 37</t>
  </si>
  <si>
    <t>г.Одинцово, Ракетчиков, 39</t>
  </si>
  <si>
    <t>г.Одинцово, Ракетчиков, 41</t>
  </si>
  <si>
    <t>г.Одинцово, Ракетчиков, 46</t>
  </si>
  <si>
    <t>г.Одинцово, Ракетчиков, 48</t>
  </si>
  <si>
    <t>г.Одинцово, Ракетчиков, 49</t>
  </si>
  <si>
    <t>г.Одинцово, Ракетчиков, 50</t>
  </si>
  <si>
    <t>г.Одинцово, Ракетчиков, 51</t>
  </si>
  <si>
    <t>г.Одинцово, Ракетчиков, 55</t>
  </si>
  <si>
    <t>г.Одинцово, Ракетчиков, 57</t>
  </si>
  <si>
    <t>г.Одинцово, Садовая, 28</t>
  </si>
  <si>
    <t>г.Одинцово, Северная, 40</t>
  </si>
  <si>
    <t>г.Одинцово, Северная, 5 корп.3</t>
  </si>
  <si>
    <t>г.Одинцово, Северная, 55</t>
  </si>
  <si>
    <t>г.Одинцово, Северная, 57</t>
  </si>
  <si>
    <t>г.Одинцово, Северная, 59</t>
  </si>
  <si>
    <t>г.Одинцово, Трудовая, 11</t>
  </si>
  <si>
    <t>г.Одинцово, Трудовая, 20</t>
  </si>
  <si>
    <t>пгт.Новоивановское, Амбулаторная, 62</t>
  </si>
  <si>
    <t>пгт.Новоивановское, ул. Можайское шоссе, 32</t>
  </si>
  <si>
    <t>РОМАШКОВО, Ромашково, 6км</t>
  </si>
  <si>
    <t>с.Немчиновка, 2  просек, 9</t>
  </si>
  <si>
    <t>с.Немчиновка, больница  Каширина, 1</t>
  </si>
  <si>
    <t>с.Немчиновка, Нагорная, 10</t>
  </si>
  <si>
    <t>с.Немчиновка, Революции, 30</t>
  </si>
  <si>
    <t>с.Немчиновка, Революции, 38</t>
  </si>
  <si>
    <t>с.Немчиновка, Революции, 39</t>
  </si>
  <si>
    <t>с.Немчиновка, Революции, 59б</t>
  </si>
  <si>
    <t>с.Немчиновка, Советский проспект, 30</t>
  </si>
  <si>
    <t>УСОВО, Усово, 60</t>
  </si>
  <si>
    <t>Общий итог</t>
  </si>
  <si>
    <t>Названия столбцов</t>
  </si>
  <si>
    <t>Итог Сумма по полю Сальдо дебет</t>
  </si>
  <si>
    <t>Итог Сумма по полю Сальдо кредит</t>
  </si>
  <si>
    <t>Сумма по полю Сальдо дебет</t>
  </si>
  <si>
    <t>Сумма по полю Сальдо кредит</t>
  </si>
  <si>
    <t>Русь</t>
  </si>
  <si>
    <t>ТО ВДГО</t>
  </si>
  <si>
    <t>Всего начислено</t>
  </si>
  <si>
    <t>ТО ВДГО 2</t>
  </si>
  <si>
    <t>Всего расходов</t>
  </si>
  <si>
    <t>Резерв предстоящих расходов</t>
  </si>
  <si>
    <t>ФОТ отчисления</t>
  </si>
  <si>
    <t>Резервы</t>
  </si>
  <si>
    <t xml:space="preserve">Задолженность </t>
  </si>
  <si>
    <t>ИТПшники</t>
  </si>
  <si>
    <t>Техническое обслуживание ХВС, ГВС, ВО, (ИТП при наичии)</t>
  </si>
  <si>
    <t xml:space="preserve"> в многоквартирном доме за 2024г.</t>
  </si>
  <si>
    <t>Всего оплачено</t>
  </si>
  <si>
    <t>Задолженность за услуги по содержанию и текущему ремонту ж/ф на конец 2024г.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</si>
  <si>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</si>
  <si>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</si>
  <si>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</si>
  <si>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</si>
  <si>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</si>
  <si>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</si>
  <si>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</si>
  <si>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</si>
  <si>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</si>
  <si>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2.10</t>
  </si>
  <si>
    <t>2.11</t>
  </si>
  <si>
    <t>2.12</t>
  </si>
  <si>
    <t>2.13</t>
  </si>
  <si>
    <t>Услуги расчетного центра, доставка ЕПД, МФЦ</t>
  </si>
  <si>
    <t>Госпошлина, штрафы, пени и прочие расходы</t>
  </si>
  <si>
    <t>Размер платы за содержание и текущий ремонт на конец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</si>
</sst>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-;\-* #,##0.00_-;_-* &quot;-&quot;??_-;_-@_-"/>
    <numFmt numFmtId="165" formatCode="_-* #,##0\ _₽_-;\-* #,##0\ _₽_-;_-* &quot;-&quot;??\ _₽_-;_-@_-"/>
    <numFmt numFmtId="166" formatCode="_-* #,##0.000\ _₽_-;\-* #,##0.000\ _₽_-;_-* &quot;-&quot;??\ _₽_-;_-@_-"/>
    <numFmt numFmtId="167" formatCode="0.0000%"/>
    <numFmt numFmtId="168" formatCode="mmmm\ yyyy;@"/>
    <numFmt numFmtId="169" formatCode="_-* #,##0.00_р_._-;\-* #,##0.00_р_._-;_-* &quot;-&quot;??_р_._-;_-@_-"/>
    <numFmt numFmtId="170" formatCode="_-* #,##0_р_._-;\-* #,##0_р_._-;_-* &quot;-&quot;??_р_._-;_-@_-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i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name val="Times New Roman"/>
      <family val="1"/>
      <charset val="204"/>
    </font>
    <font>
      <i/>
      <sz val="7"/>
      <name val="Times New Roman"/>
      <family val="1"/>
      <charset val="204"/>
    </font>
    <font>
      <sz val="10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Arial"/>
      <family val="2"/>
      <charset val="204"/>
    </font>
    <font>
      <i/>
      <sz val="8"/>
      <name val="Arial"/>
      <family val="2"/>
      <charset val="204"/>
    </font>
    <font>
      <i/>
      <sz val="7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  <charset val="204"/>
    </font>
    <font>
      <sz val="9"/>
      <color indexed="10"/>
      <name val="Arial"/>
      <family val="2"/>
      <charset val="204"/>
    </font>
    <font>
      <sz val="10"/>
      <color indexed="24"/>
      <name val="Arial"/>
      <family val="2"/>
      <charset val="204"/>
    </font>
    <font>
      <sz val="9"/>
      <color indexed="24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sz val="9"/>
      <color rgb="FF003F2F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3F2F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rgb="FFD6E5CB"/>
        <bgColor auto="1"/>
      </patternFill>
    </fill>
    <fill>
      <patternFill patternType="solid">
        <fgColor rgb="FFF0F6EF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FC762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/>
      <top style="thin">
        <color indexed="26"/>
      </top>
      <bottom/>
      <diagonal/>
    </border>
    <border>
      <left style="thin">
        <color indexed="26"/>
      </left>
      <right/>
      <top style="thin">
        <color indexed="26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0"/>
    <xf numFmtId="9" fontId="2" fillId="0" borderId="0" applyFont="0" applyFill="0" applyBorder="0" applyAlignment="0" applyProtection="0"/>
    <xf numFmtId="0" fontId="13" fillId="0" borderId="0"/>
    <xf numFmtId="0" fontId="18" fillId="0" borderId="0"/>
    <xf numFmtId="9" fontId="2" fillId="0" borderId="0" applyFont="0" applyFill="0" applyBorder="0" applyAlignment="0" applyProtection="0"/>
    <xf numFmtId="0" fontId="32" fillId="0" borderId="0"/>
    <xf numFmtId="0" fontId="9" fillId="0" borderId="0"/>
    <xf numFmtId="0" fontId="32" fillId="0" borderId="0"/>
    <xf numFmtId="43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43" fillId="0" borderId="0"/>
  </cellStyleXfs>
  <cellXfs count="484">
    <xf numFmtId="0" fontId="0" fillId="0" borderId="0" xfId="0"/>
    <xf numFmtId="0" fontId="5" fillId="0" borderId="0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5" fontId="4" fillId="0" borderId="1" xfId="1" applyNumberFormat="1" applyFont="1" applyFill="1" applyBorder="1" applyAlignment="1">
      <alignment vertical="center"/>
    </xf>
    <xf numFmtId="43" fontId="3" fillId="0" borderId="1" xfId="1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166" fontId="4" fillId="0" borderId="1" xfId="1" applyNumberFormat="1" applyFont="1" applyFill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43" fontId="3" fillId="3" borderId="1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3" fontId="5" fillId="0" borderId="9" xfId="1" applyFont="1" applyBorder="1" applyAlignment="1">
      <alignment horizontal="center" vertical="center" wrapText="1"/>
    </xf>
    <xf numFmtId="43" fontId="5" fillId="0" borderId="5" xfId="1" applyFont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0" borderId="0" xfId="3" applyFont="1"/>
    <xf numFmtId="43" fontId="3" fillId="7" borderId="1" xfId="1" applyFont="1" applyFill="1" applyBorder="1" applyAlignment="1">
      <alignment horizontal="center" vertical="center" wrapText="1"/>
    </xf>
    <xf numFmtId="43" fontId="4" fillId="7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43" fontId="5" fillId="0" borderId="0" xfId="1" applyFont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165" fontId="8" fillId="7" borderId="1" xfId="1" applyNumberFormat="1" applyFont="1" applyFill="1" applyBorder="1" applyAlignment="1">
      <alignment vertical="center"/>
    </xf>
    <xf numFmtId="165" fontId="10" fillId="7" borderId="1" xfId="1" applyNumberFormat="1" applyFont="1" applyFill="1" applyBorder="1" applyAlignment="1">
      <alignment vertical="center"/>
    </xf>
    <xf numFmtId="43" fontId="10" fillId="7" borderId="1" xfId="1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43" fontId="10" fillId="0" borderId="1" xfId="1" applyFont="1" applyBorder="1" applyAlignment="1">
      <alignment horizontal="center" vertical="center" wrapText="1"/>
    </xf>
    <xf numFmtId="43" fontId="10" fillId="0" borderId="1" xfId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Fill="1" applyBorder="1" applyAlignment="1">
      <alignment horizontal="center" vertical="center" wrapText="1"/>
    </xf>
    <xf numFmtId="9" fontId="9" fillId="0" borderId="0" xfId="4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left" vertical="center"/>
    </xf>
    <xf numFmtId="43" fontId="8" fillId="3" borderId="9" xfId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3" fontId="8" fillId="0" borderId="1" xfId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165" fontId="5" fillId="0" borderId="0" xfId="1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13" fillId="0" borderId="0" xfId="5" applyAlignment="1">
      <alignment horizontal="left"/>
    </xf>
    <xf numFmtId="0" fontId="14" fillId="0" borderId="0" xfId="5" applyFont="1" applyFill="1" applyAlignment="1">
      <alignment horizontal="right" vertical="center" wrapText="1"/>
    </xf>
    <xf numFmtId="0" fontId="13" fillId="0" borderId="13" xfId="5" applyBorder="1" applyAlignment="1">
      <alignment horizontal="left"/>
    </xf>
    <xf numFmtId="0" fontId="15" fillId="0" borderId="14" xfId="5" applyFont="1" applyFill="1" applyBorder="1" applyAlignment="1">
      <alignment horizontal="center" vertical="top"/>
    </xf>
    <xf numFmtId="0" fontId="13" fillId="0" borderId="14" xfId="5" applyFill="1" applyBorder="1" applyAlignment="1">
      <alignment vertical="top"/>
    </xf>
    <xf numFmtId="0" fontId="16" fillId="0" borderId="17" xfId="5" applyFont="1" applyFill="1" applyBorder="1" applyAlignment="1">
      <alignment horizontal="left" vertical="top"/>
    </xf>
    <xf numFmtId="0" fontId="13" fillId="0" borderId="16" xfId="5" applyFill="1" applyBorder="1" applyAlignment="1">
      <alignment vertical="top"/>
    </xf>
    <xf numFmtId="0" fontId="13" fillId="0" borderId="14" xfId="5" applyFill="1" applyBorder="1" applyAlignment="1">
      <alignment horizontal="left" vertical="top"/>
    </xf>
    <xf numFmtId="0" fontId="13" fillId="4" borderId="0" xfId="5" applyFill="1" applyAlignment="1">
      <alignment horizontal="left"/>
    </xf>
    <xf numFmtId="0" fontId="13" fillId="0" borderId="18" xfId="5" applyBorder="1" applyAlignment="1">
      <alignment horizontal="left"/>
    </xf>
    <xf numFmtId="0" fontId="18" fillId="0" borderId="0" xfId="6"/>
    <xf numFmtId="0" fontId="19" fillId="8" borderId="24" xfId="6" applyNumberFormat="1" applyFont="1" applyFill="1" applyBorder="1" applyAlignment="1">
      <alignment horizontal="right" vertical="top" wrapText="1"/>
    </xf>
    <xf numFmtId="4" fontId="19" fillId="8" borderId="24" xfId="6" applyNumberFormat="1" applyFont="1" applyFill="1" applyBorder="1" applyAlignment="1">
      <alignment horizontal="right" vertical="top" wrapText="1"/>
    </xf>
    <xf numFmtId="0" fontId="19" fillId="8" borderId="24" xfId="6" applyNumberFormat="1" applyFont="1" applyFill="1" applyBorder="1" applyAlignment="1">
      <alignment vertical="top"/>
    </xf>
    <xf numFmtId="0" fontId="20" fillId="0" borderId="25" xfId="6" applyNumberFormat="1" applyFont="1" applyBorder="1" applyAlignment="1">
      <alignment horizontal="right" vertical="top" wrapText="1"/>
    </xf>
    <xf numFmtId="4" fontId="20" fillId="0" borderId="25" xfId="6" applyNumberFormat="1" applyFont="1" applyBorder="1" applyAlignment="1">
      <alignment horizontal="right" vertical="top" wrapText="1"/>
    </xf>
    <xf numFmtId="0" fontId="20" fillId="0" borderId="25" xfId="6" applyNumberFormat="1" applyFont="1" applyBorder="1" applyAlignment="1">
      <alignment vertical="top" wrapText="1" indent="3"/>
    </xf>
    <xf numFmtId="0" fontId="20" fillId="0" borderId="25" xfId="6" applyNumberFormat="1" applyFont="1" applyBorder="1" applyAlignment="1">
      <alignment vertical="top" wrapText="1" indent="2"/>
    </xf>
    <xf numFmtId="4" fontId="21" fillId="0" borderId="25" xfId="6" applyNumberFormat="1" applyFont="1" applyBorder="1" applyAlignment="1">
      <alignment horizontal="right" vertical="top" wrapText="1"/>
    </xf>
    <xf numFmtId="0" fontId="20" fillId="9" borderId="25" xfId="6" applyNumberFormat="1" applyFont="1" applyFill="1" applyBorder="1" applyAlignment="1">
      <alignment horizontal="right" vertical="top" wrapText="1"/>
    </xf>
    <xf numFmtId="4" fontId="20" fillId="9" borderId="25" xfId="6" applyNumberFormat="1" applyFont="1" applyFill="1" applyBorder="1" applyAlignment="1">
      <alignment horizontal="right" vertical="top" wrapText="1"/>
    </xf>
    <xf numFmtId="0" fontId="20" fillId="9" borderId="25" xfId="6" applyNumberFormat="1" applyFont="1" applyFill="1" applyBorder="1" applyAlignment="1">
      <alignment vertical="top" wrapText="1" indent="1"/>
    </xf>
    <xf numFmtId="2" fontId="20" fillId="0" borderId="25" xfId="6" applyNumberFormat="1" applyFont="1" applyBorder="1" applyAlignment="1">
      <alignment horizontal="right" vertical="top" wrapText="1"/>
    </xf>
    <xf numFmtId="2" fontId="21" fillId="0" borderId="25" xfId="6" applyNumberFormat="1" applyFont="1" applyBorder="1" applyAlignment="1">
      <alignment horizontal="right" vertical="top" wrapText="1"/>
    </xf>
    <xf numFmtId="0" fontId="22" fillId="10" borderId="25" xfId="6" applyNumberFormat="1" applyFont="1" applyFill="1" applyBorder="1" applyAlignment="1">
      <alignment horizontal="right" vertical="top" wrapText="1"/>
    </xf>
    <xf numFmtId="4" fontId="22" fillId="10" borderId="25" xfId="6" applyNumberFormat="1" applyFont="1" applyFill="1" applyBorder="1" applyAlignment="1">
      <alignment horizontal="right" vertical="top" wrapText="1"/>
    </xf>
    <xf numFmtId="0" fontId="22" fillId="10" borderId="25" xfId="6" applyNumberFormat="1" applyFont="1" applyFill="1" applyBorder="1" applyAlignment="1">
      <alignment vertical="top" wrapText="1"/>
    </xf>
    <xf numFmtId="0" fontId="22" fillId="8" borderId="24" xfId="6" applyNumberFormat="1" applyFont="1" applyFill="1" applyBorder="1" applyAlignment="1">
      <alignment vertical="top" wrapText="1"/>
    </xf>
    <xf numFmtId="0" fontId="18" fillId="0" borderId="0" xfId="6" applyNumberFormat="1" applyAlignment="1">
      <alignment wrapText="1"/>
    </xf>
    <xf numFmtId="0" fontId="24" fillId="0" borderId="0" xfId="6" applyNumberFormat="1" applyFont="1" applyAlignment="1">
      <alignment vertical="top" wrapText="1"/>
    </xf>
    <xf numFmtId="0" fontId="25" fillId="0" borderId="0" xfId="6" applyNumberFormat="1" applyFont="1"/>
    <xf numFmtId="0" fontId="26" fillId="0" borderId="0" xfId="6" applyNumberFormat="1" applyFont="1"/>
    <xf numFmtId="0" fontId="20" fillId="0" borderId="25" xfId="6" applyNumberFormat="1" applyFont="1" applyBorder="1" applyAlignment="1">
      <alignment vertical="top" wrapText="1" indent="1"/>
    </xf>
    <xf numFmtId="0" fontId="24" fillId="0" borderId="0" xfId="6" applyNumberFormat="1" applyFont="1" applyAlignment="1">
      <alignment vertical="top" wrapText="1"/>
    </xf>
    <xf numFmtId="4" fontId="18" fillId="0" borderId="0" xfId="6" applyNumberFormat="1"/>
    <xf numFmtId="0" fontId="10" fillId="0" borderId="0" xfId="0" applyFont="1" applyFill="1" applyBorder="1" applyAlignment="1">
      <alignment vertical="center"/>
    </xf>
    <xf numFmtId="4" fontId="27" fillId="0" borderId="0" xfId="6" applyNumberFormat="1" applyFont="1"/>
    <xf numFmtId="0" fontId="20" fillId="7" borderId="25" xfId="6" applyNumberFormat="1" applyFont="1" applyFill="1" applyBorder="1" applyAlignment="1">
      <alignment vertical="top" wrapText="1" indent="3"/>
    </xf>
    <xf numFmtId="43" fontId="5" fillId="0" borderId="10" xfId="1" applyFont="1" applyBorder="1" applyAlignment="1">
      <alignment horizontal="center" vertical="center" wrapText="1"/>
    </xf>
    <xf numFmtId="43" fontId="5" fillId="0" borderId="11" xfId="1" applyFont="1" applyBorder="1" applyAlignment="1">
      <alignment horizontal="center" vertical="center" wrapText="1"/>
    </xf>
    <xf numFmtId="165" fontId="5" fillId="0" borderId="10" xfId="1" applyNumberFormat="1" applyFont="1" applyBorder="1" applyAlignment="1">
      <alignment horizontal="center" vertical="center" wrapText="1"/>
    </xf>
    <xf numFmtId="165" fontId="5" fillId="0" borderId="11" xfId="1" applyNumberFormat="1" applyFont="1" applyBorder="1" applyAlignment="1">
      <alignment horizontal="center" vertical="center" wrapText="1"/>
    </xf>
    <xf numFmtId="0" fontId="24" fillId="0" borderId="0" xfId="6" applyNumberFormat="1" applyFont="1" applyAlignment="1">
      <alignment vertical="top" wrapText="1"/>
    </xf>
    <xf numFmtId="0" fontId="8" fillId="2" borderId="1" xfId="0" applyFont="1" applyFill="1" applyBorder="1" applyAlignment="1">
      <alignment horizontal="center" vertical="center" wrapText="1"/>
    </xf>
    <xf numFmtId="43" fontId="5" fillId="0" borderId="2" xfId="1" applyFont="1" applyBorder="1" applyAlignment="1">
      <alignment horizontal="center" vertical="center" wrapText="1"/>
    </xf>
    <xf numFmtId="43" fontId="5" fillId="0" borderId="4" xfId="1" applyFont="1" applyBorder="1" applyAlignment="1">
      <alignment horizontal="center"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19" fillId="10" borderId="29" xfId="6" applyNumberFormat="1" applyFont="1" applyFill="1" applyBorder="1" applyAlignment="1">
      <alignment horizontal="right" vertical="top" wrapText="1"/>
    </xf>
    <xf numFmtId="0" fontId="19" fillId="10" borderId="30" xfId="6" applyNumberFormat="1" applyFont="1" applyFill="1" applyBorder="1" applyAlignment="1">
      <alignment horizontal="center" vertical="top"/>
    </xf>
    <xf numFmtId="0" fontId="20" fillId="0" borderId="29" xfId="6" applyNumberFormat="1" applyFont="1" applyBorder="1" applyAlignment="1">
      <alignment horizontal="right" vertical="top" wrapText="1"/>
    </xf>
    <xf numFmtId="0" fontId="20" fillId="0" borderId="30" xfId="6" applyNumberFormat="1" applyFont="1" applyBorder="1" applyAlignment="1">
      <alignment horizontal="center" vertical="top"/>
    </xf>
    <xf numFmtId="0" fontId="20" fillId="0" borderId="25" xfId="6" applyNumberFormat="1" applyFont="1" applyBorder="1" applyAlignment="1">
      <alignment horizontal="left" vertical="top"/>
    </xf>
    <xf numFmtId="0" fontId="20" fillId="0" borderId="25" xfId="6" applyNumberFormat="1" applyFont="1" applyBorder="1" applyAlignment="1">
      <alignment vertical="top" wrapText="1"/>
    </xf>
    <xf numFmtId="0" fontId="20" fillId="0" borderId="25" xfId="6" applyNumberFormat="1" applyFont="1" applyBorder="1" applyAlignment="1">
      <alignment vertical="top"/>
    </xf>
    <xf numFmtId="2" fontId="22" fillId="10" borderId="29" xfId="6" applyNumberFormat="1" applyFont="1" applyFill="1" applyBorder="1" applyAlignment="1">
      <alignment horizontal="right" vertical="top" wrapText="1"/>
    </xf>
    <xf numFmtId="0" fontId="22" fillId="10" borderId="30" xfId="6" applyNumberFormat="1" applyFont="1" applyFill="1" applyBorder="1" applyAlignment="1">
      <alignment horizontal="center" vertical="top"/>
    </xf>
    <xf numFmtId="0" fontId="22" fillId="8" borderId="33" xfId="6" applyNumberFormat="1" applyFont="1" applyFill="1" applyBorder="1" applyAlignment="1">
      <alignment vertical="top"/>
    </xf>
    <xf numFmtId="0" fontId="22" fillId="8" borderId="24" xfId="6" applyNumberFormat="1" applyFont="1" applyFill="1" applyBorder="1" applyAlignment="1">
      <alignment vertical="top"/>
    </xf>
    <xf numFmtId="0" fontId="29" fillId="11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10" fillId="0" borderId="1" xfId="8" applyFont="1" applyBorder="1" applyAlignment="1">
      <alignment vertical="center"/>
    </xf>
    <xf numFmtId="43" fontId="28" fillId="0" borderId="1" xfId="0" applyNumberFormat="1" applyFont="1" applyBorder="1" applyAlignment="1">
      <alignment vertical="center" wrapText="1"/>
    </xf>
    <xf numFmtId="43" fontId="31" fillId="0" borderId="1" xfId="1" applyFont="1" applyBorder="1" applyAlignment="1">
      <alignment vertical="center" wrapText="1"/>
    </xf>
    <xf numFmtId="165" fontId="31" fillId="0" borderId="1" xfId="1" applyNumberFormat="1" applyFont="1" applyBorder="1" applyAlignment="1">
      <alignment vertical="center" wrapText="1"/>
    </xf>
    <xf numFmtId="167" fontId="31" fillId="0" borderId="1" xfId="7" applyNumberFormat="1" applyFont="1" applyBorder="1" applyAlignment="1">
      <alignment vertical="center" wrapText="1"/>
    </xf>
    <xf numFmtId="165" fontId="10" fillId="0" borderId="1" xfId="1" applyNumberFormat="1" applyFont="1" applyFill="1" applyBorder="1" applyAlignment="1">
      <alignment horizontal="center" vertical="center" wrapText="1"/>
    </xf>
    <xf numFmtId="0" fontId="10" fillId="0" borderId="1" xfId="8" applyFont="1" applyBorder="1" applyAlignment="1">
      <alignment horizontal="center" vertical="center"/>
    </xf>
    <xf numFmtId="43" fontId="10" fillId="0" borderId="1" xfId="1" applyFont="1" applyBorder="1" applyAlignment="1">
      <alignment horizontal="center" vertical="center"/>
    </xf>
    <xf numFmtId="43" fontId="10" fillId="0" borderId="9" xfId="1" applyFont="1" applyFill="1" applyBorder="1" applyAlignment="1">
      <alignment horizontal="center" vertical="center" wrapText="1"/>
    </xf>
    <xf numFmtId="167" fontId="10" fillId="0" borderId="9" xfId="7" applyNumberFormat="1" applyFont="1" applyFill="1" applyBorder="1" applyAlignment="1">
      <alignment horizontal="center" vertical="center" wrapText="1"/>
    </xf>
    <xf numFmtId="165" fontId="28" fillId="0" borderId="9" xfId="1" applyNumberFormat="1" applyFont="1" applyBorder="1" applyAlignment="1">
      <alignment vertical="center" wrapText="1"/>
    </xf>
    <xf numFmtId="165" fontId="31" fillId="0" borderId="9" xfId="1" applyNumberFormat="1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 wrapText="1"/>
    </xf>
    <xf numFmtId="165" fontId="31" fillId="0" borderId="1" xfId="0" applyNumberFormat="1" applyFont="1" applyBorder="1" applyAlignment="1">
      <alignment vertical="center" wrapText="1"/>
    </xf>
    <xf numFmtId="165" fontId="28" fillId="0" borderId="1" xfId="1" applyNumberFormat="1" applyFont="1" applyBorder="1" applyAlignment="1">
      <alignment vertical="center" wrapText="1"/>
    </xf>
    <xf numFmtId="165" fontId="28" fillId="0" borderId="0" xfId="0" applyNumberFormat="1" applyFont="1" applyAlignment="1">
      <alignment vertical="center" wrapText="1"/>
    </xf>
    <xf numFmtId="43" fontId="28" fillId="0" borderId="0" xfId="1" applyFont="1" applyAlignment="1">
      <alignment vertical="center" wrapText="1"/>
    </xf>
    <xf numFmtId="43" fontId="31" fillId="0" borderId="41" xfId="1" applyFont="1" applyBorder="1" applyAlignment="1">
      <alignment vertical="center" wrapText="1"/>
    </xf>
    <xf numFmtId="43" fontId="31" fillId="0" borderId="42" xfId="1" applyFont="1" applyBorder="1" applyAlignment="1">
      <alignment vertical="center" wrapText="1"/>
    </xf>
    <xf numFmtId="165" fontId="31" fillId="0" borderId="4" xfId="0" applyNumberFormat="1" applyFont="1" applyBorder="1" applyAlignment="1">
      <alignment vertical="center" wrapText="1"/>
    </xf>
    <xf numFmtId="9" fontId="10" fillId="0" borderId="0" xfId="7" applyFont="1" applyBorder="1" applyAlignment="1">
      <alignment horizontal="center" vertical="center" wrapText="1"/>
    </xf>
    <xf numFmtId="165" fontId="10" fillId="0" borderId="1" xfId="1" applyNumberFormat="1" applyFont="1" applyBorder="1" applyAlignment="1">
      <alignment horizontal="center" vertical="center" wrapText="1"/>
    </xf>
    <xf numFmtId="165" fontId="31" fillId="7" borderId="1" xfId="1" applyNumberFormat="1" applyFont="1" applyFill="1" applyBorder="1" applyAlignment="1">
      <alignment vertical="center" wrapText="1"/>
    </xf>
    <xf numFmtId="0" fontId="10" fillId="12" borderId="1" xfId="0" applyFont="1" applyFill="1" applyBorder="1" applyAlignment="1">
      <alignment vertical="center"/>
    </xf>
    <xf numFmtId="43" fontId="31" fillId="7" borderId="41" xfId="1" applyFont="1" applyFill="1" applyBorder="1" applyAlignment="1">
      <alignment vertical="center" wrapText="1"/>
    </xf>
    <xf numFmtId="43" fontId="31" fillId="7" borderId="1" xfId="1" applyFont="1" applyFill="1" applyBorder="1" applyAlignment="1">
      <alignment vertical="center" wrapText="1"/>
    </xf>
    <xf numFmtId="43" fontId="28" fillId="12" borderId="1" xfId="0" applyNumberFormat="1" applyFont="1" applyFill="1" applyBorder="1" applyAlignment="1">
      <alignment vertical="center" wrapText="1"/>
    </xf>
    <xf numFmtId="43" fontId="28" fillId="7" borderId="0" xfId="1" applyFont="1" applyFill="1" applyAlignment="1">
      <alignment vertical="center" wrapText="1"/>
    </xf>
    <xf numFmtId="165" fontId="31" fillId="7" borderId="9" xfId="1" applyNumberFormat="1" applyFont="1" applyFill="1" applyBorder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31" fillId="13" borderId="1" xfId="1" applyNumberFormat="1" applyFont="1" applyFill="1" applyBorder="1" applyAlignment="1">
      <alignment vertical="center" wrapText="1"/>
    </xf>
    <xf numFmtId="0" fontId="10" fillId="0" borderId="1" xfId="8" applyFont="1" applyFill="1" applyBorder="1" applyAlignment="1">
      <alignment vertical="center"/>
    </xf>
    <xf numFmtId="0" fontId="10" fillId="0" borderId="1" xfId="8" applyFont="1" applyFill="1" applyBorder="1" applyAlignment="1">
      <alignment horizontal="center" vertical="center"/>
    </xf>
    <xf numFmtId="43" fontId="10" fillId="7" borderId="1" xfId="1" applyFont="1" applyFill="1" applyBorder="1" applyAlignment="1">
      <alignment horizontal="center" vertical="center"/>
    </xf>
    <xf numFmtId="165" fontId="10" fillId="7" borderId="1" xfId="1" applyNumberFormat="1" applyFont="1" applyFill="1" applyBorder="1" applyAlignment="1">
      <alignment horizontal="center" vertical="center" wrapText="1"/>
    </xf>
    <xf numFmtId="43" fontId="28" fillId="7" borderId="1" xfId="0" applyNumberFormat="1" applyFont="1" applyFill="1" applyBorder="1" applyAlignment="1">
      <alignment vertical="center" wrapText="1"/>
    </xf>
    <xf numFmtId="43" fontId="10" fillId="7" borderId="1" xfId="1" applyFont="1" applyFill="1" applyBorder="1" applyAlignment="1">
      <alignment horizontal="center" vertical="center" wrapText="1"/>
    </xf>
    <xf numFmtId="9" fontId="28" fillId="0" borderId="1" xfId="7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165" fontId="28" fillId="14" borderId="1" xfId="1" applyNumberFormat="1" applyFont="1" applyFill="1" applyBorder="1" applyAlignment="1">
      <alignment vertical="center" wrapText="1"/>
    </xf>
    <xf numFmtId="165" fontId="28" fillId="14" borderId="0" xfId="0" applyNumberFormat="1" applyFont="1" applyFill="1" applyAlignment="1">
      <alignment vertical="center" wrapText="1"/>
    </xf>
    <xf numFmtId="165" fontId="28" fillId="14" borderId="43" xfId="0" applyNumberFormat="1" applyFont="1" applyFill="1" applyBorder="1" applyAlignment="1">
      <alignment vertical="center" wrapText="1"/>
    </xf>
    <xf numFmtId="165" fontId="28" fillId="0" borderId="44" xfId="0" applyNumberFormat="1" applyFont="1" applyBorder="1" applyAlignment="1">
      <alignment vertical="center" wrapText="1"/>
    </xf>
    <xf numFmtId="165" fontId="28" fillId="14" borderId="44" xfId="0" applyNumberFormat="1" applyFont="1" applyFill="1" applyBorder="1" applyAlignment="1">
      <alignment vertical="center" wrapText="1"/>
    </xf>
    <xf numFmtId="165" fontId="28" fillId="14" borderId="45" xfId="0" applyNumberFormat="1" applyFont="1" applyFill="1" applyBorder="1" applyAlignment="1">
      <alignment vertical="center" wrapText="1"/>
    </xf>
    <xf numFmtId="165" fontId="28" fillId="15" borderId="4" xfId="0" applyNumberFormat="1" applyFont="1" applyFill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165" fontId="28" fillId="0" borderId="0" xfId="0" applyNumberFormat="1" applyFont="1" applyBorder="1" applyAlignment="1">
      <alignment vertical="center" wrapText="1"/>
    </xf>
    <xf numFmtId="165" fontId="28" fillId="0" borderId="0" xfId="1" applyNumberFormat="1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Fill="1" applyAlignment="1">
      <alignment vertical="center" wrapText="1"/>
    </xf>
    <xf numFmtId="43" fontId="31" fillId="0" borderId="0" xfId="1" applyFont="1" applyAlignment="1">
      <alignment vertical="center" wrapText="1"/>
    </xf>
    <xf numFmtId="165" fontId="31" fillId="0" borderId="0" xfId="1" applyNumberFormat="1" applyFont="1" applyAlignment="1">
      <alignment vertical="center" wrapText="1"/>
    </xf>
    <xf numFmtId="165" fontId="31" fillId="14" borderId="0" xfId="1" applyNumberFormat="1" applyFont="1" applyFill="1" applyAlignment="1">
      <alignment vertical="center" wrapText="1"/>
    </xf>
    <xf numFmtId="43" fontId="31" fillId="0" borderId="0" xfId="0" applyNumberFormat="1" applyFont="1" applyAlignment="1">
      <alignment vertical="center" wrapText="1"/>
    </xf>
    <xf numFmtId="0" fontId="29" fillId="7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165" fontId="31" fillId="0" borderId="0" xfId="0" applyNumberFormat="1" applyFont="1" applyAlignment="1">
      <alignment vertical="center" wrapText="1"/>
    </xf>
    <xf numFmtId="9" fontId="31" fillId="0" borderId="0" xfId="7" applyNumberFormat="1" applyFont="1" applyAlignment="1">
      <alignment vertical="center" wrapText="1"/>
    </xf>
    <xf numFmtId="9" fontId="29" fillId="0" borderId="0" xfId="7" applyFont="1" applyAlignment="1">
      <alignment vertical="center" wrapText="1"/>
    </xf>
    <xf numFmtId="0" fontId="32" fillId="0" borderId="0" xfId="10"/>
    <xf numFmtId="0" fontId="36" fillId="0" borderId="0" xfId="10" applyFont="1"/>
    <xf numFmtId="168" fontId="35" fillId="0" borderId="0" xfId="9" applyNumberFormat="1" applyFont="1" applyBorder="1" applyAlignment="1"/>
    <xf numFmtId="0" fontId="37" fillId="0" borderId="0" xfId="10" applyFont="1" applyAlignment="1">
      <alignment wrapText="1"/>
    </xf>
    <xf numFmtId="168" fontId="35" fillId="0" borderId="0" xfId="9" applyNumberFormat="1" applyFont="1" applyAlignment="1">
      <alignment horizontal="center"/>
    </xf>
    <xf numFmtId="168" fontId="35" fillId="0" borderId="0" xfId="9" applyNumberFormat="1" applyFont="1" applyAlignment="1" applyProtection="1">
      <alignment horizontal="center"/>
      <protection hidden="1"/>
    </xf>
    <xf numFmtId="168" fontId="38" fillId="0" borderId="46" xfId="9" applyNumberFormat="1" applyFont="1" applyBorder="1" applyAlignment="1" applyProtection="1">
      <alignment horizontal="left"/>
      <protection hidden="1"/>
    </xf>
    <xf numFmtId="165" fontId="35" fillId="0" borderId="46" xfId="11" applyNumberFormat="1" applyFont="1" applyFill="1" applyBorder="1" applyAlignment="1" applyProtection="1">
      <alignment horizontal="center"/>
      <protection hidden="1"/>
    </xf>
    <xf numFmtId="168" fontId="38" fillId="0" borderId="0" xfId="9" applyNumberFormat="1" applyFont="1" applyAlignment="1" applyProtection="1">
      <alignment horizontal="left"/>
      <protection hidden="1"/>
    </xf>
    <xf numFmtId="168" fontId="5" fillId="0" borderId="0" xfId="9" applyNumberFormat="1" applyFont="1" applyAlignment="1" applyProtection="1">
      <alignment horizontal="center"/>
      <protection hidden="1"/>
    </xf>
    <xf numFmtId="168" fontId="38" fillId="0" borderId="47" xfId="9" applyNumberFormat="1" applyFont="1" applyBorder="1" applyAlignment="1" applyProtection="1">
      <alignment vertical="center" wrapText="1"/>
      <protection hidden="1"/>
    </xf>
    <xf numFmtId="43" fontId="35" fillId="0" borderId="46" xfId="1" applyFont="1" applyFill="1" applyBorder="1" applyAlignment="1" applyProtection="1">
      <alignment horizontal="center"/>
      <protection hidden="1"/>
    </xf>
    <xf numFmtId="4" fontId="38" fillId="0" borderId="0" xfId="9" applyNumberFormat="1" applyFont="1" applyProtection="1">
      <protection hidden="1"/>
    </xf>
    <xf numFmtId="168" fontId="38" fillId="0" borderId="47" xfId="9" applyNumberFormat="1" applyFont="1" applyBorder="1" applyProtection="1">
      <protection hidden="1"/>
    </xf>
    <xf numFmtId="168" fontId="38" fillId="0" borderId="48" xfId="9" applyNumberFormat="1" applyFont="1" applyBorder="1" applyAlignment="1" applyProtection="1">
      <alignment wrapText="1"/>
      <protection hidden="1"/>
    </xf>
    <xf numFmtId="170" fontId="35" fillId="0" borderId="0" xfId="12" applyNumberFormat="1" applyFont="1" applyFill="1" applyBorder="1" applyAlignment="1" applyProtection="1">
      <alignment horizontal="center"/>
      <protection hidden="1"/>
    </xf>
    <xf numFmtId="168" fontId="39" fillId="16" borderId="49" xfId="9" applyNumberFormat="1" applyFont="1" applyFill="1" applyBorder="1" applyAlignment="1" applyProtection="1">
      <alignment horizontal="center" vertical="center" wrapText="1"/>
      <protection hidden="1"/>
    </xf>
    <xf numFmtId="0" fontId="39" fillId="16" borderId="50" xfId="9" applyFont="1" applyFill="1" applyBorder="1" applyAlignment="1" applyProtection="1">
      <alignment horizontal="center" vertical="center" wrapText="1"/>
      <protection hidden="1"/>
    </xf>
    <xf numFmtId="4" fontId="39" fillId="16" borderId="51" xfId="9" applyNumberFormat="1" applyFont="1" applyFill="1" applyBorder="1" applyAlignment="1" applyProtection="1">
      <alignment horizontal="center" vertical="center" wrapText="1"/>
      <protection hidden="1"/>
    </xf>
    <xf numFmtId="168" fontId="39" fillId="16" borderId="52" xfId="9" applyNumberFormat="1" applyFont="1" applyFill="1" applyBorder="1" applyAlignment="1" applyProtection="1">
      <alignment horizontal="center" vertical="center" wrapText="1"/>
      <protection hidden="1"/>
    </xf>
    <xf numFmtId="168" fontId="38" fillId="0" borderId="53" xfId="9" applyNumberFormat="1" applyFont="1" applyFill="1" applyBorder="1" applyAlignment="1" applyProtection="1">
      <alignment horizontal="center" vertical="center" wrapText="1"/>
      <protection hidden="1"/>
    </xf>
    <xf numFmtId="0" fontId="39" fillId="0" borderId="54" xfId="9" applyFont="1" applyFill="1" applyBorder="1" applyAlignment="1" applyProtection="1">
      <alignment horizontal="left" vertical="center" wrapText="1"/>
      <protection hidden="1"/>
    </xf>
    <xf numFmtId="165" fontId="39" fillId="0" borderId="1" xfId="11" applyNumberFormat="1" applyFont="1" applyFill="1" applyBorder="1" applyAlignment="1" applyProtection="1">
      <alignment horizontal="center" vertical="center"/>
      <protection hidden="1"/>
    </xf>
    <xf numFmtId="43" fontId="39" fillId="0" borderId="42" xfId="11" applyNumberFormat="1" applyFont="1" applyFill="1" applyBorder="1" applyAlignment="1" applyProtection="1">
      <alignment horizontal="center" vertical="center"/>
      <protection hidden="1"/>
    </xf>
    <xf numFmtId="49" fontId="38" fillId="0" borderId="53" xfId="9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10" applyFont="1" applyFill="1" applyBorder="1" applyAlignment="1" applyProtection="1">
      <alignment horizontal="left" vertical="center" wrapText="1" indent="2"/>
      <protection hidden="1"/>
    </xf>
    <xf numFmtId="165" fontId="4" fillId="0" borderId="1" xfId="11" applyNumberFormat="1" applyFont="1" applyFill="1" applyBorder="1" applyAlignment="1" applyProtection="1">
      <alignment horizontal="center"/>
      <protection hidden="1"/>
    </xf>
    <xf numFmtId="43" fontId="4" fillId="0" borderId="42" xfId="11" applyNumberFormat="1" applyFont="1" applyFill="1" applyBorder="1" applyAlignment="1" applyProtection="1">
      <alignment horizontal="center"/>
      <protection hidden="1"/>
    </xf>
    <xf numFmtId="0" fontId="39" fillId="0" borderId="55" xfId="9" applyFont="1" applyFill="1" applyBorder="1" applyAlignment="1" applyProtection="1">
      <alignment horizontal="left" vertical="center" wrapText="1"/>
      <protection hidden="1"/>
    </xf>
    <xf numFmtId="165" fontId="39" fillId="0" borderId="55" xfId="12" applyNumberFormat="1" applyFont="1" applyFill="1" applyBorder="1" applyAlignment="1" applyProtection="1">
      <alignment horizontal="center" vertical="center"/>
      <protection hidden="1"/>
    </xf>
    <xf numFmtId="43" fontId="39" fillId="0" borderId="56" xfId="12" applyNumberFormat="1" applyFont="1" applyFill="1" applyBorder="1" applyAlignment="1" applyProtection="1">
      <alignment horizontal="center" vertical="center"/>
      <protection hidden="1"/>
    </xf>
    <xf numFmtId="0" fontId="4" fillId="0" borderId="1" xfId="9" applyFont="1" applyFill="1" applyBorder="1" applyAlignment="1" applyProtection="1">
      <alignment horizontal="left" vertical="center" wrapText="1" indent="2"/>
      <protection hidden="1"/>
    </xf>
    <xf numFmtId="0" fontId="39" fillId="0" borderId="57" xfId="9" applyFont="1" applyFill="1" applyBorder="1" applyAlignment="1" applyProtection="1">
      <alignment horizontal="left" vertical="center" wrapText="1"/>
      <protection hidden="1"/>
    </xf>
    <xf numFmtId="49" fontId="39" fillId="0" borderId="57" xfId="9" applyNumberFormat="1" applyFont="1" applyFill="1" applyBorder="1" applyAlignment="1" applyProtection="1">
      <alignment horizontal="left" vertical="center" wrapText="1"/>
      <protection hidden="1"/>
    </xf>
    <xf numFmtId="49" fontId="38" fillId="0" borderId="58" xfId="9" applyNumberFormat="1" applyFont="1" applyFill="1" applyBorder="1" applyAlignment="1" applyProtection="1">
      <alignment horizontal="center" vertical="center" wrapText="1"/>
      <protection hidden="1"/>
    </xf>
    <xf numFmtId="0" fontId="39" fillId="0" borderId="59" xfId="9" applyFont="1" applyFill="1" applyBorder="1" applyAlignment="1" applyProtection="1">
      <alignment horizontal="left" vertical="center" wrapText="1"/>
      <protection hidden="1"/>
    </xf>
    <xf numFmtId="165" fontId="39" fillId="0" borderId="44" xfId="11" applyNumberFormat="1" applyFont="1" applyFill="1" applyBorder="1" applyAlignment="1" applyProtection="1">
      <alignment horizontal="center" vertical="center"/>
      <protection hidden="1"/>
    </xf>
    <xf numFmtId="43" fontId="39" fillId="0" borderId="45" xfId="11" applyNumberFormat="1" applyFont="1" applyFill="1" applyBorder="1" applyAlignment="1" applyProtection="1">
      <alignment horizontal="center" vertical="center"/>
      <protection hidden="1"/>
    </xf>
    <xf numFmtId="168" fontId="38" fillId="0" borderId="0" xfId="9" applyNumberFormat="1" applyFont="1" applyAlignment="1">
      <alignment horizontal="center"/>
    </xf>
    <xf numFmtId="0" fontId="5" fillId="0" borderId="0" xfId="9" applyFont="1" applyFill="1" applyBorder="1" applyAlignment="1">
      <alignment horizontal="left" vertical="center" wrapText="1"/>
    </xf>
    <xf numFmtId="3" fontId="5" fillId="0" borderId="0" xfId="9" applyNumberFormat="1" applyFont="1" applyBorder="1"/>
    <xf numFmtId="168" fontId="38" fillId="0" borderId="0" xfId="9" applyNumberFormat="1" applyFont="1" applyBorder="1"/>
    <xf numFmtId="0" fontId="38" fillId="0" borderId="0" xfId="9" applyFont="1" applyFill="1" applyBorder="1" applyAlignment="1">
      <alignment horizontal="left" vertical="center" wrapText="1"/>
    </xf>
    <xf numFmtId="4" fontId="38" fillId="0" borderId="0" xfId="9" applyNumberFormat="1" applyFont="1" applyBorder="1" applyAlignment="1">
      <alignment horizontal="right"/>
    </xf>
    <xf numFmtId="0" fontId="41" fillId="0" borderId="0" xfId="0" applyFont="1"/>
    <xf numFmtId="0" fontId="4" fillId="0" borderId="1" xfId="8" applyFont="1" applyBorder="1" applyAlignment="1">
      <alignment vertical="center"/>
    </xf>
    <xf numFmtId="43" fontId="40" fillId="0" borderId="1" xfId="0" applyNumberFormat="1" applyFont="1" applyBorder="1" applyAlignment="1">
      <alignment vertical="center" wrapText="1"/>
    </xf>
    <xf numFmtId="43" fontId="42" fillId="0" borderId="1" xfId="1" applyFont="1" applyBorder="1" applyAlignment="1">
      <alignment vertical="center" wrapText="1"/>
    </xf>
    <xf numFmtId="43" fontId="4" fillId="0" borderId="9" xfId="1" applyFont="1" applyFill="1" applyBorder="1" applyAlignment="1">
      <alignment horizontal="center" vertical="center" wrapText="1"/>
    </xf>
    <xf numFmtId="165" fontId="3" fillId="7" borderId="1" xfId="1" applyNumberFormat="1" applyFont="1" applyFill="1" applyBorder="1" applyAlignment="1">
      <alignment vertical="center"/>
    </xf>
    <xf numFmtId="165" fontId="4" fillId="7" borderId="1" xfId="1" applyNumberFormat="1" applyFont="1" applyFill="1" applyBorder="1" applyAlignment="1">
      <alignment vertical="center"/>
    </xf>
    <xf numFmtId="43" fontId="4" fillId="7" borderId="1" xfId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41" fillId="0" borderId="1" xfId="0" applyFont="1" applyBorder="1"/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3" fillId="7" borderId="1" xfId="0" applyNumberFormat="1" applyFont="1" applyFill="1" applyBorder="1" applyAlignment="1">
      <alignment vertical="center"/>
    </xf>
    <xf numFmtId="4" fontId="27" fillId="7" borderId="0" xfId="6" applyNumberFormat="1" applyFont="1" applyFill="1"/>
    <xf numFmtId="4" fontId="18" fillId="7" borderId="0" xfId="6" applyNumberFormat="1" applyFill="1"/>
    <xf numFmtId="0" fontId="43" fillId="0" borderId="0" xfId="13"/>
    <xf numFmtId="0" fontId="43" fillId="0" borderId="0" xfId="13" applyAlignment="1">
      <alignment horizontal="left"/>
    </xf>
    <xf numFmtId="4" fontId="44" fillId="17" borderId="60" xfId="13" applyNumberFormat="1" applyFont="1" applyFill="1" applyBorder="1" applyAlignment="1">
      <alignment horizontal="right" vertical="top" wrapText="1"/>
    </xf>
    <xf numFmtId="0" fontId="44" fillId="17" borderId="60" xfId="13" applyFont="1" applyFill="1" applyBorder="1" applyAlignment="1">
      <alignment horizontal="right" vertical="top" wrapText="1"/>
    </xf>
    <xf numFmtId="0" fontId="44" fillId="17" borderId="60" xfId="13" applyFont="1" applyFill="1" applyBorder="1" applyAlignment="1">
      <alignment horizontal="left" vertical="top"/>
    </xf>
    <xf numFmtId="0" fontId="45" fillId="0" borderId="61" xfId="13" applyFont="1" applyBorder="1" applyAlignment="1">
      <alignment horizontal="right" vertical="top" wrapText="1"/>
    </xf>
    <xf numFmtId="0" fontId="45" fillId="0" borderId="61" xfId="13" applyFont="1" applyBorder="1" applyAlignment="1">
      <alignment horizontal="left" vertical="top" wrapText="1"/>
    </xf>
    <xf numFmtId="4" fontId="45" fillId="0" borderId="61" xfId="13" applyNumberFormat="1" applyFont="1" applyBorder="1" applyAlignment="1">
      <alignment horizontal="right" vertical="top" wrapText="1"/>
    </xf>
    <xf numFmtId="0" fontId="45" fillId="0" borderId="61" xfId="13" applyFont="1" applyBorder="1" applyAlignment="1">
      <alignment horizontal="left" vertical="top" wrapText="1" indent="2"/>
    </xf>
    <xf numFmtId="0" fontId="46" fillId="18" borderId="61" xfId="13" applyFont="1" applyFill="1" applyBorder="1" applyAlignment="1">
      <alignment horizontal="right" vertical="top" wrapText="1"/>
    </xf>
    <xf numFmtId="0" fontId="46" fillId="18" borderId="61" xfId="13" applyFont="1" applyFill="1" applyBorder="1" applyAlignment="1">
      <alignment horizontal="left" vertical="top" wrapText="1"/>
    </xf>
    <xf numFmtId="4" fontId="46" fillId="18" borderId="61" xfId="13" applyNumberFormat="1" applyFont="1" applyFill="1" applyBorder="1" applyAlignment="1">
      <alignment horizontal="right" vertical="top" wrapText="1"/>
    </xf>
    <xf numFmtId="0" fontId="46" fillId="18" borderId="61" xfId="13" applyFont="1" applyFill="1" applyBorder="1" applyAlignment="1">
      <alignment horizontal="left" vertical="top" wrapText="1" indent="2"/>
    </xf>
    <xf numFmtId="2" fontId="45" fillId="0" borderId="61" xfId="13" applyNumberFormat="1" applyFont="1" applyBorder="1" applyAlignment="1">
      <alignment horizontal="right" vertical="top" wrapText="1"/>
    </xf>
    <xf numFmtId="2" fontId="46" fillId="18" borderId="61" xfId="13" applyNumberFormat="1" applyFont="1" applyFill="1" applyBorder="1" applyAlignment="1">
      <alignment horizontal="right" vertical="top" wrapText="1"/>
    </xf>
    <xf numFmtId="4" fontId="47" fillId="0" borderId="61" xfId="13" applyNumberFormat="1" applyFont="1" applyBorder="1" applyAlignment="1">
      <alignment horizontal="right" vertical="top" wrapText="1"/>
    </xf>
    <xf numFmtId="4" fontId="47" fillId="18" borderId="61" xfId="13" applyNumberFormat="1" applyFont="1" applyFill="1" applyBorder="1" applyAlignment="1">
      <alignment horizontal="right" vertical="top" wrapText="1"/>
    </xf>
    <xf numFmtId="4" fontId="48" fillId="19" borderId="61" xfId="13" applyNumberFormat="1" applyFont="1" applyFill="1" applyBorder="1" applyAlignment="1">
      <alignment horizontal="right" vertical="top" wrapText="1"/>
    </xf>
    <xf numFmtId="0" fontId="48" fillId="19" borderId="61" xfId="13" applyFont="1" applyFill="1" applyBorder="1" applyAlignment="1">
      <alignment horizontal="right" vertical="top" wrapText="1"/>
    </xf>
    <xf numFmtId="0" fontId="48" fillId="19" borderId="61" xfId="13" applyFont="1" applyFill="1" applyBorder="1" applyAlignment="1">
      <alignment horizontal="left" vertical="top" wrapText="1"/>
    </xf>
    <xf numFmtId="0" fontId="48" fillId="17" borderId="60" xfId="13" applyFont="1" applyFill="1" applyBorder="1" applyAlignment="1">
      <alignment horizontal="left" vertical="top" wrapText="1"/>
    </xf>
    <xf numFmtId="0" fontId="43" fillId="0" borderId="0" xfId="13" applyAlignment="1">
      <alignment horizontal="left" wrapText="1"/>
    </xf>
    <xf numFmtId="0" fontId="43" fillId="0" borderId="0" xfId="13" applyFont="1" applyAlignment="1">
      <alignment horizontal="left" vertical="top" wrapText="1"/>
    </xf>
    <xf numFmtId="0" fontId="49" fillId="0" borderId="0" xfId="13" applyFont="1" applyAlignment="1">
      <alignment horizontal="left"/>
    </xf>
    <xf numFmtId="0" fontId="50" fillId="0" borderId="0" xfId="13" applyFont="1" applyAlignment="1">
      <alignment horizontal="left"/>
    </xf>
    <xf numFmtId="0" fontId="46" fillId="7" borderId="61" xfId="13" applyFont="1" applyFill="1" applyBorder="1" applyAlignment="1">
      <alignment horizontal="left" vertical="top" wrapText="1" indent="2"/>
    </xf>
    <xf numFmtId="10" fontId="29" fillId="0" borderId="0" xfId="7" applyNumberFormat="1" applyFont="1" applyAlignment="1">
      <alignment vertical="center" wrapText="1"/>
    </xf>
    <xf numFmtId="4" fontId="29" fillId="0" borderId="0" xfId="0" applyNumberFormat="1" applyFont="1" applyAlignment="1">
      <alignment vertical="center" wrapText="1"/>
    </xf>
    <xf numFmtId="4" fontId="20" fillId="7" borderId="25" xfId="6" applyNumberFormat="1" applyFont="1" applyFill="1" applyBorder="1" applyAlignment="1">
      <alignment horizontal="right" vertical="top" wrapText="1"/>
    </xf>
    <xf numFmtId="0" fontId="38" fillId="0" borderId="1" xfId="6" applyFont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43" fontId="5" fillId="0" borderId="2" xfId="1" applyFont="1" applyBorder="1" applyAlignment="1">
      <alignment horizontal="center"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43" fontId="5" fillId="0" borderId="1" xfId="1" applyFont="1" applyFill="1" applyBorder="1" applyAlignment="1">
      <alignment horizontal="center" vertical="center" wrapText="1"/>
    </xf>
    <xf numFmtId="0" fontId="51" fillId="21" borderId="0" xfId="0" applyFont="1" applyFill="1" applyAlignment="1">
      <alignment wrapText="1"/>
    </xf>
    <xf numFmtId="0" fontId="51" fillId="21" borderId="1" xfId="0" applyFont="1" applyFill="1" applyBorder="1" applyAlignment="1">
      <alignment wrapText="1"/>
    </xf>
    <xf numFmtId="0" fontId="51" fillId="21" borderId="65" xfId="0" applyFont="1" applyFill="1" applyBorder="1" applyAlignment="1">
      <alignment wrapText="1"/>
    </xf>
    <xf numFmtId="0" fontId="0" fillId="0" borderId="1" xfId="0" applyBorder="1" applyAlignment="1">
      <alignment horizontal="left" wrapText="1"/>
    </xf>
    <xf numFmtId="164" fontId="0" fillId="0" borderId="1" xfId="0" applyNumberFormat="1" applyBorder="1" applyAlignment="1">
      <alignment wrapText="1"/>
    </xf>
    <xf numFmtId="0" fontId="0" fillId="7" borderId="1" xfId="0" applyFill="1" applyBorder="1" applyAlignment="1">
      <alignment horizontal="left" wrapText="1"/>
    </xf>
    <xf numFmtId="164" fontId="0" fillId="7" borderId="1" xfId="0" applyNumberFormat="1" applyFill="1" applyBorder="1" applyAlignment="1">
      <alignment wrapText="1"/>
    </xf>
    <xf numFmtId="0" fontId="0" fillId="0" borderId="0" xfId="0" applyAlignment="1">
      <alignment horizontal="left" wrapText="1"/>
    </xf>
    <xf numFmtId="0" fontId="51" fillId="21" borderId="1" xfId="0" applyFont="1" applyFill="1" applyBorder="1" applyAlignment="1">
      <alignment horizontal="left" wrapText="1"/>
    </xf>
    <xf numFmtId="164" fontId="51" fillId="21" borderId="1" xfId="0" applyNumberFormat="1" applyFont="1" applyFill="1" applyBorder="1" applyAlignment="1">
      <alignment wrapText="1"/>
    </xf>
    <xf numFmtId="43" fontId="5" fillId="0" borderId="0" xfId="0" applyNumberFormat="1" applyFont="1" applyBorder="1" applyAlignment="1">
      <alignment horizontal="center" vertical="center" wrapText="1"/>
    </xf>
    <xf numFmtId="0" fontId="20" fillId="7" borderId="25" xfId="6" applyNumberFormat="1" applyFont="1" applyFill="1" applyBorder="1" applyAlignment="1">
      <alignment vertical="top" wrapText="1" indent="2"/>
    </xf>
    <xf numFmtId="0" fontId="20" fillId="7" borderId="25" xfId="6" applyNumberFormat="1" applyFont="1" applyFill="1" applyBorder="1" applyAlignment="1">
      <alignment horizontal="right" vertical="top" wrapText="1"/>
    </xf>
    <xf numFmtId="0" fontId="18" fillId="7" borderId="0" xfId="6" applyFill="1"/>
    <xf numFmtId="0" fontId="0" fillId="0" borderId="1" xfId="0" applyBorder="1"/>
    <xf numFmtId="43" fontId="5" fillId="7" borderId="1" xfId="1" applyFont="1" applyFill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4" fontId="18" fillId="22" borderId="0" xfId="6" applyNumberFormat="1" applyFill="1"/>
    <xf numFmtId="4" fontId="20" fillId="22" borderId="25" xfId="6" applyNumberFormat="1" applyFont="1" applyFill="1" applyBorder="1" applyAlignment="1">
      <alignment horizontal="right" vertical="top" wrapText="1"/>
    </xf>
    <xf numFmtId="43" fontId="18" fillId="0" borderId="0" xfId="1" applyFont="1"/>
    <xf numFmtId="165" fontId="35" fillId="0" borderId="46" xfId="1" applyNumberFormat="1" applyFont="1" applyFill="1" applyBorder="1" applyAlignment="1" applyProtection="1">
      <alignment horizontal="center"/>
      <protection hidden="1"/>
    </xf>
    <xf numFmtId="0" fontId="38" fillId="0" borderId="1" xfId="6" applyFont="1" applyBorder="1" applyAlignment="1">
      <alignment vertical="center" wrapText="1"/>
    </xf>
    <xf numFmtId="0" fontId="38" fillId="0" borderId="1" xfId="6" applyFont="1" applyBorder="1" applyAlignment="1">
      <alignment horizontal="left" vertical="center" wrapText="1" indent="2"/>
    </xf>
    <xf numFmtId="165" fontId="35" fillId="0" borderId="0" xfId="1" applyNumberFormat="1" applyFont="1" applyFill="1" applyBorder="1" applyAlignment="1" applyProtection="1">
      <alignment horizontal="center"/>
      <protection hidden="1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/>
    </xf>
    <xf numFmtId="0" fontId="4" fillId="7" borderId="0" xfId="0" applyFont="1" applyFill="1" applyBorder="1" applyAlignment="1">
      <alignment vertical="center"/>
    </xf>
    <xf numFmtId="166" fontId="4" fillId="7" borderId="1" xfId="1" applyNumberFormat="1" applyFont="1" applyFill="1" applyBorder="1" applyAlignment="1">
      <alignment horizontal="center" vertical="center" wrapText="1"/>
    </xf>
    <xf numFmtId="43" fontId="5" fillId="7" borderId="0" xfId="1" applyFont="1" applyFill="1" applyBorder="1" applyAlignment="1">
      <alignment horizontal="center" vertical="center" wrapText="1"/>
    </xf>
    <xf numFmtId="165" fontId="5" fillId="7" borderId="0" xfId="1" applyNumberFormat="1" applyFont="1" applyFill="1" applyBorder="1" applyAlignment="1">
      <alignment horizontal="center" vertical="center" wrapText="1"/>
    </xf>
    <xf numFmtId="165" fontId="5" fillId="7" borderId="1" xfId="0" applyNumberFormat="1" applyFont="1" applyFill="1" applyBorder="1" applyAlignment="1">
      <alignment horizontal="center" vertical="center" wrapText="1"/>
    </xf>
    <xf numFmtId="165" fontId="5" fillId="7" borderId="1" xfId="1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39" fillId="0" borderId="1" xfId="9" applyFont="1" applyFill="1" applyBorder="1" applyAlignment="1" applyProtection="1">
      <alignment horizontal="left" vertical="center" wrapText="1"/>
      <protection hidden="1"/>
    </xf>
    <xf numFmtId="165" fontId="39" fillId="0" borderId="1" xfId="12" applyNumberFormat="1" applyFont="1" applyFill="1" applyBorder="1" applyAlignment="1" applyProtection="1">
      <alignment horizontal="center" vertical="center"/>
      <protection hidden="1"/>
    </xf>
    <xf numFmtId="49" fontId="39" fillId="0" borderId="1" xfId="9" applyNumberFormat="1" applyFont="1" applyFill="1" applyBorder="1" applyAlignment="1" applyProtection="1">
      <alignment horizontal="left" vertical="center" wrapText="1"/>
      <protection hidden="1"/>
    </xf>
    <xf numFmtId="168" fontId="39" fillId="16" borderId="38" xfId="9" applyNumberFormat="1" applyFont="1" applyFill="1" applyBorder="1" applyAlignment="1" applyProtection="1">
      <alignment horizontal="center" vertical="center" wrapText="1"/>
      <protection hidden="1"/>
    </xf>
    <xf numFmtId="0" fontId="39" fillId="16" borderId="39" xfId="9" applyFont="1" applyFill="1" applyBorder="1" applyAlignment="1" applyProtection="1">
      <alignment horizontal="center" vertical="center" wrapText="1"/>
      <protection hidden="1"/>
    </xf>
    <xf numFmtId="4" fontId="39" fillId="16" borderId="39" xfId="9" applyNumberFormat="1" applyFont="1" applyFill="1" applyBorder="1" applyAlignment="1" applyProtection="1">
      <alignment horizontal="center" vertical="center" wrapText="1"/>
      <protection hidden="1"/>
    </xf>
    <xf numFmtId="168" fontId="39" fillId="16" borderId="40" xfId="9" applyNumberFormat="1" applyFont="1" applyFill="1" applyBorder="1" applyAlignment="1" applyProtection="1">
      <alignment horizontal="center" vertical="center" wrapText="1"/>
      <protection hidden="1"/>
    </xf>
    <xf numFmtId="168" fontId="38" fillId="0" borderId="41" xfId="9" applyNumberFormat="1" applyFont="1" applyFill="1" applyBorder="1" applyAlignment="1" applyProtection="1">
      <alignment horizontal="center" vertical="center" wrapText="1"/>
      <protection hidden="1"/>
    </xf>
    <xf numFmtId="49" fontId="38" fillId="0" borderId="41" xfId="9" applyNumberFormat="1" applyFont="1" applyFill="1" applyBorder="1" applyAlignment="1" applyProtection="1">
      <alignment horizontal="center" vertical="center" wrapText="1"/>
      <protection hidden="1"/>
    </xf>
    <xf numFmtId="43" fontId="39" fillId="0" borderId="42" xfId="12" applyNumberFormat="1" applyFont="1" applyFill="1" applyBorder="1" applyAlignment="1" applyProtection="1">
      <alignment horizontal="center" vertical="center"/>
      <protection hidden="1"/>
    </xf>
    <xf numFmtId="49" fontId="38" fillId="0" borderId="43" xfId="9" applyNumberFormat="1" applyFont="1" applyFill="1" applyBorder="1" applyAlignment="1" applyProtection="1">
      <alignment horizontal="center" vertical="center" wrapText="1"/>
      <protection hidden="1"/>
    </xf>
    <xf numFmtId="0" fontId="39" fillId="0" borderId="44" xfId="9" applyFont="1" applyFill="1" applyBorder="1" applyAlignment="1" applyProtection="1">
      <alignment horizontal="left" vertical="center" wrapText="1"/>
      <protection hidden="1"/>
    </xf>
    <xf numFmtId="43" fontId="4" fillId="7" borderId="1" xfId="1" applyNumberFormat="1" applyFont="1" applyFill="1" applyBorder="1" applyAlignment="1">
      <alignment vertical="center"/>
    </xf>
    <xf numFmtId="43" fontId="35" fillId="0" borderId="46" xfId="11" applyNumberFormat="1" applyFont="1" applyFill="1" applyBorder="1" applyAlignment="1" applyProtection="1">
      <alignment horizontal="center"/>
      <protection hidden="1"/>
    </xf>
    <xf numFmtId="10" fontId="5" fillId="0" borderId="0" xfId="7" applyNumberFormat="1" applyFont="1" applyBorder="1" applyAlignment="1">
      <alignment horizontal="center" vertical="center" wrapText="1"/>
    </xf>
    <xf numFmtId="0" fontId="4" fillId="0" borderId="0" xfId="9" applyFont="1" applyFill="1" applyBorder="1" applyAlignment="1">
      <alignment horizontal="left" vertical="center"/>
    </xf>
    <xf numFmtId="168" fontId="35" fillId="0" borderId="0" xfId="9" applyNumberFormat="1" applyFont="1" applyBorder="1" applyAlignment="1">
      <alignment horizontal="center" vertical="center" wrapText="1"/>
    </xf>
    <xf numFmtId="168" fontId="35" fillId="0" borderId="0" xfId="9" applyNumberFormat="1" applyFont="1" applyBorder="1" applyAlignment="1">
      <alignment horizontal="center"/>
    </xf>
    <xf numFmtId="0" fontId="28" fillId="0" borderId="1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43" fontId="5" fillId="7" borderId="1" xfId="1" applyFont="1" applyFill="1" applyBorder="1" applyAlignment="1">
      <alignment horizontal="center" vertical="center" wrapText="1"/>
    </xf>
    <xf numFmtId="0" fontId="43" fillId="0" borderId="1" xfId="6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165" fontId="4" fillId="6" borderId="5" xfId="0" applyNumberFormat="1" applyFont="1" applyFill="1" applyBorder="1" applyAlignment="1">
      <alignment horizontal="center" vertical="top" wrapText="1"/>
    </xf>
    <xf numFmtId="165" fontId="4" fillId="6" borderId="6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top" wrapText="1"/>
    </xf>
    <xf numFmtId="43" fontId="3" fillId="6" borderId="1" xfId="1" applyFont="1" applyFill="1" applyBorder="1" applyAlignment="1">
      <alignment horizontal="center" vertical="top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center" vertical="center" wrapText="1"/>
    </xf>
    <xf numFmtId="0" fontId="4" fillId="5" borderId="1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10" fillId="2" borderId="7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165" fontId="4" fillId="6" borderId="7" xfId="2" applyNumberFormat="1" applyFont="1" applyFill="1" applyBorder="1" applyAlignment="1">
      <alignment horizontal="center" vertical="center" wrapText="1"/>
    </xf>
    <xf numFmtId="165" fontId="4" fillId="6" borderId="11" xfId="2" applyNumberFormat="1" applyFont="1" applyFill="1" applyBorder="1" applyAlignment="1">
      <alignment horizontal="center" vertical="center" wrapText="1"/>
    </xf>
    <xf numFmtId="0" fontId="4" fillId="4" borderId="1" xfId="2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top" wrapText="1"/>
    </xf>
    <xf numFmtId="0" fontId="4" fillId="3" borderId="9" xfId="0" applyFont="1" applyFill="1" applyBorder="1" applyAlignment="1">
      <alignment horizontal="center" vertical="top" wrapText="1"/>
    </xf>
    <xf numFmtId="165" fontId="4" fillId="6" borderId="8" xfId="2" applyNumberFormat="1" applyFont="1" applyFill="1" applyBorder="1" applyAlignment="1">
      <alignment horizontal="center" vertical="center" wrapText="1"/>
    </xf>
    <xf numFmtId="165" fontId="4" fillId="6" borderId="10" xfId="2" applyNumberFormat="1" applyFont="1" applyFill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165" fontId="4" fillId="6" borderId="1" xfId="2" applyNumberFormat="1" applyFont="1" applyFill="1" applyBorder="1" applyAlignment="1">
      <alignment horizontal="center" vertical="center" wrapText="1"/>
    </xf>
    <xf numFmtId="165" fontId="5" fillId="0" borderId="2" xfId="1" applyNumberFormat="1" applyFont="1" applyBorder="1" applyAlignment="1">
      <alignment horizontal="center" vertical="center" wrapText="1"/>
    </xf>
    <xf numFmtId="165" fontId="5" fillId="0" borderId="4" xfId="1" applyNumberFormat="1" applyFont="1" applyBorder="1" applyAlignment="1">
      <alignment horizontal="center" vertical="center" wrapText="1"/>
    </xf>
    <xf numFmtId="43" fontId="5" fillId="0" borderId="2" xfId="1" applyFont="1" applyBorder="1" applyAlignment="1">
      <alignment horizontal="center" vertical="center" wrapText="1"/>
    </xf>
    <xf numFmtId="43" fontId="5" fillId="0" borderId="4" xfId="1" applyFont="1" applyBorder="1" applyAlignment="1">
      <alignment horizontal="center" vertical="center" wrapText="1"/>
    </xf>
    <xf numFmtId="0" fontId="38" fillId="0" borderId="1" xfId="6" applyFont="1" applyBorder="1" applyAlignment="1">
      <alignment horizontal="center" vertical="center" wrapText="1"/>
    </xf>
    <xf numFmtId="0" fontId="40" fillId="2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3" fillId="0" borderId="7" xfId="6" applyNumberFormat="1" applyFont="1" applyFill="1" applyBorder="1" applyAlignment="1">
      <alignment horizontal="center" vertical="top" wrapText="1"/>
    </xf>
    <xf numFmtId="0" fontId="43" fillId="0" borderId="11" xfId="6" applyNumberFormat="1" applyFont="1" applyFill="1" applyBorder="1" applyAlignment="1">
      <alignment horizontal="center" vertical="top" wrapText="1"/>
    </xf>
    <xf numFmtId="0" fontId="43" fillId="0" borderId="9" xfId="6" applyNumberFormat="1" applyFont="1" applyFill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center" wrapText="1"/>
    </xf>
    <xf numFmtId="0" fontId="38" fillId="0" borderId="1" xfId="6" applyFont="1" applyFill="1" applyBorder="1" applyAlignment="1">
      <alignment horizontal="center" vertical="center" wrapText="1"/>
    </xf>
    <xf numFmtId="0" fontId="24" fillId="0" borderId="0" xfId="6" applyNumberFormat="1" applyFont="1" applyAlignment="1">
      <alignment vertical="top" wrapText="1"/>
    </xf>
    <xf numFmtId="0" fontId="24" fillId="0" borderId="0" xfId="6" applyNumberFormat="1" applyFont="1" applyAlignment="1">
      <alignment horizontal="center" vertical="top" wrapText="1"/>
    </xf>
    <xf numFmtId="0" fontId="18" fillId="0" borderId="0" xfId="6" applyNumberFormat="1" applyAlignment="1">
      <alignment horizontal="center" wrapText="1"/>
    </xf>
    <xf numFmtId="0" fontId="23" fillId="8" borderId="24" xfId="6" applyNumberFormat="1" applyFont="1" applyFill="1" applyBorder="1" applyAlignment="1">
      <alignment horizontal="center" vertical="top"/>
    </xf>
    <xf numFmtId="0" fontId="23" fillId="8" borderId="28" xfId="6" applyNumberFormat="1" applyFont="1" applyFill="1" applyBorder="1" applyAlignment="1">
      <alignment horizontal="center" vertical="top"/>
    </xf>
    <xf numFmtId="0" fontId="23" fillId="8" borderId="27" xfId="6" applyNumberFormat="1" applyFont="1" applyFill="1" applyBorder="1" applyAlignment="1">
      <alignment horizontal="center" vertical="top"/>
    </xf>
    <xf numFmtId="0" fontId="23" fillId="8" borderId="26" xfId="6" applyNumberFormat="1" applyFont="1" applyFill="1" applyBorder="1" applyAlignment="1">
      <alignment horizontal="center" vertical="top"/>
    </xf>
    <xf numFmtId="0" fontId="22" fillId="8" borderId="28" xfId="6" applyNumberFormat="1" applyFont="1" applyFill="1" applyBorder="1" applyAlignment="1">
      <alignment vertical="top" wrapText="1"/>
    </xf>
    <xf numFmtId="0" fontId="22" fillId="8" borderId="26" xfId="6" applyNumberFormat="1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top" wrapText="1"/>
    </xf>
    <xf numFmtId="0" fontId="8" fillId="3" borderId="3" xfId="0" applyFont="1" applyFill="1" applyBorder="1" applyAlignment="1">
      <alignment horizontal="center" vertical="top" wrapText="1"/>
    </xf>
    <xf numFmtId="0" fontId="8" fillId="3" borderId="4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14" fillId="0" borderId="13" xfId="5" applyFont="1" applyFill="1" applyBorder="1" applyAlignment="1">
      <alignment horizontal="left" vertical="top"/>
    </xf>
    <xf numFmtId="0" fontId="15" fillId="0" borderId="14" xfId="5" applyFont="1" applyFill="1" applyBorder="1" applyAlignment="1">
      <alignment horizontal="center" vertical="top"/>
    </xf>
    <xf numFmtId="0" fontId="15" fillId="0" borderId="15" xfId="5" applyFont="1" applyFill="1" applyBorder="1" applyAlignment="1">
      <alignment horizontal="center" vertical="top"/>
    </xf>
    <xf numFmtId="0" fontId="15" fillId="0" borderId="16" xfId="5" applyFont="1" applyFill="1" applyBorder="1" applyAlignment="1">
      <alignment horizontal="center" vertical="top"/>
    </xf>
    <xf numFmtId="0" fontId="16" fillId="0" borderId="16" xfId="5" applyFont="1" applyFill="1" applyBorder="1" applyAlignment="1">
      <alignment horizontal="left" vertical="top"/>
    </xf>
    <xf numFmtId="0" fontId="16" fillId="0" borderId="15" xfId="5" applyFont="1" applyFill="1" applyBorder="1" applyAlignment="1">
      <alignment horizontal="left" vertical="top"/>
    </xf>
    <xf numFmtId="0" fontId="13" fillId="0" borderId="14" xfId="5" applyFill="1" applyBorder="1" applyAlignment="1">
      <alignment horizontal="left" vertical="center"/>
    </xf>
    <xf numFmtId="0" fontId="13" fillId="0" borderId="18" xfId="5" applyFill="1" applyBorder="1" applyAlignment="1">
      <alignment horizontal="left" vertical="center"/>
    </xf>
    <xf numFmtId="0" fontId="13" fillId="0" borderId="19" xfId="5" applyFill="1" applyBorder="1" applyAlignment="1">
      <alignment horizontal="left" vertical="center"/>
    </xf>
    <xf numFmtId="0" fontId="13" fillId="0" borderId="20" xfId="5" applyFill="1" applyBorder="1" applyAlignment="1">
      <alignment horizontal="left" vertical="center"/>
    </xf>
    <xf numFmtId="0" fontId="13" fillId="0" borderId="13" xfId="5" applyFill="1" applyBorder="1" applyAlignment="1">
      <alignment horizontal="left" vertical="center"/>
    </xf>
    <xf numFmtId="0" fontId="13" fillId="0" borderId="21" xfId="5" applyFill="1" applyBorder="1" applyAlignment="1">
      <alignment horizontal="left" vertical="center"/>
    </xf>
    <xf numFmtId="0" fontId="13" fillId="0" borderId="14" xfId="5" applyFill="1" applyBorder="1" applyAlignment="1">
      <alignment horizontal="left" vertical="top"/>
    </xf>
    <xf numFmtId="0" fontId="13" fillId="0" borderId="16" xfId="5" applyFill="1" applyBorder="1" applyAlignment="1">
      <alignment horizontal="left" vertical="top"/>
    </xf>
    <xf numFmtId="0" fontId="14" fillId="0" borderId="0" xfId="5" applyFont="1" applyFill="1" applyAlignment="1">
      <alignment horizontal="right" vertical="top"/>
    </xf>
    <xf numFmtId="0" fontId="14" fillId="0" borderId="0" xfId="5" applyFont="1" applyFill="1" applyAlignment="1">
      <alignment horizontal="center" vertical="center" wrapText="1"/>
    </xf>
    <xf numFmtId="0" fontId="14" fillId="0" borderId="0" xfId="5" applyFont="1" applyFill="1" applyAlignment="1">
      <alignment horizontal="left" vertical="top"/>
    </xf>
    <xf numFmtId="0" fontId="13" fillId="0" borderId="22" xfId="5" applyFill="1" applyBorder="1" applyAlignment="1">
      <alignment horizontal="left" vertical="center"/>
    </xf>
    <xf numFmtId="0" fontId="13" fillId="0" borderId="0" xfId="5" applyFill="1" applyAlignment="1">
      <alignment horizontal="left" vertical="center"/>
    </xf>
    <xf numFmtId="0" fontId="13" fillId="0" borderId="23" xfId="5" applyFill="1" applyBorder="1" applyAlignment="1">
      <alignment horizontal="left" vertical="center"/>
    </xf>
    <xf numFmtId="0" fontId="13" fillId="0" borderId="15" xfId="5" applyFill="1" applyBorder="1" applyAlignment="1">
      <alignment horizontal="left" vertical="center"/>
    </xf>
    <xf numFmtId="0" fontId="13" fillId="0" borderId="16" xfId="5" applyFill="1" applyBorder="1" applyAlignment="1">
      <alignment horizontal="left" vertical="center"/>
    </xf>
    <xf numFmtId="0" fontId="14" fillId="0" borderId="15" xfId="5" applyFont="1" applyFill="1" applyBorder="1" applyAlignment="1">
      <alignment horizontal="left" vertical="top"/>
    </xf>
    <xf numFmtId="0" fontId="17" fillId="0" borderId="0" xfId="5" applyFont="1" applyFill="1" applyAlignment="1">
      <alignment horizontal="center"/>
    </xf>
    <xf numFmtId="0" fontId="43" fillId="0" borderId="0" xfId="13" applyFont="1" applyAlignment="1">
      <alignment horizontal="left" vertical="top" wrapText="1"/>
    </xf>
    <xf numFmtId="0" fontId="43" fillId="0" borderId="0" xfId="13" applyFont="1" applyAlignment="1">
      <alignment horizontal="center" vertical="top" wrapText="1"/>
    </xf>
    <xf numFmtId="0" fontId="43" fillId="0" borderId="0" xfId="13" applyAlignment="1">
      <alignment horizontal="center" wrapText="1"/>
    </xf>
    <xf numFmtId="0" fontId="48" fillId="17" borderId="64" xfId="13" applyFont="1" applyFill="1" applyBorder="1" applyAlignment="1">
      <alignment horizontal="center" vertical="top" wrapText="1"/>
    </xf>
    <xf numFmtId="0" fontId="48" fillId="17" borderId="63" xfId="13" applyFont="1" applyFill="1" applyBorder="1" applyAlignment="1">
      <alignment horizontal="center" vertical="top" wrapText="1"/>
    </xf>
    <xf numFmtId="0" fontId="48" fillId="17" borderId="62" xfId="13" applyFont="1" applyFill="1" applyBorder="1" applyAlignment="1">
      <alignment horizontal="center" vertical="top" wrapText="1"/>
    </xf>
    <xf numFmtId="0" fontId="48" fillId="17" borderId="64" xfId="13" applyFont="1" applyFill="1" applyBorder="1" applyAlignment="1">
      <alignment horizontal="center" vertical="top" wrapText="1" indent="1"/>
    </xf>
    <xf numFmtId="0" fontId="48" fillId="17" borderId="63" xfId="13" applyFont="1" applyFill="1" applyBorder="1" applyAlignment="1">
      <alignment horizontal="center" vertical="top" wrapText="1" indent="1"/>
    </xf>
    <xf numFmtId="0" fontId="48" fillId="17" borderId="62" xfId="13" applyFont="1" applyFill="1" applyBorder="1" applyAlignment="1">
      <alignment horizontal="center" vertical="top" wrapText="1" indent="1"/>
    </xf>
    <xf numFmtId="0" fontId="22" fillId="8" borderId="36" xfId="6" applyNumberFormat="1" applyFont="1" applyFill="1" applyBorder="1" applyAlignment="1">
      <alignment vertical="top"/>
    </xf>
    <xf numFmtId="0" fontId="22" fillId="8" borderId="32" xfId="6" applyNumberFormat="1" applyFont="1" applyFill="1" applyBorder="1" applyAlignment="1">
      <alignment vertical="top"/>
    </xf>
    <xf numFmtId="0" fontId="22" fillId="8" borderId="28" xfId="6" applyNumberFormat="1" applyFont="1" applyFill="1" applyBorder="1" applyAlignment="1">
      <alignment vertical="top"/>
    </xf>
    <xf numFmtId="0" fontId="22" fillId="8" borderId="26" xfId="6" applyNumberFormat="1" applyFont="1" applyFill="1" applyBorder="1" applyAlignment="1">
      <alignment vertical="top"/>
    </xf>
    <xf numFmtId="0" fontId="22" fillId="8" borderId="35" xfId="6" applyNumberFormat="1" applyFont="1" applyFill="1" applyBorder="1" applyAlignment="1">
      <alignment vertical="top"/>
    </xf>
    <xf numFmtId="0" fontId="22" fillId="8" borderId="34" xfId="6" applyNumberFormat="1" applyFont="1" applyFill="1" applyBorder="1" applyAlignment="1">
      <alignment vertical="top"/>
    </xf>
    <xf numFmtId="0" fontId="22" fillId="8" borderId="28" xfId="6" applyNumberFormat="1" applyFont="1" applyFill="1" applyBorder="1" applyAlignment="1">
      <alignment horizontal="center" vertical="top"/>
    </xf>
    <xf numFmtId="0" fontId="22" fillId="8" borderId="24" xfId="6" applyNumberFormat="1" applyFont="1" applyFill="1" applyBorder="1" applyAlignment="1">
      <alignment horizontal="center" vertical="top"/>
    </xf>
    <xf numFmtId="0" fontId="22" fillId="8" borderId="31" xfId="6" applyNumberFormat="1" applyFont="1" applyFill="1" applyBorder="1" applyAlignment="1">
      <alignment vertical="top"/>
    </xf>
    <xf numFmtId="0" fontId="22" fillId="8" borderId="33" xfId="6" applyNumberFormat="1" applyFont="1" applyFill="1" applyBorder="1" applyAlignment="1">
      <alignment vertical="top"/>
    </xf>
    <xf numFmtId="0" fontId="22" fillId="10" borderId="25" xfId="6" applyNumberFormat="1" applyFont="1" applyFill="1" applyBorder="1" applyAlignment="1">
      <alignment vertical="top"/>
    </xf>
    <xf numFmtId="0" fontId="22" fillId="10" borderId="25" xfId="6" applyNumberFormat="1" applyFont="1" applyFill="1" applyBorder="1" applyAlignment="1">
      <alignment horizontal="right" vertical="top"/>
    </xf>
    <xf numFmtId="4" fontId="20" fillId="0" borderId="25" xfId="6" applyNumberFormat="1" applyFont="1" applyBorder="1" applyAlignment="1">
      <alignment horizontal="right" vertical="top" wrapText="1"/>
    </xf>
    <xf numFmtId="0" fontId="20" fillId="0" borderId="29" xfId="6" applyNumberFormat="1" applyFont="1" applyBorder="1" applyAlignment="1">
      <alignment horizontal="right" vertical="top" wrapText="1"/>
    </xf>
    <xf numFmtId="2" fontId="20" fillId="0" borderId="25" xfId="6" applyNumberFormat="1" applyFont="1" applyBorder="1" applyAlignment="1">
      <alignment horizontal="right" vertical="top" wrapText="1"/>
    </xf>
    <xf numFmtId="0" fontId="19" fillId="10" borderId="25" xfId="6" applyNumberFormat="1" applyFont="1" applyFill="1" applyBorder="1" applyAlignment="1">
      <alignment vertical="top"/>
    </xf>
    <xf numFmtId="4" fontId="19" fillId="10" borderId="25" xfId="6" applyNumberFormat="1" applyFont="1" applyFill="1" applyBorder="1" applyAlignment="1">
      <alignment horizontal="right" vertical="top" wrapText="1"/>
    </xf>
    <xf numFmtId="2" fontId="19" fillId="10" borderId="25" xfId="6" applyNumberFormat="1" applyFont="1" applyFill="1" applyBorder="1" applyAlignment="1">
      <alignment horizontal="right" vertical="top" wrapText="1"/>
    </xf>
    <xf numFmtId="0" fontId="28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top" wrapText="1"/>
    </xf>
    <xf numFmtId="0" fontId="31" fillId="7" borderId="7" xfId="0" applyFont="1" applyFill="1" applyBorder="1" applyAlignment="1">
      <alignment horizontal="center" vertical="top" wrapText="1"/>
    </xf>
    <xf numFmtId="0" fontId="31" fillId="7" borderId="11" xfId="0" applyFont="1" applyFill="1" applyBorder="1" applyAlignment="1">
      <alignment horizontal="center" vertical="top" wrapText="1"/>
    </xf>
    <xf numFmtId="0" fontId="31" fillId="7" borderId="9" xfId="0" applyFont="1" applyFill="1" applyBorder="1" applyAlignment="1">
      <alignment horizontal="center" vertical="top" wrapText="1"/>
    </xf>
    <xf numFmtId="0" fontId="31" fillId="7" borderId="1" xfId="0" applyFont="1" applyFill="1" applyBorder="1" applyAlignment="1">
      <alignment horizontal="center" vertical="top" wrapText="1"/>
    </xf>
    <xf numFmtId="0" fontId="28" fillId="0" borderId="5" xfId="0" applyFont="1" applyBorder="1" applyAlignment="1">
      <alignment horizontal="left" vertic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28" fillId="0" borderId="39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30" fillId="0" borderId="37" xfId="0" applyFont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 textRotation="90" wrapText="1"/>
    </xf>
  </cellXfs>
  <cellStyles count="14">
    <cellStyle name="Обычный" xfId="0" builtinId="0"/>
    <cellStyle name="Обычный 13 2" xfId="3"/>
    <cellStyle name="Обычный 17" xfId="5"/>
    <cellStyle name="Обычный 2" xfId="6"/>
    <cellStyle name="Обычный 2 2" xfId="8"/>
    <cellStyle name="Обычный 2 4" xfId="2"/>
    <cellStyle name="Обычный 3" xfId="13"/>
    <cellStyle name="Обычный 4 2" xfId="9"/>
    <cellStyle name="Обычный 8 2" xfId="10"/>
    <cellStyle name="Процентный" xfId="7" builtinId="5"/>
    <cellStyle name="Процентный 2" xfId="4"/>
    <cellStyle name="Финансовый" xfId="1" builtinId="3"/>
    <cellStyle name="Финансовый 3 2 3" xfId="11"/>
    <cellStyle name="Финансовый 4 2" xfId="12"/>
  </cellStyles>
  <dxfs count="0"/>
  <tableStyles count="0" defaultTableStyle="TableStyleMedium2" defaultPivotStyle="PivotStyleLight16"/>
  <colors>
    <mruColors>
      <color rgb="FFFC76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P276"/>
  <sheetViews>
    <sheetView tabSelected="1" view="pageBreakPreview" zoomScale="40" zoomScaleSheetLayoutView="40" workbookViewId="0">
      <selection activeCell="B4" sqref="B4:D4"/>
    </sheetView>
  </sheetViews>
  <sheetFormatPr defaultRowHeight="15" outlineLevelCol="1" x14ac:dyDescent="0.25"/>
  <cols>
    <col min="1" max="1" width="9.140625" style="184" customWidth="1"/>
    <col min="2" max="2" width="43.85546875" style="184" customWidth="1"/>
    <col min="3" max="3" width="24.5703125" style="184" customWidth="1"/>
    <col min="4" max="4" width="30.7109375" style="184" customWidth="1"/>
    <col min="5" max="10" width="9.140625" style="184"/>
    <col min="11" max="11" width="50.7109375" style="185" hidden="1" customWidth="1" outlineLevel="1"/>
    <col min="12" max="12" width="0" style="184" hidden="1" customWidth="1" outlineLevel="1" collapsed="1"/>
    <col min="13" max="15" width="0" style="184" hidden="1" customWidth="1" outlineLevel="1"/>
    <col min="16" max="16" width="9.140625" style="184" collapsed="1"/>
    <col min="17" max="16384" width="9.140625" style="184"/>
  </cols>
  <sheetData>
    <row r="1" spans="1:15" ht="15" customHeight="1" x14ac:dyDescent="0.25">
      <c r="A1" s="329" t="s">
        <v>1506</v>
      </c>
      <c r="B1" s="329"/>
      <c r="C1" s="329"/>
      <c r="D1" s="329"/>
      <c r="K1" s="4" t="s">
        <v>878</v>
      </c>
    </row>
    <row r="2" spans="1:15" ht="15" customHeight="1" x14ac:dyDescent="0.25">
      <c r="A2" s="329" t="s">
        <v>1507</v>
      </c>
      <c r="B2" s="329"/>
      <c r="C2" s="329"/>
      <c r="D2" s="329"/>
      <c r="K2" s="4" t="s">
        <v>879</v>
      </c>
    </row>
    <row r="3" spans="1:15" ht="15" customHeight="1" x14ac:dyDescent="0.25">
      <c r="A3" s="329" t="s">
        <v>1838</v>
      </c>
      <c r="B3" s="329"/>
      <c r="C3" s="329"/>
      <c r="D3" s="329"/>
      <c r="K3" s="4" t="s">
        <v>1336</v>
      </c>
    </row>
    <row r="4" spans="1:15" ht="15" customHeight="1" x14ac:dyDescent="0.25">
      <c r="A4" s="186" t="s">
        <v>1509</v>
      </c>
      <c r="B4" s="330" t="s">
        <v>326</v>
      </c>
      <c r="C4" s="330"/>
      <c r="D4" s="330"/>
      <c r="K4" s="4" t="s">
        <v>50</v>
      </c>
    </row>
    <row r="5" spans="1:15" ht="6.75" customHeight="1" x14ac:dyDescent="0.25">
      <c r="A5" s="188"/>
      <c r="B5" s="188"/>
      <c r="C5" s="188"/>
      <c r="D5" s="188"/>
      <c r="K5" s="4" t="s">
        <v>1337</v>
      </c>
    </row>
    <row r="6" spans="1:15" ht="15" customHeight="1" thickBot="1" x14ac:dyDescent="0.3">
      <c r="A6" s="189"/>
      <c r="B6" s="190" t="s">
        <v>1510</v>
      </c>
      <c r="C6" s="326">
        <f>SUMIF(Супер!$B:$B,$B$4,Супер!$D:$D)</f>
        <v>20455.900000000001</v>
      </c>
      <c r="D6" s="192" t="s">
        <v>1511</v>
      </c>
      <c r="K6" s="4" t="s">
        <v>1338</v>
      </c>
    </row>
    <row r="7" spans="1:15" ht="24.95" customHeight="1" thickBot="1" x14ac:dyDescent="0.3">
      <c r="A7" s="193"/>
      <c r="B7" s="194" t="s">
        <v>1856</v>
      </c>
      <c r="C7" s="195">
        <f>SUMIF(Супер!$B:$B,$B$4,Супер!$AQ:$AQ)</f>
        <v>41.47</v>
      </c>
      <c r="D7" s="196" t="s">
        <v>1513</v>
      </c>
      <c r="K7" s="4" t="s">
        <v>53</v>
      </c>
    </row>
    <row r="8" spans="1:15" ht="15" customHeight="1" thickBot="1" x14ac:dyDescent="0.3">
      <c r="A8" s="193"/>
      <c r="B8" s="197" t="s">
        <v>1514</v>
      </c>
      <c r="C8" s="300">
        <f>SUMIF(Супер!$B:$B,$B$4,Супер!$CF:$CF)</f>
        <v>9722494.1499999985</v>
      </c>
      <c r="D8" s="196" t="s">
        <v>1515</v>
      </c>
      <c r="K8" s="4" t="s">
        <v>54</v>
      </c>
    </row>
    <row r="9" spans="1:15" ht="15" customHeight="1" thickBot="1" x14ac:dyDescent="0.3">
      <c r="A9" s="193"/>
      <c r="B9" s="197" t="s">
        <v>1516</v>
      </c>
      <c r="C9" s="300">
        <f>SUMIF(Супер!$B:$B,$B$4,Супер!$CG:$CG)</f>
        <v>9157854.2300000004</v>
      </c>
      <c r="D9" s="196" t="s">
        <v>1515</v>
      </c>
      <c r="K9" s="4" t="s">
        <v>1339</v>
      </c>
    </row>
    <row r="10" spans="1:15" ht="23.25" customHeight="1" thickBot="1" x14ac:dyDescent="0.3">
      <c r="A10" s="193"/>
      <c r="B10" s="194" t="s">
        <v>1840</v>
      </c>
      <c r="C10" s="300">
        <f>SUMIF(Супер!$B:$B,$B$4,Супер!$FB:$FB)</f>
        <v>1219003.24</v>
      </c>
      <c r="D10" s="196" t="s">
        <v>1515</v>
      </c>
      <c r="K10" s="4" t="s">
        <v>55</v>
      </c>
    </row>
    <row r="11" spans="1:15" ht="24.95" customHeight="1" thickBot="1" x14ac:dyDescent="0.3">
      <c r="A11" s="193"/>
      <c r="B11" s="198" t="s">
        <v>1518</v>
      </c>
      <c r="C11" s="303">
        <f>SUMIF(Супер!$B:$B,$B$4,Супер!FA:FA)</f>
        <v>0</v>
      </c>
      <c r="D11" s="196"/>
      <c r="K11" s="4" t="s">
        <v>56</v>
      </c>
    </row>
    <row r="12" spans="1:15" ht="20.100000000000001" customHeight="1" x14ac:dyDescent="0.25">
      <c r="A12" s="316" t="s">
        <v>1519</v>
      </c>
      <c r="B12" s="317" t="s">
        <v>1520</v>
      </c>
      <c r="C12" s="318" t="s">
        <v>1521</v>
      </c>
      <c r="D12" s="319" t="s">
        <v>1522</v>
      </c>
      <c r="K12" s="4" t="s">
        <v>57</v>
      </c>
    </row>
    <row r="13" spans="1:15" ht="20.100000000000001" customHeight="1" x14ac:dyDescent="0.25">
      <c r="A13" s="320"/>
      <c r="B13" s="313" t="s">
        <v>1523</v>
      </c>
      <c r="C13" s="206">
        <f>SUM(C14,C44,C58,C59,C60,C61,C62,C63,C65,C66,C64)</f>
        <v>10110467.75693542</v>
      </c>
      <c r="D13" s="207">
        <f t="shared" ref="D13:D63" si="0">C13/$C$6/12</f>
        <v>41.188066999966672</v>
      </c>
      <c r="K13" s="4" t="s">
        <v>58</v>
      </c>
    </row>
    <row r="14" spans="1:15" ht="15" customHeight="1" x14ac:dyDescent="0.25">
      <c r="A14" s="321" t="s">
        <v>1524</v>
      </c>
      <c r="B14" s="313" t="s">
        <v>1525</v>
      </c>
      <c r="C14" s="206">
        <f>SUM(C15:C43)</f>
        <v>2325940.9903320093</v>
      </c>
      <c r="D14" s="207">
        <f>C14/$C$6/12</f>
        <v>9.4754284026124864</v>
      </c>
      <c r="K14" s="4" t="s">
        <v>59</v>
      </c>
    </row>
    <row r="15" spans="1:15" ht="20.100000000000001" customHeight="1" x14ac:dyDescent="0.25">
      <c r="A15" s="321" t="s">
        <v>360</v>
      </c>
      <c r="B15" s="302" t="s">
        <v>1281</v>
      </c>
      <c r="C15" s="210">
        <f>SUMIF(Супер!$B:$B,$B$4,Супер!CJ:CJ)</f>
        <v>0</v>
      </c>
      <c r="D15" s="211">
        <f t="shared" si="0"/>
        <v>0</v>
      </c>
      <c r="K15" s="4" t="s">
        <v>60</v>
      </c>
      <c r="N15" s="301"/>
      <c r="O15" s="301"/>
    </row>
    <row r="16" spans="1:15" ht="20.100000000000001" customHeight="1" x14ac:dyDescent="0.25">
      <c r="A16" s="321" t="s">
        <v>361</v>
      </c>
      <c r="B16" s="302" t="s">
        <v>1279</v>
      </c>
      <c r="C16" s="210">
        <f>SUMIF(Супер!$B:$B,$B$4,Супер!CK:CK)</f>
        <v>1137382.632</v>
      </c>
      <c r="D16" s="211">
        <f t="shared" si="0"/>
        <v>4.633474254371599</v>
      </c>
      <c r="K16" s="4" t="s">
        <v>61</v>
      </c>
      <c r="N16" s="301"/>
      <c r="O16" s="301"/>
    </row>
    <row r="17" spans="1:15" ht="20.100000000000001" customHeight="1" x14ac:dyDescent="0.25">
      <c r="A17" s="321" t="s">
        <v>362</v>
      </c>
      <c r="B17" s="302" t="s">
        <v>1333</v>
      </c>
      <c r="C17" s="210">
        <f>SUMIF(Супер!$B:$B,$B$4,Супер!CL:CL)</f>
        <v>3158.0039999999999</v>
      </c>
      <c r="D17" s="211">
        <f t="shared" si="0"/>
        <v>1.2865090267355626E-2</v>
      </c>
      <c r="K17" s="4" t="s">
        <v>62</v>
      </c>
      <c r="N17" s="301"/>
      <c r="O17" s="301"/>
    </row>
    <row r="18" spans="1:15" ht="20.100000000000001" customHeight="1" x14ac:dyDescent="0.25">
      <c r="A18" s="321" t="s">
        <v>363</v>
      </c>
      <c r="B18" s="302" t="s">
        <v>1269</v>
      </c>
      <c r="C18" s="210">
        <f>SUMIF(Супер!$B:$B,$B$4,Супер!CM:CM)</f>
        <v>0</v>
      </c>
      <c r="D18" s="211">
        <f t="shared" si="0"/>
        <v>0</v>
      </c>
      <c r="K18" s="4" t="s">
        <v>63</v>
      </c>
      <c r="N18" s="301"/>
      <c r="O18" s="301"/>
    </row>
    <row r="19" spans="1:15" ht="20.100000000000001" customHeight="1" x14ac:dyDescent="0.25">
      <c r="A19" s="321" t="s">
        <v>364</v>
      </c>
      <c r="B19" s="302" t="s">
        <v>1268</v>
      </c>
      <c r="C19" s="210">
        <f>SUMIF(Супер!$B:$B,$B$4,Супер!CN:CN)</f>
        <v>0</v>
      </c>
      <c r="D19" s="211">
        <f t="shared" si="0"/>
        <v>0</v>
      </c>
      <c r="K19" s="4" t="s">
        <v>64</v>
      </c>
      <c r="N19" s="301"/>
      <c r="O19" s="301"/>
    </row>
    <row r="20" spans="1:15" ht="20.100000000000001" customHeight="1" x14ac:dyDescent="0.25">
      <c r="A20" s="321" t="s">
        <v>365</v>
      </c>
      <c r="B20" s="302" t="s">
        <v>1259</v>
      </c>
      <c r="C20" s="210">
        <f>SUMIF(Супер!$B:$B,$B$4,Супер!CO:CO)</f>
        <v>0</v>
      </c>
      <c r="D20" s="211">
        <f t="shared" si="0"/>
        <v>0</v>
      </c>
      <c r="K20" s="4" t="s">
        <v>65</v>
      </c>
      <c r="N20" s="301"/>
      <c r="O20" s="301"/>
    </row>
    <row r="21" spans="1:15" ht="20.100000000000001" customHeight="1" x14ac:dyDescent="0.25">
      <c r="A21" s="321" t="s">
        <v>366</v>
      </c>
      <c r="B21" s="302" t="s">
        <v>1276</v>
      </c>
      <c r="C21" s="210">
        <f>SUMIF(Супер!$B:$B,$B$4,Супер!CP:CP)</f>
        <v>0</v>
      </c>
      <c r="D21" s="211">
        <f t="shared" si="0"/>
        <v>0</v>
      </c>
      <c r="K21" s="4" t="s">
        <v>68</v>
      </c>
      <c r="N21" s="301"/>
      <c r="O21" s="301"/>
    </row>
    <row r="22" spans="1:15" ht="20.100000000000001" customHeight="1" x14ac:dyDescent="0.25">
      <c r="A22" s="321" t="s">
        <v>367</v>
      </c>
      <c r="B22" s="302" t="s">
        <v>1257</v>
      </c>
      <c r="C22" s="210">
        <f>SUMIF(Супер!$B:$B,$B$4,Супер!CQ:CQ)</f>
        <v>0</v>
      </c>
      <c r="D22" s="211">
        <f t="shared" si="0"/>
        <v>0</v>
      </c>
      <c r="K22" s="4" t="s">
        <v>69</v>
      </c>
      <c r="N22" s="301"/>
      <c r="O22" s="301"/>
    </row>
    <row r="23" spans="1:15" ht="20.100000000000001" customHeight="1" x14ac:dyDescent="0.25">
      <c r="A23" s="321" t="s">
        <v>368</v>
      </c>
      <c r="B23" s="302" t="s">
        <v>1256</v>
      </c>
      <c r="C23" s="210">
        <f>SUMIF(Супер!$B:$B,$B$4,Супер!CR:CR)</f>
        <v>0</v>
      </c>
      <c r="D23" s="211">
        <f t="shared" si="0"/>
        <v>0</v>
      </c>
      <c r="K23" s="4" t="s">
        <v>71</v>
      </c>
      <c r="N23" s="301"/>
      <c r="O23" s="301"/>
    </row>
    <row r="24" spans="1:15" ht="20.100000000000001" customHeight="1" x14ac:dyDescent="0.25">
      <c r="A24" s="321" t="s">
        <v>369</v>
      </c>
      <c r="B24" s="302" t="s">
        <v>1254</v>
      </c>
      <c r="C24" s="210">
        <f>SUMIF(Супер!$B:$B,$B$4,Супер!CS:CS)</f>
        <v>0</v>
      </c>
      <c r="D24" s="211">
        <f t="shared" si="0"/>
        <v>0</v>
      </c>
      <c r="K24" s="4" t="s">
        <v>72</v>
      </c>
      <c r="N24" s="301"/>
      <c r="O24" s="301"/>
    </row>
    <row r="25" spans="1:15" ht="20.100000000000001" customHeight="1" x14ac:dyDescent="0.25">
      <c r="A25" s="321" t="s">
        <v>370</v>
      </c>
      <c r="B25" s="302" t="s">
        <v>1253</v>
      </c>
      <c r="C25" s="210">
        <f>SUMIF(Супер!$B:$B,$B$4,Супер!CT:CT)</f>
        <v>0</v>
      </c>
      <c r="D25" s="211">
        <f t="shared" si="0"/>
        <v>0</v>
      </c>
      <c r="K25" s="4" t="s">
        <v>880</v>
      </c>
      <c r="N25" s="301"/>
      <c r="O25" s="301"/>
    </row>
    <row r="26" spans="1:15" ht="20.100000000000001" customHeight="1" x14ac:dyDescent="0.25">
      <c r="A26" s="321" t="s">
        <v>371</v>
      </c>
      <c r="B26" s="302" t="s">
        <v>1249</v>
      </c>
      <c r="C26" s="210">
        <f>SUMIF(Супер!$B:$B,$B$4,Супер!CU:CU)</f>
        <v>0</v>
      </c>
      <c r="D26" s="211">
        <f t="shared" si="0"/>
        <v>0</v>
      </c>
      <c r="K26" s="4" t="s">
        <v>73</v>
      </c>
      <c r="N26" s="301"/>
      <c r="O26" s="301"/>
    </row>
    <row r="27" spans="1:15" ht="20.100000000000001" customHeight="1" x14ac:dyDescent="0.25">
      <c r="A27" s="321" t="s">
        <v>1527</v>
      </c>
      <c r="B27" s="302" t="s">
        <v>1247</v>
      </c>
      <c r="C27" s="210">
        <f>SUMIF(Супер!$B:$B,$B$4,Супер!CV:CV)</f>
        <v>0</v>
      </c>
      <c r="D27" s="211">
        <f t="shared" si="0"/>
        <v>0</v>
      </c>
      <c r="K27" s="4" t="s">
        <v>76</v>
      </c>
      <c r="N27" s="301"/>
      <c r="O27" s="301"/>
    </row>
    <row r="28" spans="1:15" ht="20.100000000000001" customHeight="1" x14ac:dyDescent="0.25">
      <c r="A28" s="321" t="s">
        <v>1529</v>
      </c>
      <c r="B28" s="302" t="s">
        <v>1246</v>
      </c>
      <c r="C28" s="210">
        <f>SUMIF(Супер!$B:$B,$B$4,Супер!CW:CW)</f>
        <v>0</v>
      </c>
      <c r="D28" s="211">
        <f t="shared" si="0"/>
        <v>0</v>
      </c>
      <c r="K28" s="4" t="s">
        <v>77</v>
      </c>
      <c r="N28" s="301"/>
      <c r="O28" s="301"/>
    </row>
    <row r="29" spans="1:15" ht="20.100000000000001" customHeight="1" x14ac:dyDescent="0.25">
      <c r="A29" s="321" t="s">
        <v>1530</v>
      </c>
      <c r="B29" s="302" t="s">
        <v>1245</v>
      </c>
      <c r="C29" s="210">
        <f>SUMIF(Супер!$B:$B,$B$4,Супер!CX:CX)</f>
        <v>0</v>
      </c>
      <c r="D29" s="211">
        <f t="shared" si="0"/>
        <v>0</v>
      </c>
      <c r="K29" s="4" t="s">
        <v>78</v>
      </c>
      <c r="N29" s="301"/>
      <c r="O29" s="301"/>
    </row>
    <row r="30" spans="1:15" ht="20.100000000000001" customHeight="1" x14ac:dyDescent="0.25">
      <c r="A30" s="321" t="s">
        <v>1531</v>
      </c>
      <c r="B30" s="302" t="s">
        <v>1244</v>
      </c>
      <c r="C30" s="210">
        <f>SUMIF(Супер!$B:$B,$B$4,Супер!CY:CY)</f>
        <v>0</v>
      </c>
      <c r="D30" s="211">
        <f t="shared" si="0"/>
        <v>0</v>
      </c>
      <c r="K30" s="4" t="s">
        <v>79</v>
      </c>
      <c r="N30" s="301"/>
      <c r="O30" s="301"/>
    </row>
    <row r="31" spans="1:15" ht="20.100000000000001" customHeight="1" x14ac:dyDescent="0.25">
      <c r="A31" s="321" t="s">
        <v>1532</v>
      </c>
      <c r="B31" s="302" t="s">
        <v>1340</v>
      </c>
      <c r="C31" s="210">
        <f>SUMIF(Супер!$B:$B,$B$4,Супер!CZ:CZ)</f>
        <v>706379.46000000008</v>
      </c>
      <c r="D31" s="211">
        <f t="shared" si="0"/>
        <v>2.8776516799554166</v>
      </c>
      <c r="K31" s="4" t="s">
        <v>80</v>
      </c>
      <c r="N31" s="301"/>
      <c r="O31" s="301"/>
    </row>
    <row r="32" spans="1:15" ht="20.100000000000001" customHeight="1" x14ac:dyDescent="0.25">
      <c r="A32" s="321" t="s">
        <v>1533</v>
      </c>
      <c r="B32" s="302" t="s">
        <v>1241</v>
      </c>
      <c r="C32" s="210">
        <f>SUMIF(Супер!$B:$B,$B$4,Супер!DA:DA)</f>
        <v>0</v>
      </c>
      <c r="D32" s="211">
        <f t="shared" si="0"/>
        <v>0</v>
      </c>
      <c r="K32" s="4" t="s">
        <v>83</v>
      </c>
      <c r="N32" s="301"/>
      <c r="O32" s="301"/>
    </row>
    <row r="33" spans="1:16" ht="20.100000000000001" customHeight="1" x14ac:dyDescent="0.25">
      <c r="A33" s="321" t="s">
        <v>1534</v>
      </c>
      <c r="B33" s="302" t="s">
        <v>1237</v>
      </c>
      <c r="C33" s="210">
        <f>SUMIF(Супер!$B:$B,$B$4,Супер!DB:DB)</f>
        <v>0</v>
      </c>
      <c r="D33" s="211">
        <f t="shared" si="0"/>
        <v>0</v>
      </c>
      <c r="K33" s="229" t="s">
        <v>1346</v>
      </c>
      <c r="N33" s="301"/>
      <c r="O33" s="301"/>
    </row>
    <row r="34" spans="1:16" ht="20.100000000000001" customHeight="1" x14ac:dyDescent="0.25">
      <c r="A34" s="321" t="s">
        <v>1535</v>
      </c>
      <c r="B34" s="302" t="s">
        <v>1342</v>
      </c>
      <c r="C34" s="210">
        <f>SUMIF(Супер!$B:$B,$B$4,Супер!DC:DC)</f>
        <v>0</v>
      </c>
      <c r="D34" s="211">
        <f t="shared" si="0"/>
        <v>0</v>
      </c>
      <c r="K34" s="229" t="s">
        <v>1347</v>
      </c>
      <c r="N34" s="301"/>
      <c r="O34" s="301"/>
    </row>
    <row r="35" spans="1:16" ht="20.100000000000001" customHeight="1" x14ac:dyDescent="0.25">
      <c r="A35" s="321" t="s">
        <v>1841</v>
      </c>
      <c r="B35" s="302" t="s">
        <v>1344</v>
      </c>
      <c r="C35" s="210">
        <f>SUMIF(Супер!$B:$B,$B$4,Супер!DD:DD)</f>
        <v>299104.40399999998</v>
      </c>
      <c r="D35" s="211">
        <f t="shared" si="0"/>
        <v>1.2184928064763709</v>
      </c>
      <c r="K35" s="229" t="s">
        <v>1490</v>
      </c>
      <c r="N35" s="301"/>
      <c r="O35" s="301"/>
    </row>
    <row r="36" spans="1:16" ht="20.100000000000001" customHeight="1" x14ac:dyDescent="0.25">
      <c r="A36" s="321" t="s">
        <v>1842</v>
      </c>
      <c r="B36" s="302" t="s">
        <v>1228</v>
      </c>
      <c r="C36" s="210">
        <f>SUMIF(Супер!$B:$B,$B$4,Супер!DE:DE)</f>
        <v>0</v>
      </c>
      <c r="D36" s="211">
        <f t="shared" si="0"/>
        <v>0</v>
      </c>
      <c r="K36" s="4" t="s">
        <v>84</v>
      </c>
      <c r="N36" s="301"/>
      <c r="O36" s="301"/>
    </row>
    <row r="37" spans="1:16" ht="20.100000000000001" customHeight="1" x14ac:dyDescent="0.25">
      <c r="A37" s="321" t="s">
        <v>1843</v>
      </c>
      <c r="B37" s="302" t="s">
        <v>1227</v>
      </c>
      <c r="C37" s="210">
        <f>SUMIF(Супер!$B:$B,$B$4,Супер!DF:DF)</f>
        <v>0</v>
      </c>
      <c r="D37" s="211">
        <f t="shared" si="0"/>
        <v>0</v>
      </c>
      <c r="K37" s="4" t="s">
        <v>85</v>
      </c>
      <c r="N37" s="301"/>
      <c r="O37" s="301"/>
    </row>
    <row r="38" spans="1:16" ht="20.100000000000001" customHeight="1" x14ac:dyDescent="0.25">
      <c r="A38" s="321" t="s">
        <v>1844</v>
      </c>
      <c r="B38" s="302" t="s">
        <v>1226</v>
      </c>
      <c r="C38" s="210">
        <f>SUMIF(Супер!$B:$B,$B$4,Супер!DG:DG)</f>
        <v>0</v>
      </c>
      <c r="D38" s="211">
        <f t="shared" si="0"/>
        <v>0</v>
      </c>
      <c r="K38" s="4" t="s">
        <v>86</v>
      </c>
      <c r="N38" s="301"/>
      <c r="O38" s="301"/>
    </row>
    <row r="39" spans="1:16" ht="20.100000000000001" customHeight="1" x14ac:dyDescent="0.25">
      <c r="A39" s="321" t="s">
        <v>1845</v>
      </c>
      <c r="B39" s="302" t="s">
        <v>1224</v>
      </c>
      <c r="C39" s="210">
        <f>SUMIF(Супер!$B:$B,$B$4,Супер!DH:DH)</f>
        <v>0</v>
      </c>
      <c r="D39" s="211">
        <f t="shared" si="0"/>
        <v>0</v>
      </c>
      <c r="K39" s="4" t="s">
        <v>87</v>
      </c>
      <c r="N39" s="301"/>
      <c r="O39" s="301"/>
    </row>
    <row r="40" spans="1:16" ht="20.100000000000001" customHeight="1" x14ac:dyDescent="0.25">
      <c r="A40" s="321" t="s">
        <v>1846</v>
      </c>
      <c r="B40" s="302" t="s">
        <v>955</v>
      </c>
      <c r="C40" s="210">
        <f>SUMIF(Супер!$B:$B,$B$4,Супер!DI:DI)</f>
        <v>0</v>
      </c>
      <c r="D40" s="211">
        <f t="shared" si="0"/>
        <v>0</v>
      </c>
      <c r="K40" s="4" t="s">
        <v>88</v>
      </c>
      <c r="N40" s="301"/>
      <c r="O40" s="301"/>
    </row>
    <row r="41" spans="1:16" ht="20.100000000000001" customHeight="1" x14ac:dyDescent="0.25">
      <c r="A41" s="321" t="s">
        <v>1847</v>
      </c>
      <c r="B41" s="302" t="s">
        <v>947</v>
      </c>
      <c r="C41" s="210">
        <f>SUMIF(Супер!$B:$B,$B$4,Супер!DJ:DJ)</f>
        <v>0</v>
      </c>
      <c r="D41" s="211">
        <f t="shared" si="0"/>
        <v>0</v>
      </c>
      <c r="K41" s="4" t="s">
        <v>89</v>
      </c>
      <c r="N41" s="301"/>
      <c r="O41" s="301"/>
    </row>
    <row r="42" spans="1:16" ht="20.100000000000001" customHeight="1" x14ac:dyDescent="0.25">
      <c r="A42" s="321" t="s">
        <v>1848</v>
      </c>
      <c r="B42" s="302" t="s">
        <v>935</v>
      </c>
      <c r="C42" s="210">
        <f>SUMIF(Супер!$B:$B,$B$4,Супер!DK:DK)</f>
        <v>0</v>
      </c>
      <c r="D42" s="211">
        <f t="shared" si="0"/>
        <v>0</v>
      </c>
      <c r="K42" s="4" t="s">
        <v>90</v>
      </c>
      <c r="N42" s="301"/>
      <c r="O42" s="301"/>
    </row>
    <row r="43" spans="1:16" ht="20.100000000000001" customHeight="1" x14ac:dyDescent="0.25">
      <c r="A43" s="321" t="s">
        <v>1849</v>
      </c>
      <c r="B43" s="302" t="s">
        <v>1726</v>
      </c>
      <c r="C43" s="210">
        <f>SUMIF(Супер!$B:$B,$B$4,Супер!DL:DL)</f>
        <v>179916.49033200942</v>
      </c>
      <c r="D43" s="211">
        <f t="shared" si="0"/>
        <v>0.73294457154174519</v>
      </c>
      <c r="K43" s="4" t="s">
        <v>91</v>
      </c>
      <c r="N43" s="301"/>
      <c r="O43" s="301"/>
    </row>
    <row r="44" spans="1:16" ht="24" customHeight="1" x14ac:dyDescent="0.25">
      <c r="A44" s="321" t="s">
        <v>1537</v>
      </c>
      <c r="B44" s="313" t="s">
        <v>1538</v>
      </c>
      <c r="C44" s="314">
        <f>SUM(C45:C57)</f>
        <v>2168915.7462825412</v>
      </c>
      <c r="D44" s="322">
        <f t="shared" si="0"/>
        <v>8.8357382885562803</v>
      </c>
      <c r="K44" s="4" t="s">
        <v>92</v>
      </c>
    </row>
    <row r="45" spans="1:16" ht="20.100000000000001" customHeight="1" x14ac:dyDescent="0.25">
      <c r="A45" s="321" t="s">
        <v>373</v>
      </c>
      <c r="B45" s="302" t="s">
        <v>1110</v>
      </c>
      <c r="C45" s="210">
        <f>SUMIF(Супер!$B:$B,$B$4,Супер!DN:DN)</f>
        <v>0</v>
      </c>
      <c r="D45" s="211">
        <f t="shared" si="0"/>
        <v>0</v>
      </c>
      <c r="K45" s="4" t="s">
        <v>93</v>
      </c>
      <c r="O45" s="301"/>
      <c r="P45" s="301"/>
    </row>
    <row r="46" spans="1:16" ht="20.100000000000001" customHeight="1" x14ac:dyDescent="0.25">
      <c r="A46" s="321" t="s">
        <v>374</v>
      </c>
      <c r="B46" s="302" t="s">
        <v>1837</v>
      </c>
      <c r="C46" s="210">
        <f>SUMIF(Супер!$B:$B,$B$4,Супер!DO:DO)</f>
        <v>275742.19493454485</v>
      </c>
      <c r="D46" s="211">
        <f t="shared" si="0"/>
        <v>1.1233197387817404</v>
      </c>
      <c r="K46" s="4" t="s">
        <v>94</v>
      </c>
      <c r="O46" s="301"/>
      <c r="P46" s="301"/>
    </row>
    <row r="47" spans="1:16" ht="20.100000000000001" customHeight="1" x14ac:dyDescent="0.25">
      <c r="A47" s="321" t="s">
        <v>375</v>
      </c>
      <c r="B47" s="302" t="s">
        <v>1084</v>
      </c>
      <c r="C47" s="210">
        <f>SUMIF(Супер!$B:$B,$B$4,Супер!DP:DP)</f>
        <v>0</v>
      </c>
      <c r="D47" s="211">
        <f t="shared" si="0"/>
        <v>0</v>
      </c>
      <c r="K47" s="4" t="s">
        <v>95</v>
      </c>
      <c r="O47" s="301"/>
      <c r="P47" s="301"/>
    </row>
    <row r="48" spans="1:16" ht="20.100000000000001" customHeight="1" x14ac:dyDescent="0.25">
      <c r="A48" s="321" t="s">
        <v>376</v>
      </c>
      <c r="B48" s="302" t="s">
        <v>1081</v>
      </c>
      <c r="C48" s="210">
        <f>SUMIF(Супер!$B:$B,$B$4,Супер!DQ:DQ)</f>
        <v>0</v>
      </c>
      <c r="D48" s="211">
        <f t="shared" si="0"/>
        <v>0</v>
      </c>
      <c r="K48" s="4" t="s">
        <v>96</v>
      </c>
      <c r="O48" s="301"/>
      <c r="P48" s="301"/>
    </row>
    <row r="49" spans="1:16" ht="20.100000000000001" customHeight="1" x14ac:dyDescent="0.25">
      <c r="A49" s="321" t="s">
        <v>377</v>
      </c>
      <c r="B49" s="302" t="s">
        <v>1114</v>
      </c>
      <c r="C49" s="210">
        <f>SUMIF(Супер!$B:$B,$B$4,Супер!DR:DR)</f>
        <v>0</v>
      </c>
      <c r="D49" s="211">
        <f t="shared" si="0"/>
        <v>0</v>
      </c>
      <c r="K49" s="4" t="s">
        <v>97</v>
      </c>
      <c r="O49" s="301"/>
      <c r="P49" s="301"/>
    </row>
    <row r="50" spans="1:16" ht="20.100000000000001" customHeight="1" x14ac:dyDescent="0.25">
      <c r="A50" s="321" t="s">
        <v>378</v>
      </c>
      <c r="B50" s="302" t="s">
        <v>1348</v>
      </c>
      <c r="C50" s="210">
        <f>SUMIF(Супер!$B:$B,$B$4,Супер!DS:DS)</f>
        <v>204295.81200000001</v>
      </c>
      <c r="D50" s="211">
        <f t="shared" si="0"/>
        <v>0.83226115692783009</v>
      </c>
      <c r="K50" s="4" t="s">
        <v>98</v>
      </c>
      <c r="O50" s="301"/>
      <c r="P50" s="301"/>
    </row>
    <row r="51" spans="1:16" ht="20.100000000000001" customHeight="1" x14ac:dyDescent="0.25">
      <c r="A51" s="321" t="s">
        <v>379</v>
      </c>
      <c r="B51" s="302" t="s">
        <v>1223</v>
      </c>
      <c r="C51" s="210">
        <f>SUMIF(Супер!$B:$B,$B$4,Супер!DT:DT)</f>
        <v>0</v>
      </c>
      <c r="D51" s="211">
        <f t="shared" si="0"/>
        <v>0</v>
      </c>
      <c r="K51" s="17" t="s">
        <v>99</v>
      </c>
      <c r="O51" s="301"/>
      <c r="P51" s="301"/>
    </row>
    <row r="52" spans="1:16" ht="20.100000000000001" customHeight="1" x14ac:dyDescent="0.25">
      <c r="A52" s="321" t="s">
        <v>380</v>
      </c>
      <c r="B52" s="302" t="s">
        <v>1258</v>
      </c>
      <c r="C52" s="210">
        <f>SUMIF(Супер!$B:$B,$B$4,Супер!DU:DU)</f>
        <v>0</v>
      </c>
      <c r="D52" s="211">
        <f t="shared" si="0"/>
        <v>0</v>
      </c>
      <c r="K52" s="17" t="s">
        <v>100</v>
      </c>
      <c r="O52" s="301"/>
      <c r="P52" s="301"/>
    </row>
    <row r="53" spans="1:16" ht="20.100000000000001" customHeight="1" x14ac:dyDescent="0.25">
      <c r="A53" s="321" t="s">
        <v>381</v>
      </c>
      <c r="B53" s="302" t="s">
        <v>1255</v>
      </c>
      <c r="C53" s="210">
        <f>SUMIF(Супер!$B:$B,$B$4,Супер!DV:DV)</f>
        <v>0</v>
      </c>
      <c r="D53" s="211">
        <f t="shared" si="0"/>
        <v>0</v>
      </c>
      <c r="K53" s="4" t="s">
        <v>101</v>
      </c>
      <c r="O53" s="301"/>
      <c r="P53" s="301"/>
    </row>
    <row r="54" spans="1:16" ht="20.100000000000001" customHeight="1" x14ac:dyDescent="0.25">
      <c r="A54" s="321" t="s">
        <v>1850</v>
      </c>
      <c r="B54" s="302" t="s">
        <v>1280</v>
      </c>
      <c r="C54" s="210">
        <f>SUMIF(Супер!$B:$B,$B$4,Супер!DW:DW)</f>
        <v>0</v>
      </c>
      <c r="D54" s="211">
        <f t="shared" si="0"/>
        <v>0</v>
      </c>
      <c r="K54" s="4" t="s">
        <v>102</v>
      </c>
      <c r="O54" s="301"/>
      <c r="P54" s="301"/>
    </row>
    <row r="55" spans="1:16" ht="20.100000000000001" customHeight="1" x14ac:dyDescent="0.25">
      <c r="A55" s="321" t="s">
        <v>1851</v>
      </c>
      <c r="B55" s="302" t="s">
        <v>1727</v>
      </c>
      <c r="C55" s="210">
        <f>SUMIF(Супер!$B:$B,$B$4,Супер!DX:DX)</f>
        <v>1609307.3279402263</v>
      </c>
      <c r="D55" s="211">
        <f t="shared" si="0"/>
        <v>6.5560031088839326</v>
      </c>
      <c r="K55" s="4" t="s">
        <v>103</v>
      </c>
      <c r="O55" s="301"/>
      <c r="P55" s="301"/>
    </row>
    <row r="56" spans="1:16" ht="20.100000000000001" customHeight="1" x14ac:dyDescent="0.25">
      <c r="A56" s="321" t="s">
        <v>1852</v>
      </c>
      <c r="B56" s="302" t="s">
        <v>1733</v>
      </c>
      <c r="C56" s="210">
        <f>SUMIF(Супер!$B:$B,$B$4,Супер!DY:DY)</f>
        <v>51364.038004028029</v>
      </c>
      <c r="D56" s="211">
        <f t="shared" si="0"/>
        <v>0.20924703876806539</v>
      </c>
      <c r="K56" s="4" t="s">
        <v>104</v>
      </c>
      <c r="O56" s="301"/>
      <c r="P56" s="301"/>
    </row>
    <row r="57" spans="1:16" ht="20.100000000000001" customHeight="1" x14ac:dyDescent="0.25">
      <c r="A57" s="321" t="s">
        <v>1853</v>
      </c>
      <c r="B57" s="302" t="s">
        <v>1286</v>
      </c>
      <c r="C57" s="210">
        <f>SUMIF(Супер!$B:$B,$B$4,Супер!DZ:DZ)</f>
        <v>28206.373403742196</v>
      </c>
      <c r="D57" s="211">
        <f t="shared" si="0"/>
        <v>0.11490724519471235</v>
      </c>
      <c r="K57" s="4" t="s">
        <v>105</v>
      </c>
      <c r="O57" s="301"/>
      <c r="P57" s="301"/>
    </row>
    <row r="58" spans="1:16" ht="15" customHeight="1" x14ac:dyDescent="0.25">
      <c r="A58" s="321" t="s">
        <v>1540</v>
      </c>
      <c r="B58" s="313" t="s">
        <v>1541</v>
      </c>
      <c r="C58" s="206">
        <f>SUMIF(Супер!$B:$B,$B$4,Супер!EB:EB)</f>
        <v>1013888.8747753797</v>
      </c>
      <c r="D58" s="207">
        <f t="shared" si="0"/>
        <v>4.1303848554507487</v>
      </c>
      <c r="K58" s="4" t="s">
        <v>106</v>
      </c>
    </row>
    <row r="59" spans="1:16" ht="15" customHeight="1" x14ac:dyDescent="0.25">
      <c r="A59" s="321" t="s">
        <v>1542</v>
      </c>
      <c r="B59" s="313" t="s">
        <v>1734</v>
      </c>
      <c r="C59" s="206">
        <f>SUMIF(Супер!$B:$B,$B$4,Супер!EK:EK)</f>
        <v>721913.24049593625</v>
      </c>
      <c r="D59" s="207">
        <f t="shared" si="0"/>
        <v>2.9409332616992985</v>
      </c>
      <c r="K59" s="4" t="s">
        <v>107</v>
      </c>
    </row>
    <row r="60" spans="1:16" ht="15" customHeight="1" x14ac:dyDescent="0.25">
      <c r="A60" s="321" t="s">
        <v>1543</v>
      </c>
      <c r="B60" s="313" t="s">
        <v>17</v>
      </c>
      <c r="C60" s="206">
        <f>SUMIF(Супер!$B:$B,$B$4,Супер!EL:EL)</f>
        <v>1206818.7717543978</v>
      </c>
      <c r="D60" s="207">
        <f t="shared" si="0"/>
        <v>4.9163434989188035</v>
      </c>
      <c r="K60" s="4" t="s">
        <v>108</v>
      </c>
    </row>
    <row r="61" spans="1:16" ht="15" customHeight="1" x14ac:dyDescent="0.25">
      <c r="A61" s="321" t="s">
        <v>1544</v>
      </c>
      <c r="B61" s="313" t="s">
        <v>18</v>
      </c>
      <c r="C61" s="206">
        <f>SUMIF(Супер!$B:$B,$B$4,Супер!EM:EM)</f>
        <v>1061332.3300919135</v>
      </c>
      <c r="D61" s="207">
        <f t="shared" si="0"/>
        <v>4.3236602076170092</v>
      </c>
      <c r="K61" s="4" t="s">
        <v>109</v>
      </c>
    </row>
    <row r="62" spans="1:16" ht="15" customHeight="1" x14ac:dyDescent="0.25">
      <c r="A62" s="321" t="s">
        <v>1545</v>
      </c>
      <c r="B62" s="313" t="s">
        <v>36</v>
      </c>
      <c r="C62" s="206">
        <f>SUMIF(Супер!$B:$B,$B$4,Супер!EN:EN)</f>
        <v>190475.97663005951</v>
      </c>
      <c r="D62" s="207">
        <f t="shared" si="0"/>
        <v>0.77596185220425207</v>
      </c>
      <c r="K62" s="4" t="s">
        <v>110</v>
      </c>
    </row>
    <row r="63" spans="1:16" ht="15" customHeight="1" x14ac:dyDescent="0.25">
      <c r="A63" s="321" t="s">
        <v>1546</v>
      </c>
      <c r="B63" s="315" t="s">
        <v>37</v>
      </c>
      <c r="C63" s="206">
        <f>SUMIF(Супер!$B:$B,$B$4,Супер!EO:EO)</f>
        <v>922114.48750499007</v>
      </c>
      <c r="D63" s="207">
        <f t="shared" si="0"/>
        <v>3.756513962169798</v>
      </c>
      <c r="K63" s="4" t="s">
        <v>112</v>
      </c>
    </row>
    <row r="64" spans="1:16" ht="15" customHeight="1" x14ac:dyDescent="0.25">
      <c r="A64" s="321" t="s">
        <v>1547</v>
      </c>
      <c r="B64" s="313" t="s">
        <v>1548</v>
      </c>
      <c r="C64" s="206">
        <f>SUMIF(Супер!$B:$B,$B$4,Супер!EX:EX)</f>
        <v>0</v>
      </c>
      <c r="D64" s="207">
        <f>C65/$C$6/12</f>
        <v>1.6455020415572881</v>
      </c>
      <c r="K64" s="4" t="s">
        <v>113</v>
      </c>
    </row>
    <row r="65" spans="1:11" ht="15" customHeight="1" x14ac:dyDescent="0.25">
      <c r="A65" s="321" t="s">
        <v>1549</v>
      </c>
      <c r="B65" s="313" t="s">
        <v>1854</v>
      </c>
      <c r="C65" s="206">
        <f>SUMIF(Супер!$B:$B,$B$4,Супер!ES:ES)</f>
        <v>403922.7025427008</v>
      </c>
      <c r="D65" s="207">
        <f>C66/$C$6/12</f>
        <v>0.38760062918070703</v>
      </c>
      <c r="K65" s="4" t="s">
        <v>115</v>
      </c>
    </row>
    <row r="66" spans="1:11" ht="15" customHeight="1" thickBot="1" x14ac:dyDescent="0.3">
      <c r="A66" s="323" t="s">
        <v>1551</v>
      </c>
      <c r="B66" s="324" t="s">
        <v>1855</v>
      </c>
      <c r="C66" s="220">
        <f>SUMIF(Супер!$B:$B,$B$4,Супер!EW:EW)</f>
        <v>95144.636525491514</v>
      </c>
      <c r="D66" s="221">
        <f>C64/$C$6/12</f>
        <v>0</v>
      </c>
      <c r="K66" s="4" t="s">
        <v>116</v>
      </c>
    </row>
    <row r="67" spans="1:11" ht="15" customHeight="1" x14ac:dyDescent="0.25">
      <c r="A67" s="222"/>
      <c r="B67" s="223"/>
      <c r="C67" s="224"/>
      <c r="D67" s="225"/>
      <c r="K67" s="4" t="s">
        <v>117</v>
      </c>
    </row>
    <row r="68" spans="1:11" ht="15" customHeight="1" x14ac:dyDescent="0.25">
      <c r="A68" s="222"/>
      <c r="B68" s="223"/>
      <c r="D68" s="225"/>
      <c r="K68" s="4" t="s">
        <v>118</v>
      </c>
    </row>
    <row r="69" spans="1:11" ht="15" customHeight="1" x14ac:dyDescent="0.25">
      <c r="A69" s="222"/>
      <c r="B69" s="223"/>
      <c r="C69" s="224"/>
      <c r="D69" s="225"/>
      <c r="K69" s="4" t="s">
        <v>119</v>
      </c>
    </row>
    <row r="70" spans="1:11" ht="15" customHeight="1" x14ac:dyDescent="0.25">
      <c r="A70" s="328" t="s">
        <v>1553</v>
      </c>
      <c r="B70" s="328"/>
      <c r="C70" s="328"/>
      <c r="D70" s="328"/>
      <c r="K70" s="4" t="s">
        <v>120</v>
      </c>
    </row>
    <row r="71" spans="1:11" ht="15" customHeight="1" x14ac:dyDescent="0.25">
      <c r="A71" s="222"/>
      <c r="B71" s="226"/>
      <c r="C71" s="227"/>
      <c r="D71" s="225"/>
      <c r="K71" s="4" t="s">
        <v>121</v>
      </c>
    </row>
    <row r="72" spans="1:11" ht="15" customHeight="1" x14ac:dyDescent="0.25">
      <c r="A72" s="328" t="s">
        <v>1554</v>
      </c>
      <c r="B72" s="328"/>
      <c r="C72" s="328"/>
      <c r="D72" s="328"/>
      <c r="K72" s="4" t="s">
        <v>122</v>
      </c>
    </row>
    <row r="73" spans="1:11" ht="15" customHeight="1" x14ac:dyDescent="0.25">
      <c r="K73" s="4" t="s">
        <v>123</v>
      </c>
    </row>
    <row r="74" spans="1:11" ht="15" customHeight="1" x14ac:dyDescent="0.25">
      <c r="K74" s="4" t="s">
        <v>124</v>
      </c>
    </row>
    <row r="75" spans="1:11" ht="15" customHeight="1" x14ac:dyDescent="0.25">
      <c r="K75" s="4" t="s">
        <v>125</v>
      </c>
    </row>
    <row r="76" spans="1:11" ht="15" customHeight="1" x14ac:dyDescent="0.25">
      <c r="K76" s="4" t="s">
        <v>126</v>
      </c>
    </row>
    <row r="77" spans="1:11" ht="15" customHeight="1" x14ac:dyDescent="0.25">
      <c r="K77" s="4" t="s">
        <v>127</v>
      </c>
    </row>
    <row r="78" spans="1:11" ht="15" customHeight="1" x14ac:dyDescent="0.25">
      <c r="K78" s="4" t="s">
        <v>128</v>
      </c>
    </row>
    <row r="79" spans="1:11" ht="15" customHeight="1" x14ac:dyDescent="0.25">
      <c r="K79" s="4" t="s">
        <v>129</v>
      </c>
    </row>
    <row r="80" spans="1:11" ht="15" customHeight="1" x14ac:dyDescent="0.25">
      <c r="K80" s="4" t="s">
        <v>130</v>
      </c>
    </row>
    <row r="81" spans="11:11" ht="15" customHeight="1" x14ac:dyDescent="0.25">
      <c r="K81" s="4" t="s">
        <v>131</v>
      </c>
    </row>
    <row r="82" spans="11:11" ht="15" customHeight="1" x14ac:dyDescent="0.25">
      <c r="K82" s="4" t="s">
        <v>132</v>
      </c>
    </row>
    <row r="83" spans="11:11" ht="15" customHeight="1" x14ac:dyDescent="0.25">
      <c r="K83" s="4" t="s">
        <v>133</v>
      </c>
    </row>
    <row r="84" spans="11:11" ht="15" customHeight="1" x14ac:dyDescent="0.25">
      <c r="K84" s="4" t="s">
        <v>134</v>
      </c>
    </row>
    <row r="85" spans="11:11" ht="15" customHeight="1" x14ac:dyDescent="0.25">
      <c r="K85" s="4" t="s">
        <v>135</v>
      </c>
    </row>
    <row r="86" spans="11:11" ht="15" customHeight="1" x14ac:dyDescent="0.25">
      <c r="K86" s="4" t="s">
        <v>136</v>
      </c>
    </row>
    <row r="87" spans="11:11" ht="15" customHeight="1" x14ac:dyDescent="0.25">
      <c r="K87" s="4" t="s">
        <v>137</v>
      </c>
    </row>
    <row r="88" spans="11:11" ht="15" customHeight="1" x14ac:dyDescent="0.25">
      <c r="K88" s="4" t="s">
        <v>138</v>
      </c>
    </row>
    <row r="89" spans="11:11" ht="15" customHeight="1" x14ac:dyDescent="0.25">
      <c r="K89" s="4" t="s">
        <v>139</v>
      </c>
    </row>
    <row r="90" spans="11:11" ht="15" customHeight="1" x14ac:dyDescent="0.25">
      <c r="K90" s="4" t="s">
        <v>140</v>
      </c>
    </row>
    <row r="91" spans="11:11" ht="15" customHeight="1" x14ac:dyDescent="0.25">
      <c r="K91" s="4" t="s">
        <v>141</v>
      </c>
    </row>
    <row r="92" spans="11:11" ht="15" customHeight="1" x14ac:dyDescent="0.25">
      <c r="K92" s="4" t="s">
        <v>142</v>
      </c>
    </row>
    <row r="93" spans="11:11" ht="15" customHeight="1" x14ac:dyDescent="0.25">
      <c r="K93" s="4" t="s">
        <v>143</v>
      </c>
    </row>
    <row r="94" spans="11:11" ht="15" customHeight="1" x14ac:dyDescent="0.25">
      <c r="K94" s="4" t="s">
        <v>144</v>
      </c>
    </row>
    <row r="95" spans="11:11" ht="15" customHeight="1" x14ac:dyDescent="0.25">
      <c r="K95" s="4" t="s">
        <v>145</v>
      </c>
    </row>
    <row r="96" spans="11:11" ht="15" customHeight="1" x14ac:dyDescent="0.25">
      <c r="K96" s="4" t="s">
        <v>146</v>
      </c>
    </row>
    <row r="97" spans="11:11" ht="15" customHeight="1" x14ac:dyDescent="0.25">
      <c r="K97" s="4" t="s">
        <v>147</v>
      </c>
    </row>
    <row r="98" spans="11:11" ht="15" customHeight="1" x14ac:dyDescent="0.25">
      <c r="K98" s="4" t="s">
        <v>148</v>
      </c>
    </row>
    <row r="99" spans="11:11" ht="15" customHeight="1" x14ac:dyDescent="0.25">
      <c r="K99" s="4" t="s">
        <v>149</v>
      </c>
    </row>
    <row r="100" spans="11:11" ht="15" customHeight="1" x14ac:dyDescent="0.25">
      <c r="K100" s="4" t="s">
        <v>150</v>
      </c>
    </row>
    <row r="101" spans="11:11" ht="15" customHeight="1" x14ac:dyDescent="0.25">
      <c r="K101" s="4" t="s">
        <v>151</v>
      </c>
    </row>
    <row r="102" spans="11:11" ht="15" customHeight="1" x14ac:dyDescent="0.25">
      <c r="K102" s="4" t="s">
        <v>152</v>
      </c>
    </row>
    <row r="103" spans="11:11" ht="15" customHeight="1" x14ac:dyDescent="0.25">
      <c r="K103" s="4" t="s">
        <v>153</v>
      </c>
    </row>
    <row r="104" spans="11:11" ht="15" customHeight="1" x14ac:dyDescent="0.25">
      <c r="K104" s="4" t="s">
        <v>154</v>
      </c>
    </row>
    <row r="105" spans="11:11" ht="15" customHeight="1" x14ac:dyDescent="0.25">
      <c r="K105" s="4" t="s">
        <v>155</v>
      </c>
    </row>
    <row r="106" spans="11:11" ht="15" customHeight="1" x14ac:dyDescent="0.25">
      <c r="K106" s="4" t="s">
        <v>156</v>
      </c>
    </row>
    <row r="107" spans="11:11" ht="15" customHeight="1" x14ac:dyDescent="0.25">
      <c r="K107" s="4" t="s">
        <v>157</v>
      </c>
    </row>
    <row r="108" spans="11:11" ht="15" customHeight="1" x14ac:dyDescent="0.25">
      <c r="K108" s="4" t="s">
        <v>158</v>
      </c>
    </row>
    <row r="109" spans="11:11" ht="15" customHeight="1" x14ac:dyDescent="0.25">
      <c r="K109" s="4" t="s">
        <v>159</v>
      </c>
    </row>
    <row r="110" spans="11:11" ht="15" customHeight="1" x14ac:dyDescent="0.25">
      <c r="K110" s="4" t="s">
        <v>160</v>
      </c>
    </row>
    <row r="111" spans="11:11" ht="15" customHeight="1" x14ac:dyDescent="0.25">
      <c r="K111" s="4" t="s">
        <v>161</v>
      </c>
    </row>
    <row r="112" spans="11:11" ht="15" customHeight="1" x14ac:dyDescent="0.25">
      <c r="K112" s="4" t="s">
        <v>1332</v>
      </c>
    </row>
    <row r="113" spans="11:11" ht="15" customHeight="1" x14ac:dyDescent="0.25">
      <c r="K113" s="4" t="s">
        <v>162</v>
      </c>
    </row>
    <row r="114" spans="11:11" ht="15" customHeight="1" x14ac:dyDescent="0.25">
      <c r="K114" s="4" t="s">
        <v>163</v>
      </c>
    </row>
    <row r="115" spans="11:11" ht="15" customHeight="1" x14ac:dyDescent="0.25">
      <c r="K115" s="4" t="s">
        <v>164</v>
      </c>
    </row>
    <row r="116" spans="11:11" ht="15" customHeight="1" x14ac:dyDescent="0.25">
      <c r="K116" s="4" t="s">
        <v>165</v>
      </c>
    </row>
    <row r="117" spans="11:11" ht="15" customHeight="1" x14ac:dyDescent="0.25">
      <c r="K117" s="4" t="s">
        <v>166</v>
      </c>
    </row>
    <row r="118" spans="11:11" ht="15" customHeight="1" x14ac:dyDescent="0.25">
      <c r="K118" s="4" t="s">
        <v>167</v>
      </c>
    </row>
    <row r="119" spans="11:11" ht="15" customHeight="1" x14ac:dyDescent="0.25">
      <c r="K119" s="4" t="s">
        <v>168</v>
      </c>
    </row>
    <row r="120" spans="11:11" ht="15" customHeight="1" x14ac:dyDescent="0.25">
      <c r="K120" s="4" t="s">
        <v>169</v>
      </c>
    </row>
    <row r="121" spans="11:11" ht="15" customHeight="1" x14ac:dyDescent="0.25">
      <c r="K121" s="4" t="s">
        <v>170</v>
      </c>
    </row>
    <row r="122" spans="11:11" ht="15" customHeight="1" x14ac:dyDescent="0.25">
      <c r="K122" s="4" t="s">
        <v>171</v>
      </c>
    </row>
    <row r="123" spans="11:11" ht="15" customHeight="1" x14ac:dyDescent="0.25">
      <c r="K123" s="4" t="s">
        <v>172</v>
      </c>
    </row>
    <row r="124" spans="11:11" ht="15" customHeight="1" x14ac:dyDescent="0.25">
      <c r="K124" s="4" t="s">
        <v>173</v>
      </c>
    </row>
    <row r="125" spans="11:11" ht="15" customHeight="1" x14ac:dyDescent="0.25">
      <c r="K125" s="4" t="s">
        <v>174</v>
      </c>
    </row>
    <row r="126" spans="11:11" ht="15" customHeight="1" x14ac:dyDescent="0.25">
      <c r="K126" s="4" t="s">
        <v>175</v>
      </c>
    </row>
    <row r="127" spans="11:11" ht="15" customHeight="1" x14ac:dyDescent="0.25">
      <c r="K127" s="4" t="s">
        <v>176</v>
      </c>
    </row>
    <row r="128" spans="11:11" ht="15" customHeight="1" x14ac:dyDescent="0.25">
      <c r="K128" s="4" t="s">
        <v>177</v>
      </c>
    </row>
    <row r="129" spans="11:11" ht="15" customHeight="1" x14ac:dyDescent="0.25">
      <c r="K129" s="4" t="s">
        <v>178</v>
      </c>
    </row>
    <row r="130" spans="11:11" ht="15" customHeight="1" x14ac:dyDescent="0.25">
      <c r="K130" s="4" t="s">
        <v>179</v>
      </c>
    </row>
    <row r="131" spans="11:11" ht="15" customHeight="1" x14ac:dyDescent="0.25">
      <c r="K131" s="4" t="s">
        <v>180</v>
      </c>
    </row>
    <row r="132" spans="11:11" ht="15" customHeight="1" x14ac:dyDescent="0.25">
      <c r="K132" s="4" t="s">
        <v>181</v>
      </c>
    </row>
    <row r="133" spans="11:11" ht="15" customHeight="1" x14ac:dyDescent="0.25">
      <c r="K133" s="4" t="s">
        <v>182</v>
      </c>
    </row>
    <row r="134" spans="11:11" ht="15" customHeight="1" x14ac:dyDescent="0.25">
      <c r="K134" s="4" t="s">
        <v>183</v>
      </c>
    </row>
    <row r="135" spans="11:11" ht="15" customHeight="1" x14ac:dyDescent="0.25">
      <c r="K135" s="4" t="s">
        <v>184</v>
      </c>
    </row>
    <row r="136" spans="11:11" ht="15" customHeight="1" x14ac:dyDescent="0.25">
      <c r="K136" s="4" t="s">
        <v>185</v>
      </c>
    </row>
    <row r="137" spans="11:11" ht="15" customHeight="1" x14ac:dyDescent="0.25">
      <c r="K137" s="4" t="s">
        <v>186</v>
      </c>
    </row>
    <row r="138" spans="11:11" ht="15" customHeight="1" x14ac:dyDescent="0.25">
      <c r="K138" s="4" t="s">
        <v>187</v>
      </c>
    </row>
    <row r="139" spans="11:11" ht="15" customHeight="1" x14ac:dyDescent="0.25">
      <c r="K139" s="4" t="s">
        <v>188</v>
      </c>
    </row>
    <row r="140" spans="11:11" ht="15" customHeight="1" x14ac:dyDescent="0.25">
      <c r="K140" s="4" t="s">
        <v>189</v>
      </c>
    </row>
    <row r="141" spans="11:11" ht="15" customHeight="1" x14ac:dyDescent="0.25">
      <c r="K141" s="4" t="s">
        <v>190</v>
      </c>
    </row>
    <row r="142" spans="11:11" ht="15" customHeight="1" x14ac:dyDescent="0.25">
      <c r="K142" s="4" t="s">
        <v>191</v>
      </c>
    </row>
    <row r="143" spans="11:11" ht="15" customHeight="1" x14ac:dyDescent="0.25">
      <c r="K143" s="4" t="s">
        <v>192</v>
      </c>
    </row>
    <row r="144" spans="11:11" ht="15" customHeight="1" x14ac:dyDescent="0.25">
      <c r="K144" s="4" t="s">
        <v>193</v>
      </c>
    </row>
    <row r="145" spans="11:11" ht="15" customHeight="1" x14ac:dyDescent="0.25">
      <c r="K145" s="4" t="s">
        <v>194</v>
      </c>
    </row>
    <row r="146" spans="11:11" ht="15" customHeight="1" x14ac:dyDescent="0.25">
      <c r="K146" s="4" t="s">
        <v>195</v>
      </c>
    </row>
    <row r="147" spans="11:11" ht="15" customHeight="1" x14ac:dyDescent="0.25">
      <c r="K147" s="4" t="s">
        <v>196</v>
      </c>
    </row>
    <row r="148" spans="11:11" ht="15" customHeight="1" x14ac:dyDescent="0.25">
      <c r="K148" s="4" t="s">
        <v>197</v>
      </c>
    </row>
    <row r="149" spans="11:11" ht="15" customHeight="1" x14ac:dyDescent="0.25">
      <c r="K149" s="4" t="s">
        <v>198</v>
      </c>
    </row>
    <row r="150" spans="11:11" ht="15" customHeight="1" x14ac:dyDescent="0.25">
      <c r="K150" s="4" t="s">
        <v>199</v>
      </c>
    </row>
    <row r="151" spans="11:11" ht="15" customHeight="1" x14ac:dyDescent="0.25">
      <c r="K151" s="4" t="s">
        <v>200</v>
      </c>
    </row>
    <row r="152" spans="11:11" ht="15" customHeight="1" x14ac:dyDescent="0.25">
      <c r="K152" s="4" t="s">
        <v>201</v>
      </c>
    </row>
    <row r="153" spans="11:11" ht="15" customHeight="1" x14ac:dyDescent="0.25">
      <c r="K153" s="4" t="s">
        <v>202</v>
      </c>
    </row>
    <row r="154" spans="11:11" ht="15" customHeight="1" x14ac:dyDescent="0.25">
      <c r="K154" s="4" t="s">
        <v>203</v>
      </c>
    </row>
    <row r="155" spans="11:11" ht="15" customHeight="1" x14ac:dyDescent="0.25">
      <c r="K155" s="4" t="s">
        <v>204</v>
      </c>
    </row>
    <row r="156" spans="11:11" ht="15" customHeight="1" x14ac:dyDescent="0.25">
      <c r="K156" s="4" t="s">
        <v>205</v>
      </c>
    </row>
    <row r="157" spans="11:11" ht="15" customHeight="1" x14ac:dyDescent="0.25">
      <c r="K157" s="4" t="s">
        <v>206</v>
      </c>
    </row>
    <row r="158" spans="11:11" ht="15" customHeight="1" x14ac:dyDescent="0.25">
      <c r="K158" s="4" t="s">
        <v>207</v>
      </c>
    </row>
    <row r="159" spans="11:11" ht="15" customHeight="1" x14ac:dyDescent="0.25">
      <c r="K159" s="4" t="s">
        <v>208</v>
      </c>
    </row>
    <row r="160" spans="11:11" ht="15" customHeight="1" x14ac:dyDescent="0.25">
      <c r="K160" s="4" t="s">
        <v>209</v>
      </c>
    </row>
    <row r="161" spans="11:11" ht="15" customHeight="1" x14ac:dyDescent="0.25">
      <c r="K161" s="4" t="s">
        <v>210</v>
      </c>
    </row>
    <row r="162" spans="11:11" ht="15" customHeight="1" x14ac:dyDescent="0.25">
      <c r="K162" s="4" t="s">
        <v>211</v>
      </c>
    </row>
    <row r="163" spans="11:11" ht="15" customHeight="1" x14ac:dyDescent="0.25">
      <c r="K163" s="4" t="s">
        <v>212</v>
      </c>
    </row>
    <row r="164" spans="11:11" ht="15" customHeight="1" x14ac:dyDescent="0.25">
      <c r="K164" s="4" t="s">
        <v>213</v>
      </c>
    </row>
    <row r="165" spans="11:11" ht="15" customHeight="1" x14ac:dyDescent="0.25">
      <c r="K165" s="4" t="s">
        <v>214</v>
      </c>
    </row>
    <row r="166" spans="11:11" ht="15" customHeight="1" x14ac:dyDescent="0.25">
      <c r="K166" s="4" t="s">
        <v>215</v>
      </c>
    </row>
    <row r="167" spans="11:11" ht="15" customHeight="1" x14ac:dyDescent="0.25">
      <c r="K167" s="4" t="s">
        <v>216</v>
      </c>
    </row>
    <row r="168" spans="11:11" ht="15" customHeight="1" x14ac:dyDescent="0.25">
      <c r="K168" s="4" t="s">
        <v>217</v>
      </c>
    </row>
    <row r="169" spans="11:11" ht="15" customHeight="1" x14ac:dyDescent="0.25">
      <c r="K169" s="4" t="s">
        <v>218</v>
      </c>
    </row>
    <row r="170" spans="11:11" ht="15" customHeight="1" x14ac:dyDescent="0.25">
      <c r="K170" s="4" t="s">
        <v>219</v>
      </c>
    </row>
    <row r="171" spans="11:11" ht="15" customHeight="1" x14ac:dyDescent="0.25">
      <c r="K171" s="4" t="s">
        <v>220</v>
      </c>
    </row>
    <row r="172" spans="11:11" ht="15" customHeight="1" x14ac:dyDescent="0.25">
      <c r="K172" s="4" t="s">
        <v>221</v>
      </c>
    </row>
    <row r="173" spans="11:11" ht="15" customHeight="1" x14ac:dyDescent="0.25">
      <c r="K173" s="4" t="s">
        <v>222</v>
      </c>
    </row>
    <row r="174" spans="11:11" ht="15" customHeight="1" x14ac:dyDescent="0.25">
      <c r="K174" s="4" t="s">
        <v>223</v>
      </c>
    </row>
    <row r="175" spans="11:11" ht="15" customHeight="1" x14ac:dyDescent="0.25">
      <c r="K175" s="4" t="s">
        <v>224</v>
      </c>
    </row>
    <row r="176" spans="11:11" ht="15" customHeight="1" x14ac:dyDescent="0.25">
      <c r="K176" s="4" t="s">
        <v>225</v>
      </c>
    </row>
    <row r="177" spans="11:11" ht="15" customHeight="1" x14ac:dyDescent="0.25">
      <c r="K177" s="4" t="s">
        <v>226</v>
      </c>
    </row>
    <row r="178" spans="11:11" ht="15" customHeight="1" x14ac:dyDescent="0.25">
      <c r="K178" s="4" t="s">
        <v>227</v>
      </c>
    </row>
    <row r="179" spans="11:11" ht="15" customHeight="1" x14ac:dyDescent="0.25">
      <c r="K179" s="4" t="s">
        <v>228</v>
      </c>
    </row>
    <row r="180" spans="11:11" ht="15" customHeight="1" x14ac:dyDescent="0.25">
      <c r="K180" s="4" t="s">
        <v>229</v>
      </c>
    </row>
    <row r="181" spans="11:11" ht="15" customHeight="1" x14ac:dyDescent="0.25">
      <c r="K181" s="4" t="s">
        <v>230</v>
      </c>
    </row>
    <row r="182" spans="11:11" ht="15" customHeight="1" x14ac:dyDescent="0.25">
      <c r="K182" s="4" t="s">
        <v>231</v>
      </c>
    </row>
    <row r="183" spans="11:11" ht="15" customHeight="1" x14ac:dyDescent="0.25">
      <c r="K183" s="4" t="s">
        <v>232</v>
      </c>
    </row>
    <row r="184" spans="11:11" ht="15" customHeight="1" x14ac:dyDescent="0.25">
      <c r="K184" s="4" t="s">
        <v>233</v>
      </c>
    </row>
    <row r="185" spans="11:11" ht="15" customHeight="1" x14ac:dyDescent="0.25">
      <c r="K185" s="4" t="s">
        <v>234</v>
      </c>
    </row>
    <row r="186" spans="11:11" ht="15" customHeight="1" x14ac:dyDescent="0.25">
      <c r="K186" s="4" t="s">
        <v>235</v>
      </c>
    </row>
    <row r="187" spans="11:11" ht="15" customHeight="1" x14ac:dyDescent="0.25">
      <c r="K187" s="4" t="s">
        <v>236</v>
      </c>
    </row>
    <row r="188" spans="11:11" ht="15" customHeight="1" x14ac:dyDescent="0.25">
      <c r="K188" s="4" t="s">
        <v>237</v>
      </c>
    </row>
    <row r="189" spans="11:11" ht="15" customHeight="1" x14ac:dyDescent="0.25">
      <c r="K189" s="4" t="s">
        <v>238</v>
      </c>
    </row>
    <row r="190" spans="11:11" ht="15" customHeight="1" x14ac:dyDescent="0.25">
      <c r="K190" s="4" t="s">
        <v>239</v>
      </c>
    </row>
    <row r="191" spans="11:11" ht="15" customHeight="1" x14ac:dyDescent="0.25">
      <c r="K191" s="4" t="s">
        <v>240</v>
      </c>
    </row>
    <row r="192" spans="11:11" ht="15" customHeight="1" x14ac:dyDescent="0.25">
      <c r="K192" s="4" t="s">
        <v>241</v>
      </c>
    </row>
    <row r="193" spans="11:11" ht="15" customHeight="1" x14ac:dyDescent="0.25">
      <c r="K193" s="4" t="s">
        <v>242</v>
      </c>
    </row>
    <row r="194" spans="11:11" ht="15" customHeight="1" x14ac:dyDescent="0.25">
      <c r="K194" s="4" t="s">
        <v>243</v>
      </c>
    </row>
    <row r="195" spans="11:11" ht="15" customHeight="1" x14ac:dyDescent="0.25">
      <c r="K195" s="4" t="s">
        <v>244</v>
      </c>
    </row>
    <row r="196" spans="11:11" ht="15" customHeight="1" x14ac:dyDescent="0.25">
      <c r="K196" s="4" t="s">
        <v>245</v>
      </c>
    </row>
    <row r="197" spans="11:11" ht="15" customHeight="1" x14ac:dyDescent="0.25">
      <c r="K197" s="4" t="s">
        <v>246</v>
      </c>
    </row>
    <row r="198" spans="11:11" ht="15" customHeight="1" x14ac:dyDescent="0.25">
      <c r="K198" s="4" t="s">
        <v>247</v>
      </c>
    </row>
    <row r="199" spans="11:11" ht="15" customHeight="1" x14ac:dyDescent="0.25">
      <c r="K199" s="4" t="s">
        <v>248</v>
      </c>
    </row>
    <row r="200" spans="11:11" ht="15" customHeight="1" x14ac:dyDescent="0.25">
      <c r="K200" s="4" t="s">
        <v>249</v>
      </c>
    </row>
    <row r="201" spans="11:11" ht="15" customHeight="1" x14ac:dyDescent="0.25">
      <c r="K201" s="4" t="s">
        <v>250</v>
      </c>
    </row>
    <row r="202" spans="11:11" ht="15" customHeight="1" x14ac:dyDescent="0.25">
      <c r="K202" s="4" t="s">
        <v>251</v>
      </c>
    </row>
    <row r="203" spans="11:11" ht="15" customHeight="1" x14ac:dyDescent="0.25">
      <c r="K203" s="4" t="s">
        <v>252</v>
      </c>
    </row>
    <row r="204" spans="11:11" ht="15" customHeight="1" x14ac:dyDescent="0.25">
      <c r="K204" s="4" t="s">
        <v>253</v>
      </c>
    </row>
    <row r="205" spans="11:11" ht="15" customHeight="1" x14ac:dyDescent="0.25">
      <c r="K205" s="4" t="s">
        <v>254</v>
      </c>
    </row>
    <row r="206" spans="11:11" ht="15" customHeight="1" x14ac:dyDescent="0.25">
      <c r="K206" s="4" t="s">
        <v>255</v>
      </c>
    </row>
    <row r="207" spans="11:11" ht="15" customHeight="1" x14ac:dyDescent="0.25">
      <c r="K207" s="4" t="s">
        <v>256</v>
      </c>
    </row>
    <row r="208" spans="11:11" ht="15" customHeight="1" x14ac:dyDescent="0.25">
      <c r="K208" s="4" t="s">
        <v>257</v>
      </c>
    </row>
    <row r="209" spans="11:11" ht="15" customHeight="1" x14ac:dyDescent="0.25">
      <c r="K209" s="4" t="s">
        <v>258</v>
      </c>
    </row>
    <row r="210" spans="11:11" ht="15" customHeight="1" x14ac:dyDescent="0.25">
      <c r="K210" s="4" t="s">
        <v>259</v>
      </c>
    </row>
    <row r="211" spans="11:11" ht="15" customHeight="1" x14ac:dyDescent="0.25">
      <c r="K211" s="4" t="s">
        <v>260</v>
      </c>
    </row>
    <row r="212" spans="11:11" ht="15" customHeight="1" x14ac:dyDescent="0.25">
      <c r="K212" s="4" t="s">
        <v>261</v>
      </c>
    </row>
    <row r="213" spans="11:11" ht="15" customHeight="1" x14ac:dyDescent="0.25">
      <c r="K213" s="4" t="s">
        <v>262</v>
      </c>
    </row>
    <row r="214" spans="11:11" ht="15" customHeight="1" x14ac:dyDescent="0.25">
      <c r="K214" s="4" t="s">
        <v>263</v>
      </c>
    </row>
    <row r="215" spans="11:11" ht="15" customHeight="1" x14ac:dyDescent="0.25">
      <c r="K215" s="4" t="s">
        <v>264</v>
      </c>
    </row>
    <row r="216" spans="11:11" ht="15" customHeight="1" x14ac:dyDescent="0.25">
      <c r="K216" s="4" t="s">
        <v>265</v>
      </c>
    </row>
    <row r="217" spans="11:11" ht="15" customHeight="1" x14ac:dyDescent="0.25">
      <c r="K217" s="4" t="s">
        <v>266</v>
      </c>
    </row>
    <row r="218" spans="11:11" ht="15" customHeight="1" x14ac:dyDescent="0.25">
      <c r="K218" s="4" t="s">
        <v>267</v>
      </c>
    </row>
    <row r="219" spans="11:11" ht="15" customHeight="1" x14ac:dyDescent="0.25">
      <c r="K219" s="4" t="s">
        <v>268</v>
      </c>
    </row>
    <row r="220" spans="11:11" ht="15" customHeight="1" x14ac:dyDescent="0.25">
      <c r="K220" s="4" t="s">
        <v>269</v>
      </c>
    </row>
    <row r="221" spans="11:11" ht="15" customHeight="1" x14ac:dyDescent="0.25">
      <c r="K221" s="4" t="s">
        <v>270</v>
      </c>
    </row>
    <row r="222" spans="11:11" ht="15" customHeight="1" x14ac:dyDescent="0.25">
      <c r="K222" s="4" t="s">
        <v>271</v>
      </c>
    </row>
    <row r="223" spans="11:11" ht="15" customHeight="1" x14ac:dyDescent="0.25">
      <c r="K223" s="4" t="s">
        <v>272</v>
      </c>
    </row>
    <row r="224" spans="11:11" ht="15" customHeight="1" x14ac:dyDescent="0.25">
      <c r="K224" s="4" t="s">
        <v>273</v>
      </c>
    </row>
    <row r="225" spans="11:11" ht="15" customHeight="1" x14ac:dyDescent="0.25">
      <c r="K225" s="4" t="s">
        <v>274</v>
      </c>
    </row>
    <row r="226" spans="11:11" ht="15" customHeight="1" x14ac:dyDescent="0.25">
      <c r="K226" s="4" t="s">
        <v>275</v>
      </c>
    </row>
    <row r="227" spans="11:11" ht="15" customHeight="1" x14ac:dyDescent="0.25">
      <c r="K227" s="4" t="s">
        <v>276</v>
      </c>
    </row>
    <row r="228" spans="11:11" ht="15" customHeight="1" x14ac:dyDescent="0.25">
      <c r="K228" s="4" t="s">
        <v>277</v>
      </c>
    </row>
    <row r="229" spans="11:11" ht="15" customHeight="1" x14ac:dyDescent="0.25">
      <c r="K229" s="4" t="s">
        <v>278</v>
      </c>
    </row>
    <row r="230" spans="11:11" ht="15" customHeight="1" x14ac:dyDescent="0.25">
      <c r="K230" s="4" t="s">
        <v>280</v>
      </c>
    </row>
    <row r="231" spans="11:11" ht="15" customHeight="1" x14ac:dyDescent="0.25">
      <c r="K231" s="4" t="s">
        <v>281</v>
      </c>
    </row>
    <row r="232" spans="11:11" ht="15" customHeight="1" x14ac:dyDescent="0.25">
      <c r="K232" s="4" t="s">
        <v>282</v>
      </c>
    </row>
    <row r="233" spans="11:11" ht="15" customHeight="1" x14ac:dyDescent="0.25">
      <c r="K233" s="4" t="s">
        <v>283</v>
      </c>
    </row>
    <row r="234" spans="11:11" ht="15" customHeight="1" x14ac:dyDescent="0.25">
      <c r="K234" s="4" t="s">
        <v>284</v>
      </c>
    </row>
    <row r="235" spans="11:11" ht="15" customHeight="1" x14ac:dyDescent="0.25">
      <c r="K235" s="4" t="s">
        <v>285</v>
      </c>
    </row>
    <row r="236" spans="11:11" ht="15" customHeight="1" x14ac:dyDescent="0.25">
      <c r="K236" s="4" t="s">
        <v>286</v>
      </c>
    </row>
    <row r="237" spans="11:11" ht="15" customHeight="1" x14ac:dyDescent="0.25">
      <c r="K237" s="4" t="s">
        <v>287</v>
      </c>
    </row>
    <row r="238" spans="11:11" ht="15" customHeight="1" x14ac:dyDescent="0.25">
      <c r="K238" s="4" t="s">
        <v>288</v>
      </c>
    </row>
    <row r="239" spans="11:11" ht="15" customHeight="1" x14ac:dyDescent="0.25">
      <c r="K239" s="4" t="s">
        <v>289</v>
      </c>
    </row>
    <row r="240" spans="11:11" ht="15" customHeight="1" x14ac:dyDescent="0.25">
      <c r="K240" s="4" t="s">
        <v>290</v>
      </c>
    </row>
    <row r="241" spans="11:11" ht="15" customHeight="1" x14ac:dyDescent="0.25">
      <c r="K241" s="4" t="s">
        <v>291</v>
      </c>
    </row>
    <row r="242" spans="11:11" ht="15" customHeight="1" x14ac:dyDescent="0.25">
      <c r="K242" s="4" t="s">
        <v>292</v>
      </c>
    </row>
    <row r="243" spans="11:11" ht="15" customHeight="1" x14ac:dyDescent="0.25">
      <c r="K243" s="4" t="s">
        <v>320</v>
      </c>
    </row>
    <row r="244" spans="11:11" ht="15" customHeight="1" x14ac:dyDescent="0.25">
      <c r="K244" s="4" t="s">
        <v>323</v>
      </c>
    </row>
    <row r="245" spans="11:11" ht="15" customHeight="1" x14ac:dyDescent="0.25">
      <c r="K245" s="4" t="s">
        <v>324</v>
      </c>
    </row>
    <row r="246" spans="11:11" ht="15" customHeight="1" x14ac:dyDescent="0.25">
      <c r="K246" s="4" t="s">
        <v>325</v>
      </c>
    </row>
    <row r="247" spans="11:11" ht="15" customHeight="1" x14ac:dyDescent="0.25">
      <c r="K247" s="4" t="s">
        <v>326</v>
      </c>
    </row>
    <row r="248" spans="11:11" ht="15" customHeight="1" x14ac:dyDescent="0.25">
      <c r="K248" s="4" t="s">
        <v>327</v>
      </c>
    </row>
    <row r="249" spans="11:11" ht="15" customHeight="1" x14ac:dyDescent="0.25">
      <c r="K249" s="4" t="s">
        <v>328</v>
      </c>
    </row>
    <row r="250" spans="11:11" ht="15" customHeight="1" x14ac:dyDescent="0.25">
      <c r="K250" s="4" t="s">
        <v>329</v>
      </c>
    </row>
    <row r="251" spans="11:11" ht="15" customHeight="1" x14ac:dyDescent="0.25">
      <c r="K251" s="4" t="s">
        <v>330</v>
      </c>
    </row>
    <row r="252" spans="11:11" ht="15" customHeight="1" x14ac:dyDescent="0.25">
      <c r="K252" s="4" t="s">
        <v>331</v>
      </c>
    </row>
    <row r="253" spans="11:11" ht="15" customHeight="1" x14ac:dyDescent="0.25">
      <c r="K253" s="4" t="s">
        <v>332</v>
      </c>
    </row>
    <row r="254" spans="11:11" ht="15" customHeight="1" x14ac:dyDescent="0.25">
      <c r="K254" s="4" t="s">
        <v>333</v>
      </c>
    </row>
    <row r="255" spans="11:11" ht="15" customHeight="1" x14ac:dyDescent="0.25">
      <c r="K255" s="4" t="s">
        <v>334</v>
      </c>
    </row>
    <row r="256" spans="11:11" x14ac:dyDescent="0.25">
      <c r="K256" s="4" t="s">
        <v>335</v>
      </c>
    </row>
    <row r="257" spans="11:11" x14ac:dyDescent="0.25">
      <c r="K257" s="4" t="s">
        <v>336</v>
      </c>
    </row>
    <row r="258" spans="11:11" x14ac:dyDescent="0.25">
      <c r="K258" s="4" t="s">
        <v>337</v>
      </c>
    </row>
    <row r="259" spans="11:11" x14ac:dyDescent="0.25">
      <c r="K259" s="4" t="s">
        <v>338</v>
      </c>
    </row>
    <row r="260" spans="11:11" x14ac:dyDescent="0.25">
      <c r="K260" s="4" t="s">
        <v>339</v>
      </c>
    </row>
    <row r="261" spans="11:11" x14ac:dyDescent="0.25">
      <c r="K261" s="4" t="s">
        <v>340</v>
      </c>
    </row>
    <row r="262" spans="11:11" x14ac:dyDescent="0.25">
      <c r="K262" s="4" t="s">
        <v>341</v>
      </c>
    </row>
    <row r="263" spans="11:11" x14ac:dyDescent="0.25">
      <c r="K263" s="4" t="s">
        <v>342</v>
      </c>
    </row>
    <row r="264" spans="11:11" x14ac:dyDescent="0.25">
      <c r="K264" s="4" t="s">
        <v>343</v>
      </c>
    </row>
    <row r="265" spans="11:11" x14ac:dyDescent="0.25">
      <c r="K265" s="4" t="s">
        <v>344</v>
      </c>
    </row>
    <row r="266" spans="11:11" x14ac:dyDescent="0.25">
      <c r="K266" s="4" t="s">
        <v>345</v>
      </c>
    </row>
    <row r="267" spans="11:11" x14ac:dyDescent="0.25">
      <c r="K267" s="4" t="s">
        <v>346</v>
      </c>
    </row>
    <row r="268" spans="11:11" x14ac:dyDescent="0.25">
      <c r="K268" s="4" t="s">
        <v>347</v>
      </c>
    </row>
    <row r="269" spans="11:11" x14ac:dyDescent="0.25">
      <c r="K269" s="4" t="s">
        <v>348</v>
      </c>
    </row>
    <row r="270" spans="11:11" x14ac:dyDescent="0.25">
      <c r="K270" s="4" t="s">
        <v>349</v>
      </c>
    </row>
    <row r="271" spans="11:11" x14ac:dyDescent="0.25">
      <c r="K271" s="4" t="s">
        <v>350</v>
      </c>
    </row>
    <row r="272" spans="11:11" x14ac:dyDescent="0.25">
      <c r="K272" s="4" t="s">
        <v>351</v>
      </c>
    </row>
    <row r="273" spans="11:11" x14ac:dyDescent="0.25">
      <c r="K273" s="4" t="s">
        <v>352</v>
      </c>
    </row>
    <row r="274" spans="11:11" x14ac:dyDescent="0.25">
      <c r="K274" s="4" t="s">
        <v>353</v>
      </c>
    </row>
    <row r="275" spans="11:11" x14ac:dyDescent="0.25">
      <c r="K275" s="4" t="s">
        <v>354</v>
      </c>
    </row>
    <row r="276" spans="11:11" x14ac:dyDescent="0.25">
      <c r="K276" s="4" t="s">
        <v>355</v>
      </c>
    </row>
  </sheetData>
  <sheetProtection algorithmName="SHA-512" hashValue="/hR9NlF3o3RsRWzc+LYv5bLE9wQ0rTufDRWDWMdNKLWUcWJDx+q0hsOpaEUWvQddxpOOlskEbqr087dgA66a3A==" saltValue="1zz49PZ1POB6t0fUFHdYtA==" spinCount="100000" sheet="1" objects="1" scenarios="1"/>
  <protectedRanges>
    <protectedRange sqref="B4:D4" name="Диапазон1"/>
  </protectedRanges>
  <mergeCells count="6">
    <mergeCell ref="A72:D72"/>
    <mergeCell ref="A1:D1"/>
    <mergeCell ref="A2:D2"/>
    <mergeCell ref="A3:D3"/>
    <mergeCell ref="B4:D4"/>
    <mergeCell ref="A70:D70"/>
  </mergeCells>
  <dataValidations count="1">
    <dataValidation type="list" allowBlank="1" showInputMessage="1" showErrorMessage="1" sqref="B4:D4">
      <formula1>$K$1:$K$276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793"/>
  <sheetViews>
    <sheetView topLeftCell="A2507" workbookViewId="0">
      <selection activeCell="EB284" sqref="EB284"/>
    </sheetView>
  </sheetViews>
  <sheetFormatPr defaultRowHeight="12.75" x14ac:dyDescent="0.2"/>
  <cols>
    <col min="1" max="1" width="40.5703125" style="57" customWidth="1"/>
    <col min="2" max="2" width="3.140625" style="57" customWidth="1"/>
    <col min="3" max="3" width="19.140625" style="57" customWidth="1"/>
    <col min="4" max="4" width="23.28515625" style="57" customWidth="1"/>
    <col min="5" max="5" width="13.28515625" style="57" customWidth="1"/>
    <col min="6" max="6" width="19.140625" style="57" customWidth="1"/>
    <col min="7" max="7" width="9.140625" style="57" customWidth="1"/>
    <col min="8" max="8" width="5.140625" style="57" customWidth="1"/>
    <col min="9" max="9" width="4" style="57" customWidth="1"/>
    <col min="10" max="10" width="9.140625" style="57"/>
    <col min="11" max="12" width="40.5703125" style="57" customWidth="1"/>
    <col min="13" max="16384" width="9.140625" style="57"/>
  </cols>
  <sheetData>
    <row r="1" spans="1:23" ht="11.85" customHeight="1" x14ac:dyDescent="0.2">
      <c r="B1" s="421" t="s">
        <v>387</v>
      </c>
      <c r="C1" s="421"/>
      <c r="D1" s="421"/>
      <c r="E1" s="421"/>
      <c r="F1" s="421"/>
      <c r="G1" s="421"/>
      <c r="H1" s="421"/>
      <c r="I1" s="421"/>
    </row>
    <row r="2" spans="1:23" ht="11.1" customHeight="1" x14ac:dyDescent="0.2">
      <c r="B2" s="422" t="s">
        <v>388</v>
      </c>
      <c r="C2" s="422"/>
      <c r="D2" s="422"/>
      <c r="E2" s="422"/>
      <c r="F2" s="422"/>
      <c r="G2" s="422"/>
      <c r="H2" s="422"/>
      <c r="I2" s="58" t="s">
        <v>389</v>
      </c>
    </row>
    <row r="3" spans="1:23" ht="11.85" customHeight="1" x14ac:dyDescent="0.2">
      <c r="B3" s="422" t="s">
        <v>390</v>
      </c>
      <c r="C3" s="422"/>
      <c r="D3" s="422"/>
      <c r="E3" s="422"/>
      <c r="F3" s="422"/>
      <c r="G3" s="422"/>
      <c r="H3" s="422"/>
      <c r="I3" s="422"/>
    </row>
    <row r="4" spans="1:23" ht="11.85" customHeight="1" x14ac:dyDescent="0.2">
      <c r="B4" s="423" t="s">
        <v>391</v>
      </c>
      <c r="C4" s="423"/>
      <c r="D4" s="423" t="s">
        <v>392</v>
      </c>
      <c r="E4" s="423"/>
      <c r="F4" s="423"/>
      <c r="G4" s="423"/>
      <c r="H4" s="423"/>
      <c r="I4" s="423"/>
    </row>
    <row r="5" spans="1:23" ht="11.85" customHeight="1" x14ac:dyDescent="0.2">
      <c r="B5" s="423" t="s">
        <v>393</v>
      </c>
      <c r="C5" s="423"/>
      <c r="D5" s="423" t="s">
        <v>394</v>
      </c>
      <c r="E5" s="423"/>
      <c r="F5" s="423"/>
      <c r="G5" s="423"/>
      <c r="H5" s="423"/>
      <c r="I5" s="423"/>
    </row>
    <row r="6" spans="1:23" ht="11.1" customHeight="1" x14ac:dyDescent="0.2">
      <c r="B6" s="59"/>
      <c r="C6" s="59"/>
      <c r="D6" s="407" t="s">
        <v>395</v>
      </c>
      <c r="E6" s="407"/>
      <c r="F6" s="407"/>
      <c r="G6" s="407"/>
      <c r="H6" s="407"/>
      <c r="I6" s="407"/>
    </row>
    <row r="7" spans="1:23" ht="11.85" customHeight="1" x14ac:dyDescent="0.2">
      <c r="B7" s="408" t="s">
        <v>396</v>
      </c>
      <c r="C7" s="409"/>
      <c r="D7" s="410"/>
      <c r="E7" s="408" t="s">
        <v>397</v>
      </c>
      <c r="F7" s="410"/>
      <c r="G7" s="60" t="s">
        <v>398</v>
      </c>
      <c r="H7" s="408" t="s">
        <v>399</v>
      </c>
      <c r="I7" s="410"/>
      <c r="M7" s="61" t="s">
        <v>400</v>
      </c>
      <c r="N7" s="61" t="s">
        <v>401</v>
      </c>
      <c r="O7" s="61" t="s">
        <v>402</v>
      </c>
      <c r="P7" s="61" t="s">
        <v>403</v>
      </c>
      <c r="Q7" s="61" t="s">
        <v>404</v>
      </c>
      <c r="R7" s="61" t="s">
        <v>405</v>
      </c>
      <c r="S7" s="61" t="s">
        <v>406</v>
      </c>
      <c r="T7" s="61" t="s">
        <v>407</v>
      </c>
      <c r="U7" s="61" t="s">
        <v>408</v>
      </c>
      <c r="V7" s="61" t="s">
        <v>409</v>
      </c>
      <c r="W7" s="61" t="s">
        <v>410</v>
      </c>
    </row>
    <row r="8" spans="1:23" ht="11.85" customHeight="1" x14ac:dyDescent="0.2">
      <c r="B8" s="62"/>
      <c r="C8" s="411" t="s">
        <v>411</v>
      </c>
      <c r="D8" s="412"/>
      <c r="E8" s="412"/>
      <c r="F8" s="412"/>
      <c r="G8" s="412"/>
      <c r="H8" s="412"/>
      <c r="I8" s="411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</row>
    <row r="9" spans="1:23" ht="11.85" customHeight="1" x14ac:dyDescent="0.2">
      <c r="A9" s="57" t="s">
        <v>411</v>
      </c>
      <c r="B9" s="413" t="s">
        <v>412</v>
      </c>
      <c r="C9" s="414"/>
      <c r="D9" s="415"/>
      <c r="E9" s="419" t="s">
        <v>400</v>
      </c>
      <c r="F9" s="420"/>
      <c r="G9" s="64" t="s">
        <v>413</v>
      </c>
      <c r="H9" s="419" t="s">
        <v>414</v>
      </c>
      <c r="I9" s="420"/>
      <c r="K9" s="57" t="s">
        <v>411</v>
      </c>
      <c r="L9" s="57" t="s">
        <v>110</v>
      </c>
      <c r="S9" s="57">
        <v>0</v>
      </c>
    </row>
    <row r="10" spans="1:23" ht="11.1" customHeight="1" x14ac:dyDescent="0.2">
      <c r="A10" s="57" t="s">
        <v>411</v>
      </c>
      <c r="B10" s="416"/>
      <c r="C10" s="417"/>
      <c r="D10" s="418"/>
      <c r="E10" s="419" t="s">
        <v>401</v>
      </c>
      <c r="F10" s="420"/>
      <c r="G10" s="64" t="s">
        <v>413</v>
      </c>
      <c r="H10" s="419" t="s">
        <v>415</v>
      </c>
      <c r="I10" s="420"/>
      <c r="K10" s="57" t="s">
        <v>411</v>
      </c>
      <c r="L10" s="57" t="s">
        <v>110</v>
      </c>
      <c r="S10" s="57">
        <v>0</v>
      </c>
    </row>
    <row r="11" spans="1:23" ht="11.85" customHeight="1" x14ac:dyDescent="0.2">
      <c r="A11" s="57" t="s">
        <v>411</v>
      </c>
      <c r="B11" s="413" t="s">
        <v>416</v>
      </c>
      <c r="C11" s="414"/>
      <c r="D11" s="415"/>
      <c r="E11" s="419" t="s">
        <v>402</v>
      </c>
      <c r="F11" s="420"/>
      <c r="G11" s="64" t="s">
        <v>417</v>
      </c>
      <c r="H11" s="419" t="s">
        <v>418</v>
      </c>
      <c r="I11" s="420"/>
      <c r="K11" s="57" t="s">
        <v>411</v>
      </c>
      <c r="L11" s="57" t="s">
        <v>110</v>
      </c>
      <c r="S11" s="57">
        <v>0</v>
      </c>
    </row>
    <row r="12" spans="1:23" ht="11.85" customHeight="1" x14ac:dyDescent="0.2">
      <c r="A12" s="57" t="s">
        <v>411</v>
      </c>
      <c r="B12" s="424"/>
      <c r="C12" s="425"/>
      <c r="D12" s="426"/>
      <c r="E12" s="419" t="s">
        <v>403</v>
      </c>
      <c r="F12" s="420"/>
      <c r="G12" s="64" t="s">
        <v>417</v>
      </c>
      <c r="H12" s="419" t="s">
        <v>418</v>
      </c>
      <c r="I12" s="420"/>
      <c r="K12" s="57" t="s">
        <v>411</v>
      </c>
      <c r="L12" s="57" t="s">
        <v>110</v>
      </c>
      <c r="S12" s="57">
        <v>0</v>
      </c>
    </row>
    <row r="13" spans="1:23" ht="11.85" customHeight="1" x14ac:dyDescent="0.2">
      <c r="A13" s="57" t="s">
        <v>411</v>
      </c>
      <c r="B13" s="424"/>
      <c r="C13" s="425"/>
      <c r="D13" s="426"/>
      <c r="E13" s="419" t="s">
        <v>404</v>
      </c>
      <c r="F13" s="420"/>
      <c r="G13" s="64" t="s">
        <v>413</v>
      </c>
      <c r="H13" s="419" t="s">
        <v>419</v>
      </c>
      <c r="I13" s="420"/>
      <c r="K13" s="57" t="s">
        <v>411</v>
      </c>
      <c r="L13" s="57" t="s">
        <v>110</v>
      </c>
      <c r="S13" s="57">
        <v>0</v>
      </c>
    </row>
    <row r="14" spans="1:23" ht="11.1" customHeight="1" x14ac:dyDescent="0.2">
      <c r="A14" s="57" t="s">
        <v>411</v>
      </c>
      <c r="B14" s="424"/>
      <c r="C14" s="425"/>
      <c r="D14" s="426"/>
      <c r="E14" s="419" t="s">
        <v>405</v>
      </c>
      <c r="F14" s="420"/>
      <c r="G14" s="64" t="s">
        <v>420</v>
      </c>
      <c r="H14" s="419" t="s">
        <v>421</v>
      </c>
      <c r="I14" s="420"/>
      <c r="K14" s="57" t="s">
        <v>411</v>
      </c>
      <c r="L14" s="57" t="s">
        <v>110</v>
      </c>
      <c r="S14" s="57">
        <v>0</v>
      </c>
    </row>
    <row r="15" spans="1:23" ht="11.85" customHeight="1" x14ac:dyDescent="0.2">
      <c r="A15" s="57" t="s">
        <v>411</v>
      </c>
      <c r="B15" s="424"/>
      <c r="C15" s="425"/>
      <c r="D15" s="426"/>
      <c r="E15" s="419" t="s">
        <v>406</v>
      </c>
      <c r="F15" s="420"/>
      <c r="G15" s="64" t="s">
        <v>422</v>
      </c>
      <c r="H15" s="419" t="s">
        <v>423</v>
      </c>
      <c r="I15" s="420"/>
      <c r="K15" s="57" t="s">
        <v>411</v>
      </c>
      <c r="L15" s="57" t="s">
        <v>110</v>
      </c>
      <c r="S15" s="65">
        <v>48.44</v>
      </c>
    </row>
    <row r="16" spans="1:23" ht="11.85" customHeight="1" x14ac:dyDescent="0.2">
      <c r="A16" s="57" t="s">
        <v>411</v>
      </c>
      <c r="B16" s="416"/>
      <c r="C16" s="417"/>
      <c r="D16" s="418"/>
      <c r="E16" s="419" t="s">
        <v>407</v>
      </c>
      <c r="F16" s="420"/>
      <c r="G16" s="64" t="s">
        <v>424</v>
      </c>
      <c r="H16" s="419" t="s">
        <v>425</v>
      </c>
      <c r="I16" s="420"/>
      <c r="K16" s="57" t="s">
        <v>411</v>
      </c>
      <c r="L16" s="57" t="s">
        <v>110</v>
      </c>
      <c r="S16" s="57">
        <v>0</v>
      </c>
    </row>
    <row r="17" spans="1:19" ht="11.85" customHeight="1" x14ac:dyDescent="0.2">
      <c r="A17" s="57" t="s">
        <v>411</v>
      </c>
      <c r="B17" s="413" t="s">
        <v>426</v>
      </c>
      <c r="C17" s="414"/>
      <c r="D17" s="415"/>
      <c r="E17" s="419" t="s">
        <v>408</v>
      </c>
      <c r="F17" s="420"/>
      <c r="G17" s="64" t="s">
        <v>420</v>
      </c>
      <c r="H17" s="419" t="s">
        <v>427</v>
      </c>
      <c r="I17" s="420"/>
      <c r="K17" s="57" t="s">
        <v>411</v>
      </c>
      <c r="L17" s="57" t="s">
        <v>110</v>
      </c>
      <c r="S17" s="57">
        <v>0</v>
      </c>
    </row>
    <row r="18" spans="1:19" ht="11.1" customHeight="1" x14ac:dyDescent="0.2">
      <c r="A18" s="57" t="s">
        <v>411</v>
      </c>
      <c r="B18" s="424"/>
      <c r="C18" s="425"/>
      <c r="D18" s="426"/>
      <c r="E18" s="419" t="s">
        <v>409</v>
      </c>
      <c r="F18" s="420"/>
      <c r="G18" s="64" t="s">
        <v>417</v>
      </c>
      <c r="H18" s="419" t="s">
        <v>428</v>
      </c>
      <c r="I18" s="420"/>
      <c r="K18" s="57" t="s">
        <v>411</v>
      </c>
      <c r="L18" s="57" t="s">
        <v>110</v>
      </c>
      <c r="S18" s="57">
        <v>0</v>
      </c>
    </row>
    <row r="19" spans="1:19" ht="11.85" customHeight="1" x14ac:dyDescent="0.2">
      <c r="A19" s="57" t="s">
        <v>411</v>
      </c>
      <c r="B19" s="416"/>
      <c r="C19" s="417"/>
      <c r="D19" s="418"/>
      <c r="E19" s="419" t="s">
        <v>410</v>
      </c>
      <c r="F19" s="420"/>
      <c r="G19" s="64" t="s">
        <v>417</v>
      </c>
      <c r="H19" s="419" t="s">
        <v>415</v>
      </c>
      <c r="I19" s="420"/>
      <c r="K19" s="57" t="s">
        <v>411</v>
      </c>
      <c r="L19" s="57" t="s">
        <v>110</v>
      </c>
      <c r="S19" s="57">
        <v>0</v>
      </c>
    </row>
    <row r="20" spans="1:19" ht="11.85" customHeight="1" x14ac:dyDescent="0.2">
      <c r="A20" s="57" t="s">
        <v>411</v>
      </c>
      <c r="B20" s="62"/>
      <c r="C20" s="411" t="s">
        <v>429</v>
      </c>
      <c r="D20" s="412"/>
      <c r="E20" s="412"/>
      <c r="F20" s="412"/>
      <c r="G20" s="412"/>
      <c r="H20" s="412"/>
      <c r="I20" s="411"/>
      <c r="K20" s="57" t="s">
        <v>411</v>
      </c>
      <c r="L20" s="57" t="s">
        <v>110</v>
      </c>
      <c r="S20" s="57">
        <v>0</v>
      </c>
    </row>
    <row r="21" spans="1:19" ht="11.85" customHeight="1" x14ac:dyDescent="0.2">
      <c r="A21" s="57" t="s">
        <v>429</v>
      </c>
      <c r="B21" s="413" t="s">
        <v>412</v>
      </c>
      <c r="C21" s="414"/>
      <c r="D21" s="415"/>
      <c r="E21" s="419" t="s">
        <v>400</v>
      </c>
      <c r="F21" s="420"/>
      <c r="G21" s="64" t="s">
        <v>413</v>
      </c>
      <c r="H21" s="419" t="s">
        <v>414</v>
      </c>
      <c r="I21" s="420"/>
      <c r="K21" s="57" t="s">
        <v>429</v>
      </c>
      <c r="L21" s="57" t="s">
        <v>112</v>
      </c>
      <c r="S21" s="57">
        <v>0</v>
      </c>
    </row>
    <row r="22" spans="1:19" ht="11.1" customHeight="1" x14ac:dyDescent="0.2">
      <c r="A22" s="57" t="s">
        <v>429</v>
      </c>
      <c r="B22" s="416"/>
      <c r="C22" s="417"/>
      <c r="D22" s="418"/>
      <c r="E22" s="419" t="s">
        <v>401</v>
      </c>
      <c r="F22" s="420"/>
      <c r="G22" s="64" t="s">
        <v>413</v>
      </c>
      <c r="H22" s="419" t="s">
        <v>415</v>
      </c>
      <c r="I22" s="420"/>
      <c r="K22" s="57" t="s">
        <v>429</v>
      </c>
      <c r="L22" s="57" t="s">
        <v>112</v>
      </c>
      <c r="S22" s="57">
        <v>0</v>
      </c>
    </row>
    <row r="23" spans="1:19" ht="11.85" customHeight="1" x14ac:dyDescent="0.2">
      <c r="A23" s="57" t="s">
        <v>429</v>
      </c>
      <c r="B23" s="413" t="s">
        <v>416</v>
      </c>
      <c r="C23" s="414"/>
      <c r="D23" s="415"/>
      <c r="E23" s="419" t="s">
        <v>402</v>
      </c>
      <c r="F23" s="420"/>
      <c r="G23" s="64" t="s">
        <v>417</v>
      </c>
      <c r="H23" s="419" t="s">
        <v>418</v>
      </c>
      <c r="I23" s="420"/>
      <c r="K23" s="57" t="s">
        <v>429</v>
      </c>
      <c r="L23" s="57" t="s">
        <v>112</v>
      </c>
      <c r="S23" s="57">
        <v>0</v>
      </c>
    </row>
    <row r="24" spans="1:19" ht="11.85" customHeight="1" x14ac:dyDescent="0.2">
      <c r="A24" s="57" t="s">
        <v>429</v>
      </c>
      <c r="B24" s="424"/>
      <c r="C24" s="425"/>
      <c r="D24" s="426"/>
      <c r="E24" s="419" t="s">
        <v>403</v>
      </c>
      <c r="F24" s="420"/>
      <c r="G24" s="64" t="s">
        <v>417</v>
      </c>
      <c r="H24" s="419" t="s">
        <v>418</v>
      </c>
      <c r="I24" s="420"/>
      <c r="K24" s="57" t="s">
        <v>429</v>
      </c>
      <c r="L24" s="57" t="s">
        <v>112</v>
      </c>
      <c r="S24" s="57">
        <v>0</v>
      </c>
    </row>
    <row r="25" spans="1:19" ht="11.85" customHeight="1" x14ac:dyDescent="0.2">
      <c r="A25" s="57" t="s">
        <v>429</v>
      </c>
      <c r="B25" s="424"/>
      <c r="C25" s="425"/>
      <c r="D25" s="426"/>
      <c r="E25" s="419" t="s">
        <v>404</v>
      </c>
      <c r="F25" s="420"/>
      <c r="G25" s="64" t="s">
        <v>413</v>
      </c>
      <c r="H25" s="419" t="s">
        <v>419</v>
      </c>
      <c r="I25" s="420"/>
      <c r="K25" s="57" t="s">
        <v>429</v>
      </c>
      <c r="L25" s="57" t="s">
        <v>112</v>
      </c>
      <c r="S25" s="57">
        <v>0</v>
      </c>
    </row>
    <row r="26" spans="1:19" ht="11.1" customHeight="1" x14ac:dyDescent="0.2">
      <c r="A26" s="57" t="s">
        <v>429</v>
      </c>
      <c r="B26" s="424"/>
      <c r="C26" s="425"/>
      <c r="D26" s="426"/>
      <c r="E26" s="419" t="s">
        <v>405</v>
      </c>
      <c r="F26" s="420"/>
      <c r="G26" s="64" t="s">
        <v>420</v>
      </c>
      <c r="H26" s="419" t="s">
        <v>421</v>
      </c>
      <c r="I26" s="420"/>
      <c r="K26" s="57" t="s">
        <v>429</v>
      </c>
      <c r="L26" s="57" t="s">
        <v>112</v>
      </c>
      <c r="S26" s="57">
        <v>0</v>
      </c>
    </row>
    <row r="27" spans="1:19" ht="11.85" customHeight="1" x14ac:dyDescent="0.2">
      <c r="A27" s="57" t="s">
        <v>429</v>
      </c>
      <c r="B27" s="424"/>
      <c r="C27" s="425"/>
      <c r="D27" s="426"/>
      <c r="E27" s="419" t="s">
        <v>406</v>
      </c>
      <c r="F27" s="420"/>
      <c r="G27" s="64" t="s">
        <v>422</v>
      </c>
      <c r="H27" s="419" t="s">
        <v>423</v>
      </c>
      <c r="I27" s="420"/>
      <c r="K27" s="57" t="s">
        <v>429</v>
      </c>
      <c r="L27" s="57" t="s">
        <v>112</v>
      </c>
      <c r="S27" s="65">
        <v>48.44</v>
      </c>
    </row>
    <row r="28" spans="1:19" ht="11.85" customHeight="1" x14ac:dyDescent="0.2">
      <c r="A28" s="57" t="s">
        <v>429</v>
      </c>
      <c r="B28" s="416"/>
      <c r="C28" s="417"/>
      <c r="D28" s="418"/>
      <c r="E28" s="419" t="s">
        <v>407</v>
      </c>
      <c r="F28" s="420"/>
      <c r="G28" s="64" t="s">
        <v>424</v>
      </c>
      <c r="H28" s="419" t="s">
        <v>425</v>
      </c>
      <c r="I28" s="420"/>
      <c r="K28" s="57" t="s">
        <v>429</v>
      </c>
      <c r="L28" s="57" t="s">
        <v>112</v>
      </c>
      <c r="S28" s="57">
        <v>0</v>
      </c>
    </row>
    <row r="29" spans="1:19" ht="11.85" customHeight="1" x14ac:dyDescent="0.2">
      <c r="A29" s="57" t="s">
        <v>429</v>
      </c>
      <c r="B29" s="413" t="s">
        <v>426</v>
      </c>
      <c r="C29" s="414"/>
      <c r="D29" s="415"/>
      <c r="E29" s="419" t="s">
        <v>408</v>
      </c>
      <c r="F29" s="420"/>
      <c r="G29" s="64" t="s">
        <v>420</v>
      </c>
      <c r="H29" s="419" t="s">
        <v>427</v>
      </c>
      <c r="I29" s="420"/>
      <c r="K29" s="57" t="s">
        <v>429</v>
      </c>
      <c r="L29" s="57" t="s">
        <v>112</v>
      </c>
      <c r="S29" s="57">
        <v>0</v>
      </c>
    </row>
    <row r="30" spans="1:19" ht="11.1" customHeight="1" x14ac:dyDescent="0.2">
      <c r="A30" s="57" t="s">
        <v>429</v>
      </c>
      <c r="B30" s="424"/>
      <c r="C30" s="425"/>
      <c r="D30" s="426"/>
      <c r="E30" s="419" t="s">
        <v>409</v>
      </c>
      <c r="F30" s="420"/>
      <c r="G30" s="64" t="s">
        <v>417</v>
      </c>
      <c r="H30" s="419" t="s">
        <v>428</v>
      </c>
      <c r="I30" s="420"/>
      <c r="K30" s="57" t="s">
        <v>429</v>
      </c>
      <c r="L30" s="57" t="s">
        <v>112</v>
      </c>
      <c r="S30" s="57">
        <v>0</v>
      </c>
    </row>
    <row r="31" spans="1:19" ht="11.85" customHeight="1" x14ac:dyDescent="0.2">
      <c r="A31" s="57" t="s">
        <v>429</v>
      </c>
      <c r="B31" s="416"/>
      <c r="C31" s="417"/>
      <c r="D31" s="418"/>
      <c r="E31" s="419" t="s">
        <v>410</v>
      </c>
      <c r="F31" s="420"/>
      <c r="G31" s="64" t="s">
        <v>417</v>
      </c>
      <c r="H31" s="419" t="s">
        <v>415</v>
      </c>
      <c r="I31" s="420"/>
      <c r="K31" s="57" t="s">
        <v>429</v>
      </c>
      <c r="L31" s="57" t="s">
        <v>112</v>
      </c>
      <c r="S31" s="57">
        <v>0</v>
      </c>
    </row>
    <row r="32" spans="1:19" ht="11.85" customHeight="1" x14ac:dyDescent="0.2">
      <c r="A32" s="57" t="s">
        <v>429</v>
      </c>
      <c r="B32" s="62"/>
      <c r="C32" s="411" t="s">
        <v>430</v>
      </c>
      <c r="D32" s="412"/>
      <c r="E32" s="412"/>
      <c r="F32" s="412"/>
      <c r="G32" s="412"/>
      <c r="H32" s="412"/>
      <c r="I32" s="411"/>
      <c r="K32" s="57" t="s">
        <v>429</v>
      </c>
      <c r="L32" s="57" t="s">
        <v>112</v>
      </c>
      <c r="S32" s="57">
        <v>0</v>
      </c>
    </row>
    <row r="33" spans="1:19" ht="11.85" customHeight="1" x14ac:dyDescent="0.2">
      <c r="A33" s="57" t="s">
        <v>430</v>
      </c>
      <c r="B33" s="413" t="s">
        <v>412</v>
      </c>
      <c r="C33" s="414"/>
      <c r="D33" s="415"/>
      <c r="E33" s="419" t="s">
        <v>400</v>
      </c>
      <c r="F33" s="420"/>
      <c r="G33" s="64" t="s">
        <v>413</v>
      </c>
      <c r="H33" s="419" t="s">
        <v>414</v>
      </c>
      <c r="I33" s="420"/>
      <c r="K33" s="57" t="s">
        <v>430</v>
      </c>
      <c r="L33" s="57" t="s">
        <v>113</v>
      </c>
      <c r="S33" s="57">
        <v>0</v>
      </c>
    </row>
    <row r="34" spans="1:19" ht="11.1" customHeight="1" x14ac:dyDescent="0.2">
      <c r="A34" s="57" t="s">
        <v>430</v>
      </c>
      <c r="B34" s="416"/>
      <c r="C34" s="417"/>
      <c r="D34" s="418"/>
      <c r="E34" s="419" t="s">
        <v>401</v>
      </c>
      <c r="F34" s="420"/>
      <c r="G34" s="64" t="s">
        <v>413</v>
      </c>
      <c r="H34" s="419" t="s">
        <v>415</v>
      </c>
      <c r="I34" s="420"/>
      <c r="K34" s="57" t="s">
        <v>430</v>
      </c>
      <c r="L34" s="57" t="s">
        <v>113</v>
      </c>
      <c r="S34" s="57">
        <v>0</v>
      </c>
    </row>
    <row r="35" spans="1:19" ht="11.85" customHeight="1" x14ac:dyDescent="0.2">
      <c r="A35" s="57" t="s">
        <v>430</v>
      </c>
      <c r="B35" s="413" t="s">
        <v>416</v>
      </c>
      <c r="C35" s="414"/>
      <c r="D35" s="415"/>
      <c r="E35" s="419" t="s">
        <v>402</v>
      </c>
      <c r="F35" s="420"/>
      <c r="G35" s="64" t="s">
        <v>417</v>
      </c>
      <c r="H35" s="419" t="s">
        <v>418</v>
      </c>
      <c r="I35" s="420"/>
      <c r="K35" s="57" t="s">
        <v>430</v>
      </c>
      <c r="L35" s="57" t="s">
        <v>113</v>
      </c>
      <c r="S35" s="57">
        <v>0</v>
      </c>
    </row>
    <row r="36" spans="1:19" ht="11.85" customHeight="1" x14ac:dyDescent="0.2">
      <c r="A36" s="57" t="s">
        <v>430</v>
      </c>
      <c r="B36" s="424"/>
      <c r="C36" s="425"/>
      <c r="D36" s="426"/>
      <c r="E36" s="419" t="s">
        <v>403</v>
      </c>
      <c r="F36" s="420"/>
      <c r="G36" s="64" t="s">
        <v>417</v>
      </c>
      <c r="H36" s="419" t="s">
        <v>418</v>
      </c>
      <c r="I36" s="420"/>
      <c r="K36" s="57" t="s">
        <v>430</v>
      </c>
      <c r="L36" s="57" t="s">
        <v>113</v>
      </c>
      <c r="S36" s="57">
        <v>0</v>
      </c>
    </row>
    <row r="37" spans="1:19" ht="11.85" customHeight="1" x14ac:dyDescent="0.2">
      <c r="A37" s="57" t="s">
        <v>430</v>
      </c>
      <c r="B37" s="424"/>
      <c r="C37" s="425"/>
      <c r="D37" s="426"/>
      <c r="E37" s="419" t="s">
        <v>404</v>
      </c>
      <c r="F37" s="420"/>
      <c r="G37" s="64" t="s">
        <v>413</v>
      </c>
      <c r="H37" s="419" t="s">
        <v>419</v>
      </c>
      <c r="I37" s="420"/>
      <c r="K37" s="57" t="s">
        <v>430</v>
      </c>
      <c r="L37" s="57" t="s">
        <v>113</v>
      </c>
      <c r="S37" s="57">
        <v>0</v>
      </c>
    </row>
    <row r="38" spans="1:19" ht="11.1" customHeight="1" x14ac:dyDescent="0.2">
      <c r="A38" s="57" t="s">
        <v>430</v>
      </c>
      <c r="B38" s="424"/>
      <c r="C38" s="425"/>
      <c r="D38" s="426"/>
      <c r="E38" s="419" t="s">
        <v>405</v>
      </c>
      <c r="F38" s="420"/>
      <c r="G38" s="64" t="s">
        <v>420</v>
      </c>
      <c r="H38" s="419" t="s">
        <v>421</v>
      </c>
      <c r="I38" s="420"/>
      <c r="K38" s="57" t="s">
        <v>430</v>
      </c>
      <c r="L38" s="57" t="s">
        <v>113</v>
      </c>
      <c r="S38" s="57">
        <v>0</v>
      </c>
    </row>
    <row r="39" spans="1:19" ht="11.85" customHeight="1" x14ac:dyDescent="0.2">
      <c r="A39" s="57" t="s">
        <v>430</v>
      </c>
      <c r="B39" s="424"/>
      <c r="C39" s="425"/>
      <c r="D39" s="426"/>
      <c r="E39" s="419" t="s">
        <v>406</v>
      </c>
      <c r="F39" s="420"/>
      <c r="G39" s="64" t="s">
        <v>422</v>
      </c>
      <c r="H39" s="419" t="s">
        <v>423</v>
      </c>
      <c r="I39" s="420"/>
      <c r="K39" s="57" t="s">
        <v>430</v>
      </c>
      <c r="L39" s="57" t="s">
        <v>113</v>
      </c>
      <c r="S39" s="65">
        <v>48.44</v>
      </c>
    </row>
    <row r="40" spans="1:19" ht="11.85" customHeight="1" x14ac:dyDescent="0.2">
      <c r="A40" s="57" t="s">
        <v>430</v>
      </c>
      <c r="B40" s="416"/>
      <c r="C40" s="417"/>
      <c r="D40" s="418"/>
      <c r="E40" s="419" t="s">
        <v>407</v>
      </c>
      <c r="F40" s="420"/>
      <c r="G40" s="64" t="s">
        <v>424</v>
      </c>
      <c r="H40" s="419" t="s">
        <v>425</v>
      </c>
      <c r="I40" s="420"/>
      <c r="K40" s="57" t="s">
        <v>430</v>
      </c>
      <c r="L40" s="57" t="s">
        <v>113</v>
      </c>
      <c r="S40" s="57">
        <v>0</v>
      </c>
    </row>
    <row r="41" spans="1:19" ht="11.85" customHeight="1" x14ac:dyDescent="0.2">
      <c r="A41" s="57" t="s">
        <v>430</v>
      </c>
      <c r="B41" s="413" t="s">
        <v>426</v>
      </c>
      <c r="C41" s="414"/>
      <c r="D41" s="415"/>
      <c r="E41" s="419" t="s">
        <v>408</v>
      </c>
      <c r="F41" s="420"/>
      <c r="G41" s="64" t="s">
        <v>420</v>
      </c>
      <c r="H41" s="419" t="s">
        <v>427</v>
      </c>
      <c r="I41" s="420"/>
      <c r="K41" s="57" t="s">
        <v>430</v>
      </c>
      <c r="L41" s="57" t="s">
        <v>113</v>
      </c>
      <c r="S41" s="57">
        <v>0</v>
      </c>
    </row>
    <row r="42" spans="1:19" ht="11.1" customHeight="1" x14ac:dyDescent="0.2">
      <c r="A42" s="57" t="s">
        <v>430</v>
      </c>
      <c r="B42" s="424"/>
      <c r="C42" s="425"/>
      <c r="D42" s="426"/>
      <c r="E42" s="419" t="s">
        <v>409</v>
      </c>
      <c r="F42" s="420"/>
      <c r="G42" s="64" t="s">
        <v>417</v>
      </c>
      <c r="H42" s="419" t="s">
        <v>428</v>
      </c>
      <c r="I42" s="420"/>
      <c r="K42" s="57" t="s">
        <v>430</v>
      </c>
      <c r="L42" s="57" t="s">
        <v>113</v>
      </c>
      <c r="S42" s="57">
        <v>0</v>
      </c>
    </row>
    <row r="43" spans="1:19" ht="11.85" customHeight="1" x14ac:dyDescent="0.2">
      <c r="A43" s="57" t="s">
        <v>430</v>
      </c>
      <c r="B43" s="416"/>
      <c r="C43" s="417"/>
      <c r="D43" s="418"/>
      <c r="E43" s="419" t="s">
        <v>410</v>
      </c>
      <c r="F43" s="420"/>
      <c r="G43" s="64" t="s">
        <v>417</v>
      </c>
      <c r="H43" s="419" t="s">
        <v>415</v>
      </c>
      <c r="I43" s="420"/>
      <c r="K43" s="57" t="s">
        <v>430</v>
      </c>
      <c r="L43" s="57" t="s">
        <v>113</v>
      </c>
      <c r="S43" s="57">
        <v>0</v>
      </c>
    </row>
    <row r="44" spans="1:19" ht="11.85" customHeight="1" x14ac:dyDescent="0.2">
      <c r="A44" s="57" t="s">
        <v>430</v>
      </c>
      <c r="B44" s="62"/>
      <c r="C44" s="411" t="s">
        <v>431</v>
      </c>
      <c r="D44" s="412"/>
      <c r="E44" s="412"/>
      <c r="F44" s="412"/>
      <c r="G44" s="412"/>
      <c r="H44" s="412"/>
      <c r="I44" s="411"/>
      <c r="K44" s="57" t="s">
        <v>430</v>
      </c>
      <c r="L44" s="57" t="s">
        <v>113</v>
      </c>
      <c r="S44" s="57">
        <v>0</v>
      </c>
    </row>
    <row r="45" spans="1:19" ht="11.85" customHeight="1" x14ac:dyDescent="0.2">
      <c r="A45" s="57" t="s">
        <v>431</v>
      </c>
      <c r="B45" s="413" t="s">
        <v>412</v>
      </c>
      <c r="C45" s="414"/>
      <c r="D45" s="415"/>
      <c r="E45" s="419" t="s">
        <v>400</v>
      </c>
      <c r="F45" s="420"/>
      <c r="G45" s="64" t="s">
        <v>413</v>
      </c>
      <c r="H45" s="419" t="s">
        <v>414</v>
      </c>
      <c r="I45" s="420"/>
      <c r="K45" s="57" t="s">
        <v>431</v>
      </c>
      <c r="L45" s="57" t="s">
        <v>115</v>
      </c>
      <c r="S45" s="57">
        <v>0</v>
      </c>
    </row>
    <row r="46" spans="1:19" ht="11.1" customHeight="1" x14ac:dyDescent="0.2">
      <c r="A46" s="57" t="s">
        <v>431</v>
      </c>
      <c r="B46" s="416"/>
      <c r="C46" s="417"/>
      <c r="D46" s="418"/>
      <c r="E46" s="419" t="s">
        <v>401</v>
      </c>
      <c r="F46" s="420"/>
      <c r="G46" s="64" t="s">
        <v>413</v>
      </c>
      <c r="H46" s="419" t="s">
        <v>415</v>
      </c>
      <c r="I46" s="420"/>
      <c r="K46" s="57" t="s">
        <v>431</v>
      </c>
      <c r="L46" s="57" t="s">
        <v>115</v>
      </c>
      <c r="S46" s="57">
        <v>0</v>
      </c>
    </row>
    <row r="47" spans="1:19" ht="11.85" customHeight="1" x14ac:dyDescent="0.2">
      <c r="A47" s="57" t="s">
        <v>431</v>
      </c>
      <c r="B47" s="413" t="s">
        <v>416</v>
      </c>
      <c r="C47" s="414"/>
      <c r="D47" s="415"/>
      <c r="E47" s="419" t="s">
        <v>402</v>
      </c>
      <c r="F47" s="420"/>
      <c r="G47" s="64" t="s">
        <v>417</v>
      </c>
      <c r="H47" s="419" t="s">
        <v>418</v>
      </c>
      <c r="I47" s="420"/>
      <c r="K47" s="57" t="s">
        <v>431</v>
      </c>
      <c r="L47" s="57" t="s">
        <v>115</v>
      </c>
      <c r="S47" s="57">
        <v>0</v>
      </c>
    </row>
    <row r="48" spans="1:19" ht="11.85" customHeight="1" x14ac:dyDescent="0.2">
      <c r="A48" s="57" t="s">
        <v>431</v>
      </c>
      <c r="B48" s="424"/>
      <c r="C48" s="425"/>
      <c r="D48" s="426"/>
      <c r="E48" s="419" t="s">
        <v>403</v>
      </c>
      <c r="F48" s="420"/>
      <c r="G48" s="64" t="s">
        <v>417</v>
      </c>
      <c r="H48" s="419" t="s">
        <v>418</v>
      </c>
      <c r="I48" s="420"/>
      <c r="K48" s="57" t="s">
        <v>431</v>
      </c>
      <c r="L48" s="57" t="s">
        <v>115</v>
      </c>
      <c r="S48" s="57">
        <v>0</v>
      </c>
    </row>
    <row r="49" spans="1:19" ht="11.85" customHeight="1" x14ac:dyDescent="0.2">
      <c r="A49" s="57" t="s">
        <v>431</v>
      </c>
      <c r="B49" s="424"/>
      <c r="C49" s="425"/>
      <c r="D49" s="426"/>
      <c r="E49" s="419" t="s">
        <v>404</v>
      </c>
      <c r="F49" s="420"/>
      <c r="G49" s="64" t="s">
        <v>413</v>
      </c>
      <c r="H49" s="419" t="s">
        <v>419</v>
      </c>
      <c r="I49" s="420"/>
      <c r="K49" s="57" t="s">
        <v>431</v>
      </c>
      <c r="L49" s="57" t="s">
        <v>115</v>
      </c>
      <c r="S49" s="57">
        <v>0</v>
      </c>
    </row>
    <row r="50" spans="1:19" ht="11.1" customHeight="1" x14ac:dyDescent="0.2">
      <c r="A50" s="57" t="s">
        <v>431</v>
      </c>
      <c r="B50" s="424"/>
      <c r="C50" s="425"/>
      <c r="D50" s="426"/>
      <c r="E50" s="419" t="s">
        <v>405</v>
      </c>
      <c r="F50" s="420"/>
      <c r="G50" s="64" t="s">
        <v>420</v>
      </c>
      <c r="H50" s="419" t="s">
        <v>421</v>
      </c>
      <c r="I50" s="420"/>
      <c r="K50" s="57" t="s">
        <v>431</v>
      </c>
      <c r="L50" s="57" t="s">
        <v>115</v>
      </c>
      <c r="S50" s="57">
        <v>0</v>
      </c>
    </row>
    <row r="51" spans="1:19" ht="11.85" customHeight="1" x14ac:dyDescent="0.2">
      <c r="A51" s="57" t="s">
        <v>431</v>
      </c>
      <c r="B51" s="424"/>
      <c r="C51" s="425"/>
      <c r="D51" s="426"/>
      <c r="E51" s="419" t="s">
        <v>406</v>
      </c>
      <c r="F51" s="420"/>
      <c r="G51" s="64" t="s">
        <v>422</v>
      </c>
      <c r="H51" s="419" t="s">
        <v>423</v>
      </c>
      <c r="I51" s="420"/>
      <c r="K51" s="57" t="s">
        <v>431</v>
      </c>
      <c r="L51" s="57" t="s">
        <v>115</v>
      </c>
      <c r="S51" s="65">
        <v>48.44</v>
      </c>
    </row>
    <row r="52" spans="1:19" ht="11.85" customHeight="1" x14ac:dyDescent="0.2">
      <c r="A52" s="57" t="s">
        <v>431</v>
      </c>
      <c r="B52" s="416"/>
      <c r="C52" s="417"/>
      <c r="D52" s="418"/>
      <c r="E52" s="419" t="s">
        <v>407</v>
      </c>
      <c r="F52" s="420"/>
      <c r="G52" s="64" t="s">
        <v>424</v>
      </c>
      <c r="H52" s="419" t="s">
        <v>425</v>
      </c>
      <c r="I52" s="420"/>
      <c r="K52" s="57" t="s">
        <v>431</v>
      </c>
      <c r="L52" s="57" t="s">
        <v>115</v>
      </c>
      <c r="S52" s="57">
        <v>0</v>
      </c>
    </row>
    <row r="53" spans="1:19" ht="11.85" customHeight="1" x14ac:dyDescent="0.2">
      <c r="A53" s="57" t="s">
        <v>431</v>
      </c>
      <c r="B53" s="413" t="s">
        <v>426</v>
      </c>
      <c r="C53" s="414"/>
      <c r="D53" s="415"/>
      <c r="E53" s="419" t="s">
        <v>408</v>
      </c>
      <c r="F53" s="420"/>
      <c r="G53" s="64" t="s">
        <v>420</v>
      </c>
      <c r="H53" s="419" t="s">
        <v>427</v>
      </c>
      <c r="I53" s="420"/>
      <c r="K53" s="57" t="s">
        <v>431</v>
      </c>
      <c r="L53" s="57" t="s">
        <v>115</v>
      </c>
      <c r="S53" s="57">
        <v>0</v>
      </c>
    </row>
    <row r="54" spans="1:19" ht="11.1" customHeight="1" x14ac:dyDescent="0.2">
      <c r="A54" s="57" t="s">
        <v>431</v>
      </c>
      <c r="B54" s="424"/>
      <c r="C54" s="425"/>
      <c r="D54" s="426"/>
      <c r="E54" s="419" t="s">
        <v>409</v>
      </c>
      <c r="F54" s="420"/>
      <c r="G54" s="64" t="s">
        <v>417</v>
      </c>
      <c r="H54" s="419" t="s">
        <v>428</v>
      </c>
      <c r="I54" s="420"/>
      <c r="K54" s="57" t="s">
        <v>431</v>
      </c>
      <c r="L54" s="57" t="s">
        <v>115</v>
      </c>
      <c r="S54" s="57">
        <v>0</v>
      </c>
    </row>
    <row r="55" spans="1:19" ht="11.85" customHeight="1" x14ac:dyDescent="0.2">
      <c r="A55" s="57" t="s">
        <v>431</v>
      </c>
      <c r="B55" s="416"/>
      <c r="C55" s="417"/>
      <c r="D55" s="418"/>
      <c r="E55" s="419" t="s">
        <v>410</v>
      </c>
      <c r="F55" s="420"/>
      <c r="G55" s="64" t="s">
        <v>417</v>
      </c>
      <c r="H55" s="419" t="s">
        <v>415</v>
      </c>
      <c r="I55" s="420"/>
      <c r="K55" s="57" t="s">
        <v>431</v>
      </c>
      <c r="L55" s="57" t="s">
        <v>115</v>
      </c>
      <c r="S55" s="57">
        <v>0</v>
      </c>
    </row>
    <row r="56" spans="1:19" ht="11.85" customHeight="1" x14ac:dyDescent="0.2">
      <c r="A56" s="57" t="s">
        <v>431</v>
      </c>
      <c r="B56" s="62"/>
      <c r="C56" s="411" t="s">
        <v>432</v>
      </c>
      <c r="D56" s="412"/>
      <c r="E56" s="412"/>
      <c r="F56" s="412"/>
      <c r="G56" s="412"/>
      <c r="H56" s="412"/>
      <c r="I56" s="411"/>
      <c r="K56" s="57" t="s">
        <v>431</v>
      </c>
      <c r="L56" s="57" t="s">
        <v>115</v>
      </c>
      <c r="S56" s="57">
        <v>0</v>
      </c>
    </row>
    <row r="57" spans="1:19" ht="11.85" customHeight="1" x14ac:dyDescent="0.2">
      <c r="A57" s="57" t="s">
        <v>432</v>
      </c>
      <c r="B57" s="413" t="s">
        <v>412</v>
      </c>
      <c r="C57" s="414"/>
      <c r="D57" s="415"/>
      <c r="E57" s="419" t="s">
        <v>400</v>
      </c>
      <c r="F57" s="420"/>
      <c r="G57" s="64" t="s">
        <v>413</v>
      </c>
      <c r="H57" s="419" t="s">
        <v>414</v>
      </c>
      <c r="I57" s="420"/>
      <c r="K57" s="57" t="s">
        <v>432</v>
      </c>
      <c r="L57" s="57" t="s">
        <v>116</v>
      </c>
      <c r="S57" s="57">
        <v>0</v>
      </c>
    </row>
    <row r="58" spans="1:19" ht="11.1" customHeight="1" x14ac:dyDescent="0.2">
      <c r="A58" s="57" t="s">
        <v>432</v>
      </c>
      <c r="B58" s="416"/>
      <c r="C58" s="417"/>
      <c r="D58" s="418"/>
      <c r="E58" s="419" t="s">
        <v>401</v>
      </c>
      <c r="F58" s="420"/>
      <c r="G58" s="64" t="s">
        <v>413</v>
      </c>
      <c r="H58" s="419" t="s">
        <v>415</v>
      </c>
      <c r="I58" s="420"/>
      <c r="K58" s="57" t="s">
        <v>432</v>
      </c>
      <c r="L58" s="57" t="s">
        <v>116</v>
      </c>
      <c r="S58" s="57">
        <v>0</v>
      </c>
    </row>
    <row r="59" spans="1:19" ht="11.85" customHeight="1" x14ac:dyDescent="0.2">
      <c r="A59" s="57" t="s">
        <v>432</v>
      </c>
      <c r="B59" s="413" t="s">
        <v>416</v>
      </c>
      <c r="C59" s="414"/>
      <c r="D59" s="415"/>
      <c r="E59" s="419" t="s">
        <v>402</v>
      </c>
      <c r="F59" s="420"/>
      <c r="G59" s="64" t="s">
        <v>417</v>
      </c>
      <c r="H59" s="419" t="s">
        <v>418</v>
      </c>
      <c r="I59" s="420"/>
      <c r="K59" s="57" t="s">
        <v>432</v>
      </c>
      <c r="L59" s="57" t="s">
        <v>116</v>
      </c>
      <c r="S59" s="57">
        <v>0</v>
      </c>
    </row>
    <row r="60" spans="1:19" ht="11.85" customHeight="1" x14ac:dyDescent="0.2">
      <c r="A60" s="57" t="s">
        <v>432</v>
      </c>
      <c r="B60" s="424"/>
      <c r="C60" s="425"/>
      <c r="D60" s="426"/>
      <c r="E60" s="419" t="s">
        <v>403</v>
      </c>
      <c r="F60" s="420"/>
      <c r="G60" s="64" t="s">
        <v>417</v>
      </c>
      <c r="H60" s="419" t="s">
        <v>418</v>
      </c>
      <c r="I60" s="420"/>
      <c r="K60" s="57" t="s">
        <v>432</v>
      </c>
      <c r="L60" s="57" t="s">
        <v>116</v>
      </c>
      <c r="S60" s="57">
        <v>0</v>
      </c>
    </row>
    <row r="61" spans="1:19" ht="11.85" customHeight="1" x14ac:dyDescent="0.2">
      <c r="A61" s="57" t="s">
        <v>432</v>
      </c>
      <c r="B61" s="424"/>
      <c r="C61" s="425"/>
      <c r="D61" s="426"/>
      <c r="E61" s="419" t="s">
        <v>404</v>
      </c>
      <c r="F61" s="420"/>
      <c r="G61" s="64" t="s">
        <v>413</v>
      </c>
      <c r="H61" s="419" t="s">
        <v>419</v>
      </c>
      <c r="I61" s="420"/>
      <c r="K61" s="57" t="s">
        <v>432</v>
      </c>
      <c r="L61" s="57" t="s">
        <v>116</v>
      </c>
      <c r="S61" s="57">
        <v>0</v>
      </c>
    </row>
    <row r="62" spans="1:19" ht="11.1" customHeight="1" x14ac:dyDescent="0.2">
      <c r="A62" s="57" t="s">
        <v>432</v>
      </c>
      <c r="B62" s="424"/>
      <c r="C62" s="425"/>
      <c r="D62" s="426"/>
      <c r="E62" s="419" t="s">
        <v>405</v>
      </c>
      <c r="F62" s="420"/>
      <c r="G62" s="64" t="s">
        <v>420</v>
      </c>
      <c r="H62" s="419" t="s">
        <v>421</v>
      </c>
      <c r="I62" s="420"/>
      <c r="K62" s="57" t="s">
        <v>432</v>
      </c>
      <c r="L62" s="57" t="s">
        <v>116</v>
      </c>
      <c r="S62" s="57">
        <v>0</v>
      </c>
    </row>
    <row r="63" spans="1:19" ht="11.85" customHeight="1" x14ac:dyDescent="0.2">
      <c r="A63" s="57" t="s">
        <v>432</v>
      </c>
      <c r="B63" s="424"/>
      <c r="C63" s="425"/>
      <c r="D63" s="426"/>
      <c r="E63" s="419" t="s">
        <v>406</v>
      </c>
      <c r="F63" s="420"/>
      <c r="G63" s="64" t="s">
        <v>422</v>
      </c>
      <c r="H63" s="419" t="s">
        <v>423</v>
      </c>
      <c r="I63" s="420"/>
      <c r="K63" s="57" t="s">
        <v>432</v>
      </c>
      <c r="L63" s="57" t="s">
        <v>116</v>
      </c>
      <c r="S63" s="65">
        <v>48.44</v>
      </c>
    </row>
    <row r="64" spans="1:19" ht="11.85" customHeight="1" x14ac:dyDescent="0.2">
      <c r="A64" s="57" t="s">
        <v>432</v>
      </c>
      <c r="B64" s="416"/>
      <c r="C64" s="417"/>
      <c r="D64" s="418"/>
      <c r="E64" s="419" t="s">
        <v>407</v>
      </c>
      <c r="F64" s="420"/>
      <c r="G64" s="64" t="s">
        <v>424</v>
      </c>
      <c r="H64" s="419" t="s">
        <v>425</v>
      </c>
      <c r="I64" s="420"/>
      <c r="K64" s="57" t="s">
        <v>432</v>
      </c>
      <c r="L64" s="57" t="s">
        <v>116</v>
      </c>
      <c r="S64" s="57">
        <v>0</v>
      </c>
    </row>
    <row r="65" spans="1:19" ht="11.85" customHeight="1" x14ac:dyDescent="0.2">
      <c r="A65" s="57" t="s">
        <v>432</v>
      </c>
      <c r="B65" s="413" t="s">
        <v>426</v>
      </c>
      <c r="C65" s="414"/>
      <c r="D65" s="415"/>
      <c r="E65" s="419" t="s">
        <v>408</v>
      </c>
      <c r="F65" s="420"/>
      <c r="G65" s="64" t="s">
        <v>420</v>
      </c>
      <c r="H65" s="419" t="s">
        <v>427</v>
      </c>
      <c r="I65" s="420"/>
      <c r="K65" s="57" t="s">
        <v>432</v>
      </c>
      <c r="L65" s="57" t="s">
        <v>116</v>
      </c>
      <c r="S65" s="57">
        <v>0</v>
      </c>
    </row>
    <row r="66" spans="1:19" ht="11.1" customHeight="1" x14ac:dyDescent="0.2">
      <c r="A66" s="57" t="s">
        <v>432</v>
      </c>
      <c r="B66" s="424"/>
      <c r="C66" s="425"/>
      <c r="D66" s="426"/>
      <c r="E66" s="419" t="s">
        <v>409</v>
      </c>
      <c r="F66" s="420"/>
      <c r="G66" s="64" t="s">
        <v>417</v>
      </c>
      <c r="H66" s="419" t="s">
        <v>428</v>
      </c>
      <c r="I66" s="420"/>
      <c r="K66" s="57" t="s">
        <v>432</v>
      </c>
      <c r="L66" s="57" t="s">
        <v>116</v>
      </c>
      <c r="S66" s="57">
        <v>0</v>
      </c>
    </row>
    <row r="67" spans="1:19" ht="11.85" customHeight="1" x14ac:dyDescent="0.2">
      <c r="A67" s="57" t="s">
        <v>432</v>
      </c>
      <c r="B67" s="416"/>
      <c r="C67" s="417"/>
      <c r="D67" s="418"/>
      <c r="E67" s="419" t="s">
        <v>410</v>
      </c>
      <c r="F67" s="420"/>
      <c r="G67" s="64" t="s">
        <v>417</v>
      </c>
      <c r="H67" s="419" t="s">
        <v>415</v>
      </c>
      <c r="I67" s="420"/>
      <c r="K67" s="57" t="s">
        <v>432</v>
      </c>
      <c r="L67" s="57" t="s">
        <v>116</v>
      </c>
      <c r="S67" s="57">
        <v>0</v>
      </c>
    </row>
    <row r="68" spans="1:19" ht="11.85" customHeight="1" x14ac:dyDescent="0.2">
      <c r="A68" s="57" t="s">
        <v>432</v>
      </c>
      <c r="B68" s="62"/>
      <c r="C68" s="411" t="s">
        <v>433</v>
      </c>
      <c r="D68" s="412"/>
      <c r="E68" s="412"/>
      <c r="F68" s="412"/>
      <c r="G68" s="412"/>
      <c r="H68" s="412"/>
      <c r="I68" s="411"/>
      <c r="K68" s="57" t="s">
        <v>432</v>
      </c>
      <c r="L68" s="57" t="s">
        <v>116</v>
      </c>
      <c r="S68" s="57">
        <v>0</v>
      </c>
    </row>
    <row r="69" spans="1:19" ht="11.85" customHeight="1" x14ac:dyDescent="0.2">
      <c r="A69" s="57" t="s">
        <v>433</v>
      </c>
      <c r="B69" s="413" t="s">
        <v>412</v>
      </c>
      <c r="C69" s="427"/>
      <c r="D69" s="428"/>
      <c r="E69" s="419" t="s">
        <v>400</v>
      </c>
      <c r="F69" s="420"/>
      <c r="G69" s="64" t="s">
        <v>413</v>
      </c>
      <c r="H69" s="419" t="s">
        <v>414</v>
      </c>
      <c r="I69" s="420"/>
      <c r="K69" s="57" t="s">
        <v>433</v>
      </c>
      <c r="L69" s="57" t="s">
        <v>117</v>
      </c>
      <c r="S69" s="57">
        <v>0</v>
      </c>
    </row>
    <row r="70" spans="1:19" ht="11.85" customHeight="1" x14ac:dyDescent="0.2">
      <c r="A70" s="57" t="s">
        <v>433</v>
      </c>
      <c r="B70" s="429" t="s">
        <v>434</v>
      </c>
      <c r="C70" s="429"/>
      <c r="D70" s="429"/>
      <c r="E70" s="429"/>
      <c r="F70" s="429"/>
      <c r="G70" s="429"/>
      <c r="H70" s="429"/>
      <c r="I70" s="429"/>
      <c r="K70" s="57" t="s">
        <v>433</v>
      </c>
      <c r="L70" s="57" t="s">
        <v>117</v>
      </c>
      <c r="S70" s="57">
        <v>0</v>
      </c>
    </row>
    <row r="71" spans="1:19" ht="11.85" customHeight="1" x14ac:dyDescent="0.2">
      <c r="A71" s="57" t="s">
        <v>433</v>
      </c>
      <c r="B71" s="413" t="s">
        <v>412</v>
      </c>
      <c r="C71" s="427"/>
      <c r="D71" s="428"/>
      <c r="E71" s="419" t="s">
        <v>401</v>
      </c>
      <c r="F71" s="420"/>
      <c r="G71" s="64" t="s">
        <v>413</v>
      </c>
      <c r="H71" s="419" t="s">
        <v>415</v>
      </c>
      <c r="I71" s="420"/>
      <c r="K71" s="57" t="s">
        <v>433</v>
      </c>
      <c r="L71" s="57" t="s">
        <v>117</v>
      </c>
      <c r="S71" s="57">
        <v>0</v>
      </c>
    </row>
    <row r="72" spans="1:19" ht="11.85" customHeight="1" x14ac:dyDescent="0.2">
      <c r="A72" s="57" t="s">
        <v>433</v>
      </c>
      <c r="B72" s="413" t="s">
        <v>416</v>
      </c>
      <c r="C72" s="414"/>
      <c r="D72" s="415"/>
      <c r="E72" s="419" t="s">
        <v>402</v>
      </c>
      <c r="F72" s="420"/>
      <c r="G72" s="64" t="s">
        <v>417</v>
      </c>
      <c r="H72" s="419" t="s">
        <v>418</v>
      </c>
      <c r="I72" s="420"/>
      <c r="K72" s="57" t="s">
        <v>433</v>
      </c>
      <c r="L72" s="57" t="s">
        <v>117</v>
      </c>
      <c r="S72" s="57">
        <v>0</v>
      </c>
    </row>
    <row r="73" spans="1:19" ht="11.85" customHeight="1" x14ac:dyDescent="0.2">
      <c r="A73" s="57" t="s">
        <v>433</v>
      </c>
      <c r="B73" s="424"/>
      <c r="C73" s="425"/>
      <c r="D73" s="426"/>
      <c r="E73" s="419" t="s">
        <v>403</v>
      </c>
      <c r="F73" s="420"/>
      <c r="G73" s="64" t="s">
        <v>417</v>
      </c>
      <c r="H73" s="419" t="s">
        <v>418</v>
      </c>
      <c r="I73" s="420"/>
      <c r="K73" s="57" t="s">
        <v>433</v>
      </c>
      <c r="L73" s="57" t="s">
        <v>117</v>
      </c>
      <c r="S73" s="57">
        <v>0</v>
      </c>
    </row>
    <row r="74" spans="1:19" ht="11.1" customHeight="1" x14ac:dyDescent="0.2">
      <c r="A74" s="57" t="s">
        <v>433</v>
      </c>
      <c r="B74" s="424"/>
      <c r="C74" s="425"/>
      <c r="D74" s="426"/>
      <c r="E74" s="419" t="s">
        <v>404</v>
      </c>
      <c r="F74" s="420"/>
      <c r="G74" s="64" t="s">
        <v>413</v>
      </c>
      <c r="H74" s="419" t="s">
        <v>419</v>
      </c>
      <c r="I74" s="420"/>
      <c r="K74" s="57" t="s">
        <v>433</v>
      </c>
      <c r="L74" s="57" t="s">
        <v>117</v>
      </c>
      <c r="S74" s="57">
        <v>0</v>
      </c>
    </row>
    <row r="75" spans="1:19" ht="11.85" customHeight="1" x14ac:dyDescent="0.2">
      <c r="A75" s="57" t="s">
        <v>433</v>
      </c>
      <c r="B75" s="424"/>
      <c r="C75" s="425"/>
      <c r="D75" s="426"/>
      <c r="E75" s="419" t="s">
        <v>405</v>
      </c>
      <c r="F75" s="420"/>
      <c r="G75" s="64" t="s">
        <v>420</v>
      </c>
      <c r="H75" s="419" t="s">
        <v>421</v>
      </c>
      <c r="I75" s="420"/>
      <c r="K75" s="57" t="s">
        <v>433</v>
      </c>
      <c r="L75" s="57" t="s">
        <v>117</v>
      </c>
      <c r="S75" s="57">
        <v>0</v>
      </c>
    </row>
    <row r="76" spans="1:19" ht="11.85" customHeight="1" x14ac:dyDescent="0.2">
      <c r="A76" s="57" t="s">
        <v>433</v>
      </c>
      <c r="B76" s="424"/>
      <c r="C76" s="425"/>
      <c r="D76" s="426"/>
      <c r="E76" s="419" t="s">
        <v>406</v>
      </c>
      <c r="F76" s="420"/>
      <c r="G76" s="64" t="s">
        <v>422</v>
      </c>
      <c r="H76" s="419" t="s">
        <v>423</v>
      </c>
      <c r="I76" s="420"/>
      <c r="K76" s="57" t="s">
        <v>433</v>
      </c>
      <c r="L76" s="57" t="s">
        <v>117</v>
      </c>
      <c r="S76" s="65">
        <v>48.44</v>
      </c>
    </row>
    <row r="77" spans="1:19" ht="11.85" customHeight="1" x14ac:dyDescent="0.2">
      <c r="A77" s="57" t="s">
        <v>433</v>
      </c>
      <c r="B77" s="416"/>
      <c r="C77" s="417"/>
      <c r="D77" s="418"/>
      <c r="E77" s="419" t="s">
        <v>407</v>
      </c>
      <c r="F77" s="420"/>
      <c r="G77" s="64" t="s">
        <v>424</v>
      </c>
      <c r="H77" s="419" t="s">
        <v>425</v>
      </c>
      <c r="I77" s="420"/>
      <c r="K77" s="57" t="s">
        <v>433</v>
      </c>
      <c r="L77" s="57" t="s">
        <v>117</v>
      </c>
      <c r="S77" s="57">
        <v>0</v>
      </c>
    </row>
    <row r="78" spans="1:19" ht="11.1" customHeight="1" x14ac:dyDescent="0.2">
      <c r="A78" s="57" t="s">
        <v>433</v>
      </c>
      <c r="B78" s="413" t="s">
        <v>426</v>
      </c>
      <c r="C78" s="414"/>
      <c r="D78" s="415"/>
      <c r="E78" s="419" t="s">
        <v>408</v>
      </c>
      <c r="F78" s="420"/>
      <c r="G78" s="64" t="s">
        <v>420</v>
      </c>
      <c r="H78" s="419" t="s">
        <v>427</v>
      </c>
      <c r="I78" s="420"/>
      <c r="K78" s="57" t="s">
        <v>433</v>
      </c>
      <c r="L78" s="57" t="s">
        <v>117</v>
      </c>
      <c r="S78" s="57">
        <v>0</v>
      </c>
    </row>
    <row r="79" spans="1:19" ht="11.85" customHeight="1" x14ac:dyDescent="0.2">
      <c r="A79" s="57" t="s">
        <v>433</v>
      </c>
      <c r="B79" s="424"/>
      <c r="C79" s="425"/>
      <c r="D79" s="426"/>
      <c r="E79" s="419" t="s">
        <v>409</v>
      </c>
      <c r="F79" s="420"/>
      <c r="G79" s="64" t="s">
        <v>417</v>
      </c>
      <c r="H79" s="419" t="s">
        <v>428</v>
      </c>
      <c r="I79" s="420"/>
      <c r="K79" s="57" t="s">
        <v>433</v>
      </c>
      <c r="L79" s="57" t="s">
        <v>117</v>
      </c>
      <c r="S79" s="57">
        <v>0</v>
      </c>
    </row>
    <row r="80" spans="1:19" ht="11.85" customHeight="1" x14ac:dyDescent="0.2">
      <c r="A80" s="57" t="s">
        <v>433</v>
      </c>
      <c r="B80" s="416"/>
      <c r="C80" s="417"/>
      <c r="D80" s="418"/>
      <c r="E80" s="419" t="s">
        <v>410</v>
      </c>
      <c r="F80" s="420"/>
      <c r="G80" s="64" t="s">
        <v>417</v>
      </c>
      <c r="H80" s="419" t="s">
        <v>415</v>
      </c>
      <c r="I80" s="420"/>
      <c r="K80" s="57" t="s">
        <v>433</v>
      </c>
      <c r="L80" s="57" t="s">
        <v>117</v>
      </c>
      <c r="S80" s="57">
        <v>0</v>
      </c>
    </row>
    <row r="81" spans="1:19" ht="11.85" customHeight="1" x14ac:dyDescent="0.2">
      <c r="A81" s="57" t="s">
        <v>433</v>
      </c>
      <c r="B81" s="62"/>
      <c r="C81" s="411" t="s">
        <v>435</v>
      </c>
      <c r="D81" s="412"/>
      <c r="E81" s="412"/>
      <c r="F81" s="412"/>
      <c r="G81" s="412"/>
      <c r="H81" s="412"/>
      <c r="I81" s="411"/>
      <c r="K81" s="57" t="s">
        <v>433</v>
      </c>
      <c r="L81" s="57" t="s">
        <v>117</v>
      </c>
      <c r="S81" s="57">
        <v>0</v>
      </c>
    </row>
    <row r="82" spans="1:19" ht="11.1" customHeight="1" x14ac:dyDescent="0.2">
      <c r="A82" s="57" t="s">
        <v>435</v>
      </c>
      <c r="B82" s="413" t="s">
        <v>412</v>
      </c>
      <c r="C82" s="414"/>
      <c r="D82" s="415"/>
      <c r="E82" s="419" t="s">
        <v>400</v>
      </c>
      <c r="F82" s="420"/>
      <c r="G82" s="64" t="s">
        <v>413</v>
      </c>
      <c r="H82" s="419" t="s">
        <v>414</v>
      </c>
      <c r="I82" s="420"/>
      <c r="K82" s="57" t="s">
        <v>435</v>
      </c>
      <c r="L82" s="57" t="s">
        <v>118</v>
      </c>
      <c r="S82" s="57">
        <v>0</v>
      </c>
    </row>
    <row r="83" spans="1:19" ht="11.85" customHeight="1" x14ac:dyDescent="0.2">
      <c r="A83" s="57" t="s">
        <v>435</v>
      </c>
      <c r="B83" s="416"/>
      <c r="C83" s="417"/>
      <c r="D83" s="418"/>
      <c r="E83" s="419" t="s">
        <v>401</v>
      </c>
      <c r="F83" s="420"/>
      <c r="G83" s="64" t="s">
        <v>413</v>
      </c>
      <c r="H83" s="419" t="s">
        <v>415</v>
      </c>
      <c r="I83" s="420"/>
      <c r="K83" s="57" t="s">
        <v>435</v>
      </c>
      <c r="L83" s="57" t="s">
        <v>118</v>
      </c>
      <c r="S83" s="57">
        <v>0</v>
      </c>
    </row>
    <row r="84" spans="1:19" ht="11.85" customHeight="1" x14ac:dyDescent="0.2">
      <c r="A84" s="57" t="s">
        <v>435</v>
      </c>
      <c r="B84" s="413" t="s">
        <v>416</v>
      </c>
      <c r="C84" s="414"/>
      <c r="D84" s="415"/>
      <c r="E84" s="419" t="s">
        <v>402</v>
      </c>
      <c r="F84" s="420"/>
      <c r="G84" s="64" t="s">
        <v>417</v>
      </c>
      <c r="H84" s="419" t="s">
        <v>418</v>
      </c>
      <c r="I84" s="420"/>
      <c r="K84" s="57" t="s">
        <v>435</v>
      </c>
      <c r="L84" s="57" t="s">
        <v>118</v>
      </c>
      <c r="S84" s="57">
        <v>0</v>
      </c>
    </row>
    <row r="85" spans="1:19" ht="11.85" customHeight="1" x14ac:dyDescent="0.2">
      <c r="A85" s="57" t="s">
        <v>435</v>
      </c>
      <c r="B85" s="424"/>
      <c r="C85" s="425"/>
      <c r="D85" s="426"/>
      <c r="E85" s="419" t="s">
        <v>403</v>
      </c>
      <c r="F85" s="420"/>
      <c r="G85" s="64" t="s">
        <v>417</v>
      </c>
      <c r="H85" s="419" t="s">
        <v>418</v>
      </c>
      <c r="I85" s="420"/>
      <c r="K85" s="57" t="s">
        <v>435</v>
      </c>
      <c r="L85" s="57" t="s">
        <v>118</v>
      </c>
      <c r="S85" s="57">
        <v>0</v>
      </c>
    </row>
    <row r="86" spans="1:19" ht="11.1" customHeight="1" x14ac:dyDescent="0.2">
      <c r="A86" s="57" t="s">
        <v>435</v>
      </c>
      <c r="B86" s="424"/>
      <c r="C86" s="425"/>
      <c r="D86" s="426"/>
      <c r="E86" s="419" t="s">
        <v>404</v>
      </c>
      <c r="F86" s="420"/>
      <c r="G86" s="64" t="s">
        <v>413</v>
      </c>
      <c r="H86" s="419" t="s">
        <v>419</v>
      </c>
      <c r="I86" s="420"/>
      <c r="K86" s="57" t="s">
        <v>435</v>
      </c>
      <c r="L86" s="57" t="s">
        <v>118</v>
      </c>
      <c r="S86" s="57">
        <v>0</v>
      </c>
    </row>
    <row r="87" spans="1:19" ht="11.85" customHeight="1" x14ac:dyDescent="0.2">
      <c r="A87" s="57" t="s">
        <v>435</v>
      </c>
      <c r="B87" s="424"/>
      <c r="C87" s="425"/>
      <c r="D87" s="426"/>
      <c r="E87" s="419" t="s">
        <v>405</v>
      </c>
      <c r="F87" s="420"/>
      <c r="G87" s="64" t="s">
        <v>420</v>
      </c>
      <c r="H87" s="419" t="s">
        <v>421</v>
      </c>
      <c r="I87" s="420"/>
      <c r="K87" s="57" t="s">
        <v>435</v>
      </c>
      <c r="L87" s="57" t="s">
        <v>118</v>
      </c>
      <c r="S87" s="57">
        <v>0</v>
      </c>
    </row>
    <row r="88" spans="1:19" ht="11.85" customHeight="1" x14ac:dyDescent="0.2">
      <c r="A88" s="57" t="s">
        <v>435</v>
      </c>
      <c r="B88" s="424"/>
      <c r="C88" s="425"/>
      <c r="D88" s="426"/>
      <c r="E88" s="419" t="s">
        <v>406</v>
      </c>
      <c r="F88" s="420"/>
      <c r="G88" s="64" t="s">
        <v>422</v>
      </c>
      <c r="H88" s="419" t="s">
        <v>423</v>
      </c>
      <c r="I88" s="420"/>
      <c r="K88" s="57" t="s">
        <v>435</v>
      </c>
      <c r="L88" s="57" t="s">
        <v>118</v>
      </c>
      <c r="S88" s="65">
        <v>48.44</v>
      </c>
    </row>
    <row r="89" spans="1:19" ht="11.85" customHeight="1" x14ac:dyDescent="0.2">
      <c r="A89" s="57" t="s">
        <v>435</v>
      </c>
      <c r="B89" s="416"/>
      <c r="C89" s="417"/>
      <c r="D89" s="418"/>
      <c r="E89" s="419" t="s">
        <v>407</v>
      </c>
      <c r="F89" s="420"/>
      <c r="G89" s="64" t="s">
        <v>424</v>
      </c>
      <c r="H89" s="419" t="s">
        <v>425</v>
      </c>
      <c r="I89" s="420"/>
      <c r="K89" s="57" t="s">
        <v>435</v>
      </c>
      <c r="L89" s="57" t="s">
        <v>118</v>
      </c>
      <c r="S89" s="57">
        <v>0</v>
      </c>
    </row>
    <row r="90" spans="1:19" ht="11.1" customHeight="1" x14ac:dyDescent="0.2">
      <c r="A90" s="57" t="s">
        <v>435</v>
      </c>
      <c r="B90" s="413" t="s">
        <v>426</v>
      </c>
      <c r="C90" s="414"/>
      <c r="D90" s="415"/>
      <c r="E90" s="419" t="s">
        <v>408</v>
      </c>
      <c r="F90" s="420"/>
      <c r="G90" s="64" t="s">
        <v>420</v>
      </c>
      <c r="H90" s="419" t="s">
        <v>427</v>
      </c>
      <c r="I90" s="420"/>
      <c r="K90" s="57" t="s">
        <v>435</v>
      </c>
      <c r="L90" s="57" t="s">
        <v>118</v>
      </c>
      <c r="S90" s="57">
        <v>0</v>
      </c>
    </row>
    <row r="91" spans="1:19" ht="11.85" customHeight="1" x14ac:dyDescent="0.2">
      <c r="A91" s="57" t="s">
        <v>435</v>
      </c>
      <c r="B91" s="424"/>
      <c r="C91" s="425"/>
      <c r="D91" s="426"/>
      <c r="E91" s="419" t="s">
        <v>409</v>
      </c>
      <c r="F91" s="420"/>
      <c r="G91" s="64" t="s">
        <v>417</v>
      </c>
      <c r="H91" s="419" t="s">
        <v>428</v>
      </c>
      <c r="I91" s="420"/>
      <c r="K91" s="57" t="s">
        <v>435</v>
      </c>
      <c r="L91" s="57" t="s">
        <v>118</v>
      </c>
      <c r="S91" s="57">
        <v>0</v>
      </c>
    </row>
    <row r="92" spans="1:19" ht="11.85" customHeight="1" x14ac:dyDescent="0.2">
      <c r="A92" s="57" t="s">
        <v>435</v>
      </c>
      <c r="B92" s="416"/>
      <c r="C92" s="417"/>
      <c r="D92" s="418"/>
      <c r="E92" s="419" t="s">
        <v>410</v>
      </c>
      <c r="F92" s="420"/>
      <c r="G92" s="64" t="s">
        <v>417</v>
      </c>
      <c r="H92" s="419" t="s">
        <v>415</v>
      </c>
      <c r="I92" s="420"/>
      <c r="K92" s="57" t="s">
        <v>435</v>
      </c>
      <c r="L92" s="57" t="s">
        <v>118</v>
      </c>
      <c r="S92" s="57">
        <v>0</v>
      </c>
    </row>
    <row r="93" spans="1:19" ht="11.85" customHeight="1" x14ac:dyDescent="0.2">
      <c r="A93" s="57" t="s">
        <v>435</v>
      </c>
      <c r="B93" s="62"/>
      <c r="C93" s="411" t="s">
        <v>436</v>
      </c>
      <c r="D93" s="412"/>
      <c r="E93" s="412"/>
      <c r="F93" s="412"/>
      <c r="G93" s="412"/>
      <c r="H93" s="412"/>
      <c r="I93" s="411"/>
      <c r="K93" s="57" t="s">
        <v>435</v>
      </c>
      <c r="L93" s="57" t="s">
        <v>118</v>
      </c>
      <c r="S93" s="57">
        <v>0</v>
      </c>
    </row>
    <row r="94" spans="1:19" ht="11.1" customHeight="1" x14ac:dyDescent="0.2">
      <c r="A94" s="57" t="s">
        <v>436</v>
      </c>
      <c r="B94" s="413" t="s">
        <v>412</v>
      </c>
      <c r="C94" s="414"/>
      <c r="D94" s="415"/>
      <c r="E94" s="419" t="s">
        <v>400</v>
      </c>
      <c r="F94" s="420"/>
      <c r="G94" s="64" t="s">
        <v>413</v>
      </c>
      <c r="H94" s="419" t="s">
        <v>414</v>
      </c>
      <c r="I94" s="420"/>
      <c r="K94" s="57" t="s">
        <v>436</v>
      </c>
      <c r="L94" s="57" t="s">
        <v>119</v>
      </c>
      <c r="S94" s="57">
        <v>0</v>
      </c>
    </row>
    <row r="95" spans="1:19" ht="11.85" customHeight="1" x14ac:dyDescent="0.2">
      <c r="A95" s="57" t="s">
        <v>436</v>
      </c>
      <c r="B95" s="416"/>
      <c r="C95" s="417"/>
      <c r="D95" s="418"/>
      <c r="E95" s="419" t="s">
        <v>401</v>
      </c>
      <c r="F95" s="420"/>
      <c r="G95" s="64" t="s">
        <v>413</v>
      </c>
      <c r="H95" s="419" t="s">
        <v>415</v>
      </c>
      <c r="I95" s="420"/>
      <c r="K95" s="57" t="s">
        <v>436</v>
      </c>
      <c r="L95" s="57" t="s">
        <v>119</v>
      </c>
      <c r="S95" s="57">
        <v>0</v>
      </c>
    </row>
    <row r="96" spans="1:19" ht="11.85" customHeight="1" x14ac:dyDescent="0.2">
      <c r="A96" s="57" t="s">
        <v>436</v>
      </c>
      <c r="B96" s="413" t="s">
        <v>416</v>
      </c>
      <c r="C96" s="414"/>
      <c r="D96" s="415"/>
      <c r="E96" s="419" t="s">
        <v>402</v>
      </c>
      <c r="F96" s="420"/>
      <c r="G96" s="64" t="s">
        <v>417</v>
      </c>
      <c r="H96" s="419" t="s">
        <v>437</v>
      </c>
      <c r="I96" s="420"/>
      <c r="K96" s="57" t="s">
        <v>436</v>
      </c>
      <c r="L96" s="57" t="s">
        <v>119</v>
      </c>
      <c r="S96" s="57">
        <v>0</v>
      </c>
    </row>
    <row r="97" spans="1:19" ht="11.85" customHeight="1" x14ac:dyDescent="0.2">
      <c r="A97" s="57" t="s">
        <v>436</v>
      </c>
      <c r="B97" s="424"/>
      <c r="C97" s="425"/>
      <c r="D97" s="426"/>
      <c r="E97" s="419" t="s">
        <v>403</v>
      </c>
      <c r="F97" s="420"/>
      <c r="G97" s="64" t="s">
        <v>417</v>
      </c>
      <c r="H97" s="419" t="s">
        <v>437</v>
      </c>
      <c r="I97" s="420"/>
      <c r="K97" s="57" t="s">
        <v>436</v>
      </c>
      <c r="L97" s="57" t="s">
        <v>119</v>
      </c>
      <c r="S97" s="57">
        <v>0</v>
      </c>
    </row>
    <row r="98" spans="1:19" ht="11.1" customHeight="1" x14ac:dyDescent="0.2">
      <c r="A98" s="57" t="s">
        <v>436</v>
      </c>
      <c r="B98" s="424"/>
      <c r="C98" s="425"/>
      <c r="D98" s="426"/>
      <c r="E98" s="419" t="s">
        <v>404</v>
      </c>
      <c r="F98" s="420"/>
      <c r="G98" s="64" t="s">
        <v>413</v>
      </c>
      <c r="H98" s="419" t="s">
        <v>438</v>
      </c>
      <c r="I98" s="420"/>
      <c r="K98" s="57" t="s">
        <v>436</v>
      </c>
      <c r="L98" s="57" t="s">
        <v>119</v>
      </c>
      <c r="S98" s="57">
        <v>0</v>
      </c>
    </row>
    <row r="99" spans="1:19" ht="11.85" customHeight="1" x14ac:dyDescent="0.2">
      <c r="A99" s="57" t="s">
        <v>436</v>
      </c>
      <c r="B99" s="424"/>
      <c r="C99" s="425"/>
      <c r="D99" s="426"/>
      <c r="E99" s="419" t="s">
        <v>405</v>
      </c>
      <c r="F99" s="420"/>
      <c r="G99" s="64" t="s">
        <v>420</v>
      </c>
      <c r="H99" s="419" t="s">
        <v>439</v>
      </c>
      <c r="I99" s="420"/>
      <c r="K99" s="57" t="s">
        <v>436</v>
      </c>
      <c r="L99" s="57" t="s">
        <v>119</v>
      </c>
      <c r="S99" s="57">
        <v>0</v>
      </c>
    </row>
    <row r="100" spans="1:19" ht="11.85" customHeight="1" x14ac:dyDescent="0.2">
      <c r="A100" s="57" t="s">
        <v>436</v>
      </c>
      <c r="B100" s="424"/>
      <c r="C100" s="425"/>
      <c r="D100" s="426"/>
      <c r="E100" s="419" t="s">
        <v>440</v>
      </c>
      <c r="F100" s="420"/>
      <c r="G100" s="64" t="s">
        <v>441</v>
      </c>
      <c r="H100" s="419" t="s">
        <v>423</v>
      </c>
      <c r="I100" s="420"/>
      <c r="K100" s="57" t="s">
        <v>436</v>
      </c>
      <c r="L100" s="57" t="s">
        <v>119</v>
      </c>
      <c r="S100" s="65">
        <v>48.16</v>
      </c>
    </row>
    <row r="101" spans="1:19" ht="11.85" customHeight="1" x14ac:dyDescent="0.2">
      <c r="A101" s="57" t="s">
        <v>436</v>
      </c>
      <c r="B101" s="416"/>
      <c r="C101" s="417"/>
      <c r="D101" s="418"/>
      <c r="E101" s="419" t="s">
        <v>442</v>
      </c>
      <c r="F101" s="420"/>
      <c r="G101" s="64" t="s">
        <v>443</v>
      </c>
      <c r="H101" s="419" t="s">
        <v>425</v>
      </c>
      <c r="I101" s="420"/>
      <c r="K101" s="57" t="s">
        <v>436</v>
      </c>
      <c r="L101" s="57" t="s">
        <v>119</v>
      </c>
      <c r="S101" s="57">
        <v>0</v>
      </c>
    </row>
    <row r="102" spans="1:19" ht="11.1" customHeight="1" x14ac:dyDescent="0.2">
      <c r="A102" s="57" t="s">
        <v>436</v>
      </c>
      <c r="B102" s="413" t="s">
        <v>426</v>
      </c>
      <c r="C102" s="414"/>
      <c r="D102" s="415"/>
      <c r="E102" s="419" t="s">
        <v>408</v>
      </c>
      <c r="F102" s="420"/>
      <c r="G102" s="64" t="s">
        <v>420</v>
      </c>
      <c r="H102" s="419" t="s">
        <v>427</v>
      </c>
      <c r="I102" s="420"/>
      <c r="K102" s="57" t="s">
        <v>436</v>
      </c>
      <c r="L102" s="57" t="s">
        <v>119</v>
      </c>
      <c r="S102" s="57">
        <v>0</v>
      </c>
    </row>
    <row r="103" spans="1:19" ht="11.85" customHeight="1" x14ac:dyDescent="0.2">
      <c r="A103" s="57" t="s">
        <v>436</v>
      </c>
      <c r="B103" s="424"/>
      <c r="C103" s="425"/>
      <c r="D103" s="426"/>
      <c r="E103" s="419" t="s">
        <v>409</v>
      </c>
      <c r="F103" s="420"/>
      <c r="G103" s="64" t="s">
        <v>417</v>
      </c>
      <c r="H103" s="419" t="s">
        <v>428</v>
      </c>
      <c r="I103" s="420"/>
      <c r="K103" s="57" t="s">
        <v>436</v>
      </c>
      <c r="L103" s="57" t="s">
        <v>119</v>
      </c>
      <c r="S103" s="57">
        <v>0</v>
      </c>
    </row>
    <row r="104" spans="1:19" ht="11.85" customHeight="1" x14ac:dyDescent="0.2">
      <c r="A104" s="57" t="s">
        <v>436</v>
      </c>
      <c r="B104" s="416"/>
      <c r="C104" s="417"/>
      <c r="D104" s="418"/>
      <c r="E104" s="419" t="s">
        <v>410</v>
      </c>
      <c r="F104" s="420"/>
      <c r="G104" s="64" t="s">
        <v>417</v>
      </c>
      <c r="H104" s="419" t="s">
        <v>415</v>
      </c>
      <c r="I104" s="420"/>
      <c r="K104" s="57" t="s">
        <v>436</v>
      </c>
      <c r="L104" s="57" t="s">
        <v>119</v>
      </c>
      <c r="S104" s="57">
        <v>0</v>
      </c>
    </row>
    <row r="105" spans="1:19" ht="11.85" customHeight="1" x14ac:dyDescent="0.2">
      <c r="A105" s="57" t="s">
        <v>436</v>
      </c>
      <c r="B105" s="62"/>
      <c r="C105" s="411" t="s">
        <v>444</v>
      </c>
      <c r="D105" s="412"/>
      <c r="E105" s="412"/>
      <c r="F105" s="412"/>
      <c r="G105" s="412"/>
      <c r="H105" s="412"/>
      <c r="I105" s="411"/>
      <c r="K105" s="57" t="s">
        <v>436</v>
      </c>
      <c r="L105" s="57" t="s">
        <v>119</v>
      </c>
      <c r="S105" s="57">
        <v>0</v>
      </c>
    </row>
    <row r="106" spans="1:19" ht="11.1" customHeight="1" x14ac:dyDescent="0.2">
      <c r="A106" s="57" t="s">
        <v>444</v>
      </c>
      <c r="B106" s="413" t="s">
        <v>416</v>
      </c>
      <c r="C106" s="414"/>
      <c r="D106" s="415"/>
      <c r="E106" s="419" t="s">
        <v>402</v>
      </c>
      <c r="F106" s="420"/>
      <c r="G106" s="64" t="s">
        <v>417</v>
      </c>
      <c r="H106" s="419" t="s">
        <v>418</v>
      </c>
      <c r="I106" s="420"/>
      <c r="K106" s="57" t="s">
        <v>444</v>
      </c>
      <c r="L106" s="57" t="s">
        <v>120</v>
      </c>
      <c r="S106" s="57">
        <v>0</v>
      </c>
    </row>
    <row r="107" spans="1:19" ht="11.85" customHeight="1" x14ac:dyDescent="0.2">
      <c r="A107" s="57" t="s">
        <v>444</v>
      </c>
      <c r="B107" s="424"/>
      <c r="C107" s="425"/>
      <c r="D107" s="426"/>
      <c r="E107" s="419" t="s">
        <v>403</v>
      </c>
      <c r="F107" s="420"/>
      <c r="G107" s="64" t="s">
        <v>417</v>
      </c>
      <c r="H107" s="419" t="s">
        <v>418</v>
      </c>
      <c r="I107" s="420"/>
      <c r="K107" s="57" t="s">
        <v>444</v>
      </c>
      <c r="L107" s="57" t="s">
        <v>120</v>
      </c>
      <c r="S107" s="57">
        <v>0</v>
      </c>
    </row>
    <row r="108" spans="1:19" ht="11.85" customHeight="1" x14ac:dyDescent="0.2">
      <c r="A108" s="57" t="s">
        <v>444</v>
      </c>
      <c r="B108" s="424"/>
      <c r="C108" s="425"/>
      <c r="D108" s="426"/>
      <c r="E108" s="419" t="s">
        <v>404</v>
      </c>
      <c r="F108" s="420"/>
      <c r="G108" s="64" t="s">
        <v>413</v>
      </c>
      <c r="H108" s="419" t="s">
        <v>419</v>
      </c>
      <c r="I108" s="420"/>
      <c r="K108" s="57" t="s">
        <v>444</v>
      </c>
      <c r="L108" s="57" t="s">
        <v>120</v>
      </c>
      <c r="S108" s="57">
        <v>0</v>
      </c>
    </row>
    <row r="109" spans="1:19" ht="11.85" customHeight="1" x14ac:dyDescent="0.2">
      <c r="A109" s="57" t="s">
        <v>444</v>
      </c>
      <c r="B109" s="424"/>
      <c r="C109" s="425"/>
      <c r="D109" s="426"/>
      <c r="E109" s="419" t="s">
        <v>405</v>
      </c>
      <c r="F109" s="420"/>
      <c r="G109" s="64" t="s">
        <v>420</v>
      </c>
      <c r="H109" s="419" t="s">
        <v>421</v>
      </c>
      <c r="I109" s="420"/>
      <c r="K109" s="57" t="s">
        <v>444</v>
      </c>
      <c r="L109" s="57" t="s">
        <v>120</v>
      </c>
      <c r="S109" s="57">
        <v>0</v>
      </c>
    </row>
    <row r="110" spans="1:19" ht="11.1" customHeight="1" x14ac:dyDescent="0.2">
      <c r="A110" s="57" t="s">
        <v>444</v>
      </c>
      <c r="B110" s="424"/>
      <c r="C110" s="425"/>
      <c r="D110" s="426"/>
      <c r="E110" s="419" t="s">
        <v>406</v>
      </c>
      <c r="F110" s="420"/>
      <c r="G110" s="64" t="s">
        <v>422</v>
      </c>
      <c r="H110" s="419" t="s">
        <v>423</v>
      </c>
      <c r="I110" s="420"/>
      <c r="K110" s="57" t="s">
        <v>444</v>
      </c>
      <c r="L110" s="57" t="s">
        <v>120</v>
      </c>
      <c r="S110" s="65">
        <v>48.44</v>
      </c>
    </row>
    <row r="111" spans="1:19" ht="11.85" customHeight="1" x14ac:dyDescent="0.2">
      <c r="A111" s="57" t="s">
        <v>444</v>
      </c>
      <c r="B111" s="416"/>
      <c r="C111" s="417"/>
      <c r="D111" s="418"/>
      <c r="E111" s="419" t="s">
        <v>407</v>
      </c>
      <c r="F111" s="420"/>
      <c r="G111" s="64" t="s">
        <v>424</v>
      </c>
      <c r="H111" s="419" t="s">
        <v>425</v>
      </c>
      <c r="I111" s="420"/>
      <c r="K111" s="57" t="s">
        <v>444</v>
      </c>
      <c r="L111" s="57" t="s">
        <v>120</v>
      </c>
      <c r="S111" s="57">
        <v>0</v>
      </c>
    </row>
    <row r="112" spans="1:19" ht="11.85" customHeight="1" x14ac:dyDescent="0.2">
      <c r="A112" s="57" t="s">
        <v>444</v>
      </c>
      <c r="B112" s="62"/>
      <c r="C112" s="411" t="s">
        <v>445</v>
      </c>
      <c r="D112" s="412"/>
      <c r="E112" s="412"/>
      <c r="F112" s="412"/>
      <c r="G112" s="412"/>
      <c r="H112" s="412"/>
      <c r="I112" s="411"/>
      <c r="K112" s="57" t="s">
        <v>444</v>
      </c>
      <c r="L112" s="57" t="s">
        <v>120</v>
      </c>
      <c r="S112" s="57">
        <v>0</v>
      </c>
    </row>
    <row r="113" spans="1:19" ht="11.85" customHeight="1" x14ac:dyDescent="0.2">
      <c r="A113" s="57" t="s">
        <v>445</v>
      </c>
      <c r="B113" s="413" t="s">
        <v>416</v>
      </c>
      <c r="C113" s="414"/>
      <c r="D113" s="415"/>
      <c r="E113" s="419" t="s">
        <v>402</v>
      </c>
      <c r="F113" s="420"/>
      <c r="G113" s="64" t="s">
        <v>417</v>
      </c>
      <c r="H113" s="419" t="s">
        <v>418</v>
      </c>
      <c r="I113" s="420"/>
      <c r="K113" s="57" t="s">
        <v>445</v>
      </c>
      <c r="L113" s="57" t="s">
        <v>121</v>
      </c>
      <c r="S113" s="57">
        <v>0</v>
      </c>
    </row>
    <row r="114" spans="1:19" ht="11.1" customHeight="1" x14ac:dyDescent="0.2">
      <c r="A114" s="57" t="s">
        <v>445</v>
      </c>
      <c r="B114" s="424"/>
      <c r="C114" s="425"/>
      <c r="D114" s="426"/>
      <c r="E114" s="419" t="s">
        <v>403</v>
      </c>
      <c r="F114" s="420"/>
      <c r="G114" s="64" t="s">
        <v>417</v>
      </c>
      <c r="H114" s="419" t="s">
        <v>418</v>
      </c>
      <c r="I114" s="420"/>
      <c r="K114" s="57" t="s">
        <v>445</v>
      </c>
      <c r="L114" s="57" t="s">
        <v>121</v>
      </c>
      <c r="S114" s="57">
        <v>0</v>
      </c>
    </row>
    <row r="115" spans="1:19" ht="11.85" customHeight="1" x14ac:dyDescent="0.2">
      <c r="A115" s="57" t="s">
        <v>445</v>
      </c>
      <c r="B115" s="424"/>
      <c r="C115" s="425"/>
      <c r="D115" s="426"/>
      <c r="E115" s="419" t="s">
        <v>404</v>
      </c>
      <c r="F115" s="420"/>
      <c r="G115" s="64" t="s">
        <v>413</v>
      </c>
      <c r="H115" s="419" t="s">
        <v>419</v>
      </c>
      <c r="I115" s="420"/>
      <c r="K115" s="57" t="s">
        <v>445</v>
      </c>
      <c r="L115" s="57" t="s">
        <v>121</v>
      </c>
      <c r="S115" s="57">
        <v>0</v>
      </c>
    </row>
    <row r="116" spans="1:19" ht="11.85" customHeight="1" x14ac:dyDescent="0.2">
      <c r="A116" s="57" t="s">
        <v>445</v>
      </c>
      <c r="B116" s="424"/>
      <c r="C116" s="425"/>
      <c r="D116" s="426"/>
      <c r="E116" s="419" t="s">
        <v>405</v>
      </c>
      <c r="F116" s="420"/>
      <c r="G116" s="64" t="s">
        <v>420</v>
      </c>
      <c r="H116" s="419" t="s">
        <v>421</v>
      </c>
      <c r="I116" s="420"/>
      <c r="K116" s="57" t="s">
        <v>445</v>
      </c>
      <c r="L116" s="57" t="s">
        <v>121</v>
      </c>
      <c r="S116" s="57">
        <v>0</v>
      </c>
    </row>
    <row r="117" spans="1:19" ht="11.85" customHeight="1" x14ac:dyDescent="0.2">
      <c r="A117" s="57" t="s">
        <v>445</v>
      </c>
      <c r="B117" s="424"/>
      <c r="C117" s="425"/>
      <c r="D117" s="426"/>
      <c r="E117" s="419" t="s">
        <v>406</v>
      </c>
      <c r="F117" s="420"/>
      <c r="G117" s="64" t="s">
        <v>422</v>
      </c>
      <c r="H117" s="419" t="s">
        <v>423</v>
      </c>
      <c r="I117" s="420"/>
      <c r="K117" s="57" t="s">
        <v>445</v>
      </c>
      <c r="L117" s="57" t="s">
        <v>121</v>
      </c>
      <c r="S117" s="65">
        <v>48.44</v>
      </c>
    </row>
    <row r="118" spans="1:19" ht="11.1" customHeight="1" x14ac:dyDescent="0.2">
      <c r="A118" s="57" t="s">
        <v>445</v>
      </c>
      <c r="B118" s="416"/>
      <c r="C118" s="417"/>
      <c r="D118" s="418"/>
      <c r="E118" s="419" t="s">
        <v>407</v>
      </c>
      <c r="F118" s="420"/>
      <c r="G118" s="64" t="s">
        <v>424</v>
      </c>
      <c r="H118" s="419" t="s">
        <v>425</v>
      </c>
      <c r="I118" s="420"/>
      <c r="K118" s="57" t="s">
        <v>445</v>
      </c>
      <c r="L118" s="57" t="s">
        <v>121</v>
      </c>
      <c r="S118" s="57">
        <v>0</v>
      </c>
    </row>
    <row r="119" spans="1:19" ht="11.85" customHeight="1" x14ac:dyDescent="0.2">
      <c r="A119" s="57" t="s">
        <v>445</v>
      </c>
      <c r="B119" s="62"/>
      <c r="C119" s="411" t="s">
        <v>446</v>
      </c>
      <c r="D119" s="412"/>
      <c r="E119" s="412"/>
      <c r="F119" s="412"/>
      <c r="G119" s="412"/>
      <c r="H119" s="412"/>
      <c r="I119" s="411"/>
      <c r="K119" s="57" t="s">
        <v>445</v>
      </c>
      <c r="L119" s="57" t="s">
        <v>121</v>
      </c>
      <c r="S119" s="57">
        <v>0</v>
      </c>
    </row>
    <row r="120" spans="1:19" ht="11.85" customHeight="1" x14ac:dyDescent="0.2">
      <c r="A120" s="57" t="s">
        <v>446</v>
      </c>
      <c r="B120" s="413" t="s">
        <v>412</v>
      </c>
      <c r="C120" s="414"/>
      <c r="D120" s="415"/>
      <c r="E120" s="419" t="s">
        <v>400</v>
      </c>
      <c r="F120" s="420"/>
      <c r="G120" s="64" t="s">
        <v>413</v>
      </c>
      <c r="H120" s="419" t="s">
        <v>414</v>
      </c>
      <c r="I120" s="420"/>
      <c r="K120" s="57" t="s">
        <v>446</v>
      </c>
      <c r="L120" s="57" t="s">
        <v>122</v>
      </c>
      <c r="S120" s="57">
        <v>0</v>
      </c>
    </row>
    <row r="121" spans="1:19" ht="11.85" customHeight="1" x14ac:dyDescent="0.2">
      <c r="A121" s="57" t="s">
        <v>446</v>
      </c>
      <c r="B121" s="416"/>
      <c r="C121" s="417"/>
      <c r="D121" s="418"/>
      <c r="E121" s="419" t="s">
        <v>401</v>
      </c>
      <c r="F121" s="420"/>
      <c r="G121" s="64" t="s">
        <v>413</v>
      </c>
      <c r="H121" s="419" t="s">
        <v>415</v>
      </c>
      <c r="I121" s="420"/>
      <c r="K121" s="57" t="s">
        <v>446</v>
      </c>
      <c r="L121" s="57" t="s">
        <v>122</v>
      </c>
      <c r="S121" s="57">
        <v>0</v>
      </c>
    </row>
    <row r="122" spans="1:19" ht="11.1" customHeight="1" x14ac:dyDescent="0.2">
      <c r="A122" s="57" t="s">
        <v>446</v>
      </c>
      <c r="B122" s="413" t="s">
        <v>416</v>
      </c>
      <c r="C122" s="414"/>
      <c r="D122" s="415"/>
      <c r="E122" s="419" t="s">
        <v>402</v>
      </c>
      <c r="F122" s="420"/>
      <c r="G122" s="64" t="s">
        <v>417</v>
      </c>
      <c r="H122" s="419" t="s">
        <v>418</v>
      </c>
      <c r="I122" s="420"/>
      <c r="K122" s="57" t="s">
        <v>446</v>
      </c>
      <c r="L122" s="57" t="s">
        <v>122</v>
      </c>
      <c r="S122" s="57">
        <v>0</v>
      </c>
    </row>
    <row r="123" spans="1:19" ht="11.85" customHeight="1" x14ac:dyDescent="0.2">
      <c r="A123" s="57" t="s">
        <v>446</v>
      </c>
      <c r="B123" s="424"/>
      <c r="C123" s="425"/>
      <c r="D123" s="426"/>
      <c r="E123" s="419" t="s">
        <v>403</v>
      </c>
      <c r="F123" s="420"/>
      <c r="G123" s="64" t="s">
        <v>417</v>
      </c>
      <c r="H123" s="419" t="s">
        <v>418</v>
      </c>
      <c r="I123" s="420"/>
      <c r="K123" s="57" t="s">
        <v>446</v>
      </c>
      <c r="L123" s="57" t="s">
        <v>122</v>
      </c>
      <c r="S123" s="57">
        <v>0</v>
      </c>
    </row>
    <row r="124" spans="1:19" ht="11.85" customHeight="1" x14ac:dyDescent="0.2">
      <c r="A124" s="57" t="s">
        <v>446</v>
      </c>
      <c r="B124" s="424"/>
      <c r="C124" s="425"/>
      <c r="D124" s="426"/>
      <c r="E124" s="419" t="s">
        <v>404</v>
      </c>
      <c r="F124" s="420"/>
      <c r="G124" s="64" t="s">
        <v>413</v>
      </c>
      <c r="H124" s="419" t="s">
        <v>419</v>
      </c>
      <c r="I124" s="420"/>
      <c r="K124" s="57" t="s">
        <v>446</v>
      </c>
      <c r="L124" s="57" t="s">
        <v>122</v>
      </c>
      <c r="S124" s="57">
        <v>0</v>
      </c>
    </row>
    <row r="125" spans="1:19" ht="11.85" customHeight="1" x14ac:dyDescent="0.2">
      <c r="A125" s="57" t="s">
        <v>446</v>
      </c>
      <c r="B125" s="424"/>
      <c r="C125" s="425"/>
      <c r="D125" s="426"/>
      <c r="E125" s="419" t="s">
        <v>405</v>
      </c>
      <c r="F125" s="420"/>
      <c r="G125" s="64" t="s">
        <v>420</v>
      </c>
      <c r="H125" s="419" t="s">
        <v>421</v>
      </c>
      <c r="I125" s="420"/>
      <c r="K125" s="57" t="s">
        <v>446</v>
      </c>
      <c r="L125" s="57" t="s">
        <v>122</v>
      </c>
      <c r="S125" s="57">
        <v>0</v>
      </c>
    </row>
    <row r="126" spans="1:19" ht="11.1" customHeight="1" x14ac:dyDescent="0.2">
      <c r="A126" s="57" t="s">
        <v>446</v>
      </c>
      <c r="B126" s="424"/>
      <c r="C126" s="425"/>
      <c r="D126" s="426"/>
      <c r="E126" s="419" t="s">
        <v>406</v>
      </c>
      <c r="F126" s="420"/>
      <c r="G126" s="64" t="s">
        <v>422</v>
      </c>
      <c r="H126" s="419" t="s">
        <v>423</v>
      </c>
      <c r="I126" s="420"/>
      <c r="K126" s="57" t="s">
        <v>446</v>
      </c>
      <c r="L126" s="57" t="s">
        <v>122</v>
      </c>
      <c r="S126" s="65">
        <v>48.44</v>
      </c>
    </row>
    <row r="127" spans="1:19" ht="11.85" customHeight="1" x14ac:dyDescent="0.2">
      <c r="A127" s="57" t="s">
        <v>446</v>
      </c>
      <c r="B127" s="416"/>
      <c r="C127" s="417"/>
      <c r="D127" s="418"/>
      <c r="E127" s="419" t="s">
        <v>407</v>
      </c>
      <c r="F127" s="420"/>
      <c r="G127" s="64" t="s">
        <v>424</v>
      </c>
      <c r="H127" s="419" t="s">
        <v>425</v>
      </c>
      <c r="I127" s="420"/>
      <c r="K127" s="57" t="s">
        <v>446</v>
      </c>
      <c r="L127" s="57" t="s">
        <v>122</v>
      </c>
      <c r="S127" s="57">
        <v>0</v>
      </c>
    </row>
    <row r="128" spans="1:19" ht="11.85" customHeight="1" x14ac:dyDescent="0.2">
      <c r="A128" s="57" t="s">
        <v>446</v>
      </c>
      <c r="B128" s="413" t="s">
        <v>426</v>
      </c>
      <c r="C128" s="414"/>
      <c r="D128" s="415"/>
      <c r="E128" s="419" t="s">
        <v>408</v>
      </c>
      <c r="F128" s="420"/>
      <c r="G128" s="64" t="s">
        <v>420</v>
      </c>
      <c r="H128" s="419" t="s">
        <v>427</v>
      </c>
      <c r="I128" s="420"/>
      <c r="K128" s="57" t="s">
        <v>446</v>
      </c>
      <c r="L128" s="57" t="s">
        <v>122</v>
      </c>
      <c r="S128" s="57">
        <v>0</v>
      </c>
    </row>
    <row r="129" spans="1:19" ht="11.85" customHeight="1" x14ac:dyDescent="0.2">
      <c r="A129" s="57" t="s">
        <v>446</v>
      </c>
      <c r="B129" s="424"/>
      <c r="C129" s="425"/>
      <c r="D129" s="426"/>
      <c r="E129" s="419" t="s">
        <v>409</v>
      </c>
      <c r="F129" s="420"/>
      <c r="G129" s="64" t="s">
        <v>417</v>
      </c>
      <c r="H129" s="419" t="s">
        <v>428</v>
      </c>
      <c r="I129" s="420"/>
      <c r="K129" s="57" t="s">
        <v>446</v>
      </c>
      <c r="L129" s="57" t="s">
        <v>122</v>
      </c>
      <c r="S129" s="57">
        <v>0</v>
      </c>
    </row>
    <row r="130" spans="1:19" ht="11.1" customHeight="1" x14ac:dyDescent="0.2">
      <c r="A130" s="57" t="s">
        <v>446</v>
      </c>
      <c r="B130" s="416"/>
      <c r="C130" s="417"/>
      <c r="D130" s="418"/>
      <c r="E130" s="419" t="s">
        <v>410</v>
      </c>
      <c r="F130" s="420"/>
      <c r="G130" s="64" t="s">
        <v>417</v>
      </c>
      <c r="H130" s="419" t="s">
        <v>415</v>
      </c>
      <c r="I130" s="420"/>
      <c r="K130" s="57" t="s">
        <v>446</v>
      </c>
      <c r="L130" s="57" t="s">
        <v>122</v>
      </c>
      <c r="S130" s="57">
        <v>0</v>
      </c>
    </row>
    <row r="131" spans="1:19" ht="11.85" customHeight="1" x14ac:dyDescent="0.2">
      <c r="A131" s="57" t="s">
        <v>446</v>
      </c>
      <c r="B131" s="62"/>
      <c r="C131" s="411" t="s">
        <v>447</v>
      </c>
      <c r="D131" s="412"/>
      <c r="E131" s="412"/>
      <c r="F131" s="412"/>
      <c r="G131" s="412"/>
      <c r="H131" s="412"/>
      <c r="I131" s="411"/>
      <c r="K131" s="57" t="s">
        <v>446</v>
      </c>
      <c r="L131" s="57" t="s">
        <v>122</v>
      </c>
      <c r="S131" s="57">
        <v>0</v>
      </c>
    </row>
    <row r="132" spans="1:19" ht="11.85" customHeight="1" x14ac:dyDescent="0.2">
      <c r="A132" s="57" t="s">
        <v>447</v>
      </c>
      <c r="B132" s="413" t="s">
        <v>412</v>
      </c>
      <c r="C132" s="414"/>
      <c r="D132" s="415"/>
      <c r="E132" s="419" t="s">
        <v>400</v>
      </c>
      <c r="F132" s="420"/>
      <c r="G132" s="64" t="s">
        <v>413</v>
      </c>
      <c r="H132" s="419" t="s">
        <v>414</v>
      </c>
      <c r="I132" s="420"/>
      <c r="K132" s="57" t="s">
        <v>447</v>
      </c>
      <c r="L132" s="57" t="s">
        <v>123</v>
      </c>
      <c r="S132" s="57">
        <v>0</v>
      </c>
    </row>
    <row r="133" spans="1:19" ht="11.85" customHeight="1" x14ac:dyDescent="0.2">
      <c r="A133" s="57" t="s">
        <v>447</v>
      </c>
      <c r="B133" s="416"/>
      <c r="C133" s="417"/>
      <c r="D133" s="418"/>
      <c r="E133" s="419" t="s">
        <v>401</v>
      </c>
      <c r="F133" s="420"/>
      <c r="G133" s="64" t="s">
        <v>413</v>
      </c>
      <c r="H133" s="419" t="s">
        <v>415</v>
      </c>
      <c r="I133" s="420"/>
      <c r="K133" s="57" t="s">
        <v>447</v>
      </c>
      <c r="L133" s="57" t="s">
        <v>123</v>
      </c>
      <c r="S133" s="57">
        <v>0</v>
      </c>
    </row>
    <row r="134" spans="1:19" ht="11.1" customHeight="1" x14ac:dyDescent="0.2">
      <c r="A134" s="57" t="s">
        <v>447</v>
      </c>
      <c r="B134" s="413" t="s">
        <v>416</v>
      </c>
      <c r="C134" s="414"/>
      <c r="D134" s="415"/>
      <c r="E134" s="419" t="s">
        <v>402</v>
      </c>
      <c r="F134" s="420"/>
      <c r="G134" s="64" t="s">
        <v>417</v>
      </c>
      <c r="H134" s="419" t="s">
        <v>418</v>
      </c>
      <c r="I134" s="420"/>
      <c r="K134" s="57" t="s">
        <v>447</v>
      </c>
      <c r="L134" s="57" t="s">
        <v>123</v>
      </c>
      <c r="S134" s="57">
        <v>0</v>
      </c>
    </row>
    <row r="135" spans="1:19" ht="11.85" customHeight="1" x14ac:dyDescent="0.2">
      <c r="A135" s="57" t="s">
        <v>447</v>
      </c>
      <c r="B135" s="424"/>
      <c r="C135" s="425"/>
      <c r="D135" s="426"/>
      <c r="E135" s="419" t="s">
        <v>403</v>
      </c>
      <c r="F135" s="420"/>
      <c r="G135" s="64" t="s">
        <v>417</v>
      </c>
      <c r="H135" s="419" t="s">
        <v>418</v>
      </c>
      <c r="I135" s="420"/>
      <c r="K135" s="57" t="s">
        <v>447</v>
      </c>
      <c r="L135" s="57" t="s">
        <v>123</v>
      </c>
      <c r="S135" s="57">
        <v>0</v>
      </c>
    </row>
    <row r="136" spans="1:19" ht="11.85" customHeight="1" x14ac:dyDescent="0.2">
      <c r="A136" s="57" t="s">
        <v>447</v>
      </c>
      <c r="B136" s="424"/>
      <c r="C136" s="425"/>
      <c r="D136" s="426"/>
      <c r="E136" s="419" t="s">
        <v>404</v>
      </c>
      <c r="F136" s="420"/>
      <c r="G136" s="64" t="s">
        <v>413</v>
      </c>
      <c r="H136" s="419" t="s">
        <v>419</v>
      </c>
      <c r="I136" s="420"/>
      <c r="K136" s="57" t="s">
        <v>447</v>
      </c>
      <c r="L136" s="57" t="s">
        <v>123</v>
      </c>
      <c r="S136" s="57">
        <v>0</v>
      </c>
    </row>
    <row r="137" spans="1:19" ht="11.85" customHeight="1" x14ac:dyDescent="0.2">
      <c r="A137" s="57" t="s">
        <v>447</v>
      </c>
      <c r="B137" s="416"/>
      <c r="C137" s="417"/>
      <c r="D137" s="418"/>
      <c r="E137" s="419" t="s">
        <v>405</v>
      </c>
      <c r="F137" s="420"/>
      <c r="G137" s="64" t="s">
        <v>420</v>
      </c>
      <c r="H137" s="419" t="s">
        <v>421</v>
      </c>
      <c r="I137" s="420"/>
      <c r="K137" s="57" t="s">
        <v>447</v>
      </c>
      <c r="L137" s="57" t="s">
        <v>123</v>
      </c>
      <c r="S137" s="57">
        <v>0</v>
      </c>
    </row>
    <row r="138" spans="1:19" ht="11.85" customHeight="1" x14ac:dyDescent="0.2">
      <c r="A138" s="57" t="s">
        <v>447</v>
      </c>
      <c r="B138" s="413" t="s">
        <v>416</v>
      </c>
      <c r="C138" s="414"/>
      <c r="D138" s="415"/>
      <c r="E138" s="419" t="s">
        <v>406</v>
      </c>
      <c r="F138" s="420"/>
      <c r="G138" s="64" t="s">
        <v>422</v>
      </c>
      <c r="H138" s="419" t="s">
        <v>423</v>
      </c>
      <c r="I138" s="420"/>
      <c r="K138" s="57" t="s">
        <v>447</v>
      </c>
      <c r="L138" s="57" t="s">
        <v>123</v>
      </c>
      <c r="S138" s="65">
        <v>48.44</v>
      </c>
    </row>
    <row r="139" spans="1:19" ht="11.85" customHeight="1" x14ac:dyDescent="0.2">
      <c r="A139" s="57" t="s">
        <v>447</v>
      </c>
      <c r="B139" s="416"/>
      <c r="C139" s="417"/>
      <c r="D139" s="418"/>
      <c r="E139" s="419" t="s">
        <v>407</v>
      </c>
      <c r="F139" s="420"/>
      <c r="G139" s="64" t="s">
        <v>424</v>
      </c>
      <c r="H139" s="419" t="s">
        <v>425</v>
      </c>
      <c r="I139" s="420"/>
      <c r="K139" s="57" t="s">
        <v>447</v>
      </c>
      <c r="L139" s="57" t="s">
        <v>123</v>
      </c>
      <c r="S139" s="57">
        <v>0</v>
      </c>
    </row>
    <row r="140" spans="1:19" ht="11.85" customHeight="1" x14ac:dyDescent="0.2">
      <c r="A140" s="57" t="s">
        <v>447</v>
      </c>
      <c r="B140" s="413" t="s">
        <v>426</v>
      </c>
      <c r="C140" s="414"/>
      <c r="D140" s="415"/>
      <c r="E140" s="419" t="s">
        <v>408</v>
      </c>
      <c r="F140" s="420"/>
      <c r="G140" s="64" t="s">
        <v>420</v>
      </c>
      <c r="H140" s="419" t="s">
        <v>427</v>
      </c>
      <c r="I140" s="420"/>
      <c r="K140" s="57" t="s">
        <v>447</v>
      </c>
      <c r="L140" s="57" t="s">
        <v>123</v>
      </c>
      <c r="S140" s="57">
        <v>0</v>
      </c>
    </row>
    <row r="141" spans="1:19" ht="11.1" customHeight="1" x14ac:dyDescent="0.2">
      <c r="A141" s="57" t="s">
        <v>447</v>
      </c>
      <c r="B141" s="424"/>
      <c r="C141" s="425"/>
      <c r="D141" s="426"/>
      <c r="E141" s="419" t="s">
        <v>409</v>
      </c>
      <c r="F141" s="420"/>
      <c r="G141" s="64" t="s">
        <v>417</v>
      </c>
      <c r="H141" s="419" t="s">
        <v>428</v>
      </c>
      <c r="I141" s="420"/>
      <c r="K141" s="57" t="s">
        <v>447</v>
      </c>
      <c r="L141" s="57" t="s">
        <v>123</v>
      </c>
      <c r="S141" s="57">
        <v>0</v>
      </c>
    </row>
    <row r="142" spans="1:19" ht="11.85" customHeight="1" x14ac:dyDescent="0.2">
      <c r="A142" s="57" t="s">
        <v>447</v>
      </c>
      <c r="B142" s="416"/>
      <c r="C142" s="417"/>
      <c r="D142" s="418"/>
      <c r="E142" s="419" t="s">
        <v>410</v>
      </c>
      <c r="F142" s="420"/>
      <c r="G142" s="64" t="s">
        <v>417</v>
      </c>
      <c r="H142" s="419" t="s">
        <v>415</v>
      </c>
      <c r="I142" s="420"/>
      <c r="K142" s="57" t="s">
        <v>447</v>
      </c>
      <c r="L142" s="57" t="s">
        <v>123</v>
      </c>
      <c r="S142" s="57">
        <v>0</v>
      </c>
    </row>
    <row r="143" spans="1:19" ht="11.85" customHeight="1" x14ac:dyDescent="0.2">
      <c r="A143" s="57" t="s">
        <v>447</v>
      </c>
      <c r="B143" s="62"/>
      <c r="C143" s="411" t="s">
        <v>448</v>
      </c>
      <c r="D143" s="412"/>
      <c r="E143" s="412"/>
      <c r="F143" s="412"/>
      <c r="G143" s="412"/>
      <c r="H143" s="412"/>
      <c r="I143" s="411"/>
      <c r="K143" s="57" t="s">
        <v>447</v>
      </c>
      <c r="L143" s="57" t="s">
        <v>123</v>
      </c>
      <c r="S143" s="57">
        <v>0</v>
      </c>
    </row>
    <row r="144" spans="1:19" ht="11.85" customHeight="1" x14ac:dyDescent="0.2">
      <c r="A144" s="57" t="s">
        <v>448</v>
      </c>
      <c r="B144" s="413" t="s">
        <v>412</v>
      </c>
      <c r="C144" s="414"/>
      <c r="D144" s="415"/>
      <c r="E144" s="419" t="s">
        <v>449</v>
      </c>
      <c r="F144" s="420"/>
      <c r="G144" s="64" t="s">
        <v>413</v>
      </c>
      <c r="H144" s="419" t="s">
        <v>414</v>
      </c>
      <c r="I144" s="420"/>
      <c r="K144" s="57" t="s">
        <v>448</v>
      </c>
      <c r="L144" s="57" t="s">
        <v>124</v>
      </c>
      <c r="S144" s="57">
        <v>0</v>
      </c>
    </row>
    <row r="145" spans="1:19" ht="11.1" customHeight="1" x14ac:dyDescent="0.2">
      <c r="A145" s="57" t="s">
        <v>448</v>
      </c>
      <c r="B145" s="424"/>
      <c r="C145" s="425"/>
      <c r="D145" s="426"/>
      <c r="E145" s="419" t="s">
        <v>400</v>
      </c>
      <c r="F145" s="420"/>
      <c r="G145" s="64" t="s">
        <v>413</v>
      </c>
      <c r="H145" s="419" t="s">
        <v>414</v>
      </c>
      <c r="I145" s="420"/>
      <c r="K145" s="57" t="s">
        <v>448</v>
      </c>
      <c r="L145" s="57" t="s">
        <v>124</v>
      </c>
      <c r="S145" s="57">
        <v>0</v>
      </c>
    </row>
    <row r="146" spans="1:19" ht="11.85" customHeight="1" x14ac:dyDescent="0.2">
      <c r="A146" s="57" t="s">
        <v>448</v>
      </c>
      <c r="B146" s="424"/>
      <c r="C146" s="425"/>
      <c r="D146" s="426"/>
      <c r="E146" s="419" t="s">
        <v>450</v>
      </c>
      <c r="F146" s="420"/>
      <c r="G146" s="64" t="s">
        <v>413</v>
      </c>
      <c r="H146" s="419" t="s">
        <v>415</v>
      </c>
      <c r="I146" s="420"/>
      <c r="K146" s="57" t="s">
        <v>448</v>
      </c>
      <c r="L146" s="57" t="s">
        <v>124</v>
      </c>
      <c r="S146" s="57">
        <v>0</v>
      </c>
    </row>
    <row r="147" spans="1:19" ht="11.85" customHeight="1" x14ac:dyDescent="0.2">
      <c r="A147" s="57" t="s">
        <v>448</v>
      </c>
      <c r="B147" s="416"/>
      <c r="C147" s="417"/>
      <c r="D147" s="418"/>
      <c r="E147" s="419" t="s">
        <v>401</v>
      </c>
      <c r="F147" s="420"/>
      <c r="G147" s="64" t="s">
        <v>413</v>
      </c>
      <c r="H147" s="419" t="s">
        <v>415</v>
      </c>
      <c r="I147" s="420"/>
      <c r="K147" s="57" t="s">
        <v>448</v>
      </c>
      <c r="L147" s="57" t="s">
        <v>124</v>
      </c>
      <c r="S147" s="57">
        <v>0</v>
      </c>
    </row>
    <row r="148" spans="1:19" ht="11.85" customHeight="1" x14ac:dyDescent="0.2">
      <c r="A148" s="57" t="s">
        <v>448</v>
      </c>
      <c r="B148" s="413" t="s">
        <v>416</v>
      </c>
      <c r="C148" s="414"/>
      <c r="D148" s="415"/>
      <c r="E148" s="419" t="s">
        <v>402</v>
      </c>
      <c r="F148" s="420"/>
      <c r="G148" s="64" t="s">
        <v>417</v>
      </c>
      <c r="H148" s="419" t="s">
        <v>418</v>
      </c>
      <c r="I148" s="420"/>
      <c r="K148" s="57" t="s">
        <v>448</v>
      </c>
      <c r="L148" s="57" t="s">
        <v>124</v>
      </c>
      <c r="S148" s="57">
        <v>0</v>
      </c>
    </row>
    <row r="149" spans="1:19" ht="11.1" customHeight="1" x14ac:dyDescent="0.2">
      <c r="A149" s="57" t="s">
        <v>448</v>
      </c>
      <c r="B149" s="424"/>
      <c r="C149" s="425"/>
      <c r="D149" s="426"/>
      <c r="E149" s="419" t="s">
        <v>403</v>
      </c>
      <c r="F149" s="420"/>
      <c r="G149" s="64" t="s">
        <v>417</v>
      </c>
      <c r="H149" s="419" t="s">
        <v>418</v>
      </c>
      <c r="I149" s="420"/>
      <c r="K149" s="57" t="s">
        <v>448</v>
      </c>
      <c r="L149" s="57" t="s">
        <v>124</v>
      </c>
      <c r="S149" s="57">
        <v>0</v>
      </c>
    </row>
    <row r="150" spans="1:19" ht="11.85" customHeight="1" x14ac:dyDescent="0.2">
      <c r="A150" s="57" t="s">
        <v>448</v>
      </c>
      <c r="B150" s="424"/>
      <c r="C150" s="425"/>
      <c r="D150" s="426"/>
      <c r="E150" s="419" t="s">
        <v>404</v>
      </c>
      <c r="F150" s="420"/>
      <c r="G150" s="64" t="s">
        <v>413</v>
      </c>
      <c r="H150" s="419" t="s">
        <v>419</v>
      </c>
      <c r="I150" s="420"/>
      <c r="K150" s="57" t="s">
        <v>448</v>
      </c>
      <c r="L150" s="57" t="s">
        <v>124</v>
      </c>
      <c r="S150" s="57">
        <v>0</v>
      </c>
    </row>
    <row r="151" spans="1:19" ht="11.85" customHeight="1" x14ac:dyDescent="0.2">
      <c r="A151" s="57" t="s">
        <v>448</v>
      </c>
      <c r="B151" s="424"/>
      <c r="C151" s="425"/>
      <c r="D151" s="426"/>
      <c r="E151" s="419" t="s">
        <v>405</v>
      </c>
      <c r="F151" s="420"/>
      <c r="G151" s="64" t="s">
        <v>420</v>
      </c>
      <c r="H151" s="419" t="s">
        <v>421</v>
      </c>
      <c r="I151" s="420"/>
      <c r="K151" s="57" t="s">
        <v>448</v>
      </c>
      <c r="L151" s="57" t="s">
        <v>124</v>
      </c>
      <c r="S151" s="57">
        <v>0</v>
      </c>
    </row>
    <row r="152" spans="1:19" ht="11.85" customHeight="1" x14ac:dyDescent="0.2">
      <c r="A152" s="57" t="s">
        <v>448</v>
      </c>
      <c r="B152" s="424"/>
      <c r="C152" s="425"/>
      <c r="D152" s="426"/>
      <c r="E152" s="419" t="s">
        <v>406</v>
      </c>
      <c r="F152" s="420"/>
      <c r="G152" s="64" t="s">
        <v>422</v>
      </c>
      <c r="H152" s="419" t="s">
        <v>423</v>
      </c>
      <c r="I152" s="420"/>
      <c r="K152" s="57" t="s">
        <v>448</v>
      </c>
      <c r="L152" s="57" t="s">
        <v>124</v>
      </c>
      <c r="S152" s="65">
        <v>48.44</v>
      </c>
    </row>
    <row r="153" spans="1:19" ht="11.1" customHeight="1" x14ac:dyDescent="0.2">
      <c r="A153" s="57" t="s">
        <v>448</v>
      </c>
      <c r="B153" s="416"/>
      <c r="C153" s="417"/>
      <c r="D153" s="418"/>
      <c r="E153" s="419" t="s">
        <v>407</v>
      </c>
      <c r="F153" s="420"/>
      <c r="G153" s="64" t="s">
        <v>424</v>
      </c>
      <c r="H153" s="419" t="s">
        <v>425</v>
      </c>
      <c r="I153" s="420"/>
      <c r="K153" s="57" t="s">
        <v>448</v>
      </c>
      <c r="L153" s="57" t="s">
        <v>124</v>
      </c>
      <c r="S153" s="57">
        <v>0</v>
      </c>
    </row>
    <row r="154" spans="1:19" ht="11.85" customHeight="1" x14ac:dyDescent="0.2">
      <c r="A154" s="57" t="s">
        <v>448</v>
      </c>
      <c r="B154" s="413" t="s">
        <v>426</v>
      </c>
      <c r="C154" s="414"/>
      <c r="D154" s="415"/>
      <c r="E154" s="419" t="s">
        <v>451</v>
      </c>
      <c r="F154" s="420"/>
      <c r="G154" s="64" t="s">
        <v>420</v>
      </c>
      <c r="H154" s="419" t="s">
        <v>427</v>
      </c>
      <c r="I154" s="420"/>
      <c r="K154" s="57" t="s">
        <v>448</v>
      </c>
      <c r="L154" s="57" t="s">
        <v>124</v>
      </c>
      <c r="S154" s="57">
        <v>0</v>
      </c>
    </row>
    <row r="155" spans="1:19" ht="11.85" customHeight="1" x14ac:dyDescent="0.2">
      <c r="A155" s="57" t="s">
        <v>448</v>
      </c>
      <c r="B155" s="424"/>
      <c r="C155" s="425"/>
      <c r="D155" s="426"/>
      <c r="E155" s="419" t="s">
        <v>408</v>
      </c>
      <c r="F155" s="420"/>
      <c r="G155" s="64" t="s">
        <v>420</v>
      </c>
      <c r="H155" s="419" t="s">
        <v>427</v>
      </c>
      <c r="I155" s="420"/>
      <c r="K155" s="57" t="s">
        <v>448</v>
      </c>
      <c r="L155" s="57" t="s">
        <v>124</v>
      </c>
      <c r="S155" s="57">
        <v>0</v>
      </c>
    </row>
    <row r="156" spans="1:19" ht="11.85" customHeight="1" x14ac:dyDescent="0.2">
      <c r="A156" s="57" t="s">
        <v>448</v>
      </c>
      <c r="B156" s="424"/>
      <c r="C156" s="425"/>
      <c r="D156" s="426"/>
      <c r="E156" s="419" t="s">
        <v>452</v>
      </c>
      <c r="F156" s="420"/>
      <c r="G156" s="64" t="s">
        <v>417</v>
      </c>
      <c r="H156" s="419" t="s">
        <v>428</v>
      </c>
      <c r="I156" s="420"/>
      <c r="K156" s="57" t="s">
        <v>448</v>
      </c>
      <c r="L156" s="57" t="s">
        <v>124</v>
      </c>
      <c r="S156" s="57">
        <v>0</v>
      </c>
    </row>
    <row r="157" spans="1:19" ht="11.1" customHeight="1" x14ac:dyDescent="0.2">
      <c r="A157" s="57" t="s">
        <v>448</v>
      </c>
      <c r="B157" s="424"/>
      <c r="C157" s="425"/>
      <c r="D157" s="426"/>
      <c r="E157" s="419" t="s">
        <v>409</v>
      </c>
      <c r="F157" s="420"/>
      <c r="G157" s="64" t="s">
        <v>417</v>
      </c>
      <c r="H157" s="419" t="s">
        <v>428</v>
      </c>
      <c r="I157" s="420"/>
      <c r="K157" s="57" t="s">
        <v>448</v>
      </c>
      <c r="L157" s="57" t="s">
        <v>124</v>
      </c>
      <c r="S157" s="57">
        <v>0</v>
      </c>
    </row>
    <row r="158" spans="1:19" ht="11.85" customHeight="1" x14ac:dyDescent="0.2">
      <c r="A158" s="57" t="s">
        <v>448</v>
      </c>
      <c r="B158" s="424"/>
      <c r="C158" s="425"/>
      <c r="D158" s="426"/>
      <c r="E158" s="419" t="s">
        <v>453</v>
      </c>
      <c r="F158" s="420"/>
      <c r="G158" s="64" t="s">
        <v>417</v>
      </c>
      <c r="H158" s="419" t="s">
        <v>415</v>
      </c>
      <c r="I158" s="420"/>
      <c r="K158" s="57" t="s">
        <v>448</v>
      </c>
      <c r="L158" s="57" t="s">
        <v>124</v>
      </c>
      <c r="S158" s="57">
        <v>0</v>
      </c>
    </row>
    <row r="159" spans="1:19" ht="11.85" customHeight="1" x14ac:dyDescent="0.2">
      <c r="A159" s="57" t="s">
        <v>448</v>
      </c>
      <c r="B159" s="416"/>
      <c r="C159" s="417"/>
      <c r="D159" s="418"/>
      <c r="E159" s="419" t="s">
        <v>410</v>
      </c>
      <c r="F159" s="420"/>
      <c r="G159" s="64" t="s">
        <v>417</v>
      </c>
      <c r="H159" s="419" t="s">
        <v>415</v>
      </c>
      <c r="I159" s="420"/>
      <c r="K159" s="57" t="s">
        <v>448</v>
      </c>
      <c r="L159" s="57" t="s">
        <v>124</v>
      </c>
      <c r="S159" s="57">
        <v>0</v>
      </c>
    </row>
    <row r="160" spans="1:19" ht="11.85" customHeight="1" x14ac:dyDescent="0.2">
      <c r="A160" s="57" t="s">
        <v>448</v>
      </c>
      <c r="B160" s="62"/>
      <c r="C160" s="411" t="s">
        <v>454</v>
      </c>
      <c r="D160" s="412"/>
      <c r="E160" s="412"/>
      <c r="F160" s="412"/>
      <c r="G160" s="412"/>
      <c r="H160" s="412"/>
      <c r="I160" s="411"/>
      <c r="K160" s="57" t="s">
        <v>448</v>
      </c>
      <c r="L160" s="57" t="s">
        <v>124</v>
      </c>
      <c r="S160" s="57">
        <v>0</v>
      </c>
    </row>
    <row r="161" spans="1:19" ht="11.1" customHeight="1" x14ac:dyDescent="0.2">
      <c r="A161" s="57" t="s">
        <v>454</v>
      </c>
      <c r="B161" s="413" t="s">
        <v>412</v>
      </c>
      <c r="C161" s="414"/>
      <c r="D161" s="415"/>
      <c r="E161" s="419" t="s">
        <v>400</v>
      </c>
      <c r="F161" s="420"/>
      <c r="G161" s="64" t="s">
        <v>413</v>
      </c>
      <c r="H161" s="419" t="s">
        <v>414</v>
      </c>
      <c r="I161" s="420"/>
      <c r="K161" s="57" t="s">
        <v>454</v>
      </c>
      <c r="L161" s="57" t="s">
        <v>125</v>
      </c>
      <c r="S161" s="57">
        <v>0</v>
      </c>
    </row>
    <row r="162" spans="1:19" ht="11.85" customHeight="1" x14ac:dyDescent="0.2">
      <c r="A162" s="57" t="s">
        <v>454</v>
      </c>
      <c r="B162" s="416"/>
      <c r="C162" s="417"/>
      <c r="D162" s="418"/>
      <c r="E162" s="419" t="s">
        <v>401</v>
      </c>
      <c r="F162" s="420"/>
      <c r="G162" s="64" t="s">
        <v>413</v>
      </c>
      <c r="H162" s="419" t="s">
        <v>415</v>
      </c>
      <c r="I162" s="420"/>
      <c r="K162" s="57" t="s">
        <v>454</v>
      </c>
      <c r="L162" s="57" t="s">
        <v>125</v>
      </c>
      <c r="S162" s="57">
        <v>0</v>
      </c>
    </row>
    <row r="163" spans="1:19" ht="11.85" customHeight="1" x14ac:dyDescent="0.2">
      <c r="A163" s="57" t="s">
        <v>454</v>
      </c>
      <c r="B163" s="413" t="s">
        <v>416</v>
      </c>
      <c r="C163" s="414"/>
      <c r="D163" s="415"/>
      <c r="E163" s="419" t="s">
        <v>402</v>
      </c>
      <c r="F163" s="420"/>
      <c r="G163" s="64" t="s">
        <v>417</v>
      </c>
      <c r="H163" s="419" t="s">
        <v>418</v>
      </c>
      <c r="I163" s="420"/>
      <c r="K163" s="57" t="s">
        <v>454</v>
      </c>
      <c r="L163" s="57" t="s">
        <v>125</v>
      </c>
      <c r="S163" s="57">
        <v>0</v>
      </c>
    </row>
    <row r="164" spans="1:19" ht="11.85" customHeight="1" x14ac:dyDescent="0.2">
      <c r="A164" s="57" t="s">
        <v>454</v>
      </c>
      <c r="B164" s="424"/>
      <c r="C164" s="425"/>
      <c r="D164" s="426"/>
      <c r="E164" s="419" t="s">
        <v>403</v>
      </c>
      <c r="F164" s="420"/>
      <c r="G164" s="64" t="s">
        <v>417</v>
      </c>
      <c r="H164" s="419" t="s">
        <v>418</v>
      </c>
      <c r="I164" s="420"/>
      <c r="K164" s="57" t="s">
        <v>454</v>
      </c>
      <c r="L164" s="57" t="s">
        <v>125</v>
      </c>
      <c r="S164" s="57">
        <v>0</v>
      </c>
    </row>
    <row r="165" spans="1:19" ht="11.1" customHeight="1" x14ac:dyDescent="0.2">
      <c r="A165" s="57" t="s">
        <v>454</v>
      </c>
      <c r="B165" s="424"/>
      <c r="C165" s="425"/>
      <c r="D165" s="426"/>
      <c r="E165" s="419" t="s">
        <v>404</v>
      </c>
      <c r="F165" s="420"/>
      <c r="G165" s="64" t="s">
        <v>413</v>
      </c>
      <c r="H165" s="419" t="s">
        <v>419</v>
      </c>
      <c r="I165" s="420"/>
      <c r="K165" s="57" t="s">
        <v>454</v>
      </c>
      <c r="L165" s="57" t="s">
        <v>125</v>
      </c>
      <c r="S165" s="57">
        <v>0</v>
      </c>
    </row>
    <row r="166" spans="1:19" ht="11.85" customHeight="1" x14ac:dyDescent="0.2">
      <c r="A166" s="57" t="s">
        <v>454</v>
      </c>
      <c r="B166" s="424"/>
      <c r="C166" s="425"/>
      <c r="D166" s="426"/>
      <c r="E166" s="419" t="s">
        <v>405</v>
      </c>
      <c r="F166" s="420"/>
      <c r="G166" s="64" t="s">
        <v>420</v>
      </c>
      <c r="H166" s="419" t="s">
        <v>421</v>
      </c>
      <c r="I166" s="420"/>
      <c r="K166" s="57" t="s">
        <v>454</v>
      </c>
      <c r="L166" s="57" t="s">
        <v>125</v>
      </c>
      <c r="S166" s="57">
        <v>0</v>
      </c>
    </row>
    <row r="167" spans="1:19" ht="11.85" customHeight="1" x14ac:dyDescent="0.2">
      <c r="A167" s="57" t="s">
        <v>454</v>
      </c>
      <c r="B167" s="424"/>
      <c r="C167" s="425"/>
      <c r="D167" s="426"/>
      <c r="E167" s="419" t="s">
        <v>406</v>
      </c>
      <c r="F167" s="420"/>
      <c r="G167" s="64" t="s">
        <v>422</v>
      </c>
      <c r="H167" s="419" t="s">
        <v>423</v>
      </c>
      <c r="I167" s="420"/>
      <c r="K167" s="57" t="s">
        <v>454</v>
      </c>
      <c r="L167" s="57" t="s">
        <v>125</v>
      </c>
      <c r="S167" s="65">
        <v>48.44</v>
      </c>
    </row>
    <row r="168" spans="1:19" ht="11.85" customHeight="1" x14ac:dyDescent="0.2">
      <c r="A168" s="57" t="s">
        <v>454</v>
      </c>
      <c r="B168" s="416"/>
      <c r="C168" s="417"/>
      <c r="D168" s="418"/>
      <c r="E168" s="419" t="s">
        <v>407</v>
      </c>
      <c r="F168" s="420"/>
      <c r="G168" s="64" t="s">
        <v>424</v>
      </c>
      <c r="H168" s="419" t="s">
        <v>425</v>
      </c>
      <c r="I168" s="420"/>
      <c r="K168" s="57" t="s">
        <v>454</v>
      </c>
      <c r="L168" s="57" t="s">
        <v>125</v>
      </c>
      <c r="S168" s="57">
        <v>0</v>
      </c>
    </row>
    <row r="169" spans="1:19" ht="11.1" customHeight="1" x14ac:dyDescent="0.2">
      <c r="A169" s="57" t="s">
        <v>454</v>
      </c>
      <c r="B169" s="413" t="s">
        <v>426</v>
      </c>
      <c r="C169" s="414"/>
      <c r="D169" s="415"/>
      <c r="E169" s="419" t="s">
        <v>408</v>
      </c>
      <c r="F169" s="420"/>
      <c r="G169" s="64" t="s">
        <v>420</v>
      </c>
      <c r="H169" s="419" t="s">
        <v>427</v>
      </c>
      <c r="I169" s="420"/>
      <c r="K169" s="57" t="s">
        <v>454</v>
      </c>
      <c r="L169" s="57" t="s">
        <v>125</v>
      </c>
      <c r="S169" s="57">
        <v>0</v>
      </c>
    </row>
    <row r="170" spans="1:19" ht="11.85" customHeight="1" x14ac:dyDescent="0.2">
      <c r="A170" s="57" t="s">
        <v>454</v>
      </c>
      <c r="B170" s="424"/>
      <c r="C170" s="425"/>
      <c r="D170" s="426"/>
      <c r="E170" s="419" t="s">
        <v>409</v>
      </c>
      <c r="F170" s="420"/>
      <c r="G170" s="64" t="s">
        <v>417</v>
      </c>
      <c r="H170" s="419" t="s">
        <v>428</v>
      </c>
      <c r="I170" s="420"/>
      <c r="K170" s="57" t="s">
        <v>454</v>
      </c>
      <c r="L170" s="57" t="s">
        <v>125</v>
      </c>
      <c r="S170" s="57">
        <v>0</v>
      </c>
    </row>
    <row r="171" spans="1:19" ht="11.85" customHeight="1" x14ac:dyDescent="0.2">
      <c r="A171" s="57" t="s">
        <v>454</v>
      </c>
      <c r="B171" s="416"/>
      <c r="C171" s="417"/>
      <c r="D171" s="418"/>
      <c r="E171" s="419" t="s">
        <v>410</v>
      </c>
      <c r="F171" s="420"/>
      <c r="G171" s="64" t="s">
        <v>417</v>
      </c>
      <c r="H171" s="419" t="s">
        <v>415</v>
      </c>
      <c r="I171" s="420"/>
      <c r="K171" s="57" t="s">
        <v>454</v>
      </c>
      <c r="L171" s="57" t="s">
        <v>125</v>
      </c>
      <c r="S171" s="57">
        <v>0</v>
      </c>
    </row>
    <row r="172" spans="1:19" ht="11.85" customHeight="1" x14ac:dyDescent="0.2">
      <c r="A172" s="57" t="s">
        <v>454</v>
      </c>
      <c r="B172" s="62"/>
      <c r="C172" s="411" t="s">
        <v>455</v>
      </c>
      <c r="D172" s="412"/>
      <c r="E172" s="412"/>
      <c r="F172" s="412"/>
      <c r="G172" s="412"/>
      <c r="H172" s="412"/>
      <c r="I172" s="411"/>
      <c r="K172" s="57" t="s">
        <v>454</v>
      </c>
      <c r="L172" s="57" t="s">
        <v>125</v>
      </c>
      <c r="S172" s="57">
        <v>0</v>
      </c>
    </row>
    <row r="173" spans="1:19" ht="11.1" customHeight="1" x14ac:dyDescent="0.2">
      <c r="A173" s="57" t="s">
        <v>455</v>
      </c>
      <c r="B173" s="413" t="s">
        <v>412</v>
      </c>
      <c r="C173" s="414"/>
      <c r="D173" s="415"/>
      <c r="E173" s="419" t="s">
        <v>400</v>
      </c>
      <c r="F173" s="420"/>
      <c r="G173" s="64" t="s">
        <v>413</v>
      </c>
      <c r="H173" s="419" t="s">
        <v>414</v>
      </c>
      <c r="I173" s="420"/>
      <c r="K173" s="57" t="s">
        <v>455</v>
      </c>
      <c r="L173" s="57" t="s">
        <v>126</v>
      </c>
      <c r="S173" s="57">
        <v>0</v>
      </c>
    </row>
    <row r="174" spans="1:19" ht="11.85" customHeight="1" x14ac:dyDescent="0.2">
      <c r="A174" s="57" t="s">
        <v>455</v>
      </c>
      <c r="B174" s="416"/>
      <c r="C174" s="417"/>
      <c r="D174" s="418"/>
      <c r="E174" s="419" t="s">
        <v>401</v>
      </c>
      <c r="F174" s="420"/>
      <c r="G174" s="64" t="s">
        <v>413</v>
      </c>
      <c r="H174" s="419" t="s">
        <v>415</v>
      </c>
      <c r="I174" s="420"/>
      <c r="K174" s="57" t="s">
        <v>455</v>
      </c>
      <c r="L174" s="57" t="s">
        <v>126</v>
      </c>
      <c r="S174" s="57">
        <v>0</v>
      </c>
    </row>
    <row r="175" spans="1:19" ht="11.85" customHeight="1" x14ac:dyDescent="0.2">
      <c r="A175" s="57" t="s">
        <v>455</v>
      </c>
      <c r="B175" s="413" t="s">
        <v>416</v>
      </c>
      <c r="C175" s="414"/>
      <c r="D175" s="415"/>
      <c r="E175" s="419" t="s">
        <v>402</v>
      </c>
      <c r="F175" s="420"/>
      <c r="G175" s="64" t="s">
        <v>417</v>
      </c>
      <c r="H175" s="419" t="s">
        <v>418</v>
      </c>
      <c r="I175" s="420"/>
      <c r="K175" s="57" t="s">
        <v>455</v>
      </c>
      <c r="L175" s="57" t="s">
        <v>126</v>
      </c>
      <c r="S175" s="57">
        <v>0</v>
      </c>
    </row>
    <row r="176" spans="1:19" ht="11.85" customHeight="1" x14ac:dyDescent="0.2">
      <c r="A176" s="57" t="s">
        <v>455</v>
      </c>
      <c r="B176" s="424"/>
      <c r="C176" s="425"/>
      <c r="D176" s="426"/>
      <c r="E176" s="419" t="s">
        <v>403</v>
      </c>
      <c r="F176" s="420"/>
      <c r="G176" s="64" t="s">
        <v>417</v>
      </c>
      <c r="H176" s="419" t="s">
        <v>418</v>
      </c>
      <c r="I176" s="420"/>
      <c r="K176" s="57" t="s">
        <v>455</v>
      </c>
      <c r="L176" s="57" t="s">
        <v>126</v>
      </c>
      <c r="S176" s="57">
        <v>0</v>
      </c>
    </row>
    <row r="177" spans="1:19" ht="11.1" customHeight="1" x14ac:dyDescent="0.2">
      <c r="A177" s="57" t="s">
        <v>455</v>
      </c>
      <c r="B177" s="424"/>
      <c r="C177" s="425"/>
      <c r="D177" s="426"/>
      <c r="E177" s="419" t="s">
        <v>404</v>
      </c>
      <c r="F177" s="420"/>
      <c r="G177" s="64" t="s">
        <v>413</v>
      </c>
      <c r="H177" s="419" t="s">
        <v>419</v>
      </c>
      <c r="I177" s="420"/>
      <c r="K177" s="57" t="s">
        <v>455</v>
      </c>
      <c r="L177" s="57" t="s">
        <v>126</v>
      </c>
      <c r="S177" s="57">
        <v>0</v>
      </c>
    </row>
    <row r="178" spans="1:19" ht="11.85" customHeight="1" x14ac:dyDescent="0.2">
      <c r="A178" s="57" t="s">
        <v>455</v>
      </c>
      <c r="B178" s="424"/>
      <c r="C178" s="425"/>
      <c r="D178" s="426"/>
      <c r="E178" s="419" t="s">
        <v>405</v>
      </c>
      <c r="F178" s="420"/>
      <c r="G178" s="64" t="s">
        <v>420</v>
      </c>
      <c r="H178" s="419" t="s">
        <v>421</v>
      </c>
      <c r="I178" s="420"/>
      <c r="K178" s="57" t="s">
        <v>455</v>
      </c>
      <c r="L178" s="57" t="s">
        <v>126</v>
      </c>
      <c r="S178" s="57">
        <v>0</v>
      </c>
    </row>
    <row r="179" spans="1:19" ht="11.85" customHeight="1" x14ac:dyDescent="0.2">
      <c r="A179" s="57" t="s">
        <v>455</v>
      </c>
      <c r="B179" s="424"/>
      <c r="C179" s="425"/>
      <c r="D179" s="426"/>
      <c r="E179" s="419" t="s">
        <v>406</v>
      </c>
      <c r="F179" s="420"/>
      <c r="G179" s="64" t="s">
        <v>422</v>
      </c>
      <c r="H179" s="419" t="s">
        <v>423</v>
      </c>
      <c r="I179" s="420"/>
      <c r="K179" s="57" t="s">
        <v>455</v>
      </c>
      <c r="L179" s="57" t="s">
        <v>126</v>
      </c>
      <c r="S179" s="65">
        <v>48.44</v>
      </c>
    </row>
    <row r="180" spans="1:19" ht="11.85" customHeight="1" x14ac:dyDescent="0.2">
      <c r="A180" s="57" t="s">
        <v>455</v>
      </c>
      <c r="B180" s="416"/>
      <c r="C180" s="417"/>
      <c r="D180" s="418"/>
      <c r="E180" s="419" t="s">
        <v>407</v>
      </c>
      <c r="F180" s="420"/>
      <c r="G180" s="64" t="s">
        <v>424</v>
      </c>
      <c r="H180" s="419" t="s">
        <v>425</v>
      </c>
      <c r="I180" s="420"/>
      <c r="K180" s="57" t="s">
        <v>455</v>
      </c>
      <c r="L180" s="57" t="s">
        <v>126</v>
      </c>
      <c r="S180" s="57">
        <v>0</v>
      </c>
    </row>
    <row r="181" spans="1:19" ht="11.1" customHeight="1" x14ac:dyDescent="0.2">
      <c r="A181" s="57" t="s">
        <v>455</v>
      </c>
      <c r="B181" s="413" t="s">
        <v>426</v>
      </c>
      <c r="C181" s="414"/>
      <c r="D181" s="415"/>
      <c r="E181" s="419" t="s">
        <v>408</v>
      </c>
      <c r="F181" s="420"/>
      <c r="G181" s="64" t="s">
        <v>420</v>
      </c>
      <c r="H181" s="419" t="s">
        <v>427</v>
      </c>
      <c r="I181" s="420"/>
      <c r="K181" s="57" t="s">
        <v>455</v>
      </c>
      <c r="L181" s="57" t="s">
        <v>126</v>
      </c>
      <c r="S181" s="57">
        <v>0</v>
      </c>
    </row>
    <row r="182" spans="1:19" ht="11.85" customHeight="1" x14ac:dyDescent="0.2">
      <c r="A182" s="57" t="s">
        <v>455</v>
      </c>
      <c r="B182" s="424"/>
      <c r="C182" s="425"/>
      <c r="D182" s="426"/>
      <c r="E182" s="419" t="s">
        <v>409</v>
      </c>
      <c r="F182" s="420"/>
      <c r="G182" s="64" t="s">
        <v>417</v>
      </c>
      <c r="H182" s="419" t="s">
        <v>428</v>
      </c>
      <c r="I182" s="420"/>
      <c r="K182" s="57" t="s">
        <v>455</v>
      </c>
      <c r="L182" s="57" t="s">
        <v>126</v>
      </c>
      <c r="S182" s="57">
        <v>0</v>
      </c>
    </row>
    <row r="183" spans="1:19" ht="11.85" customHeight="1" x14ac:dyDescent="0.2">
      <c r="A183" s="57" t="s">
        <v>455</v>
      </c>
      <c r="B183" s="416"/>
      <c r="C183" s="417"/>
      <c r="D183" s="418"/>
      <c r="E183" s="419" t="s">
        <v>410</v>
      </c>
      <c r="F183" s="420"/>
      <c r="G183" s="64" t="s">
        <v>417</v>
      </c>
      <c r="H183" s="419" t="s">
        <v>415</v>
      </c>
      <c r="I183" s="420"/>
      <c r="K183" s="57" t="s">
        <v>455</v>
      </c>
      <c r="L183" s="57" t="s">
        <v>126</v>
      </c>
      <c r="S183" s="57">
        <v>0</v>
      </c>
    </row>
    <row r="184" spans="1:19" ht="11.85" customHeight="1" x14ac:dyDescent="0.2">
      <c r="A184" s="57" t="s">
        <v>455</v>
      </c>
      <c r="B184" s="62"/>
      <c r="C184" s="411" t="s">
        <v>456</v>
      </c>
      <c r="D184" s="412"/>
      <c r="E184" s="412"/>
      <c r="F184" s="412"/>
      <c r="G184" s="412"/>
      <c r="H184" s="412"/>
      <c r="I184" s="411"/>
      <c r="K184" s="57" t="s">
        <v>455</v>
      </c>
      <c r="L184" s="57" t="s">
        <v>126</v>
      </c>
      <c r="S184" s="57">
        <v>0</v>
      </c>
    </row>
    <row r="185" spans="1:19" ht="11.1" customHeight="1" x14ac:dyDescent="0.2">
      <c r="A185" s="57" t="s">
        <v>456</v>
      </c>
      <c r="B185" s="413" t="s">
        <v>412</v>
      </c>
      <c r="C185" s="414"/>
      <c r="D185" s="415"/>
      <c r="E185" s="419" t="s">
        <v>400</v>
      </c>
      <c r="F185" s="420"/>
      <c r="G185" s="64" t="s">
        <v>413</v>
      </c>
      <c r="H185" s="419" t="s">
        <v>414</v>
      </c>
      <c r="I185" s="420"/>
      <c r="K185" s="57" t="s">
        <v>456</v>
      </c>
      <c r="L185" s="57" t="s">
        <v>127</v>
      </c>
      <c r="S185" s="57">
        <v>0</v>
      </c>
    </row>
    <row r="186" spans="1:19" ht="11.85" customHeight="1" x14ac:dyDescent="0.2">
      <c r="A186" s="57" t="s">
        <v>456</v>
      </c>
      <c r="B186" s="416"/>
      <c r="C186" s="417"/>
      <c r="D186" s="418"/>
      <c r="E186" s="419" t="s">
        <v>401</v>
      </c>
      <c r="F186" s="420"/>
      <c r="G186" s="64" t="s">
        <v>413</v>
      </c>
      <c r="H186" s="419" t="s">
        <v>415</v>
      </c>
      <c r="I186" s="420"/>
      <c r="K186" s="57" t="s">
        <v>456</v>
      </c>
      <c r="L186" s="57" t="s">
        <v>127</v>
      </c>
      <c r="S186" s="57">
        <v>0</v>
      </c>
    </row>
    <row r="187" spans="1:19" ht="11.85" customHeight="1" x14ac:dyDescent="0.2">
      <c r="A187" s="57" t="s">
        <v>456</v>
      </c>
      <c r="B187" s="413" t="s">
        <v>416</v>
      </c>
      <c r="C187" s="414"/>
      <c r="D187" s="415"/>
      <c r="E187" s="419" t="s">
        <v>402</v>
      </c>
      <c r="F187" s="420"/>
      <c r="G187" s="64" t="s">
        <v>417</v>
      </c>
      <c r="H187" s="419" t="s">
        <v>457</v>
      </c>
      <c r="I187" s="420"/>
      <c r="K187" s="57" t="s">
        <v>456</v>
      </c>
      <c r="L187" s="57" t="s">
        <v>127</v>
      </c>
      <c r="S187" s="57">
        <v>0</v>
      </c>
    </row>
    <row r="188" spans="1:19" ht="11.85" customHeight="1" x14ac:dyDescent="0.2">
      <c r="A188" s="57" t="s">
        <v>456</v>
      </c>
      <c r="B188" s="424"/>
      <c r="C188" s="425"/>
      <c r="D188" s="426"/>
      <c r="E188" s="419" t="s">
        <v>403</v>
      </c>
      <c r="F188" s="420"/>
      <c r="G188" s="64" t="s">
        <v>417</v>
      </c>
      <c r="H188" s="419" t="s">
        <v>457</v>
      </c>
      <c r="I188" s="420"/>
      <c r="K188" s="57" t="s">
        <v>456</v>
      </c>
      <c r="L188" s="57" t="s">
        <v>127</v>
      </c>
      <c r="S188" s="57">
        <v>0</v>
      </c>
    </row>
    <row r="189" spans="1:19" ht="11.1" customHeight="1" x14ac:dyDescent="0.2">
      <c r="A189" s="57" t="s">
        <v>456</v>
      </c>
      <c r="B189" s="424"/>
      <c r="C189" s="425"/>
      <c r="D189" s="426"/>
      <c r="E189" s="419" t="s">
        <v>404</v>
      </c>
      <c r="F189" s="420"/>
      <c r="G189" s="64" t="s">
        <v>413</v>
      </c>
      <c r="H189" s="419" t="s">
        <v>458</v>
      </c>
      <c r="I189" s="420"/>
      <c r="K189" s="57" t="s">
        <v>456</v>
      </c>
      <c r="L189" s="57" t="s">
        <v>127</v>
      </c>
      <c r="S189" s="57">
        <v>0</v>
      </c>
    </row>
    <row r="190" spans="1:19" ht="11.85" customHeight="1" x14ac:dyDescent="0.2">
      <c r="A190" s="57" t="s">
        <v>456</v>
      </c>
      <c r="B190" s="424"/>
      <c r="C190" s="425"/>
      <c r="D190" s="426"/>
      <c r="E190" s="419" t="s">
        <v>405</v>
      </c>
      <c r="F190" s="420"/>
      <c r="G190" s="64" t="s">
        <v>420</v>
      </c>
      <c r="H190" s="419" t="s">
        <v>459</v>
      </c>
      <c r="I190" s="420"/>
      <c r="K190" s="57" t="s">
        <v>456</v>
      </c>
      <c r="L190" s="57" t="s">
        <v>127</v>
      </c>
      <c r="S190" s="57">
        <v>0</v>
      </c>
    </row>
    <row r="191" spans="1:19" ht="11.85" customHeight="1" x14ac:dyDescent="0.2">
      <c r="A191" s="57" t="s">
        <v>456</v>
      </c>
      <c r="B191" s="424"/>
      <c r="C191" s="425"/>
      <c r="D191" s="426"/>
      <c r="E191" s="419" t="s">
        <v>460</v>
      </c>
      <c r="F191" s="420"/>
      <c r="G191" s="64" t="s">
        <v>461</v>
      </c>
      <c r="H191" s="419" t="s">
        <v>423</v>
      </c>
      <c r="I191" s="420"/>
      <c r="K191" s="57" t="s">
        <v>456</v>
      </c>
      <c r="L191" s="57" t="s">
        <v>127</v>
      </c>
      <c r="S191" s="65">
        <v>33.17</v>
      </c>
    </row>
    <row r="192" spans="1:19" ht="11.85" customHeight="1" x14ac:dyDescent="0.2">
      <c r="A192" s="57" t="s">
        <v>456</v>
      </c>
      <c r="B192" s="416"/>
      <c r="C192" s="417"/>
      <c r="D192" s="418"/>
      <c r="E192" s="419" t="s">
        <v>462</v>
      </c>
      <c r="F192" s="420"/>
      <c r="G192" s="64" t="s">
        <v>424</v>
      </c>
      <c r="H192" s="419" t="s">
        <v>463</v>
      </c>
      <c r="I192" s="420"/>
      <c r="K192" s="57" t="s">
        <v>456</v>
      </c>
      <c r="L192" s="57" t="s">
        <v>127</v>
      </c>
      <c r="S192" s="57">
        <v>0</v>
      </c>
    </row>
    <row r="193" spans="1:19" ht="11.1" customHeight="1" x14ac:dyDescent="0.2">
      <c r="A193" s="57" t="s">
        <v>456</v>
      </c>
      <c r="B193" s="413" t="s">
        <v>426</v>
      </c>
      <c r="C193" s="414"/>
      <c r="D193" s="415"/>
      <c r="E193" s="419" t="s">
        <v>408</v>
      </c>
      <c r="F193" s="420"/>
      <c r="G193" s="64" t="s">
        <v>420</v>
      </c>
      <c r="H193" s="419" t="s">
        <v>427</v>
      </c>
      <c r="I193" s="420"/>
      <c r="K193" s="57" t="s">
        <v>456</v>
      </c>
      <c r="L193" s="57" t="s">
        <v>127</v>
      </c>
      <c r="S193" s="57">
        <v>0</v>
      </c>
    </row>
    <row r="194" spans="1:19" ht="11.85" customHeight="1" x14ac:dyDescent="0.2">
      <c r="A194" s="57" t="s">
        <v>456</v>
      </c>
      <c r="B194" s="424"/>
      <c r="C194" s="425"/>
      <c r="D194" s="426"/>
      <c r="E194" s="419" t="s">
        <v>409</v>
      </c>
      <c r="F194" s="420"/>
      <c r="G194" s="64" t="s">
        <v>417</v>
      </c>
      <c r="H194" s="419" t="s">
        <v>428</v>
      </c>
      <c r="I194" s="420"/>
      <c r="K194" s="57" t="s">
        <v>456</v>
      </c>
      <c r="L194" s="57" t="s">
        <v>127</v>
      </c>
      <c r="S194" s="57">
        <v>0</v>
      </c>
    </row>
    <row r="195" spans="1:19" ht="11.85" customHeight="1" x14ac:dyDescent="0.2">
      <c r="A195" s="57" t="s">
        <v>456</v>
      </c>
      <c r="B195" s="416"/>
      <c r="C195" s="417"/>
      <c r="D195" s="418"/>
      <c r="E195" s="419" t="s">
        <v>410</v>
      </c>
      <c r="F195" s="420"/>
      <c r="G195" s="64" t="s">
        <v>417</v>
      </c>
      <c r="H195" s="419" t="s">
        <v>415</v>
      </c>
      <c r="I195" s="420"/>
      <c r="K195" s="57" t="s">
        <v>456</v>
      </c>
      <c r="L195" s="57" t="s">
        <v>127</v>
      </c>
      <c r="S195" s="57">
        <v>0</v>
      </c>
    </row>
    <row r="196" spans="1:19" ht="11.85" customHeight="1" x14ac:dyDescent="0.2">
      <c r="A196" s="57" t="s">
        <v>456</v>
      </c>
      <c r="B196" s="62"/>
      <c r="C196" s="411" t="s">
        <v>464</v>
      </c>
      <c r="D196" s="412"/>
      <c r="E196" s="412"/>
      <c r="F196" s="412"/>
      <c r="G196" s="412"/>
      <c r="H196" s="412"/>
      <c r="I196" s="411"/>
      <c r="K196" s="57" t="s">
        <v>456</v>
      </c>
      <c r="L196" s="57" t="s">
        <v>127</v>
      </c>
      <c r="S196" s="57">
        <v>0</v>
      </c>
    </row>
    <row r="197" spans="1:19" ht="11.1" customHeight="1" x14ac:dyDescent="0.2">
      <c r="A197" s="57" t="s">
        <v>464</v>
      </c>
      <c r="B197" s="413" t="s">
        <v>412</v>
      </c>
      <c r="C197" s="427"/>
      <c r="D197" s="428"/>
      <c r="E197" s="419" t="s">
        <v>465</v>
      </c>
      <c r="F197" s="420"/>
      <c r="G197" s="64" t="s">
        <v>413</v>
      </c>
      <c r="H197" s="419" t="s">
        <v>415</v>
      </c>
      <c r="I197" s="420"/>
      <c r="K197" s="57" t="s">
        <v>464</v>
      </c>
      <c r="L197" s="57" t="s">
        <v>128</v>
      </c>
      <c r="S197" s="57">
        <v>0</v>
      </c>
    </row>
    <row r="198" spans="1:19" ht="11.85" customHeight="1" x14ac:dyDescent="0.2">
      <c r="A198" s="57" t="s">
        <v>464</v>
      </c>
      <c r="B198" s="413" t="s">
        <v>416</v>
      </c>
      <c r="C198" s="414"/>
      <c r="D198" s="415"/>
      <c r="E198" s="419" t="s">
        <v>402</v>
      </c>
      <c r="F198" s="420"/>
      <c r="G198" s="64" t="s">
        <v>417</v>
      </c>
      <c r="H198" s="419" t="s">
        <v>466</v>
      </c>
      <c r="I198" s="420"/>
      <c r="K198" s="57" t="s">
        <v>464</v>
      </c>
      <c r="L198" s="57" t="s">
        <v>128</v>
      </c>
      <c r="S198" s="57">
        <v>0</v>
      </c>
    </row>
    <row r="199" spans="1:19" ht="11.85" customHeight="1" x14ac:dyDescent="0.2">
      <c r="A199" s="57" t="s">
        <v>464</v>
      </c>
      <c r="B199" s="424"/>
      <c r="C199" s="425"/>
      <c r="D199" s="426"/>
      <c r="E199" s="419" t="s">
        <v>403</v>
      </c>
      <c r="F199" s="420"/>
      <c r="G199" s="64" t="s">
        <v>417</v>
      </c>
      <c r="H199" s="419" t="s">
        <v>466</v>
      </c>
      <c r="I199" s="420"/>
      <c r="K199" s="57" t="s">
        <v>464</v>
      </c>
      <c r="L199" s="57" t="s">
        <v>128</v>
      </c>
      <c r="S199" s="57">
        <v>0</v>
      </c>
    </row>
    <row r="200" spans="1:19" ht="11.85" customHeight="1" x14ac:dyDescent="0.2">
      <c r="A200" s="57" t="s">
        <v>464</v>
      </c>
      <c r="B200" s="424"/>
      <c r="C200" s="425"/>
      <c r="D200" s="426"/>
      <c r="E200" s="419" t="s">
        <v>404</v>
      </c>
      <c r="F200" s="420"/>
      <c r="G200" s="64" t="s">
        <v>413</v>
      </c>
      <c r="H200" s="419" t="s">
        <v>467</v>
      </c>
      <c r="I200" s="420"/>
      <c r="K200" s="57" t="s">
        <v>464</v>
      </c>
      <c r="L200" s="57" t="s">
        <v>128</v>
      </c>
      <c r="S200" s="57">
        <v>0</v>
      </c>
    </row>
    <row r="201" spans="1:19" ht="11.1" customHeight="1" x14ac:dyDescent="0.2">
      <c r="A201" s="57" t="s">
        <v>464</v>
      </c>
      <c r="B201" s="424"/>
      <c r="C201" s="425"/>
      <c r="D201" s="426"/>
      <c r="E201" s="419" t="s">
        <v>405</v>
      </c>
      <c r="F201" s="420"/>
      <c r="G201" s="64" t="s">
        <v>420</v>
      </c>
      <c r="H201" s="419" t="s">
        <v>418</v>
      </c>
      <c r="I201" s="420"/>
      <c r="K201" s="57" t="s">
        <v>464</v>
      </c>
      <c r="L201" s="57" t="s">
        <v>128</v>
      </c>
      <c r="S201" s="57">
        <v>0</v>
      </c>
    </row>
    <row r="202" spans="1:19" ht="11.85" customHeight="1" x14ac:dyDescent="0.2">
      <c r="A202" s="57" t="s">
        <v>464</v>
      </c>
      <c r="B202" s="424"/>
      <c r="C202" s="425"/>
      <c r="D202" s="426"/>
      <c r="E202" s="419" t="s">
        <v>468</v>
      </c>
      <c r="F202" s="420"/>
      <c r="G202" s="64" t="s">
        <v>441</v>
      </c>
      <c r="H202" s="419" t="s">
        <v>423</v>
      </c>
      <c r="I202" s="420"/>
      <c r="K202" s="57" t="s">
        <v>464</v>
      </c>
      <c r="L202" s="57" t="s">
        <v>128</v>
      </c>
      <c r="S202" s="65">
        <v>48.16</v>
      </c>
    </row>
    <row r="203" spans="1:19" ht="11.85" customHeight="1" x14ac:dyDescent="0.2">
      <c r="A203" s="57" t="s">
        <v>464</v>
      </c>
      <c r="B203" s="416"/>
      <c r="C203" s="417"/>
      <c r="D203" s="418"/>
      <c r="E203" s="419" t="s">
        <v>442</v>
      </c>
      <c r="F203" s="420"/>
      <c r="G203" s="64" t="s">
        <v>443</v>
      </c>
      <c r="H203" s="419" t="s">
        <v>425</v>
      </c>
      <c r="I203" s="420"/>
      <c r="K203" s="57" t="s">
        <v>464</v>
      </c>
      <c r="L203" s="57" t="s">
        <v>128</v>
      </c>
      <c r="S203" s="57">
        <v>0</v>
      </c>
    </row>
    <row r="204" spans="1:19" ht="11.85" customHeight="1" x14ac:dyDescent="0.2">
      <c r="A204" s="57" t="s">
        <v>464</v>
      </c>
      <c r="B204" s="413" t="s">
        <v>426</v>
      </c>
      <c r="C204" s="427"/>
      <c r="D204" s="428"/>
      <c r="E204" s="419" t="s">
        <v>469</v>
      </c>
      <c r="F204" s="420"/>
      <c r="G204" s="64" t="s">
        <v>417</v>
      </c>
      <c r="H204" s="419" t="s">
        <v>415</v>
      </c>
      <c r="I204" s="420"/>
      <c r="K204" s="57" t="s">
        <v>464</v>
      </c>
      <c r="L204" s="57" t="s">
        <v>128</v>
      </c>
      <c r="S204" s="57">
        <v>0</v>
      </c>
    </row>
    <row r="205" spans="1:19" ht="11.85" customHeight="1" x14ac:dyDescent="0.2">
      <c r="A205" s="57" t="s">
        <v>464</v>
      </c>
      <c r="B205" s="62"/>
      <c r="C205" s="411" t="s">
        <v>470</v>
      </c>
      <c r="D205" s="412"/>
      <c r="E205" s="412"/>
      <c r="F205" s="412"/>
      <c r="G205" s="412"/>
      <c r="H205" s="412"/>
      <c r="I205" s="411"/>
      <c r="K205" s="57" t="s">
        <v>464</v>
      </c>
      <c r="L205" s="57" t="s">
        <v>128</v>
      </c>
      <c r="S205" s="57">
        <v>0</v>
      </c>
    </row>
    <row r="206" spans="1:19" ht="11.85" customHeight="1" x14ac:dyDescent="0.2">
      <c r="A206" s="57" t="s">
        <v>470</v>
      </c>
      <c r="B206" s="413" t="s">
        <v>471</v>
      </c>
      <c r="C206" s="427"/>
      <c r="D206" s="428"/>
      <c r="E206" s="419" t="s">
        <v>472</v>
      </c>
      <c r="F206" s="420"/>
      <c r="G206" s="64" t="s">
        <v>473</v>
      </c>
      <c r="H206" s="419" t="s">
        <v>423</v>
      </c>
      <c r="I206" s="420"/>
      <c r="K206" s="57" t="s">
        <v>470</v>
      </c>
      <c r="L206" s="57" t="s">
        <v>129</v>
      </c>
      <c r="S206" s="57">
        <v>0</v>
      </c>
    </row>
    <row r="207" spans="1:19" ht="11.85" customHeight="1" x14ac:dyDescent="0.2">
      <c r="A207" s="57" t="s">
        <v>470</v>
      </c>
      <c r="B207" s="413" t="s">
        <v>416</v>
      </c>
      <c r="C207" s="414"/>
      <c r="D207" s="415"/>
      <c r="E207" s="419" t="s">
        <v>402</v>
      </c>
      <c r="F207" s="420"/>
      <c r="G207" s="64" t="s">
        <v>417</v>
      </c>
      <c r="H207" s="419" t="s">
        <v>457</v>
      </c>
      <c r="I207" s="420"/>
      <c r="K207" s="57" t="s">
        <v>470</v>
      </c>
      <c r="L207" s="57" t="s">
        <v>129</v>
      </c>
      <c r="S207" s="57">
        <v>0</v>
      </c>
    </row>
    <row r="208" spans="1:19" ht="11.1" customHeight="1" x14ac:dyDescent="0.2">
      <c r="A208" s="57" t="s">
        <v>470</v>
      </c>
      <c r="B208" s="424"/>
      <c r="C208" s="425"/>
      <c r="D208" s="426"/>
      <c r="E208" s="419" t="s">
        <v>403</v>
      </c>
      <c r="F208" s="420"/>
      <c r="G208" s="64" t="s">
        <v>417</v>
      </c>
      <c r="H208" s="419" t="s">
        <v>457</v>
      </c>
      <c r="I208" s="420"/>
      <c r="K208" s="57" t="s">
        <v>470</v>
      </c>
      <c r="L208" s="57" t="s">
        <v>129</v>
      </c>
      <c r="S208" s="57">
        <v>0</v>
      </c>
    </row>
    <row r="209" spans="1:19" ht="11.85" customHeight="1" x14ac:dyDescent="0.2">
      <c r="A209" s="57" t="s">
        <v>470</v>
      </c>
      <c r="B209" s="424"/>
      <c r="C209" s="425"/>
      <c r="D209" s="426"/>
      <c r="E209" s="419" t="s">
        <v>404</v>
      </c>
      <c r="F209" s="420"/>
      <c r="G209" s="64" t="s">
        <v>413</v>
      </c>
      <c r="H209" s="419" t="s">
        <v>458</v>
      </c>
      <c r="I209" s="420"/>
      <c r="K209" s="57" t="s">
        <v>470</v>
      </c>
      <c r="L209" s="57" t="s">
        <v>129</v>
      </c>
      <c r="S209" s="57">
        <v>0</v>
      </c>
    </row>
    <row r="210" spans="1:19" ht="11.85" customHeight="1" x14ac:dyDescent="0.2">
      <c r="A210" s="57" t="s">
        <v>470</v>
      </c>
      <c r="B210" s="424"/>
      <c r="C210" s="425"/>
      <c r="D210" s="426"/>
      <c r="E210" s="419" t="s">
        <v>405</v>
      </c>
      <c r="F210" s="420"/>
      <c r="G210" s="64" t="s">
        <v>420</v>
      </c>
      <c r="H210" s="419" t="s">
        <v>459</v>
      </c>
      <c r="I210" s="420"/>
      <c r="K210" s="57" t="s">
        <v>470</v>
      </c>
      <c r="L210" s="57" t="s">
        <v>129</v>
      </c>
      <c r="S210" s="57">
        <v>0</v>
      </c>
    </row>
    <row r="211" spans="1:19" ht="11.85" customHeight="1" x14ac:dyDescent="0.2">
      <c r="A211" s="57" t="s">
        <v>470</v>
      </c>
      <c r="B211" s="424"/>
      <c r="C211" s="425"/>
      <c r="D211" s="426"/>
      <c r="E211" s="419" t="s">
        <v>460</v>
      </c>
      <c r="F211" s="420"/>
      <c r="G211" s="64" t="s">
        <v>461</v>
      </c>
      <c r="H211" s="419" t="s">
        <v>423</v>
      </c>
      <c r="I211" s="420"/>
      <c r="K211" s="57" t="s">
        <v>470</v>
      </c>
      <c r="L211" s="57" t="s">
        <v>129</v>
      </c>
      <c r="S211" s="65">
        <v>33.17</v>
      </c>
    </row>
    <row r="212" spans="1:19" ht="11.1" customHeight="1" x14ac:dyDescent="0.2">
      <c r="A212" s="57" t="s">
        <v>470</v>
      </c>
      <c r="B212" s="416"/>
      <c r="C212" s="417"/>
      <c r="D212" s="418"/>
      <c r="E212" s="419" t="s">
        <v>462</v>
      </c>
      <c r="F212" s="420"/>
      <c r="G212" s="64" t="s">
        <v>424</v>
      </c>
      <c r="H212" s="419" t="s">
        <v>463</v>
      </c>
      <c r="I212" s="420"/>
      <c r="K212" s="57" t="s">
        <v>470</v>
      </c>
      <c r="L212" s="57" t="s">
        <v>129</v>
      </c>
      <c r="S212" s="57">
        <v>0</v>
      </c>
    </row>
    <row r="213" spans="1:19" ht="11.85" customHeight="1" x14ac:dyDescent="0.2">
      <c r="A213" s="57" t="s">
        <v>470</v>
      </c>
      <c r="B213" s="62"/>
      <c r="C213" s="411" t="s">
        <v>474</v>
      </c>
      <c r="D213" s="412"/>
      <c r="E213" s="412"/>
      <c r="F213" s="412"/>
      <c r="G213" s="412"/>
      <c r="H213" s="412"/>
      <c r="I213" s="411"/>
      <c r="K213" s="57" t="s">
        <v>470</v>
      </c>
      <c r="L213" s="57" t="s">
        <v>129</v>
      </c>
      <c r="S213" s="57">
        <v>0</v>
      </c>
    </row>
    <row r="214" spans="1:19" ht="11.85" customHeight="1" x14ac:dyDescent="0.2">
      <c r="A214" s="57" t="s">
        <v>474</v>
      </c>
      <c r="B214" s="413" t="s">
        <v>412</v>
      </c>
      <c r="C214" s="414"/>
      <c r="D214" s="415"/>
      <c r="E214" s="419" t="s">
        <v>400</v>
      </c>
      <c r="F214" s="420"/>
      <c r="G214" s="64" t="s">
        <v>413</v>
      </c>
      <c r="H214" s="419" t="s">
        <v>414</v>
      </c>
      <c r="I214" s="420"/>
      <c r="K214" s="57" t="s">
        <v>474</v>
      </c>
      <c r="L214" s="57" t="s">
        <v>130</v>
      </c>
      <c r="S214" s="57">
        <v>0</v>
      </c>
    </row>
    <row r="215" spans="1:19" ht="11.85" customHeight="1" x14ac:dyDescent="0.2">
      <c r="A215" s="57" t="s">
        <v>474</v>
      </c>
      <c r="B215" s="416"/>
      <c r="C215" s="417"/>
      <c r="D215" s="418"/>
      <c r="E215" s="419" t="s">
        <v>401</v>
      </c>
      <c r="F215" s="420"/>
      <c r="G215" s="64" t="s">
        <v>413</v>
      </c>
      <c r="H215" s="419" t="s">
        <v>415</v>
      </c>
      <c r="I215" s="420"/>
      <c r="K215" s="57" t="s">
        <v>474</v>
      </c>
      <c r="L215" s="57" t="s">
        <v>130</v>
      </c>
      <c r="S215" s="57">
        <v>0</v>
      </c>
    </row>
    <row r="216" spans="1:19" ht="11.1" customHeight="1" x14ac:dyDescent="0.2">
      <c r="A216" s="57" t="s">
        <v>474</v>
      </c>
      <c r="B216" s="413" t="s">
        <v>416</v>
      </c>
      <c r="C216" s="414"/>
      <c r="D216" s="415"/>
      <c r="E216" s="419" t="s">
        <v>402</v>
      </c>
      <c r="F216" s="420"/>
      <c r="G216" s="64" t="s">
        <v>417</v>
      </c>
      <c r="H216" s="419" t="s">
        <v>457</v>
      </c>
      <c r="I216" s="420"/>
      <c r="K216" s="57" t="s">
        <v>474</v>
      </c>
      <c r="L216" s="57" t="s">
        <v>130</v>
      </c>
      <c r="S216" s="57">
        <v>0</v>
      </c>
    </row>
    <row r="217" spans="1:19" ht="11.85" customHeight="1" x14ac:dyDescent="0.2">
      <c r="A217" s="57" t="s">
        <v>474</v>
      </c>
      <c r="B217" s="424"/>
      <c r="C217" s="425"/>
      <c r="D217" s="426"/>
      <c r="E217" s="419" t="s">
        <v>403</v>
      </c>
      <c r="F217" s="420"/>
      <c r="G217" s="64" t="s">
        <v>417</v>
      </c>
      <c r="H217" s="419" t="s">
        <v>457</v>
      </c>
      <c r="I217" s="420"/>
      <c r="K217" s="57" t="s">
        <v>474</v>
      </c>
      <c r="L217" s="57" t="s">
        <v>130</v>
      </c>
      <c r="S217" s="57">
        <v>0</v>
      </c>
    </row>
    <row r="218" spans="1:19" ht="11.85" customHeight="1" x14ac:dyDescent="0.2">
      <c r="A218" s="57" t="s">
        <v>474</v>
      </c>
      <c r="B218" s="424"/>
      <c r="C218" s="425"/>
      <c r="D218" s="426"/>
      <c r="E218" s="419" t="s">
        <v>404</v>
      </c>
      <c r="F218" s="420"/>
      <c r="G218" s="64" t="s">
        <v>413</v>
      </c>
      <c r="H218" s="419" t="s">
        <v>458</v>
      </c>
      <c r="I218" s="420"/>
      <c r="K218" s="57" t="s">
        <v>474</v>
      </c>
      <c r="L218" s="57" t="s">
        <v>130</v>
      </c>
      <c r="S218" s="57">
        <v>0</v>
      </c>
    </row>
    <row r="219" spans="1:19" ht="11.85" customHeight="1" x14ac:dyDescent="0.2">
      <c r="A219" s="57" t="s">
        <v>474</v>
      </c>
      <c r="B219" s="424"/>
      <c r="C219" s="425"/>
      <c r="D219" s="426"/>
      <c r="E219" s="419" t="s">
        <v>405</v>
      </c>
      <c r="F219" s="420"/>
      <c r="G219" s="64" t="s">
        <v>420</v>
      </c>
      <c r="H219" s="419" t="s">
        <v>459</v>
      </c>
      <c r="I219" s="420"/>
      <c r="K219" s="57" t="s">
        <v>474</v>
      </c>
      <c r="L219" s="57" t="s">
        <v>130</v>
      </c>
      <c r="S219" s="57">
        <v>0</v>
      </c>
    </row>
    <row r="220" spans="1:19" ht="11.1" customHeight="1" x14ac:dyDescent="0.2">
      <c r="A220" s="57" t="s">
        <v>474</v>
      </c>
      <c r="B220" s="424"/>
      <c r="C220" s="425"/>
      <c r="D220" s="426"/>
      <c r="E220" s="419" t="s">
        <v>460</v>
      </c>
      <c r="F220" s="420"/>
      <c r="G220" s="64" t="s">
        <v>461</v>
      </c>
      <c r="H220" s="419" t="s">
        <v>423</v>
      </c>
      <c r="I220" s="420"/>
      <c r="K220" s="57" t="s">
        <v>474</v>
      </c>
      <c r="L220" s="57" t="s">
        <v>130</v>
      </c>
      <c r="S220" s="65">
        <v>33.17</v>
      </c>
    </row>
    <row r="221" spans="1:19" ht="11.85" customHeight="1" x14ac:dyDescent="0.2">
      <c r="A221" s="57" t="s">
        <v>474</v>
      </c>
      <c r="B221" s="416"/>
      <c r="C221" s="417"/>
      <c r="D221" s="418"/>
      <c r="E221" s="419" t="s">
        <v>462</v>
      </c>
      <c r="F221" s="420"/>
      <c r="G221" s="64" t="s">
        <v>424</v>
      </c>
      <c r="H221" s="419" t="s">
        <v>463</v>
      </c>
      <c r="I221" s="420"/>
      <c r="K221" s="57" t="s">
        <v>474</v>
      </c>
      <c r="L221" s="57" t="s">
        <v>130</v>
      </c>
      <c r="S221" s="57">
        <v>0</v>
      </c>
    </row>
    <row r="222" spans="1:19" ht="11.85" customHeight="1" x14ac:dyDescent="0.2">
      <c r="A222" s="57" t="s">
        <v>474</v>
      </c>
      <c r="B222" s="413" t="s">
        <v>426</v>
      </c>
      <c r="C222" s="414"/>
      <c r="D222" s="415"/>
      <c r="E222" s="419" t="s">
        <v>408</v>
      </c>
      <c r="F222" s="420"/>
      <c r="G222" s="64" t="s">
        <v>420</v>
      </c>
      <c r="H222" s="419" t="s">
        <v>427</v>
      </c>
      <c r="I222" s="420"/>
      <c r="K222" s="57" t="s">
        <v>474</v>
      </c>
      <c r="L222" s="57" t="s">
        <v>130</v>
      </c>
      <c r="S222" s="57">
        <v>0</v>
      </c>
    </row>
    <row r="223" spans="1:19" ht="11.85" customHeight="1" x14ac:dyDescent="0.2">
      <c r="A223" s="57" t="s">
        <v>474</v>
      </c>
      <c r="B223" s="424"/>
      <c r="C223" s="425"/>
      <c r="D223" s="426"/>
      <c r="E223" s="419" t="s">
        <v>409</v>
      </c>
      <c r="F223" s="420"/>
      <c r="G223" s="64" t="s">
        <v>417</v>
      </c>
      <c r="H223" s="419" t="s">
        <v>428</v>
      </c>
      <c r="I223" s="420"/>
      <c r="K223" s="57" t="s">
        <v>474</v>
      </c>
      <c r="L223" s="57" t="s">
        <v>130</v>
      </c>
      <c r="S223" s="57">
        <v>0</v>
      </c>
    </row>
    <row r="224" spans="1:19" ht="11.1" customHeight="1" x14ac:dyDescent="0.2">
      <c r="A224" s="57" t="s">
        <v>474</v>
      </c>
      <c r="B224" s="416"/>
      <c r="C224" s="417"/>
      <c r="D224" s="418"/>
      <c r="E224" s="419" t="s">
        <v>410</v>
      </c>
      <c r="F224" s="420"/>
      <c r="G224" s="64" t="s">
        <v>417</v>
      </c>
      <c r="H224" s="419" t="s">
        <v>415</v>
      </c>
      <c r="I224" s="420"/>
      <c r="K224" s="57" t="s">
        <v>474</v>
      </c>
      <c r="L224" s="57" t="s">
        <v>130</v>
      </c>
      <c r="S224" s="57">
        <v>0</v>
      </c>
    </row>
    <row r="225" spans="1:19" ht="11.85" customHeight="1" x14ac:dyDescent="0.2">
      <c r="A225" s="57" t="s">
        <v>474</v>
      </c>
      <c r="B225" s="62"/>
      <c r="C225" s="411" t="s">
        <v>475</v>
      </c>
      <c r="D225" s="412"/>
      <c r="E225" s="412"/>
      <c r="F225" s="412"/>
      <c r="G225" s="412"/>
      <c r="H225" s="412"/>
      <c r="I225" s="411"/>
      <c r="K225" s="57" t="s">
        <v>474</v>
      </c>
      <c r="L225" s="57" t="s">
        <v>130</v>
      </c>
      <c r="S225" s="57">
        <v>0</v>
      </c>
    </row>
    <row r="226" spans="1:19" ht="11.85" customHeight="1" x14ac:dyDescent="0.2">
      <c r="A226" s="57" t="s">
        <v>475</v>
      </c>
      <c r="B226" s="413" t="s">
        <v>412</v>
      </c>
      <c r="C226" s="414"/>
      <c r="D226" s="415"/>
      <c r="E226" s="419" t="s">
        <v>400</v>
      </c>
      <c r="F226" s="420"/>
      <c r="G226" s="64" t="s">
        <v>413</v>
      </c>
      <c r="H226" s="419" t="s">
        <v>414</v>
      </c>
      <c r="I226" s="420"/>
      <c r="K226" s="57" t="s">
        <v>475</v>
      </c>
      <c r="L226" s="57" t="s">
        <v>69</v>
      </c>
      <c r="S226" s="57">
        <v>0</v>
      </c>
    </row>
    <row r="227" spans="1:19" ht="11.85" customHeight="1" x14ac:dyDescent="0.2">
      <c r="A227" s="57" t="s">
        <v>475</v>
      </c>
      <c r="B227" s="416"/>
      <c r="C227" s="417"/>
      <c r="D227" s="418"/>
      <c r="E227" s="419" t="s">
        <v>401</v>
      </c>
      <c r="F227" s="420"/>
      <c r="G227" s="64" t="s">
        <v>413</v>
      </c>
      <c r="H227" s="419" t="s">
        <v>415</v>
      </c>
      <c r="I227" s="420"/>
      <c r="K227" s="57" t="s">
        <v>475</v>
      </c>
      <c r="L227" s="57" t="s">
        <v>69</v>
      </c>
      <c r="S227" s="57">
        <v>0</v>
      </c>
    </row>
    <row r="228" spans="1:19" ht="11.1" customHeight="1" x14ac:dyDescent="0.2">
      <c r="A228" s="57" t="s">
        <v>475</v>
      </c>
      <c r="B228" s="413" t="s">
        <v>416</v>
      </c>
      <c r="C228" s="414"/>
      <c r="D228" s="415"/>
      <c r="E228" s="419" t="s">
        <v>402</v>
      </c>
      <c r="F228" s="420"/>
      <c r="G228" s="64" t="s">
        <v>417</v>
      </c>
      <c r="H228" s="419" t="s">
        <v>418</v>
      </c>
      <c r="I228" s="420"/>
      <c r="K228" s="57" t="s">
        <v>475</v>
      </c>
      <c r="L228" s="57" t="s">
        <v>69</v>
      </c>
      <c r="S228" s="57">
        <v>0</v>
      </c>
    </row>
    <row r="229" spans="1:19" ht="11.85" customHeight="1" x14ac:dyDescent="0.2">
      <c r="A229" s="57" t="s">
        <v>475</v>
      </c>
      <c r="B229" s="424"/>
      <c r="C229" s="425"/>
      <c r="D229" s="426"/>
      <c r="E229" s="419" t="s">
        <v>403</v>
      </c>
      <c r="F229" s="420"/>
      <c r="G229" s="64" t="s">
        <v>417</v>
      </c>
      <c r="H229" s="419" t="s">
        <v>418</v>
      </c>
      <c r="I229" s="420"/>
      <c r="K229" s="57" t="s">
        <v>475</v>
      </c>
      <c r="L229" s="57" t="s">
        <v>69</v>
      </c>
      <c r="S229" s="57">
        <v>0</v>
      </c>
    </row>
    <row r="230" spans="1:19" ht="11.85" customHeight="1" x14ac:dyDescent="0.2">
      <c r="A230" s="57" t="s">
        <v>475</v>
      </c>
      <c r="B230" s="424"/>
      <c r="C230" s="425"/>
      <c r="D230" s="426"/>
      <c r="E230" s="419" t="s">
        <v>404</v>
      </c>
      <c r="F230" s="420"/>
      <c r="G230" s="64" t="s">
        <v>413</v>
      </c>
      <c r="H230" s="419" t="s">
        <v>419</v>
      </c>
      <c r="I230" s="420"/>
      <c r="K230" s="57" t="s">
        <v>475</v>
      </c>
      <c r="L230" s="57" t="s">
        <v>69</v>
      </c>
      <c r="S230" s="57">
        <v>0</v>
      </c>
    </row>
    <row r="231" spans="1:19" ht="11.85" customHeight="1" x14ac:dyDescent="0.2">
      <c r="A231" s="57" t="s">
        <v>475</v>
      </c>
      <c r="B231" s="424"/>
      <c r="C231" s="425"/>
      <c r="D231" s="426"/>
      <c r="E231" s="419" t="s">
        <v>405</v>
      </c>
      <c r="F231" s="420"/>
      <c r="G231" s="64" t="s">
        <v>420</v>
      </c>
      <c r="H231" s="419" t="s">
        <v>421</v>
      </c>
      <c r="I231" s="420"/>
      <c r="K231" s="57" t="s">
        <v>475</v>
      </c>
      <c r="L231" s="57" t="s">
        <v>69</v>
      </c>
      <c r="S231" s="57">
        <v>0</v>
      </c>
    </row>
    <row r="232" spans="1:19" ht="11.1" customHeight="1" x14ac:dyDescent="0.2">
      <c r="A232" s="57" t="s">
        <v>475</v>
      </c>
      <c r="B232" s="424"/>
      <c r="C232" s="425"/>
      <c r="D232" s="426"/>
      <c r="E232" s="419" t="s">
        <v>406</v>
      </c>
      <c r="F232" s="420"/>
      <c r="G232" s="64" t="s">
        <v>422</v>
      </c>
      <c r="H232" s="419" t="s">
        <v>423</v>
      </c>
      <c r="I232" s="420"/>
      <c r="K232" s="57" t="s">
        <v>475</v>
      </c>
      <c r="L232" s="57" t="s">
        <v>69</v>
      </c>
      <c r="S232" s="65">
        <v>48.44</v>
      </c>
    </row>
    <row r="233" spans="1:19" ht="11.85" customHeight="1" x14ac:dyDescent="0.2">
      <c r="A233" s="57" t="s">
        <v>475</v>
      </c>
      <c r="B233" s="416"/>
      <c r="C233" s="417"/>
      <c r="D233" s="418"/>
      <c r="E233" s="419" t="s">
        <v>407</v>
      </c>
      <c r="F233" s="420"/>
      <c r="G233" s="64" t="s">
        <v>424</v>
      </c>
      <c r="H233" s="419" t="s">
        <v>425</v>
      </c>
      <c r="I233" s="420"/>
      <c r="K233" s="57" t="s">
        <v>475</v>
      </c>
      <c r="L233" s="57" t="s">
        <v>69</v>
      </c>
      <c r="S233" s="57">
        <v>0</v>
      </c>
    </row>
    <row r="234" spans="1:19" ht="11.85" customHeight="1" x14ac:dyDescent="0.2">
      <c r="A234" s="57" t="s">
        <v>475</v>
      </c>
      <c r="B234" s="413" t="s">
        <v>426</v>
      </c>
      <c r="C234" s="414"/>
      <c r="D234" s="415"/>
      <c r="E234" s="419" t="s">
        <v>408</v>
      </c>
      <c r="F234" s="420"/>
      <c r="G234" s="64" t="s">
        <v>420</v>
      </c>
      <c r="H234" s="419" t="s">
        <v>427</v>
      </c>
      <c r="I234" s="420"/>
      <c r="K234" s="57" t="s">
        <v>475</v>
      </c>
      <c r="L234" s="57" t="s">
        <v>69</v>
      </c>
      <c r="S234" s="57">
        <v>0</v>
      </c>
    </row>
    <row r="235" spans="1:19" ht="11.85" customHeight="1" x14ac:dyDescent="0.2">
      <c r="A235" s="57" t="s">
        <v>475</v>
      </c>
      <c r="B235" s="424"/>
      <c r="C235" s="425"/>
      <c r="D235" s="426"/>
      <c r="E235" s="419" t="s">
        <v>409</v>
      </c>
      <c r="F235" s="420"/>
      <c r="G235" s="64" t="s">
        <v>417</v>
      </c>
      <c r="H235" s="419" t="s">
        <v>428</v>
      </c>
      <c r="I235" s="420"/>
      <c r="K235" s="57" t="s">
        <v>475</v>
      </c>
      <c r="L235" s="57" t="s">
        <v>69</v>
      </c>
      <c r="S235" s="57">
        <v>0</v>
      </c>
    </row>
    <row r="236" spans="1:19" ht="11.1" customHeight="1" x14ac:dyDescent="0.2">
      <c r="A236" s="57" t="s">
        <v>475</v>
      </c>
      <c r="B236" s="416"/>
      <c r="C236" s="417"/>
      <c r="D236" s="418"/>
      <c r="E236" s="419" t="s">
        <v>410</v>
      </c>
      <c r="F236" s="420"/>
      <c r="G236" s="64" t="s">
        <v>417</v>
      </c>
      <c r="H236" s="419" t="s">
        <v>415</v>
      </c>
      <c r="I236" s="420"/>
      <c r="K236" s="57" t="s">
        <v>475</v>
      </c>
      <c r="L236" s="57" t="s">
        <v>69</v>
      </c>
      <c r="S236" s="57">
        <v>0</v>
      </c>
    </row>
    <row r="237" spans="1:19" ht="11.85" customHeight="1" x14ac:dyDescent="0.2">
      <c r="A237" s="57" t="s">
        <v>475</v>
      </c>
      <c r="B237" s="62"/>
      <c r="C237" s="411" t="s">
        <v>476</v>
      </c>
      <c r="D237" s="412"/>
      <c r="E237" s="412"/>
      <c r="F237" s="412"/>
      <c r="G237" s="412"/>
      <c r="H237" s="412"/>
      <c r="I237" s="411"/>
      <c r="K237" s="57" t="s">
        <v>475</v>
      </c>
      <c r="L237" s="57" t="s">
        <v>69</v>
      </c>
      <c r="S237" s="57">
        <v>0</v>
      </c>
    </row>
    <row r="238" spans="1:19" ht="11.85" customHeight="1" x14ac:dyDescent="0.2">
      <c r="A238" s="57" t="s">
        <v>476</v>
      </c>
      <c r="B238" s="413" t="s">
        <v>412</v>
      </c>
      <c r="C238" s="414"/>
      <c r="D238" s="415"/>
      <c r="E238" s="419" t="s">
        <v>400</v>
      </c>
      <c r="F238" s="420"/>
      <c r="G238" s="64" t="s">
        <v>413</v>
      </c>
      <c r="H238" s="419" t="s">
        <v>414</v>
      </c>
      <c r="I238" s="420"/>
      <c r="K238" s="57" t="s">
        <v>476</v>
      </c>
      <c r="L238" s="57" t="s">
        <v>71</v>
      </c>
      <c r="S238" s="57">
        <v>0</v>
      </c>
    </row>
    <row r="239" spans="1:19" ht="11.85" customHeight="1" x14ac:dyDescent="0.2">
      <c r="A239" s="57" t="s">
        <v>476</v>
      </c>
      <c r="B239" s="416"/>
      <c r="C239" s="417"/>
      <c r="D239" s="418"/>
      <c r="E239" s="419" t="s">
        <v>401</v>
      </c>
      <c r="F239" s="420"/>
      <c r="G239" s="64" t="s">
        <v>413</v>
      </c>
      <c r="H239" s="419" t="s">
        <v>415</v>
      </c>
      <c r="I239" s="420"/>
      <c r="K239" s="57" t="s">
        <v>476</v>
      </c>
      <c r="L239" s="57" t="s">
        <v>71</v>
      </c>
      <c r="S239" s="57">
        <v>0</v>
      </c>
    </row>
    <row r="240" spans="1:19" ht="11.1" customHeight="1" x14ac:dyDescent="0.2">
      <c r="A240" s="57" t="s">
        <v>476</v>
      </c>
      <c r="B240" s="413" t="s">
        <v>416</v>
      </c>
      <c r="C240" s="414"/>
      <c r="D240" s="415"/>
      <c r="E240" s="419" t="s">
        <v>402</v>
      </c>
      <c r="F240" s="420"/>
      <c r="G240" s="64" t="s">
        <v>417</v>
      </c>
      <c r="H240" s="419" t="s">
        <v>418</v>
      </c>
      <c r="I240" s="420"/>
      <c r="K240" s="57" t="s">
        <v>476</v>
      </c>
      <c r="L240" s="57" t="s">
        <v>71</v>
      </c>
      <c r="S240" s="57">
        <v>0</v>
      </c>
    </row>
    <row r="241" spans="1:19" ht="11.85" customHeight="1" x14ac:dyDescent="0.2">
      <c r="A241" s="57" t="s">
        <v>476</v>
      </c>
      <c r="B241" s="424"/>
      <c r="C241" s="425"/>
      <c r="D241" s="426"/>
      <c r="E241" s="419" t="s">
        <v>403</v>
      </c>
      <c r="F241" s="420"/>
      <c r="G241" s="64" t="s">
        <v>417</v>
      </c>
      <c r="H241" s="419" t="s">
        <v>418</v>
      </c>
      <c r="I241" s="420"/>
      <c r="K241" s="57" t="s">
        <v>476</v>
      </c>
      <c r="L241" s="57" t="s">
        <v>71</v>
      </c>
      <c r="S241" s="57">
        <v>0</v>
      </c>
    </row>
    <row r="242" spans="1:19" ht="11.85" customHeight="1" x14ac:dyDescent="0.2">
      <c r="A242" s="57" t="s">
        <v>476</v>
      </c>
      <c r="B242" s="424"/>
      <c r="C242" s="425"/>
      <c r="D242" s="426"/>
      <c r="E242" s="419" t="s">
        <v>404</v>
      </c>
      <c r="F242" s="420"/>
      <c r="G242" s="64" t="s">
        <v>413</v>
      </c>
      <c r="H242" s="419" t="s">
        <v>419</v>
      </c>
      <c r="I242" s="420"/>
      <c r="K242" s="57" t="s">
        <v>476</v>
      </c>
      <c r="L242" s="57" t="s">
        <v>71</v>
      </c>
      <c r="S242" s="57">
        <v>0</v>
      </c>
    </row>
    <row r="243" spans="1:19" ht="11.85" customHeight="1" x14ac:dyDescent="0.2">
      <c r="A243" s="57" t="s">
        <v>476</v>
      </c>
      <c r="B243" s="424"/>
      <c r="C243" s="425"/>
      <c r="D243" s="426"/>
      <c r="E243" s="419" t="s">
        <v>405</v>
      </c>
      <c r="F243" s="420"/>
      <c r="G243" s="64" t="s">
        <v>420</v>
      </c>
      <c r="H243" s="419" t="s">
        <v>421</v>
      </c>
      <c r="I243" s="420"/>
      <c r="K243" s="57" t="s">
        <v>476</v>
      </c>
      <c r="L243" s="57" t="s">
        <v>71</v>
      </c>
      <c r="S243" s="57">
        <v>0</v>
      </c>
    </row>
    <row r="244" spans="1:19" ht="11.1" customHeight="1" x14ac:dyDescent="0.2">
      <c r="A244" s="57" t="s">
        <v>476</v>
      </c>
      <c r="B244" s="424"/>
      <c r="C244" s="425"/>
      <c r="D244" s="426"/>
      <c r="E244" s="419" t="s">
        <v>406</v>
      </c>
      <c r="F244" s="420"/>
      <c r="G244" s="64" t="s">
        <v>422</v>
      </c>
      <c r="H244" s="419" t="s">
        <v>423</v>
      </c>
      <c r="I244" s="420"/>
      <c r="K244" s="57" t="s">
        <v>476</v>
      </c>
      <c r="L244" s="57" t="s">
        <v>71</v>
      </c>
      <c r="S244" s="65">
        <v>48.44</v>
      </c>
    </row>
    <row r="245" spans="1:19" ht="11.85" customHeight="1" x14ac:dyDescent="0.2">
      <c r="A245" s="57" t="s">
        <v>476</v>
      </c>
      <c r="B245" s="416"/>
      <c r="C245" s="417"/>
      <c r="D245" s="418"/>
      <c r="E245" s="419" t="s">
        <v>407</v>
      </c>
      <c r="F245" s="420"/>
      <c r="G245" s="64" t="s">
        <v>424</v>
      </c>
      <c r="H245" s="419" t="s">
        <v>425</v>
      </c>
      <c r="I245" s="420"/>
      <c r="K245" s="57" t="s">
        <v>476</v>
      </c>
      <c r="L245" s="57" t="s">
        <v>71</v>
      </c>
      <c r="S245" s="57">
        <v>0</v>
      </c>
    </row>
    <row r="246" spans="1:19" ht="11.85" customHeight="1" x14ac:dyDescent="0.2">
      <c r="A246" s="57" t="s">
        <v>476</v>
      </c>
      <c r="B246" s="413" t="s">
        <v>426</v>
      </c>
      <c r="C246" s="414"/>
      <c r="D246" s="415"/>
      <c r="E246" s="419" t="s">
        <v>408</v>
      </c>
      <c r="F246" s="420"/>
      <c r="G246" s="64" t="s">
        <v>420</v>
      </c>
      <c r="H246" s="419" t="s">
        <v>427</v>
      </c>
      <c r="I246" s="420"/>
      <c r="K246" s="57" t="s">
        <v>476</v>
      </c>
      <c r="L246" s="57" t="s">
        <v>71</v>
      </c>
      <c r="S246" s="57">
        <v>0</v>
      </c>
    </row>
    <row r="247" spans="1:19" ht="11.85" customHeight="1" x14ac:dyDescent="0.2">
      <c r="A247" s="57" t="s">
        <v>476</v>
      </c>
      <c r="B247" s="424"/>
      <c r="C247" s="425"/>
      <c r="D247" s="426"/>
      <c r="E247" s="419" t="s">
        <v>409</v>
      </c>
      <c r="F247" s="420"/>
      <c r="G247" s="64" t="s">
        <v>417</v>
      </c>
      <c r="H247" s="419" t="s">
        <v>428</v>
      </c>
      <c r="I247" s="420"/>
      <c r="K247" s="57" t="s">
        <v>476</v>
      </c>
      <c r="L247" s="57" t="s">
        <v>71</v>
      </c>
      <c r="S247" s="57">
        <v>0</v>
      </c>
    </row>
    <row r="248" spans="1:19" ht="11.1" customHeight="1" x14ac:dyDescent="0.2">
      <c r="A248" s="57" t="s">
        <v>476</v>
      </c>
      <c r="B248" s="416"/>
      <c r="C248" s="417"/>
      <c r="D248" s="418"/>
      <c r="E248" s="419" t="s">
        <v>410</v>
      </c>
      <c r="F248" s="420"/>
      <c r="G248" s="64" t="s">
        <v>417</v>
      </c>
      <c r="H248" s="419" t="s">
        <v>415</v>
      </c>
      <c r="I248" s="420"/>
      <c r="K248" s="57" t="s">
        <v>476</v>
      </c>
      <c r="L248" s="57" t="s">
        <v>71</v>
      </c>
      <c r="S248" s="57">
        <v>0</v>
      </c>
    </row>
    <row r="249" spans="1:19" ht="11.85" customHeight="1" x14ac:dyDescent="0.2">
      <c r="A249" s="57" t="s">
        <v>476</v>
      </c>
      <c r="B249" s="62"/>
      <c r="C249" s="411" t="s">
        <v>477</v>
      </c>
      <c r="D249" s="412"/>
      <c r="E249" s="412"/>
      <c r="F249" s="412"/>
      <c r="G249" s="412"/>
      <c r="H249" s="412"/>
      <c r="I249" s="411"/>
      <c r="K249" s="57" t="s">
        <v>476</v>
      </c>
      <c r="L249" s="57" t="s">
        <v>71</v>
      </c>
      <c r="S249" s="57">
        <v>0</v>
      </c>
    </row>
    <row r="250" spans="1:19" ht="11.85" customHeight="1" x14ac:dyDescent="0.2">
      <c r="A250" s="57" t="s">
        <v>477</v>
      </c>
      <c r="B250" s="413" t="s">
        <v>416</v>
      </c>
      <c r="C250" s="414"/>
      <c r="D250" s="415"/>
      <c r="E250" s="419" t="s">
        <v>402</v>
      </c>
      <c r="F250" s="420"/>
      <c r="G250" s="64" t="s">
        <v>417</v>
      </c>
      <c r="H250" s="419" t="s">
        <v>437</v>
      </c>
      <c r="I250" s="420"/>
      <c r="K250" s="57" t="s">
        <v>477</v>
      </c>
      <c r="L250" s="57" t="s">
        <v>72</v>
      </c>
      <c r="S250" s="57">
        <v>0</v>
      </c>
    </row>
    <row r="251" spans="1:19" ht="11.85" customHeight="1" x14ac:dyDescent="0.2">
      <c r="A251" s="57" t="s">
        <v>477</v>
      </c>
      <c r="B251" s="424"/>
      <c r="C251" s="425"/>
      <c r="D251" s="426"/>
      <c r="E251" s="419" t="s">
        <v>403</v>
      </c>
      <c r="F251" s="420"/>
      <c r="G251" s="64" t="s">
        <v>417</v>
      </c>
      <c r="H251" s="419" t="s">
        <v>437</v>
      </c>
      <c r="I251" s="420"/>
      <c r="K251" s="57" t="s">
        <v>477</v>
      </c>
      <c r="L251" s="57" t="s">
        <v>72</v>
      </c>
      <c r="S251" s="57">
        <v>0</v>
      </c>
    </row>
    <row r="252" spans="1:19" ht="11.1" customHeight="1" x14ac:dyDescent="0.2">
      <c r="A252" s="57" t="s">
        <v>477</v>
      </c>
      <c r="B252" s="424"/>
      <c r="C252" s="425"/>
      <c r="D252" s="426"/>
      <c r="E252" s="419" t="s">
        <v>404</v>
      </c>
      <c r="F252" s="420"/>
      <c r="G252" s="64" t="s">
        <v>413</v>
      </c>
      <c r="H252" s="419" t="s">
        <v>478</v>
      </c>
      <c r="I252" s="420"/>
      <c r="K252" s="57" t="s">
        <v>477</v>
      </c>
      <c r="L252" s="57" t="s">
        <v>72</v>
      </c>
      <c r="S252" s="57">
        <v>0</v>
      </c>
    </row>
    <row r="253" spans="1:19" ht="11.85" customHeight="1" x14ac:dyDescent="0.2">
      <c r="A253" s="57" t="s">
        <v>477</v>
      </c>
      <c r="B253" s="424"/>
      <c r="C253" s="425"/>
      <c r="D253" s="426"/>
      <c r="E253" s="419" t="s">
        <v>405</v>
      </c>
      <c r="F253" s="420"/>
      <c r="G253" s="64" t="s">
        <v>420</v>
      </c>
      <c r="H253" s="419" t="s">
        <v>439</v>
      </c>
      <c r="I253" s="420"/>
      <c r="K253" s="57" t="s">
        <v>477</v>
      </c>
      <c r="L253" s="57" t="s">
        <v>72</v>
      </c>
      <c r="S253" s="57">
        <v>0</v>
      </c>
    </row>
    <row r="254" spans="1:19" ht="11.85" customHeight="1" x14ac:dyDescent="0.2">
      <c r="A254" s="57" t="s">
        <v>477</v>
      </c>
      <c r="B254" s="424"/>
      <c r="C254" s="425"/>
      <c r="D254" s="426"/>
      <c r="E254" s="419" t="s">
        <v>440</v>
      </c>
      <c r="F254" s="420"/>
      <c r="G254" s="64" t="s">
        <v>441</v>
      </c>
      <c r="H254" s="419" t="s">
        <v>423</v>
      </c>
      <c r="I254" s="420"/>
      <c r="K254" s="57" t="s">
        <v>477</v>
      </c>
      <c r="L254" s="57" t="s">
        <v>72</v>
      </c>
      <c r="S254" s="65">
        <v>48.16</v>
      </c>
    </row>
    <row r="255" spans="1:19" ht="11.85" customHeight="1" x14ac:dyDescent="0.2">
      <c r="A255" s="57" t="s">
        <v>477</v>
      </c>
      <c r="B255" s="416"/>
      <c r="C255" s="417"/>
      <c r="D255" s="418"/>
      <c r="E255" s="419" t="s">
        <v>442</v>
      </c>
      <c r="F255" s="420"/>
      <c r="G255" s="64" t="s">
        <v>443</v>
      </c>
      <c r="H255" s="419" t="s">
        <v>425</v>
      </c>
      <c r="I255" s="420"/>
      <c r="K255" s="57" t="s">
        <v>477</v>
      </c>
      <c r="L255" s="57" t="s">
        <v>72</v>
      </c>
      <c r="S255" s="57">
        <v>0</v>
      </c>
    </row>
    <row r="256" spans="1:19" ht="11.1" customHeight="1" x14ac:dyDescent="0.2">
      <c r="A256" s="57" t="s">
        <v>477</v>
      </c>
      <c r="B256" s="62"/>
      <c r="C256" s="411" t="s">
        <v>479</v>
      </c>
      <c r="D256" s="412"/>
      <c r="E256" s="412"/>
      <c r="F256" s="412"/>
      <c r="G256" s="412"/>
      <c r="H256" s="412"/>
      <c r="I256" s="411"/>
      <c r="K256" s="57" t="s">
        <v>477</v>
      </c>
      <c r="L256" s="57" t="s">
        <v>72</v>
      </c>
      <c r="S256" s="57">
        <v>0</v>
      </c>
    </row>
    <row r="257" spans="1:19" ht="11.85" customHeight="1" x14ac:dyDescent="0.2">
      <c r="A257" s="57" t="s">
        <v>479</v>
      </c>
      <c r="B257" s="413" t="s">
        <v>416</v>
      </c>
      <c r="C257" s="414"/>
      <c r="D257" s="415"/>
      <c r="E257" s="419" t="s">
        <v>402</v>
      </c>
      <c r="F257" s="420"/>
      <c r="G257" s="64" t="s">
        <v>417</v>
      </c>
      <c r="H257" s="419" t="s">
        <v>457</v>
      </c>
      <c r="I257" s="420"/>
      <c r="K257" s="57" t="s">
        <v>479</v>
      </c>
      <c r="L257" s="57" t="s">
        <v>878</v>
      </c>
      <c r="S257" s="57">
        <v>0</v>
      </c>
    </row>
    <row r="258" spans="1:19" ht="11.85" customHeight="1" x14ac:dyDescent="0.2">
      <c r="A258" s="57" t="s">
        <v>479</v>
      </c>
      <c r="B258" s="424"/>
      <c r="C258" s="425"/>
      <c r="D258" s="426"/>
      <c r="E258" s="419" t="s">
        <v>403</v>
      </c>
      <c r="F258" s="420"/>
      <c r="G258" s="64" t="s">
        <v>417</v>
      </c>
      <c r="H258" s="419" t="s">
        <v>457</v>
      </c>
      <c r="I258" s="420"/>
      <c r="K258" s="57" t="s">
        <v>479</v>
      </c>
      <c r="L258" s="57" t="s">
        <v>878</v>
      </c>
      <c r="S258" s="57">
        <v>0</v>
      </c>
    </row>
    <row r="259" spans="1:19" ht="11.85" customHeight="1" x14ac:dyDescent="0.2">
      <c r="A259" s="57" t="s">
        <v>479</v>
      </c>
      <c r="B259" s="424"/>
      <c r="C259" s="425"/>
      <c r="D259" s="426"/>
      <c r="E259" s="419" t="s">
        <v>404</v>
      </c>
      <c r="F259" s="420"/>
      <c r="G259" s="64" t="s">
        <v>413</v>
      </c>
      <c r="H259" s="419" t="s">
        <v>458</v>
      </c>
      <c r="I259" s="420"/>
      <c r="K259" s="57" t="s">
        <v>479</v>
      </c>
      <c r="L259" s="57" t="s">
        <v>878</v>
      </c>
      <c r="S259" s="57">
        <v>0</v>
      </c>
    </row>
    <row r="260" spans="1:19" ht="11.1" customHeight="1" x14ac:dyDescent="0.2">
      <c r="A260" s="57" t="s">
        <v>479</v>
      </c>
      <c r="B260" s="424"/>
      <c r="C260" s="425"/>
      <c r="D260" s="426"/>
      <c r="E260" s="419" t="s">
        <v>405</v>
      </c>
      <c r="F260" s="420"/>
      <c r="G260" s="64" t="s">
        <v>420</v>
      </c>
      <c r="H260" s="419" t="s">
        <v>459</v>
      </c>
      <c r="I260" s="420"/>
      <c r="K260" s="57" t="s">
        <v>479</v>
      </c>
      <c r="L260" s="57" t="s">
        <v>878</v>
      </c>
      <c r="S260" s="57">
        <v>0</v>
      </c>
    </row>
    <row r="261" spans="1:19" ht="11.85" customHeight="1" x14ac:dyDescent="0.2">
      <c r="A261" s="57" t="s">
        <v>479</v>
      </c>
      <c r="B261" s="424"/>
      <c r="C261" s="425"/>
      <c r="D261" s="426"/>
      <c r="E261" s="419" t="s">
        <v>460</v>
      </c>
      <c r="F261" s="420"/>
      <c r="G261" s="64" t="s">
        <v>461</v>
      </c>
      <c r="H261" s="419" t="s">
        <v>423</v>
      </c>
      <c r="I261" s="420"/>
      <c r="K261" s="57" t="s">
        <v>479</v>
      </c>
      <c r="L261" s="57" t="s">
        <v>878</v>
      </c>
      <c r="S261" s="65">
        <v>33.17</v>
      </c>
    </row>
    <row r="262" spans="1:19" ht="11.85" customHeight="1" x14ac:dyDescent="0.2">
      <c r="A262" s="57" t="s">
        <v>479</v>
      </c>
      <c r="B262" s="416"/>
      <c r="C262" s="417"/>
      <c r="D262" s="418"/>
      <c r="E262" s="419" t="s">
        <v>462</v>
      </c>
      <c r="F262" s="420"/>
      <c r="G262" s="64" t="s">
        <v>424</v>
      </c>
      <c r="H262" s="419" t="s">
        <v>463</v>
      </c>
      <c r="I262" s="420"/>
      <c r="K262" s="57" t="s">
        <v>479</v>
      </c>
      <c r="L262" s="57" t="s">
        <v>878</v>
      </c>
      <c r="S262" s="57">
        <v>0</v>
      </c>
    </row>
    <row r="263" spans="1:19" ht="11.85" customHeight="1" x14ac:dyDescent="0.2">
      <c r="A263" s="57" t="s">
        <v>479</v>
      </c>
      <c r="B263" s="62"/>
      <c r="C263" s="411" t="s">
        <v>480</v>
      </c>
      <c r="D263" s="412"/>
      <c r="E263" s="412"/>
      <c r="F263" s="412"/>
      <c r="G263" s="412"/>
      <c r="H263" s="412"/>
      <c r="I263" s="411"/>
      <c r="K263" s="57" t="s">
        <v>479</v>
      </c>
      <c r="L263" s="57" t="s">
        <v>878</v>
      </c>
      <c r="S263" s="57">
        <v>0</v>
      </c>
    </row>
    <row r="264" spans="1:19" ht="11.1" customHeight="1" x14ac:dyDescent="0.2">
      <c r="A264" s="57" t="s">
        <v>480</v>
      </c>
      <c r="B264" s="413" t="s">
        <v>416</v>
      </c>
      <c r="C264" s="414"/>
      <c r="D264" s="415"/>
      <c r="E264" s="419" t="s">
        <v>402</v>
      </c>
      <c r="F264" s="420"/>
      <c r="G264" s="64" t="s">
        <v>417</v>
      </c>
      <c r="H264" s="419" t="s">
        <v>457</v>
      </c>
      <c r="I264" s="420"/>
      <c r="K264" s="57" t="s">
        <v>480</v>
      </c>
      <c r="L264" s="57" t="s">
        <v>879</v>
      </c>
      <c r="S264" s="57">
        <v>0</v>
      </c>
    </row>
    <row r="265" spans="1:19" ht="11.85" customHeight="1" x14ac:dyDescent="0.2">
      <c r="A265" s="57" t="s">
        <v>480</v>
      </c>
      <c r="B265" s="424"/>
      <c r="C265" s="425"/>
      <c r="D265" s="426"/>
      <c r="E265" s="419" t="s">
        <v>403</v>
      </c>
      <c r="F265" s="420"/>
      <c r="G265" s="64" t="s">
        <v>417</v>
      </c>
      <c r="H265" s="419" t="s">
        <v>457</v>
      </c>
      <c r="I265" s="420"/>
      <c r="K265" s="57" t="s">
        <v>480</v>
      </c>
      <c r="L265" s="57" t="s">
        <v>879</v>
      </c>
      <c r="S265" s="57">
        <v>0</v>
      </c>
    </row>
    <row r="266" spans="1:19" ht="11.85" customHeight="1" x14ac:dyDescent="0.2">
      <c r="A266" s="57" t="s">
        <v>480</v>
      </c>
      <c r="B266" s="424"/>
      <c r="C266" s="425"/>
      <c r="D266" s="426"/>
      <c r="E266" s="419" t="s">
        <v>404</v>
      </c>
      <c r="F266" s="420"/>
      <c r="G266" s="64" t="s">
        <v>413</v>
      </c>
      <c r="H266" s="419" t="s">
        <v>458</v>
      </c>
      <c r="I266" s="420"/>
      <c r="K266" s="57" t="s">
        <v>480</v>
      </c>
      <c r="L266" s="57" t="s">
        <v>879</v>
      </c>
      <c r="S266" s="57">
        <v>0</v>
      </c>
    </row>
    <row r="267" spans="1:19" ht="11.85" customHeight="1" x14ac:dyDescent="0.2">
      <c r="A267" s="57" t="s">
        <v>480</v>
      </c>
      <c r="B267" s="424"/>
      <c r="C267" s="425"/>
      <c r="D267" s="426"/>
      <c r="E267" s="419" t="s">
        <v>405</v>
      </c>
      <c r="F267" s="420"/>
      <c r="G267" s="64" t="s">
        <v>420</v>
      </c>
      <c r="H267" s="419" t="s">
        <v>459</v>
      </c>
      <c r="I267" s="420"/>
      <c r="K267" s="57" t="s">
        <v>480</v>
      </c>
      <c r="L267" s="57" t="s">
        <v>879</v>
      </c>
      <c r="S267" s="57">
        <v>0</v>
      </c>
    </row>
    <row r="268" spans="1:19" ht="11.1" customHeight="1" x14ac:dyDescent="0.2">
      <c r="A268" s="57" t="s">
        <v>480</v>
      </c>
      <c r="B268" s="424"/>
      <c r="C268" s="425"/>
      <c r="D268" s="426"/>
      <c r="E268" s="419" t="s">
        <v>460</v>
      </c>
      <c r="F268" s="420"/>
      <c r="G268" s="64" t="s">
        <v>461</v>
      </c>
      <c r="H268" s="419" t="s">
        <v>423</v>
      </c>
      <c r="I268" s="420"/>
      <c r="K268" s="57" t="s">
        <v>480</v>
      </c>
      <c r="L268" s="57" t="s">
        <v>879</v>
      </c>
      <c r="S268" s="65">
        <v>33.17</v>
      </c>
    </row>
    <row r="269" spans="1:19" ht="11.85" customHeight="1" x14ac:dyDescent="0.2">
      <c r="A269" s="57" t="s">
        <v>480</v>
      </c>
      <c r="B269" s="416"/>
      <c r="C269" s="417"/>
      <c r="D269" s="418"/>
      <c r="E269" s="419" t="s">
        <v>462</v>
      </c>
      <c r="F269" s="420"/>
      <c r="G269" s="64" t="s">
        <v>424</v>
      </c>
      <c r="H269" s="419" t="s">
        <v>463</v>
      </c>
      <c r="I269" s="420"/>
      <c r="K269" s="57" t="s">
        <v>480</v>
      </c>
      <c r="L269" s="57" t="s">
        <v>879</v>
      </c>
      <c r="S269" s="57">
        <v>0</v>
      </c>
    </row>
    <row r="270" spans="1:19" ht="11.85" customHeight="1" x14ac:dyDescent="0.2">
      <c r="A270" s="57" t="s">
        <v>480</v>
      </c>
      <c r="B270" s="62"/>
      <c r="C270" s="411" t="s">
        <v>481</v>
      </c>
      <c r="D270" s="412"/>
      <c r="E270" s="412"/>
      <c r="F270" s="412"/>
      <c r="G270" s="412"/>
      <c r="H270" s="412"/>
      <c r="I270" s="411"/>
      <c r="K270" s="57" t="s">
        <v>480</v>
      </c>
      <c r="L270" s="57" t="s">
        <v>879</v>
      </c>
      <c r="S270" s="57">
        <v>0</v>
      </c>
    </row>
    <row r="271" spans="1:19" ht="11.85" customHeight="1" x14ac:dyDescent="0.2">
      <c r="A271" s="57" t="s">
        <v>481</v>
      </c>
      <c r="B271" s="413" t="s">
        <v>416</v>
      </c>
      <c r="C271" s="427"/>
      <c r="D271" s="428"/>
      <c r="E271" s="419" t="s">
        <v>402</v>
      </c>
      <c r="F271" s="420"/>
      <c r="G271" s="64" t="s">
        <v>417</v>
      </c>
      <c r="H271" s="419" t="s">
        <v>457</v>
      </c>
      <c r="I271" s="420"/>
      <c r="K271" s="57" t="s">
        <v>481</v>
      </c>
      <c r="L271" s="57" t="s">
        <v>50</v>
      </c>
      <c r="S271" s="57">
        <v>0</v>
      </c>
    </row>
    <row r="272" spans="1:19" ht="11.85" customHeight="1" x14ac:dyDescent="0.2">
      <c r="A272" s="57" t="s">
        <v>481</v>
      </c>
      <c r="B272" s="413" t="s">
        <v>416</v>
      </c>
      <c r="C272" s="414"/>
      <c r="D272" s="415"/>
      <c r="E272" s="419" t="s">
        <v>403</v>
      </c>
      <c r="F272" s="420"/>
      <c r="G272" s="64" t="s">
        <v>417</v>
      </c>
      <c r="H272" s="419" t="s">
        <v>457</v>
      </c>
      <c r="I272" s="420"/>
      <c r="K272" s="57" t="s">
        <v>481</v>
      </c>
      <c r="L272" s="57" t="s">
        <v>50</v>
      </c>
      <c r="S272" s="57">
        <v>0</v>
      </c>
    </row>
    <row r="273" spans="1:19" ht="11.85" customHeight="1" x14ac:dyDescent="0.2">
      <c r="A273" s="57" t="s">
        <v>481</v>
      </c>
      <c r="B273" s="424"/>
      <c r="C273" s="425"/>
      <c r="D273" s="426"/>
      <c r="E273" s="419" t="s">
        <v>404</v>
      </c>
      <c r="F273" s="420"/>
      <c r="G273" s="64" t="s">
        <v>413</v>
      </c>
      <c r="H273" s="419" t="s">
        <v>458</v>
      </c>
      <c r="I273" s="420"/>
      <c r="K273" s="57" t="s">
        <v>481</v>
      </c>
      <c r="L273" s="57" t="s">
        <v>50</v>
      </c>
      <c r="S273" s="57">
        <v>0</v>
      </c>
    </row>
    <row r="274" spans="1:19" ht="11.85" customHeight="1" x14ac:dyDescent="0.2">
      <c r="A274" s="57" t="s">
        <v>481</v>
      </c>
      <c r="B274" s="424"/>
      <c r="C274" s="425"/>
      <c r="D274" s="426"/>
      <c r="E274" s="419" t="s">
        <v>405</v>
      </c>
      <c r="F274" s="420"/>
      <c r="G274" s="64" t="s">
        <v>420</v>
      </c>
      <c r="H274" s="419" t="s">
        <v>459</v>
      </c>
      <c r="I274" s="420"/>
      <c r="K274" s="57" t="s">
        <v>481</v>
      </c>
      <c r="L274" s="57" t="s">
        <v>50</v>
      </c>
      <c r="S274" s="57">
        <v>0</v>
      </c>
    </row>
    <row r="275" spans="1:19" ht="11.1" customHeight="1" x14ac:dyDescent="0.2">
      <c r="A275" s="57" t="s">
        <v>481</v>
      </c>
      <c r="B275" s="424"/>
      <c r="C275" s="425"/>
      <c r="D275" s="426"/>
      <c r="E275" s="419" t="s">
        <v>460</v>
      </c>
      <c r="F275" s="420"/>
      <c r="G275" s="64" t="s">
        <v>461</v>
      </c>
      <c r="H275" s="419" t="s">
        <v>423</v>
      </c>
      <c r="I275" s="420"/>
      <c r="K275" s="57" t="s">
        <v>481</v>
      </c>
      <c r="L275" s="57" t="s">
        <v>50</v>
      </c>
      <c r="S275" s="65">
        <v>33.17</v>
      </c>
    </row>
    <row r="276" spans="1:19" ht="11.85" customHeight="1" x14ac:dyDescent="0.2">
      <c r="A276" s="57" t="s">
        <v>481</v>
      </c>
      <c r="B276" s="416"/>
      <c r="C276" s="417"/>
      <c r="D276" s="418"/>
      <c r="E276" s="419" t="s">
        <v>462</v>
      </c>
      <c r="F276" s="420"/>
      <c r="G276" s="64" t="s">
        <v>424</v>
      </c>
      <c r="H276" s="419" t="s">
        <v>463</v>
      </c>
      <c r="I276" s="420"/>
      <c r="K276" s="57" t="s">
        <v>481</v>
      </c>
      <c r="L276" s="57" t="s">
        <v>50</v>
      </c>
      <c r="S276" s="57">
        <v>0</v>
      </c>
    </row>
    <row r="277" spans="1:19" ht="11.85" customHeight="1" x14ac:dyDescent="0.2">
      <c r="A277" s="57" t="s">
        <v>481</v>
      </c>
      <c r="B277" s="62"/>
      <c r="C277" s="411" t="s">
        <v>482</v>
      </c>
      <c r="D277" s="412"/>
      <c r="E277" s="412"/>
      <c r="F277" s="412"/>
      <c r="G277" s="412"/>
      <c r="H277" s="412"/>
      <c r="I277" s="411"/>
      <c r="K277" s="57" t="s">
        <v>481</v>
      </c>
      <c r="L277" s="57" t="s">
        <v>50</v>
      </c>
      <c r="S277" s="57">
        <v>0</v>
      </c>
    </row>
    <row r="278" spans="1:19" ht="11.85" customHeight="1" x14ac:dyDescent="0.2">
      <c r="A278" s="57" t="s">
        <v>482</v>
      </c>
      <c r="B278" s="413" t="s">
        <v>416</v>
      </c>
      <c r="C278" s="414"/>
      <c r="D278" s="415"/>
      <c r="E278" s="419" t="s">
        <v>402</v>
      </c>
      <c r="F278" s="420"/>
      <c r="G278" s="64" t="s">
        <v>417</v>
      </c>
      <c r="H278" s="419" t="s">
        <v>457</v>
      </c>
      <c r="I278" s="420"/>
      <c r="K278" s="57" t="s">
        <v>482</v>
      </c>
      <c r="L278" s="57" t="s">
        <v>53</v>
      </c>
      <c r="S278" s="57">
        <v>0</v>
      </c>
    </row>
    <row r="279" spans="1:19" ht="11.1" customHeight="1" x14ac:dyDescent="0.2">
      <c r="A279" s="57" t="s">
        <v>482</v>
      </c>
      <c r="B279" s="424"/>
      <c r="C279" s="425"/>
      <c r="D279" s="426"/>
      <c r="E279" s="419" t="s">
        <v>403</v>
      </c>
      <c r="F279" s="420"/>
      <c r="G279" s="64" t="s">
        <v>417</v>
      </c>
      <c r="H279" s="419" t="s">
        <v>457</v>
      </c>
      <c r="I279" s="420"/>
      <c r="K279" s="57" t="s">
        <v>482</v>
      </c>
      <c r="L279" s="57" t="s">
        <v>53</v>
      </c>
      <c r="S279" s="57">
        <v>0</v>
      </c>
    </row>
    <row r="280" spans="1:19" ht="11.85" customHeight="1" x14ac:dyDescent="0.2">
      <c r="A280" s="57" t="s">
        <v>482</v>
      </c>
      <c r="B280" s="424"/>
      <c r="C280" s="425"/>
      <c r="D280" s="426"/>
      <c r="E280" s="419" t="s">
        <v>404</v>
      </c>
      <c r="F280" s="420"/>
      <c r="G280" s="64" t="s">
        <v>413</v>
      </c>
      <c r="H280" s="419" t="s">
        <v>458</v>
      </c>
      <c r="I280" s="420"/>
      <c r="K280" s="57" t="s">
        <v>482</v>
      </c>
      <c r="L280" s="57" t="s">
        <v>53</v>
      </c>
      <c r="S280" s="57">
        <v>0</v>
      </c>
    </row>
    <row r="281" spans="1:19" ht="11.85" customHeight="1" x14ac:dyDescent="0.2">
      <c r="A281" s="57" t="s">
        <v>482</v>
      </c>
      <c r="B281" s="424"/>
      <c r="C281" s="425"/>
      <c r="D281" s="426"/>
      <c r="E281" s="419" t="s">
        <v>405</v>
      </c>
      <c r="F281" s="420"/>
      <c r="G281" s="64" t="s">
        <v>420</v>
      </c>
      <c r="H281" s="419" t="s">
        <v>459</v>
      </c>
      <c r="I281" s="420"/>
      <c r="K281" s="57" t="s">
        <v>482</v>
      </c>
      <c r="L281" s="57" t="s">
        <v>53</v>
      </c>
      <c r="S281" s="57">
        <v>0</v>
      </c>
    </row>
    <row r="282" spans="1:19" ht="11.85" customHeight="1" x14ac:dyDescent="0.2">
      <c r="A282" s="57" t="s">
        <v>482</v>
      </c>
      <c r="B282" s="424"/>
      <c r="C282" s="425"/>
      <c r="D282" s="426"/>
      <c r="E282" s="419" t="s">
        <v>460</v>
      </c>
      <c r="F282" s="420"/>
      <c r="G282" s="64" t="s">
        <v>461</v>
      </c>
      <c r="H282" s="419" t="s">
        <v>423</v>
      </c>
      <c r="I282" s="420"/>
      <c r="K282" s="57" t="s">
        <v>482</v>
      </c>
      <c r="L282" s="57" t="s">
        <v>53</v>
      </c>
      <c r="S282" s="65">
        <v>33.17</v>
      </c>
    </row>
    <row r="283" spans="1:19" ht="11.1" customHeight="1" x14ac:dyDescent="0.2">
      <c r="A283" s="57" t="s">
        <v>482</v>
      </c>
      <c r="B283" s="416"/>
      <c r="C283" s="417"/>
      <c r="D283" s="418"/>
      <c r="E283" s="419" t="s">
        <v>462</v>
      </c>
      <c r="F283" s="420"/>
      <c r="G283" s="64" t="s">
        <v>424</v>
      </c>
      <c r="H283" s="419" t="s">
        <v>463</v>
      </c>
      <c r="I283" s="420"/>
      <c r="K283" s="57" t="s">
        <v>482</v>
      </c>
      <c r="L283" s="57" t="s">
        <v>53</v>
      </c>
      <c r="S283" s="57">
        <v>0</v>
      </c>
    </row>
    <row r="284" spans="1:19" ht="11.85" customHeight="1" x14ac:dyDescent="0.2">
      <c r="A284" s="57" t="s">
        <v>482</v>
      </c>
      <c r="B284" s="62"/>
      <c r="C284" s="411" t="s">
        <v>483</v>
      </c>
      <c r="D284" s="412"/>
      <c r="E284" s="412"/>
      <c r="F284" s="412"/>
      <c r="G284" s="412"/>
      <c r="H284" s="412"/>
      <c r="I284" s="411"/>
      <c r="K284" s="57" t="s">
        <v>482</v>
      </c>
      <c r="L284" s="57" t="s">
        <v>53</v>
      </c>
      <c r="S284" s="57">
        <v>0</v>
      </c>
    </row>
    <row r="285" spans="1:19" ht="11.85" customHeight="1" x14ac:dyDescent="0.2">
      <c r="A285" s="57" t="s">
        <v>483</v>
      </c>
      <c r="B285" s="413" t="s">
        <v>416</v>
      </c>
      <c r="C285" s="414"/>
      <c r="D285" s="415"/>
      <c r="E285" s="419" t="s">
        <v>402</v>
      </c>
      <c r="F285" s="420"/>
      <c r="G285" s="64" t="s">
        <v>417</v>
      </c>
      <c r="H285" s="419" t="s">
        <v>457</v>
      </c>
      <c r="I285" s="420"/>
      <c r="K285" s="57" t="s">
        <v>483</v>
      </c>
      <c r="L285" s="57" t="s">
        <v>54</v>
      </c>
      <c r="S285" s="57">
        <v>0</v>
      </c>
    </row>
    <row r="286" spans="1:19" ht="11.85" customHeight="1" x14ac:dyDescent="0.2">
      <c r="A286" s="57" t="s">
        <v>483</v>
      </c>
      <c r="B286" s="424"/>
      <c r="C286" s="425"/>
      <c r="D286" s="426"/>
      <c r="E286" s="419" t="s">
        <v>403</v>
      </c>
      <c r="F286" s="420"/>
      <c r="G286" s="64" t="s">
        <v>417</v>
      </c>
      <c r="H286" s="419" t="s">
        <v>457</v>
      </c>
      <c r="I286" s="420"/>
      <c r="K286" s="57" t="s">
        <v>483</v>
      </c>
      <c r="L286" s="57" t="s">
        <v>54</v>
      </c>
      <c r="S286" s="57">
        <v>0</v>
      </c>
    </row>
    <row r="287" spans="1:19" ht="11.1" customHeight="1" x14ac:dyDescent="0.2">
      <c r="A287" s="57" t="s">
        <v>483</v>
      </c>
      <c r="B287" s="424"/>
      <c r="C287" s="425"/>
      <c r="D287" s="426"/>
      <c r="E287" s="419" t="s">
        <v>404</v>
      </c>
      <c r="F287" s="420"/>
      <c r="G287" s="64" t="s">
        <v>413</v>
      </c>
      <c r="H287" s="419" t="s">
        <v>458</v>
      </c>
      <c r="I287" s="420"/>
      <c r="K287" s="57" t="s">
        <v>483</v>
      </c>
      <c r="L287" s="57" t="s">
        <v>54</v>
      </c>
      <c r="S287" s="57">
        <v>0</v>
      </c>
    </row>
    <row r="288" spans="1:19" ht="11.85" customHeight="1" x14ac:dyDescent="0.2">
      <c r="A288" s="57" t="s">
        <v>483</v>
      </c>
      <c r="B288" s="424"/>
      <c r="C288" s="425"/>
      <c r="D288" s="426"/>
      <c r="E288" s="419" t="s">
        <v>405</v>
      </c>
      <c r="F288" s="420"/>
      <c r="G288" s="64" t="s">
        <v>420</v>
      </c>
      <c r="H288" s="419" t="s">
        <v>459</v>
      </c>
      <c r="I288" s="420"/>
      <c r="K288" s="57" t="s">
        <v>483</v>
      </c>
      <c r="L288" s="57" t="s">
        <v>54</v>
      </c>
      <c r="S288" s="57">
        <v>0</v>
      </c>
    </row>
    <row r="289" spans="1:19" ht="11.85" customHeight="1" x14ac:dyDescent="0.2">
      <c r="A289" s="57" t="s">
        <v>483</v>
      </c>
      <c r="B289" s="424"/>
      <c r="C289" s="425"/>
      <c r="D289" s="426"/>
      <c r="E289" s="419" t="s">
        <v>460</v>
      </c>
      <c r="F289" s="420"/>
      <c r="G289" s="64" t="s">
        <v>461</v>
      </c>
      <c r="H289" s="419" t="s">
        <v>423</v>
      </c>
      <c r="I289" s="420"/>
      <c r="K289" s="57" t="s">
        <v>483</v>
      </c>
      <c r="L289" s="57" t="s">
        <v>54</v>
      </c>
      <c r="S289" s="65">
        <v>33.17</v>
      </c>
    </row>
    <row r="290" spans="1:19" ht="11.85" customHeight="1" x14ac:dyDescent="0.2">
      <c r="A290" s="57" t="s">
        <v>483</v>
      </c>
      <c r="B290" s="416"/>
      <c r="C290" s="417"/>
      <c r="D290" s="418"/>
      <c r="E290" s="419" t="s">
        <v>462</v>
      </c>
      <c r="F290" s="420"/>
      <c r="G290" s="64" t="s">
        <v>424</v>
      </c>
      <c r="H290" s="419" t="s">
        <v>463</v>
      </c>
      <c r="I290" s="420"/>
      <c r="K290" s="57" t="s">
        <v>483</v>
      </c>
      <c r="L290" s="57" t="s">
        <v>54</v>
      </c>
      <c r="S290" s="57">
        <v>0</v>
      </c>
    </row>
    <row r="291" spans="1:19" ht="11.1" customHeight="1" x14ac:dyDescent="0.2">
      <c r="A291" s="57" t="s">
        <v>483</v>
      </c>
      <c r="B291" s="62"/>
      <c r="C291" s="411" t="s">
        <v>484</v>
      </c>
      <c r="D291" s="412"/>
      <c r="E291" s="412"/>
      <c r="F291" s="412"/>
      <c r="G291" s="412"/>
      <c r="H291" s="412"/>
      <c r="I291" s="411"/>
      <c r="K291" s="57" t="s">
        <v>483</v>
      </c>
      <c r="L291" s="57" t="s">
        <v>54</v>
      </c>
      <c r="S291" s="57">
        <v>0</v>
      </c>
    </row>
    <row r="292" spans="1:19" ht="11.85" customHeight="1" x14ac:dyDescent="0.2">
      <c r="A292" s="57" t="s">
        <v>484</v>
      </c>
      <c r="B292" s="413" t="s">
        <v>412</v>
      </c>
      <c r="C292" s="414"/>
      <c r="D292" s="415"/>
      <c r="E292" s="419" t="s">
        <v>400</v>
      </c>
      <c r="F292" s="420"/>
      <c r="G292" s="64" t="s">
        <v>413</v>
      </c>
      <c r="H292" s="419" t="s">
        <v>414</v>
      </c>
      <c r="I292" s="420"/>
      <c r="K292" s="57" t="s">
        <v>484</v>
      </c>
      <c r="L292" s="57" t="s">
        <v>55</v>
      </c>
      <c r="S292" s="57">
        <v>0</v>
      </c>
    </row>
    <row r="293" spans="1:19" ht="11.85" customHeight="1" x14ac:dyDescent="0.2">
      <c r="A293" s="57" t="s">
        <v>484</v>
      </c>
      <c r="B293" s="416"/>
      <c r="C293" s="417"/>
      <c r="D293" s="418"/>
      <c r="E293" s="419" t="s">
        <v>401</v>
      </c>
      <c r="F293" s="420"/>
      <c r="G293" s="64" t="s">
        <v>413</v>
      </c>
      <c r="H293" s="419" t="s">
        <v>415</v>
      </c>
      <c r="I293" s="420"/>
      <c r="K293" s="57" t="s">
        <v>484</v>
      </c>
      <c r="L293" s="57" t="s">
        <v>55</v>
      </c>
      <c r="S293" s="57">
        <v>0</v>
      </c>
    </row>
    <row r="294" spans="1:19" ht="11.85" customHeight="1" x14ac:dyDescent="0.2">
      <c r="A294" s="57" t="s">
        <v>484</v>
      </c>
      <c r="B294" s="413" t="s">
        <v>416</v>
      </c>
      <c r="C294" s="414"/>
      <c r="D294" s="415"/>
      <c r="E294" s="419" t="s">
        <v>402</v>
      </c>
      <c r="F294" s="420"/>
      <c r="G294" s="64" t="s">
        <v>417</v>
      </c>
      <c r="H294" s="419" t="s">
        <v>418</v>
      </c>
      <c r="I294" s="420"/>
      <c r="K294" s="57" t="s">
        <v>484</v>
      </c>
      <c r="L294" s="57" t="s">
        <v>55</v>
      </c>
      <c r="S294" s="57">
        <v>0</v>
      </c>
    </row>
    <row r="295" spans="1:19" ht="11.1" customHeight="1" x14ac:dyDescent="0.2">
      <c r="A295" s="57" t="s">
        <v>484</v>
      </c>
      <c r="B295" s="424"/>
      <c r="C295" s="425"/>
      <c r="D295" s="426"/>
      <c r="E295" s="419" t="s">
        <v>403</v>
      </c>
      <c r="F295" s="420"/>
      <c r="G295" s="64" t="s">
        <v>417</v>
      </c>
      <c r="H295" s="419" t="s">
        <v>418</v>
      </c>
      <c r="I295" s="420"/>
      <c r="K295" s="57" t="s">
        <v>484</v>
      </c>
      <c r="L295" s="57" t="s">
        <v>55</v>
      </c>
      <c r="S295" s="57">
        <v>0</v>
      </c>
    </row>
    <row r="296" spans="1:19" ht="11.85" customHeight="1" x14ac:dyDescent="0.2">
      <c r="A296" s="57" t="s">
        <v>484</v>
      </c>
      <c r="B296" s="424"/>
      <c r="C296" s="425"/>
      <c r="D296" s="426"/>
      <c r="E296" s="419" t="s">
        <v>404</v>
      </c>
      <c r="F296" s="420"/>
      <c r="G296" s="64" t="s">
        <v>413</v>
      </c>
      <c r="H296" s="419" t="s">
        <v>419</v>
      </c>
      <c r="I296" s="420"/>
      <c r="K296" s="57" t="s">
        <v>484</v>
      </c>
      <c r="L296" s="57" t="s">
        <v>55</v>
      </c>
      <c r="S296" s="57">
        <v>0</v>
      </c>
    </row>
    <row r="297" spans="1:19" ht="11.85" customHeight="1" x14ac:dyDescent="0.2">
      <c r="A297" s="57" t="s">
        <v>484</v>
      </c>
      <c r="B297" s="424"/>
      <c r="C297" s="425"/>
      <c r="D297" s="426"/>
      <c r="E297" s="419" t="s">
        <v>405</v>
      </c>
      <c r="F297" s="420"/>
      <c r="G297" s="64" t="s">
        <v>420</v>
      </c>
      <c r="H297" s="419" t="s">
        <v>421</v>
      </c>
      <c r="I297" s="420"/>
      <c r="K297" s="57" t="s">
        <v>484</v>
      </c>
      <c r="L297" s="57" t="s">
        <v>55</v>
      </c>
      <c r="S297" s="57">
        <v>0</v>
      </c>
    </row>
    <row r="298" spans="1:19" ht="11.85" customHeight="1" x14ac:dyDescent="0.2">
      <c r="A298" s="57" t="s">
        <v>484</v>
      </c>
      <c r="B298" s="424"/>
      <c r="C298" s="425"/>
      <c r="D298" s="426"/>
      <c r="E298" s="419" t="s">
        <v>406</v>
      </c>
      <c r="F298" s="420"/>
      <c r="G298" s="64" t="s">
        <v>422</v>
      </c>
      <c r="H298" s="419" t="s">
        <v>423</v>
      </c>
      <c r="I298" s="420"/>
      <c r="K298" s="57" t="s">
        <v>484</v>
      </c>
      <c r="L298" s="57" t="s">
        <v>55</v>
      </c>
      <c r="S298" s="65">
        <v>48.44</v>
      </c>
    </row>
    <row r="299" spans="1:19" ht="11.1" customHeight="1" x14ac:dyDescent="0.2">
      <c r="A299" s="57" t="s">
        <v>484</v>
      </c>
      <c r="B299" s="416"/>
      <c r="C299" s="417"/>
      <c r="D299" s="418"/>
      <c r="E299" s="419" t="s">
        <v>407</v>
      </c>
      <c r="F299" s="420"/>
      <c r="G299" s="64" t="s">
        <v>424</v>
      </c>
      <c r="H299" s="419" t="s">
        <v>425</v>
      </c>
      <c r="I299" s="420"/>
      <c r="K299" s="57" t="s">
        <v>484</v>
      </c>
      <c r="L299" s="57" t="s">
        <v>55</v>
      </c>
      <c r="S299" s="57">
        <v>0</v>
      </c>
    </row>
    <row r="300" spans="1:19" ht="11.85" customHeight="1" x14ac:dyDescent="0.2">
      <c r="A300" s="57" t="s">
        <v>484</v>
      </c>
      <c r="B300" s="413" t="s">
        <v>426</v>
      </c>
      <c r="C300" s="414"/>
      <c r="D300" s="415"/>
      <c r="E300" s="419" t="s">
        <v>408</v>
      </c>
      <c r="F300" s="420"/>
      <c r="G300" s="64" t="s">
        <v>420</v>
      </c>
      <c r="H300" s="419" t="s">
        <v>427</v>
      </c>
      <c r="I300" s="420"/>
      <c r="K300" s="57" t="s">
        <v>484</v>
      </c>
      <c r="L300" s="57" t="s">
        <v>55</v>
      </c>
      <c r="S300" s="57">
        <v>0</v>
      </c>
    </row>
    <row r="301" spans="1:19" ht="11.85" customHeight="1" x14ac:dyDescent="0.2">
      <c r="A301" s="57" t="s">
        <v>484</v>
      </c>
      <c r="B301" s="424"/>
      <c r="C301" s="425"/>
      <c r="D301" s="426"/>
      <c r="E301" s="419" t="s">
        <v>409</v>
      </c>
      <c r="F301" s="420"/>
      <c r="G301" s="64" t="s">
        <v>417</v>
      </c>
      <c r="H301" s="419" t="s">
        <v>428</v>
      </c>
      <c r="I301" s="420"/>
      <c r="K301" s="57" t="s">
        <v>484</v>
      </c>
      <c r="L301" s="57" t="s">
        <v>55</v>
      </c>
      <c r="S301" s="57">
        <v>0</v>
      </c>
    </row>
    <row r="302" spans="1:19" ht="11.85" customHeight="1" x14ac:dyDescent="0.2">
      <c r="A302" s="57" t="s">
        <v>484</v>
      </c>
      <c r="B302" s="416"/>
      <c r="C302" s="417"/>
      <c r="D302" s="418"/>
      <c r="E302" s="419" t="s">
        <v>410</v>
      </c>
      <c r="F302" s="420"/>
      <c r="G302" s="64" t="s">
        <v>417</v>
      </c>
      <c r="H302" s="419" t="s">
        <v>415</v>
      </c>
      <c r="I302" s="420"/>
      <c r="K302" s="57" t="s">
        <v>484</v>
      </c>
      <c r="L302" s="57" t="s">
        <v>55</v>
      </c>
      <c r="S302" s="57">
        <v>0</v>
      </c>
    </row>
    <row r="303" spans="1:19" ht="11.1" customHeight="1" x14ac:dyDescent="0.2">
      <c r="A303" s="57" t="s">
        <v>484</v>
      </c>
      <c r="B303" s="62"/>
      <c r="C303" s="411" t="s">
        <v>485</v>
      </c>
      <c r="D303" s="412"/>
      <c r="E303" s="412"/>
      <c r="F303" s="412"/>
      <c r="G303" s="412"/>
      <c r="H303" s="412"/>
      <c r="I303" s="411"/>
      <c r="K303" s="57" t="s">
        <v>484</v>
      </c>
      <c r="L303" s="57" t="s">
        <v>55</v>
      </c>
      <c r="S303" s="57">
        <v>0</v>
      </c>
    </row>
    <row r="304" spans="1:19" ht="11.85" customHeight="1" x14ac:dyDescent="0.2">
      <c r="A304" s="57" t="s">
        <v>485</v>
      </c>
      <c r="B304" s="413" t="s">
        <v>412</v>
      </c>
      <c r="C304" s="414"/>
      <c r="D304" s="415"/>
      <c r="E304" s="419" t="s">
        <v>400</v>
      </c>
      <c r="F304" s="420"/>
      <c r="G304" s="64" t="s">
        <v>413</v>
      </c>
      <c r="H304" s="419" t="s">
        <v>414</v>
      </c>
      <c r="I304" s="420"/>
      <c r="K304" s="57" t="s">
        <v>485</v>
      </c>
      <c r="L304" s="57" t="s">
        <v>56</v>
      </c>
      <c r="S304" s="57">
        <v>0</v>
      </c>
    </row>
    <row r="305" spans="1:19" ht="11.85" customHeight="1" x14ac:dyDescent="0.2">
      <c r="A305" s="57" t="s">
        <v>485</v>
      </c>
      <c r="B305" s="416"/>
      <c r="C305" s="417"/>
      <c r="D305" s="418"/>
      <c r="E305" s="419" t="s">
        <v>401</v>
      </c>
      <c r="F305" s="420"/>
      <c r="G305" s="64" t="s">
        <v>413</v>
      </c>
      <c r="H305" s="419" t="s">
        <v>415</v>
      </c>
      <c r="I305" s="420"/>
      <c r="K305" s="57" t="s">
        <v>485</v>
      </c>
      <c r="L305" s="57" t="s">
        <v>56</v>
      </c>
      <c r="S305" s="57">
        <v>0</v>
      </c>
    </row>
    <row r="306" spans="1:19" ht="11.85" customHeight="1" x14ac:dyDescent="0.2">
      <c r="A306" s="57" t="s">
        <v>485</v>
      </c>
      <c r="B306" s="413" t="s">
        <v>416</v>
      </c>
      <c r="C306" s="414"/>
      <c r="D306" s="415"/>
      <c r="E306" s="419" t="s">
        <v>402</v>
      </c>
      <c r="F306" s="420"/>
      <c r="G306" s="64" t="s">
        <v>417</v>
      </c>
      <c r="H306" s="419" t="s">
        <v>418</v>
      </c>
      <c r="I306" s="420"/>
      <c r="K306" s="57" t="s">
        <v>485</v>
      </c>
      <c r="L306" s="57" t="s">
        <v>56</v>
      </c>
      <c r="S306" s="57">
        <v>0</v>
      </c>
    </row>
    <row r="307" spans="1:19" ht="11.1" customHeight="1" x14ac:dyDescent="0.2">
      <c r="A307" s="57" t="s">
        <v>485</v>
      </c>
      <c r="B307" s="424"/>
      <c r="C307" s="425"/>
      <c r="D307" s="426"/>
      <c r="E307" s="419" t="s">
        <v>403</v>
      </c>
      <c r="F307" s="420"/>
      <c r="G307" s="64" t="s">
        <v>417</v>
      </c>
      <c r="H307" s="419" t="s">
        <v>418</v>
      </c>
      <c r="I307" s="420"/>
      <c r="K307" s="57" t="s">
        <v>485</v>
      </c>
      <c r="L307" s="57" t="s">
        <v>56</v>
      </c>
      <c r="S307" s="57">
        <v>0</v>
      </c>
    </row>
    <row r="308" spans="1:19" ht="11.85" customHeight="1" x14ac:dyDescent="0.2">
      <c r="A308" s="57" t="s">
        <v>485</v>
      </c>
      <c r="B308" s="424"/>
      <c r="C308" s="425"/>
      <c r="D308" s="426"/>
      <c r="E308" s="419" t="s">
        <v>404</v>
      </c>
      <c r="F308" s="420"/>
      <c r="G308" s="64" t="s">
        <v>413</v>
      </c>
      <c r="H308" s="419" t="s">
        <v>419</v>
      </c>
      <c r="I308" s="420"/>
      <c r="K308" s="57" t="s">
        <v>485</v>
      </c>
      <c r="L308" s="57" t="s">
        <v>56</v>
      </c>
      <c r="S308" s="57">
        <v>0</v>
      </c>
    </row>
    <row r="309" spans="1:19" ht="11.85" customHeight="1" x14ac:dyDescent="0.2">
      <c r="A309" s="57" t="s">
        <v>485</v>
      </c>
      <c r="B309" s="424"/>
      <c r="C309" s="425"/>
      <c r="D309" s="426"/>
      <c r="E309" s="419" t="s">
        <v>405</v>
      </c>
      <c r="F309" s="420"/>
      <c r="G309" s="64" t="s">
        <v>420</v>
      </c>
      <c r="H309" s="419" t="s">
        <v>421</v>
      </c>
      <c r="I309" s="420"/>
      <c r="K309" s="57" t="s">
        <v>485</v>
      </c>
      <c r="L309" s="57" t="s">
        <v>56</v>
      </c>
      <c r="S309" s="57">
        <v>0</v>
      </c>
    </row>
    <row r="310" spans="1:19" ht="11.85" customHeight="1" x14ac:dyDescent="0.2">
      <c r="A310" s="57" t="s">
        <v>485</v>
      </c>
      <c r="B310" s="424"/>
      <c r="C310" s="425"/>
      <c r="D310" s="426"/>
      <c r="E310" s="419" t="s">
        <v>406</v>
      </c>
      <c r="F310" s="420"/>
      <c r="G310" s="64" t="s">
        <v>422</v>
      </c>
      <c r="H310" s="419" t="s">
        <v>423</v>
      </c>
      <c r="I310" s="420"/>
      <c r="K310" s="57" t="s">
        <v>485</v>
      </c>
      <c r="L310" s="57" t="s">
        <v>56</v>
      </c>
      <c r="S310" s="65">
        <v>48.44</v>
      </c>
    </row>
    <row r="311" spans="1:19" ht="11.1" customHeight="1" x14ac:dyDescent="0.2">
      <c r="A311" s="57" t="s">
        <v>485</v>
      </c>
      <c r="B311" s="416"/>
      <c r="C311" s="417"/>
      <c r="D311" s="418"/>
      <c r="E311" s="419" t="s">
        <v>407</v>
      </c>
      <c r="F311" s="420"/>
      <c r="G311" s="64" t="s">
        <v>424</v>
      </c>
      <c r="H311" s="419" t="s">
        <v>425</v>
      </c>
      <c r="I311" s="420"/>
      <c r="K311" s="57" t="s">
        <v>485</v>
      </c>
      <c r="L311" s="57" t="s">
        <v>56</v>
      </c>
      <c r="S311" s="57">
        <v>0</v>
      </c>
    </row>
    <row r="312" spans="1:19" ht="11.85" customHeight="1" x14ac:dyDescent="0.2">
      <c r="A312" s="57" t="s">
        <v>485</v>
      </c>
      <c r="B312" s="413" t="s">
        <v>426</v>
      </c>
      <c r="C312" s="414"/>
      <c r="D312" s="415"/>
      <c r="E312" s="419" t="s">
        <v>408</v>
      </c>
      <c r="F312" s="420"/>
      <c r="G312" s="64" t="s">
        <v>420</v>
      </c>
      <c r="H312" s="419" t="s">
        <v>427</v>
      </c>
      <c r="I312" s="420"/>
      <c r="K312" s="57" t="s">
        <v>485</v>
      </c>
      <c r="L312" s="57" t="s">
        <v>56</v>
      </c>
      <c r="S312" s="57">
        <v>0</v>
      </c>
    </row>
    <row r="313" spans="1:19" ht="11.85" customHeight="1" x14ac:dyDescent="0.2">
      <c r="A313" s="57" t="s">
        <v>485</v>
      </c>
      <c r="B313" s="424"/>
      <c r="C313" s="425"/>
      <c r="D313" s="426"/>
      <c r="E313" s="419" t="s">
        <v>409</v>
      </c>
      <c r="F313" s="420"/>
      <c r="G313" s="64" t="s">
        <v>417</v>
      </c>
      <c r="H313" s="419" t="s">
        <v>428</v>
      </c>
      <c r="I313" s="420"/>
      <c r="K313" s="57" t="s">
        <v>485</v>
      </c>
      <c r="L313" s="57" t="s">
        <v>56</v>
      </c>
      <c r="S313" s="57">
        <v>0</v>
      </c>
    </row>
    <row r="314" spans="1:19" ht="11.85" customHeight="1" x14ac:dyDescent="0.2">
      <c r="A314" s="57" t="s">
        <v>485</v>
      </c>
      <c r="B314" s="416"/>
      <c r="C314" s="417"/>
      <c r="D314" s="418"/>
      <c r="E314" s="419" t="s">
        <v>410</v>
      </c>
      <c r="F314" s="420"/>
      <c r="G314" s="64" t="s">
        <v>417</v>
      </c>
      <c r="H314" s="419" t="s">
        <v>415</v>
      </c>
      <c r="I314" s="420"/>
      <c r="K314" s="57" t="s">
        <v>485</v>
      </c>
      <c r="L314" s="57" t="s">
        <v>56</v>
      </c>
      <c r="S314" s="57">
        <v>0</v>
      </c>
    </row>
    <row r="315" spans="1:19" ht="11.1" customHeight="1" x14ac:dyDescent="0.2">
      <c r="A315" s="57" t="s">
        <v>485</v>
      </c>
      <c r="B315" s="62"/>
      <c r="C315" s="411" t="s">
        <v>486</v>
      </c>
      <c r="D315" s="412"/>
      <c r="E315" s="412"/>
      <c r="F315" s="412"/>
      <c r="G315" s="412"/>
      <c r="H315" s="412"/>
      <c r="I315" s="411"/>
      <c r="K315" s="57" t="s">
        <v>485</v>
      </c>
      <c r="L315" s="57" t="s">
        <v>56</v>
      </c>
      <c r="S315" s="57">
        <v>0</v>
      </c>
    </row>
    <row r="316" spans="1:19" ht="11.85" customHeight="1" x14ac:dyDescent="0.2">
      <c r="A316" s="57" t="s">
        <v>486</v>
      </c>
      <c r="B316" s="413" t="s">
        <v>416</v>
      </c>
      <c r="C316" s="414"/>
      <c r="D316" s="415"/>
      <c r="E316" s="419" t="s">
        <v>402</v>
      </c>
      <c r="F316" s="420"/>
      <c r="G316" s="64" t="s">
        <v>417</v>
      </c>
      <c r="H316" s="419" t="s">
        <v>418</v>
      </c>
      <c r="I316" s="420"/>
      <c r="K316" s="57" t="s">
        <v>486</v>
      </c>
      <c r="L316" s="57" t="s">
        <v>57</v>
      </c>
      <c r="S316" s="57">
        <v>0</v>
      </c>
    </row>
    <row r="317" spans="1:19" ht="11.85" customHeight="1" x14ac:dyDescent="0.2">
      <c r="A317" s="57" t="s">
        <v>486</v>
      </c>
      <c r="B317" s="424"/>
      <c r="C317" s="425"/>
      <c r="D317" s="426"/>
      <c r="E317" s="419" t="s">
        <v>403</v>
      </c>
      <c r="F317" s="420"/>
      <c r="G317" s="64" t="s">
        <v>417</v>
      </c>
      <c r="H317" s="419" t="s">
        <v>418</v>
      </c>
      <c r="I317" s="420"/>
      <c r="K317" s="57" t="s">
        <v>486</v>
      </c>
      <c r="L317" s="57" t="s">
        <v>57</v>
      </c>
      <c r="S317" s="57">
        <v>0</v>
      </c>
    </row>
    <row r="318" spans="1:19" ht="11.85" customHeight="1" x14ac:dyDescent="0.2">
      <c r="A318" s="57" t="s">
        <v>486</v>
      </c>
      <c r="B318" s="424"/>
      <c r="C318" s="425"/>
      <c r="D318" s="426"/>
      <c r="E318" s="419" t="s">
        <v>404</v>
      </c>
      <c r="F318" s="420"/>
      <c r="G318" s="64" t="s">
        <v>413</v>
      </c>
      <c r="H318" s="419" t="s">
        <v>419</v>
      </c>
      <c r="I318" s="420"/>
      <c r="K318" s="57" t="s">
        <v>486</v>
      </c>
      <c r="L318" s="57" t="s">
        <v>57</v>
      </c>
      <c r="S318" s="57">
        <v>0</v>
      </c>
    </row>
    <row r="319" spans="1:19" ht="11.1" customHeight="1" x14ac:dyDescent="0.2">
      <c r="A319" s="57" t="s">
        <v>486</v>
      </c>
      <c r="B319" s="424"/>
      <c r="C319" s="425"/>
      <c r="D319" s="426"/>
      <c r="E319" s="419" t="s">
        <v>405</v>
      </c>
      <c r="F319" s="420"/>
      <c r="G319" s="64" t="s">
        <v>420</v>
      </c>
      <c r="H319" s="419" t="s">
        <v>421</v>
      </c>
      <c r="I319" s="420"/>
      <c r="K319" s="57" t="s">
        <v>486</v>
      </c>
      <c r="L319" s="57" t="s">
        <v>57</v>
      </c>
      <c r="S319" s="57">
        <v>0</v>
      </c>
    </row>
    <row r="320" spans="1:19" ht="11.85" customHeight="1" x14ac:dyDescent="0.2">
      <c r="A320" s="57" t="s">
        <v>486</v>
      </c>
      <c r="B320" s="424"/>
      <c r="C320" s="425"/>
      <c r="D320" s="426"/>
      <c r="E320" s="419" t="s">
        <v>406</v>
      </c>
      <c r="F320" s="420"/>
      <c r="G320" s="64" t="s">
        <v>422</v>
      </c>
      <c r="H320" s="419" t="s">
        <v>423</v>
      </c>
      <c r="I320" s="420"/>
      <c r="K320" s="57" t="s">
        <v>486</v>
      </c>
      <c r="L320" s="57" t="s">
        <v>57</v>
      </c>
      <c r="S320" s="65">
        <v>48.44</v>
      </c>
    </row>
    <row r="321" spans="1:19" ht="11.85" customHeight="1" x14ac:dyDescent="0.2">
      <c r="A321" s="57" t="s">
        <v>486</v>
      </c>
      <c r="B321" s="416"/>
      <c r="C321" s="417"/>
      <c r="D321" s="418"/>
      <c r="E321" s="419" t="s">
        <v>407</v>
      </c>
      <c r="F321" s="420"/>
      <c r="G321" s="64" t="s">
        <v>424</v>
      </c>
      <c r="H321" s="419" t="s">
        <v>425</v>
      </c>
      <c r="I321" s="420"/>
      <c r="K321" s="57" t="s">
        <v>486</v>
      </c>
      <c r="L321" s="57" t="s">
        <v>57</v>
      </c>
      <c r="S321" s="57">
        <v>0</v>
      </c>
    </row>
    <row r="322" spans="1:19" ht="11.85" customHeight="1" x14ac:dyDescent="0.2">
      <c r="A322" s="57" t="s">
        <v>486</v>
      </c>
      <c r="B322" s="62"/>
      <c r="C322" s="411" t="s">
        <v>487</v>
      </c>
      <c r="D322" s="412"/>
      <c r="E322" s="412"/>
      <c r="F322" s="412"/>
      <c r="G322" s="412"/>
      <c r="H322" s="412"/>
      <c r="I322" s="411"/>
      <c r="K322" s="57" t="s">
        <v>486</v>
      </c>
      <c r="L322" s="57" t="s">
        <v>57</v>
      </c>
      <c r="S322" s="57">
        <v>0</v>
      </c>
    </row>
    <row r="323" spans="1:19" ht="11.1" customHeight="1" x14ac:dyDescent="0.2">
      <c r="A323" s="57" t="s">
        <v>487</v>
      </c>
      <c r="B323" s="413" t="s">
        <v>488</v>
      </c>
      <c r="C323" s="427"/>
      <c r="D323" s="428"/>
      <c r="E323" s="419" t="s">
        <v>489</v>
      </c>
      <c r="F323" s="420"/>
      <c r="G323" s="64" t="s">
        <v>424</v>
      </c>
      <c r="H323" s="419" t="s">
        <v>490</v>
      </c>
      <c r="I323" s="420"/>
      <c r="K323" s="57" t="s">
        <v>487</v>
      </c>
      <c r="L323" s="57" t="s">
        <v>58</v>
      </c>
      <c r="S323" s="57">
        <v>0</v>
      </c>
    </row>
    <row r="324" spans="1:19" ht="11.85" customHeight="1" x14ac:dyDescent="0.2">
      <c r="A324" s="57" t="s">
        <v>487</v>
      </c>
      <c r="B324" s="413" t="s">
        <v>416</v>
      </c>
      <c r="C324" s="414"/>
      <c r="D324" s="415"/>
      <c r="E324" s="419" t="s">
        <v>402</v>
      </c>
      <c r="F324" s="420"/>
      <c r="G324" s="64" t="s">
        <v>417</v>
      </c>
      <c r="H324" s="419" t="s">
        <v>457</v>
      </c>
      <c r="I324" s="420"/>
      <c r="K324" s="57" t="s">
        <v>487</v>
      </c>
      <c r="L324" s="57" t="s">
        <v>58</v>
      </c>
      <c r="S324" s="57">
        <v>0</v>
      </c>
    </row>
    <row r="325" spans="1:19" ht="11.85" customHeight="1" x14ac:dyDescent="0.2">
      <c r="A325" s="57" t="s">
        <v>487</v>
      </c>
      <c r="B325" s="424"/>
      <c r="C325" s="425"/>
      <c r="D325" s="426"/>
      <c r="E325" s="419" t="s">
        <v>403</v>
      </c>
      <c r="F325" s="420"/>
      <c r="G325" s="64" t="s">
        <v>417</v>
      </c>
      <c r="H325" s="419" t="s">
        <v>457</v>
      </c>
      <c r="I325" s="420"/>
      <c r="K325" s="57" t="s">
        <v>487</v>
      </c>
      <c r="L325" s="57" t="s">
        <v>58</v>
      </c>
      <c r="S325" s="57">
        <v>0</v>
      </c>
    </row>
    <row r="326" spans="1:19" ht="11.85" customHeight="1" x14ac:dyDescent="0.2">
      <c r="A326" s="57" t="s">
        <v>487</v>
      </c>
      <c r="B326" s="424"/>
      <c r="C326" s="425"/>
      <c r="D326" s="426"/>
      <c r="E326" s="419" t="s">
        <v>404</v>
      </c>
      <c r="F326" s="420"/>
      <c r="G326" s="64" t="s">
        <v>413</v>
      </c>
      <c r="H326" s="419" t="s">
        <v>458</v>
      </c>
      <c r="I326" s="420"/>
      <c r="K326" s="57" t="s">
        <v>487</v>
      </c>
      <c r="L326" s="57" t="s">
        <v>58</v>
      </c>
      <c r="S326" s="57">
        <v>0</v>
      </c>
    </row>
    <row r="327" spans="1:19" ht="11.1" customHeight="1" x14ac:dyDescent="0.2">
      <c r="A327" s="57" t="s">
        <v>487</v>
      </c>
      <c r="B327" s="424"/>
      <c r="C327" s="425"/>
      <c r="D327" s="426"/>
      <c r="E327" s="419" t="s">
        <v>405</v>
      </c>
      <c r="F327" s="420"/>
      <c r="G327" s="64" t="s">
        <v>420</v>
      </c>
      <c r="H327" s="419" t="s">
        <v>459</v>
      </c>
      <c r="I327" s="420"/>
      <c r="K327" s="57" t="s">
        <v>487</v>
      </c>
      <c r="L327" s="57" t="s">
        <v>58</v>
      </c>
      <c r="S327" s="57">
        <v>0</v>
      </c>
    </row>
    <row r="328" spans="1:19" ht="11.85" customHeight="1" x14ac:dyDescent="0.2">
      <c r="A328" s="57" t="s">
        <v>487</v>
      </c>
      <c r="B328" s="424"/>
      <c r="C328" s="425"/>
      <c r="D328" s="426"/>
      <c r="E328" s="419" t="s">
        <v>460</v>
      </c>
      <c r="F328" s="420"/>
      <c r="G328" s="64" t="s">
        <v>461</v>
      </c>
      <c r="H328" s="419" t="s">
        <v>423</v>
      </c>
      <c r="I328" s="420"/>
      <c r="K328" s="57" t="s">
        <v>487</v>
      </c>
      <c r="L328" s="57" t="s">
        <v>58</v>
      </c>
      <c r="S328" s="65">
        <v>33.17</v>
      </c>
    </row>
    <row r="329" spans="1:19" ht="11.85" customHeight="1" x14ac:dyDescent="0.2">
      <c r="A329" s="57" t="s">
        <v>487</v>
      </c>
      <c r="B329" s="416"/>
      <c r="C329" s="417"/>
      <c r="D329" s="418"/>
      <c r="E329" s="419" t="s">
        <v>462</v>
      </c>
      <c r="F329" s="420"/>
      <c r="G329" s="64" t="s">
        <v>424</v>
      </c>
      <c r="H329" s="419" t="s">
        <v>463</v>
      </c>
      <c r="I329" s="420"/>
      <c r="K329" s="57" t="s">
        <v>487</v>
      </c>
      <c r="L329" s="57" t="s">
        <v>58</v>
      </c>
      <c r="S329" s="57">
        <v>0</v>
      </c>
    </row>
    <row r="330" spans="1:19" ht="11.85" customHeight="1" x14ac:dyDescent="0.2">
      <c r="A330" s="57" t="s">
        <v>487</v>
      </c>
      <c r="B330" s="62"/>
      <c r="C330" s="411" t="s">
        <v>491</v>
      </c>
      <c r="D330" s="412"/>
      <c r="E330" s="412"/>
      <c r="F330" s="412"/>
      <c r="G330" s="412"/>
      <c r="H330" s="412"/>
      <c r="I330" s="411"/>
      <c r="K330" s="57" t="s">
        <v>487</v>
      </c>
      <c r="L330" s="57" t="s">
        <v>58</v>
      </c>
      <c r="S330" s="57">
        <v>0</v>
      </c>
    </row>
    <row r="331" spans="1:19" ht="11.1" customHeight="1" x14ac:dyDescent="0.2">
      <c r="A331" s="57" t="s">
        <v>491</v>
      </c>
      <c r="B331" s="413" t="s">
        <v>416</v>
      </c>
      <c r="C331" s="414"/>
      <c r="D331" s="415"/>
      <c r="E331" s="419" t="s">
        <v>402</v>
      </c>
      <c r="F331" s="420"/>
      <c r="G331" s="64" t="s">
        <v>417</v>
      </c>
      <c r="H331" s="419" t="s">
        <v>457</v>
      </c>
      <c r="I331" s="420"/>
      <c r="K331" s="57" t="s">
        <v>491</v>
      </c>
      <c r="L331" s="57" t="s">
        <v>59</v>
      </c>
      <c r="S331" s="57">
        <v>0</v>
      </c>
    </row>
    <row r="332" spans="1:19" ht="11.85" customHeight="1" x14ac:dyDescent="0.2">
      <c r="A332" s="57" t="s">
        <v>491</v>
      </c>
      <c r="B332" s="424"/>
      <c r="C332" s="425"/>
      <c r="D332" s="426"/>
      <c r="E332" s="419" t="s">
        <v>403</v>
      </c>
      <c r="F332" s="420"/>
      <c r="G332" s="64" t="s">
        <v>417</v>
      </c>
      <c r="H332" s="419" t="s">
        <v>457</v>
      </c>
      <c r="I332" s="420"/>
      <c r="K332" s="57" t="s">
        <v>491</v>
      </c>
      <c r="L332" s="57" t="s">
        <v>59</v>
      </c>
      <c r="S332" s="57">
        <v>0</v>
      </c>
    </row>
    <row r="333" spans="1:19" ht="11.85" customHeight="1" x14ac:dyDescent="0.2">
      <c r="A333" s="57" t="s">
        <v>491</v>
      </c>
      <c r="B333" s="424"/>
      <c r="C333" s="425"/>
      <c r="D333" s="426"/>
      <c r="E333" s="419" t="s">
        <v>404</v>
      </c>
      <c r="F333" s="420"/>
      <c r="G333" s="64" t="s">
        <v>413</v>
      </c>
      <c r="H333" s="419" t="s">
        <v>458</v>
      </c>
      <c r="I333" s="420"/>
      <c r="K333" s="57" t="s">
        <v>491</v>
      </c>
      <c r="L333" s="57" t="s">
        <v>59</v>
      </c>
      <c r="S333" s="57">
        <v>0</v>
      </c>
    </row>
    <row r="334" spans="1:19" ht="11.85" customHeight="1" x14ac:dyDescent="0.2">
      <c r="A334" s="57" t="s">
        <v>491</v>
      </c>
      <c r="B334" s="424"/>
      <c r="C334" s="425"/>
      <c r="D334" s="426"/>
      <c r="E334" s="419" t="s">
        <v>405</v>
      </c>
      <c r="F334" s="420"/>
      <c r="G334" s="64" t="s">
        <v>420</v>
      </c>
      <c r="H334" s="419" t="s">
        <v>459</v>
      </c>
      <c r="I334" s="420"/>
      <c r="K334" s="57" t="s">
        <v>491</v>
      </c>
      <c r="L334" s="57" t="s">
        <v>59</v>
      </c>
      <c r="S334" s="57">
        <v>0</v>
      </c>
    </row>
    <row r="335" spans="1:19" ht="11.1" customHeight="1" x14ac:dyDescent="0.2">
      <c r="A335" s="57" t="s">
        <v>491</v>
      </c>
      <c r="B335" s="424"/>
      <c r="C335" s="425"/>
      <c r="D335" s="426"/>
      <c r="E335" s="419" t="s">
        <v>460</v>
      </c>
      <c r="F335" s="420"/>
      <c r="G335" s="64" t="s">
        <v>461</v>
      </c>
      <c r="H335" s="419" t="s">
        <v>423</v>
      </c>
      <c r="I335" s="420"/>
      <c r="K335" s="57" t="s">
        <v>491</v>
      </c>
      <c r="L335" s="57" t="s">
        <v>59</v>
      </c>
      <c r="S335" s="65">
        <v>33.17</v>
      </c>
    </row>
    <row r="336" spans="1:19" ht="11.85" customHeight="1" x14ac:dyDescent="0.2">
      <c r="A336" s="57" t="s">
        <v>491</v>
      </c>
      <c r="B336" s="416"/>
      <c r="C336" s="417"/>
      <c r="D336" s="418"/>
      <c r="E336" s="419" t="s">
        <v>462</v>
      </c>
      <c r="F336" s="420"/>
      <c r="G336" s="64" t="s">
        <v>424</v>
      </c>
      <c r="H336" s="419" t="s">
        <v>463</v>
      </c>
      <c r="I336" s="420"/>
      <c r="K336" s="57" t="s">
        <v>491</v>
      </c>
      <c r="L336" s="57" t="s">
        <v>59</v>
      </c>
      <c r="S336" s="57">
        <v>0</v>
      </c>
    </row>
    <row r="337" spans="1:19" ht="11.85" customHeight="1" x14ac:dyDescent="0.2">
      <c r="A337" s="57" t="s">
        <v>491</v>
      </c>
      <c r="B337" s="62"/>
      <c r="C337" s="411" t="s">
        <v>492</v>
      </c>
      <c r="D337" s="412"/>
      <c r="E337" s="412"/>
      <c r="F337" s="412"/>
      <c r="G337" s="412"/>
      <c r="H337" s="412"/>
      <c r="I337" s="411"/>
      <c r="K337" s="57" t="s">
        <v>491</v>
      </c>
      <c r="L337" s="57" t="s">
        <v>59</v>
      </c>
      <c r="S337" s="57">
        <v>0</v>
      </c>
    </row>
    <row r="338" spans="1:19" ht="11.85" customHeight="1" x14ac:dyDescent="0.2">
      <c r="A338" s="57" t="s">
        <v>492</v>
      </c>
      <c r="B338" s="413" t="s">
        <v>416</v>
      </c>
      <c r="C338" s="427"/>
      <c r="D338" s="428"/>
      <c r="E338" s="419" t="s">
        <v>402</v>
      </c>
      <c r="F338" s="420"/>
      <c r="G338" s="64" t="s">
        <v>417</v>
      </c>
      <c r="H338" s="419" t="s">
        <v>457</v>
      </c>
      <c r="I338" s="420"/>
      <c r="K338" s="57" t="s">
        <v>492</v>
      </c>
      <c r="L338" s="57" t="s">
        <v>60</v>
      </c>
      <c r="S338" s="57">
        <v>0</v>
      </c>
    </row>
    <row r="339" spans="1:19" ht="11.85" customHeight="1" x14ac:dyDescent="0.2">
      <c r="A339" s="57" t="s">
        <v>492</v>
      </c>
      <c r="B339" s="413" t="s">
        <v>416</v>
      </c>
      <c r="C339" s="414"/>
      <c r="D339" s="415"/>
      <c r="E339" s="419" t="s">
        <v>403</v>
      </c>
      <c r="F339" s="420"/>
      <c r="G339" s="64" t="s">
        <v>417</v>
      </c>
      <c r="H339" s="419" t="s">
        <v>457</v>
      </c>
      <c r="I339" s="420"/>
      <c r="K339" s="57" t="s">
        <v>492</v>
      </c>
      <c r="L339" s="57" t="s">
        <v>60</v>
      </c>
      <c r="S339" s="57">
        <v>0</v>
      </c>
    </row>
    <row r="340" spans="1:19" ht="11.85" customHeight="1" x14ac:dyDescent="0.2">
      <c r="A340" s="57" t="s">
        <v>492</v>
      </c>
      <c r="B340" s="424"/>
      <c r="C340" s="425"/>
      <c r="D340" s="426"/>
      <c r="E340" s="419" t="s">
        <v>404</v>
      </c>
      <c r="F340" s="420"/>
      <c r="G340" s="64" t="s">
        <v>413</v>
      </c>
      <c r="H340" s="419" t="s">
        <v>458</v>
      </c>
      <c r="I340" s="420"/>
      <c r="K340" s="57" t="s">
        <v>492</v>
      </c>
      <c r="L340" s="57" t="s">
        <v>60</v>
      </c>
      <c r="S340" s="57">
        <v>0</v>
      </c>
    </row>
    <row r="341" spans="1:19" ht="11.85" customHeight="1" x14ac:dyDescent="0.2">
      <c r="A341" s="57" t="s">
        <v>492</v>
      </c>
      <c r="B341" s="424"/>
      <c r="C341" s="425"/>
      <c r="D341" s="426"/>
      <c r="E341" s="419" t="s">
        <v>405</v>
      </c>
      <c r="F341" s="420"/>
      <c r="G341" s="64" t="s">
        <v>420</v>
      </c>
      <c r="H341" s="419" t="s">
        <v>459</v>
      </c>
      <c r="I341" s="420"/>
      <c r="K341" s="57" t="s">
        <v>492</v>
      </c>
      <c r="L341" s="57" t="s">
        <v>60</v>
      </c>
      <c r="S341" s="57">
        <v>0</v>
      </c>
    </row>
    <row r="342" spans="1:19" ht="11.1" customHeight="1" x14ac:dyDescent="0.2">
      <c r="A342" s="57" t="s">
        <v>492</v>
      </c>
      <c r="B342" s="424"/>
      <c r="C342" s="425"/>
      <c r="D342" s="426"/>
      <c r="E342" s="419" t="s">
        <v>460</v>
      </c>
      <c r="F342" s="420"/>
      <c r="G342" s="64" t="s">
        <v>461</v>
      </c>
      <c r="H342" s="419" t="s">
        <v>423</v>
      </c>
      <c r="I342" s="420"/>
      <c r="K342" s="57" t="s">
        <v>492</v>
      </c>
      <c r="L342" s="57" t="s">
        <v>60</v>
      </c>
      <c r="S342" s="65">
        <v>33.17</v>
      </c>
    </row>
    <row r="343" spans="1:19" ht="11.85" customHeight="1" x14ac:dyDescent="0.2">
      <c r="A343" s="57" t="s">
        <v>492</v>
      </c>
      <c r="B343" s="416"/>
      <c r="C343" s="417"/>
      <c r="D343" s="418"/>
      <c r="E343" s="419" t="s">
        <v>462</v>
      </c>
      <c r="F343" s="420"/>
      <c r="G343" s="64" t="s">
        <v>424</v>
      </c>
      <c r="H343" s="419" t="s">
        <v>463</v>
      </c>
      <c r="I343" s="420"/>
      <c r="K343" s="57" t="s">
        <v>492</v>
      </c>
      <c r="L343" s="57" t="s">
        <v>60</v>
      </c>
      <c r="S343" s="57">
        <v>0</v>
      </c>
    </row>
    <row r="344" spans="1:19" ht="11.85" customHeight="1" x14ac:dyDescent="0.2">
      <c r="A344" s="57" t="s">
        <v>492</v>
      </c>
      <c r="B344" s="62"/>
      <c r="C344" s="411" t="s">
        <v>493</v>
      </c>
      <c r="D344" s="412"/>
      <c r="E344" s="412"/>
      <c r="F344" s="412"/>
      <c r="G344" s="412"/>
      <c r="H344" s="412"/>
      <c r="I344" s="411"/>
      <c r="K344" s="57" t="s">
        <v>492</v>
      </c>
      <c r="L344" s="57" t="s">
        <v>60</v>
      </c>
      <c r="S344" s="57">
        <v>0</v>
      </c>
    </row>
    <row r="345" spans="1:19" ht="11.85" customHeight="1" x14ac:dyDescent="0.2">
      <c r="A345" s="57" t="s">
        <v>493</v>
      </c>
      <c r="B345" s="413" t="s">
        <v>488</v>
      </c>
      <c r="C345" s="414"/>
      <c r="D345" s="415"/>
      <c r="E345" s="419" t="s">
        <v>489</v>
      </c>
      <c r="F345" s="420"/>
      <c r="G345" s="64" t="s">
        <v>424</v>
      </c>
      <c r="H345" s="419" t="s">
        <v>490</v>
      </c>
      <c r="I345" s="420"/>
      <c r="K345" s="57" t="s">
        <v>493</v>
      </c>
      <c r="L345" s="57" t="s">
        <v>61</v>
      </c>
      <c r="S345" s="57">
        <v>0</v>
      </c>
    </row>
    <row r="346" spans="1:19" ht="11.1" customHeight="1" x14ac:dyDescent="0.2">
      <c r="A346" s="57" t="s">
        <v>493</v>
      </c>
      <c r="B346" s="424"/>
      <c r="C346" s="425"/>
      <c r="D346" s="426"/>
      <c r="E346" s="419" t="s">
        <v>494</v>
      </c>
      <c r="F346" s="420"/>
      <c r="G346" s="64" t="s">
        <v>495</v>
      </c>
      <c r="H346" s="419" t="s">
        <v>423</v>
      </c>
      <c r="I346" s="420"/>
      <c r="K346" s="57" t="s">
        <v>493</v>
      </c>
      <c r="L346" s="57" t="s">
        <v>61</v>
      </c>
      <c r="S346" s="57">
        <v>0</v>
      </c>
    </row>
    <row r="347" spans="1:19" ht="11.85" customHeight="1" x14ac:dyDescent="0.2">
      <c r="A347" s="57" t="s">
        <v>493</v>
      </c>
      <c r="B347" s="416"/>
      <c r="C347" s="417"/>
      <c r="D347" s="418"/>
      <c r="E347" s="419" t="s">
        <v>496</v>
      </c>
      <c r="F347" s="420"/>
      <c r="G347" s="64" t="s">
        <v>497</v>
      </c>
      <c r="H347" s="419" t="s">
        <v>423</v>
      </c>
      <c r="I347" s="420"/>
      <c r="K347" s="57" t="s">
        <v>493</v>
      </c>
      <c r="L347" s="57" t="s">
        <v>61</v>
      </c>
      <c r="S347" s="57">
        <v>0</v>
      </c>
    </row>
    <row r="348" spans="1:19" ht="11.85" customHeight="1" x14ac:dyDescent="0.2">
      <c r="A348" s="57" t="s">
        <v>493</v>
      </c>
      <c r="B348" s="413" t="s">
        <v>416</v>
      </c>
      <c r="C348" s="414"/>
      <c r="D348" s="415"/>
      <c r="E348" s="419" t="s">
        <v>402</v>
      </c>
      <c r="F348" s="420"/>
      <c r="G348" s="64" t="s">
        <v>417</v>
      </c>
      <c r="H348" s="419" t="s">
        <v>457</v>
      </c>
      <c r="I348" s="420"/>
      <c r="K348" s="57" t="s">
        <v>493</v>
      </c>
      <c r="L348" s="57" t="s">
        <v>61</v>
      </c>
      <c r="S348" s="57">
        <v>0</v>
      </c>
    </row>
    <row r="349" spans="1:19" ht="11.85" customHeight="1" x14ac:dyDescent="0.2">
      <c r="A349" s="57" t="s">
        <v>493</v>
      </c>
      <c r="B349" s="424"/>
      <c r="C349" s="425"/>
      <c r="D349" s="426"/>
      <c r="E349" s="419" t="s">
        <v>403</v>
      </c>
      <c r="F349" s="420"/>
      <c r="G349" s="64" t="s">
        <v>417</v>
      </c>
      <c r="H349" s="419" t="s">
        <v>457</v>
      </c>
      <c r="I349" s="420"/>
      <c r="K349" s="57" t="s">
        <v>493</v>
      </c>
      <c r="L349" s="57" t="s">
        <v>61</v>
      </c>
      <c r="S349" s="57">
        <v>0</v>
      </c>
    </row>
    <row r="350" spans="1:19" ht="11.1" customHeight="1" x14ac:dyDescent="0.2">
      <c r="A350" s="57" t="s">
        <v>493</v>
      </c>
      <c r="B350" s="424"/>
      <c r="C350" s="425"/>
      <c r="D350" s="426"/>
      <c r="E350" s="419" t="s">
        <v>404</v>
      </c>
      <c r="F350" s="420"/>
      <c r="G350" s="64" t="s">
        <v>413</v>
      </c>
      <c r="H350" s="419" t="s">
        <v>458</v>
      </c>
      <c r="I350" s="420"/>
      <c r="K350" s="57" t="s">
        <v>493</v>
      </c>
      <c r="L350" s="57" t="s">
        <v>61</v>
      </c>
      <c r="S350" s="57">
        <v>0</v>
      </c>
    </row>
    <row r="351" spans="1:19" ht="11.85" customHeight="1" x14ac:dyDescent="0.2">
      <c r="A351" s="57" t="s">
        <v>493</v>
      </c>
      <c r="B351" s="424"/>
      <c r="C351" s="425"/>
      <c r="D351" s="426"/>
      <c r="E351" s="419" t="s">
        <v>405</v>
      </c>
      <c r="F351" s="420"/>
      <c r="G351" s="64" t="s">
        <v>420</v>
      </c>
      <c r="H351" s="419" t="s">
        <v>459</v>
      </c>
      <c r="I351" s="420"/>
      <c r="K351" s="57" t="s">
        <v>493</v>
      </c>
      <c r="L351" s="57" t="s">
        <v>61</v>
      </c>
      <c r="S351" s="57">
        <v>0</v>
      </c>
    </row>
    <row r="352" spans="1:19" ht="11.85" customHeight="1" x14ac:dyDescent="0.2">
      <c r="A352" s="57" t="s">
        <v>493</v>
      </c>
      <c r="B352" s="424"/>
      <c r="C352" s="425"/>
      <c r="D352" s="426"/>
      <c r="E352" s="419" t="s">
        <v>460</v>
      </c>
      <c r="F352" s="420"/>
      <c r="G352" s="64" t="s">
        <v>461</v>
      </c>
      <c r="H352" s="419" t="s">
        <v>423</v>
      </c>
      <c r="I352" s="420"/>
      <c r="K352" s="57" t="s">
        <v>493</v>
      </c>
      <c r="L352" s="57" t="s">
        <v>61</v>
      </c>
      <c r="S352" s="65">
        <v>33.17</v>
      </c>
    </row>
    <row r="353" spans="1:19" ht="11.85" customHeight="1" x14ac:dyDescent="0.2">
      <c r="A353" s="57" t="s">
        <v>493</v>
      </c>
      <c r="B353" s="416"/>
      <c r="C353" s="417"/>
      <c r="D353" s="418"/>
      <c r="E353" s="419" t="s">
        <v>462</v>
      </c>
      <c r="F353" s="420"/>
      <c r="G353" s="64" t="s">
        <v>424</v>
      </c>
      <c r="H353" s="419" t="s">
        <v>463</v>
      </c>
      <c r="I353" s="420"/>
      <c r="K353" s="57" t="s">
        <v>493</v>
      </c>
      <c r="L353" s="57" t="s">
        <v>61</v>
      </c>
      <c r="S353" s="57">
        <v>0</v>
      </c>
    </row>
    <row r="354" spans="1:19" ht="11.1" customHeight="1" x14ac:dyDescent="0.2">
      <c r="A354" s="57" t="s">
        <v>493</v>
      </c>
      <c r="B354" s="62"/>
      <c r="C354" s="411" t="s">
        <v>498</v>
      </c>
      <c r="D354" s="412"/>
      <c r="E354" s="412"/>
      <c r="F354" s="412"/>
      <c r="G354" s="412"/>
      <c r="H354" s="412"/>
      <c r="I354" s="411"/>
      <c r="K354" s="57" t="s">
        <v>493</v>
      </c>
      <c r="L354" s="57" t="s">
        <v>61</v>
      </c>
      <c r="S354" s="57">
        <v>0</v>
      </c>
    </row>
    <row r="355" spans="1:19" ht="11.85" customHeight="1" x14ac:dyDescent="0.2">
      <c r="A355" s="57" t="s">
        <v>498</v>
      </c>
      <c r="B355" s="413" t="s">
        <v>488</v>
      </c>
      <c r="C355" s="414"/>
      <c r="D355" s="415"/>
      <c r="E355" s="419" t="s">
        <v>489</v>
      </c>
      <c r="F355" s="420"/>
      <c r="G355" s="64" t="s">
        <v>424</v>
      </c>
      <c r="H355" s="419" t="s">
        <v>490</v>
      </c>
      <c r="I355" s="420"/>
      <c r="K355" s="57" t="s">
        <v>498</v>
      </c>
      <c r="L355" s="57" t="s">
        <v>62</v>
      </c>
      <c r="S355" s="57">
        <v>0</v>
      </c>
    </row>
    <row r="356" spans="1:19" ht="11.85" customHeight="1" x14ac:dyDescent="0.2">
      <c r="A356" s="57" t="s">
        <v>498</v>
      </c>
      <c r="B356" s="424"/>
      <c r="C356" s="425"/>
      <c r="D356" s="426"/>
      <c r="E356" s="419" t="s">
        <v>494</v>
      </c>
      <c r="F356" s="420"/>
      <c r="G356" s="64" t="s">
        <v>495</v>
      </c>
      <c r="H356" s="419" t="s">
        <v>423</v>
      </c>
      <c r="I356" s="420"/>
      <c r="K356" s="57" t="s">
        <v>498</v>
      </c>
      <c r="L356" s="57" t="s">
        <v>62</v>
      </c>
      <c r="S356" s="57">
        <v>0</v>
      </c>
    </row>
    <row r="357" spans="1:19" ht="11.85" customHeight="1" x14ac:dyDescent="0.2">
      <c r="A357" s="57" t="s">
        <v>498</v>
      </c>
      <c r="B357" s="416"/>
      <c r="C357" s="417"/>
      <c r="D357" s="418"/>
      <c r="E357" s="419" t="s">
        <v>496</v>
      </c>
      <c r="F357" s="420"/>
      <c r="G357" s="64" t="s">
        <v>497</v>
      </c>
      <c r="H357" s="419" t="s">
        <v>423</v>
      </c>
      <c r="I357" s="420"/>
      <c r="K357" s="57" t="s">
        <v>498</v>
      </c>
      <c r="L357" s="57" t="s">
        <v>62</v>
      </c>
      <c r="S357" s="57">
        <v>0</v>
      </c>
    </row>
    <row r="358" spans="1:19" ht="11.1" customHeight="1" x14ac:dyDescent="0.2">
      <c r="A358" s="57" t="s">
        <v>498</v>
      </c>
      <c r="B358" s="413" t="s">
        <v>416</v>
      </c>
      <c r="C358" s="414"/>
      <c r="D358" s="415"/>
      <c r="E358" s="419" t="s">
        <v>402</v>
      </c>
      <c r="F358" s="420"/>
      <c r="G358" s="64" t="s">
        <v>417</v>
      </c>
      <c r="H358" s="419" t="s">
        <v>457</v>
      </c>
      <c r="I358" s="420"/>
      <c r="K358" s="57" t="s">
        <v>498</v>
      </c>
      <c r="L358" s="57" t="s">
        <v>62</v>
      </c>
      <c r="S358" s="57">
        <v>0</v>
      </c>
    </row>
    <row r="359" spans="1:19" ht="11.85" customHeight="1" x14ac:dyDescent="0.2">
      <c r="A359" s="57" t="s">
        <v>498</v>
      </c>
      <c r="B359" s="424"/>
      <c r="C359" s="425"/>
      <c r="D359" s="426"/>
      <c r="E359" s="419" t="s">
        <v>403</v>
      </c>
      <c r="F359" s="420"/>
      <c r="G359" s="64" t="s">
        <v>417</v>
      </c>
      <c r="H359" s="419" t="s">
        <v>457</v>
      </c>
      <c r="I359" s="420"/>
      <c r="K359" s="57" t="s">
        <v>498</v>
      </c>
      <c r="L359" s="57" t="s">
        <v>62</v>
      </c>
      <c r="S359" s="57">
        <v>0</v>
      </c>
    </row>
    <row r="360" spans="1:19" ht="11.85" customHeight="1" x14ac:dyDescent="0.2">
      <c r="A360" s="57" t="s">
        <v>498</v>
      </c>
      <c r="B360" s="424"/>
      <c r="C360" s="425"/>
      <c r="D360" s="426"/>
      <c r="E360" s="419" t="s">
        <v>404</v>
      </c>
      <c r="F360" s="420"/>
      <c r="G360" s="64" t="s">
        <v>413</v>
      </c>
      <c r="H360" s="419" t="s">
        <v>458</v>
      </c>
      <c r="I360" s="420"/>
      <c r="K360" s="57" t="s">
        <v>498</v>
      </c>
      <c r="L360" s="57" t="s">
        <v>62</v>
      </c>
      <c r="S360" s="57">
        <v>0</v>
      </c>
    </row>
    <row r="361" spans="1:19" ht="11.85" customHeight="1" x14ac:dyDescent="0.2">
      <c r="A361" s="57" t="s">
        <v>498</v>
      </c>
      <c r="B361" s="424"/>
      <c r="C361" s="425"/>
      <c r="D361" s="426"/>
      <c r="E361" s="419" t="s">
        <v>405</v>
      </c>
      <c r="F361" s="420"/>
      <c r="G361" s="64" t="s">
        <v>420</v>
      </c>
      <c r="H361" s="419" t="s">
        <v>459</v>
      </c>
      <c r="I361" s="420"/>
      <c r="K361" s="57" t="s">
        <v>498</v>
      </c>
      <c r="L361" s="57" t="s">
        <v>62</v>
      </c>
      <c r="S361" s="57">
        <v>0</v>
      </c>
    </row>
    <row r="362" spans="1:19" ht="11.1" customHeight="1" x14ac:dyDescent="0.2">
      <c r="A362" s="57" t="s">
        <v>498</v>
      </c>
      <c r="B362" s="424"/>
      <c r="C362" s="425"/>
      <c r="D362" s="426"/>
      <c r="E362" s="419" t="s">
        <v>460</v>
      </c>
      <c r="F362" s="420"/>
      <c r="G362" s="64" t="s">
        <v>461</v>
      </c>
      <c r="H362" s="419" t="s">
        <v>423</v>
      </c>
      <c r="I362" s="420"/>
      <c r="K362" s="57" t="s">
        <v>498</v>
      </c>
      <c r="L362" s="57" t="s">
        <v>62</v>
      </c>
      <c r="S362" s="65">
        <v>33.17</v>
      </c>
    </row>
    <row r="363" spans="1:19" ht="11.85" customHeight="1" x14ac:dyDescent="0.2">
      <c r="A363" s="57" t="s">
        <v>498</v>
      </c>
      <c r="B363" s="416"/>
      <c r="C363" s="417"/>
      <c r="D363" s="418"/>
      <c r="E363" s="419" t="s">
        <v>462</v>
      </c>
      <c r="F363" s="420"/>
      <c r="G363" s="64" t="s">
        <v>424</v>
      </c>
      <c r="H363" s="419" t="s">
        <v>463</v>
      </c>
      <c r="I363" s="420"/>
      <c r="K363" s="57" t="s">
        <v>498</v>
      </c>
      <c r="L363" s="57" t="s">
        <v>62</v>
      </c>
      <c r="S363" s="57">
        <v>0</v>
      </c>
    </row>
    <row r="364" spans="1:19" ht="11.85" customHeight="1" x14ac:dyDescent="0.2">
      <c r="A364" s="57" t="s">
        <v>498</v>
      </c>
      <c r="B364" s="62"/>
      <c r="C364" s="411" t="s">
        <v>499</v>
      </c>
      <c r="D364" s="412"/>
      <c r="E364" s="412"/>
      <c r="F364" s="412"/>
      <c r="G364" s="412"/>
      <c r="H364" s="412"/>
      <c r="I364" s="411"/>
      <c r="K364" s="57" t="s">
        <v>498</v>
      </c>
      <c r="L364" s="57" t="s">
        <v>62</v>
      </c>
      <c r="S364" s="57">
        <v>0</v>
      </c>
    </row>
    <row r="365" spans="1:19" ht="11.85" customHeight="1" x14ac:dyDescent="0.2">
      <c r="A365" s="57" t="s">
        <v>499</v>
      </c>
      <c r="B365" s="413" t="s">
        <v>488</v>
      </c>
      <c r="C365" s="414"/>
      <c r="D365" s="415"/>
      <c r="E365" s="419" t="s">
        <v>489</v>
      </c>
      <c r="F365" s="420"/>
      <c r="G365" s="64" t="s">
        <v>424</v>
      </c>
      <c r="H365" s="419" t="s">
        <v>490</v>
      </c>
      <c r="I365" s="420"/>
      <c r="K365" s="57" t="s">
        <v>499</v>
      </c>
      <c r="L365" s="57" t="s">
        <v>63</v>
      </c>
      <c r="S365" s="57">
        <v>0</v>
      </c>
    </row>
    <row r="366" spans="1:19" ht="11.1" customHeight="1" x14ac:dyDescent="0.2">
      <c r="A366" s="57" t="s">
        <v>499</v>
      </c>
      <c r="B366" s="424"/>
      <c r="C366" s="425"/>
      <c r="D366" s="426"/>
      <c r="E366" s="419" t="s">
        <v>494</v>
      </c>
      <c r="F366" s="420"/>
      <c r="G366" s="64" t="s">
        <v>495</v>
      </c>
      <c r="H366" s="419" t="s">
        <v>423</v>
      </c>
      <c r="I366" s="420"/>
      <c r="K366" s="57" t="s">
        <v>499</v>
      </c>
      <c r="L366" s="57" t="s">
        <v>63</v>
      </c>
      <c r="S366" s="57">
        <v>0</v>
      </c>
    </row>
    <row r="367" spans="1:19" ht="11.85" customHeight="1" x14ac:dyDescent="0.2">
      <c r="A367" s="57" t="s">
        <v>499</v>
      </c>
      <c r="B367" s="416"/>
      <c r="C367" s="417"/>
      <c r="D367" s="418"/>
      <c r="E367" s="419" t="s">
        <v>496</v>
      </c>
      <c r="F367" s="420"/>
      <c r="G367" s="64" t="s">
        <v>497</v>
      </c>
      <c r="H367" s="419" t="s">
        <v>423</v>
      </c>
      <c r="I367" s="420"/>
      <c r="K367" s="57" t="s">
        <v>499</v>
      </c>
      <c r="L367" s="57" t="s">
        <v>63</v>
      </c>
      <c r="S367" s="57">
        <v>0</v>
      </c>
    </row>
    <row r="368" spans="1:19" ht="11.85" customHeight="1" x14ac:dyDescent="0.2">
      <c r="A368" s="57" t="s">
        <v>499</v>
      </c>
      <c r="B368" s="413" t="s">
        <v>416</v>
      </c>
      <c r="C368" s="414"/>
      <c r="D368" s="415"/>
      <c r="E368" s="419" t="s">
        <v>402</v>
      </c>
      <c r="F368" s="420"/>
      <c r="G368" s="64" t="s">
        <v>417</v>
      </c>
      <c r="H368" s="419" t="s">
        <v>457</v>
      </c>
      <c r="I368" s="420"/>
      <c r="K368" s="57" t="s">
        <v>499</v>
      </c>
      <c r="L368" s="57" t="s">
        <v>63</v>
      </c>
      <c r="S368" s="57">
        <v>0</v>
      </c>
    </row>
    <row r="369" spans="1:19" ht="11.85" customHeight="1" x14ac:dyDescent="0.2">
      <c r="A369" s="57" t="s">
        <v>499</v>
      </c>
      <c r="B369" s="424"/>
      <c r="C369" s="425"/>
      <c r="D369" s="426"/>
      <c r="E369" s="419" t="s">
        <v>403</v>
      </c>
      <c r="F369" s="420"/>
      <c r="G369" s="64" t="s">
        <v>417</v>
      </c>
      <c r="H369" s="419" t="s">
        <v>457</v>
      </c>
      <c r="I369" s="420"/>
      <c r="K369" s="57" t="s">
        <v>499</v>
      </c>
      <c r="L369" s="57" t="s">
        <v>63</v>
      </c>
      <c r="S369" s="57">
        <v>0</v>
      </c>
    </row>
    <row r="370" spans="1:19" ht="11.1" customHeight="1" x14ac:dyDescent="0.2">
      <c r="A370" s="57" t="s">
        <v>499</v>
      </c>
      <c r="B370" s="424"/>
      <c r="C370" s="425"/>
      <c r="D370" s="426"/>
      <c r="E370" s="419" t="s">
        <v>404</v>
      </c>
      <c r="F370" s="420"/>
      <c r="G370" s="64" t="s">
        <v>413</v>
      </c>
      <c r="H370" s="419" t="s">
        <v>458</v>
      </c>
      <c r="I370" s="420"/>
      <c r="K370" s="57" t="s">
        <v>499</v>
      </c>
      <c r="L370" s="57" t="s">
        <v>63</v>
      </c>
      <c r="S370" s="57">
        <v>0</v>
      </c>
    </row>
    <row r="371" spans="1:19" ht="11.85" customHeight="1" x14ac:dyDescent="0.2">
      <c r="A371" s="57" t="s">
        <v>499</v>
      </c>
      <c r="B371" s="424"/>
      <c r="C371" s="425"/>
      <c r="D371" s="426"/>
      <c r="E371" s="419" t="s">
        <v>405</v>
      </c>
      <c r="F371" s="420"/>
      <c r="G371" s="64" t="s">
        <v>420</v>
      </c>
      <c r="H371" s="419" t="s">
        <v>459</v>
      </c>
      <c r="I371" s="420"/>
      <c r="K371" s="57" t="s">
        <v>499</v>
      </c>
      <c r="L371" s="57" t="s">
        <v>63</v>
      </c>
      <c r="S371" s="57">
        <v>0</v>
      </c>
    </row>
    <row r="372" spans="1:19" ht="11.85" customHeight="1" x14ac:dyDescent="0.2">
      <c r="A372" s="57" t="s">
        <v>499</v>
      </c>
      <c r="B372" s="424"/>
      <c r="C372" s="425"/>
      <c r="D372" s="426"/>
      <c r="E372" s="419" t="s">
        <v>460</v>
      </c>
      <c r="F372" s="420"/>
      <c r="G372" s="64" t="s">
        <v>461</v>
      </c>
      <c r="H372" s="419" t="s">
        <v>423</v>
      </c>
      <c r="I372" s="420"/>
      <c r="K372" s="57" t="s">
        <v>499</v>
      </c>
      <c r="L372" s="57" t="s">
        <v>63</v>
      </c>
      <c r="S372" s="65">
        <v>33.17</v>
      </c>
    </row>
    <row r="373" spans="1:19" ht="11.85" customHeight="1" x14ac:dyDescent="0.2">
      <c r="A373" s="57" t="s">
        <v>499</v>
      </c>
      <c r="B373" s="416"/>
      <c r="C373" s="417"/>
      <c r="D373" s="418"/>
      <c r="E373" s="419" t="s">
        <v>462</v>
      </c>
      <c r="F373" s="420"/>
      <c r="G373" s="64" t="s">
        <v>424</v>
      </c>
      <c r="H373" s="419" t="s">
        <v>463</v>
      </c>
      <c r="I373" s="420"/>
      <c r="K373" s="57" t="s">
        <v>499</v>
      </c>
      <c r="L373" s="57" t="s">
        <v>63</v>
      </c>
      <c r="S373" s="57">
        <v>0</v>
      </c>
    </row>
    <row r="374" spans="1:19" ht="11.1" customHeight="1" x14ac:dyDescent="0.2">
      <c r="A374" s="57" t="s">
        <v>499</v>
      </c>
      <c r="B374" s="62"/>
      <c r="C374" s="411" t="s">
        <v>500</v>
      </c>
      <c r="D374" s="412"/>
      <c r="E374" s="412"/>
      <c r="F374" s="412"/>
      <c r="G374" s="412"/>
      <c r="H374" s="412"/>
      <c r="I374" s="411"/>
      <c r="K374" s="57" t="s">
        <v>499</v>
      </c>
      <c r="L374" s="57" t="s">
        <v>63</v>
      </c>
      <c r="S374" s="57">
        <v>0</v>
      </c>
    </row>
    <row r="375" spans="1:19" ht="11.85" customHeight="1" x14ac:dyDescent="0.2">
      <c r="A375" s="57" t="s">
        <v>500</v>
      </c>
      <c r="B375" s="413" t="s">
        <v>416</v>
      </c>
      <c r="C375" s="414"/>
      <c r="D375" s="415"/>
      <c r="E375" s="419" t="s">
        <v>402</v>
      </c>
      <c r="F375" s="420"/>
      <c r="G375" s="64" t="s">
        <v>417</v>
      </c>
      <c r="H375" s="419" t="s">
        <v>457</v>
      </c>
      <c r="I375" s="420"/>
      <c r="K375" s="57" t="s">
        <v>500</v>
      </c>
      <c r="L375" s="57" t="s">
        <v>64</v>
      </c>
      <c r="S375" s="57">
        <v>0</v>
      </c>
    </row>
    <row r="376" spans="1:19" ht="11.85" customHeight="1" x14ac:dyDescent="0.2">
      <c r="A376" s="57" t="s">
        <v>500</v>
      </c>
      <c r="B376" s="424"/>
      <c r="C376" s="425"/>
      <c r="D376" s="426"/>
      <c r="E376" s="419" t="s">
        <v>403</v>
      </c>
      <c r="F376" s="420"/>
      <c r="G376" s="64" t="s">
        <v>417</v>
      </c>
      <c r="H376" s="419" t="s">
        <v>457</v>
      </c>
      <c r="I376" s="420"/>
      <c r="K376" s="57" t="s">
        <v>500</v>
      </c>
      <c r="L376" s="57" t="s">
        <v>64</v>
      </c>
      <c r="S376" s="57">
        <v>0</v>
      </c>
    </row>
    <row r="377" spans="1:19" ht="11.85" customHeight="1" x14ac:dyDescent="0.2">
      <c r="A377" s="57" t="s">
        <v>500</v>
      </c>
      <c r="B377" s="424"/>
      <c r="C377" s="425"/>
      <c r="D377" s="426"/>
      <c r="E377" s="419" t="s">
        <v>404</v>
      </c>
      <c r="F377" s="420"/>
      <c r="G377" s="64" t="s">
        <v>413</v>
      </c>
      <c r="H377" s="419" t="s">
        <v>458</v>
      </c>
      <c r="I377" s="420"/>
      <c r="K377" s="57" t="s">
        <v>500</v>
      </c>
      <c r="L377" s="57" t="s">
        <v>64</v>
      </c>
      <c r="S377" s="57">
        <v>0</v>
      </c>
    </row>
    <row r="378" spans="1:19" ht="11.1" customHeight="1" x14ac:dyDescent="0.2">
      <c r="A378" s="57" t="s">
        <v>500</v>
      </c>
      <c r="B378" s="424"/>
      <c r="C378" s="425"/>
      <c r="D378" s="426"/>
      <c r="E378" s="419" t="s">
        <v>405</v>
      </c>
      <c r="F378" s="420"/>
      <c r="G378" s="64" t="s">
        <v>420</v>
      </c>
      <c r="H378" s="419" t="s">
        <v>459</v>
      </c>
      <c r="I378" s="420"/>
      <c r="K378" s="57" t="s">
        <v>500</v>
      </c>
      <c r="L378" s="57" t="s">
        <v>64</v>
      </c>
      <c r="S378" s="57">
        <v>0</v>
      </c>
    </row>
    <row r="379" spans="1:19" ht="11.85" customHeight="1" x14ac:dyDescent="0.2">
      <c r="A379" s="57" t="s">
        <v>500</v>
      </c>
      <c r="B379" s="424"/>
      <c r="C379" s="425"/>
      <c r="D379" s="426"/>
      <c r="E379" s="419" t="s">
        <v>460</v>
      </c>
      <c r="F379" s="420"/>
      <c r="G379" s="64" t="s">
        <v>461</v>
      </c>
      <c r="H379" s="419" t="s">
        <v>423</v>
      </c>
      <c r="I379" s="420"/>
      <c r="K379" s="57" t="s">
        <v>500</v>
      </c>
      <c r="L379" s="57" t="s">
        <v>64</v>
      </c>
      <c r="S379" s="65">
        <v>33.17</v>
      </c>
    </row>
    <row r="380" spans="1:19" ht="11.85" customHeight="1" x14ac:dyDescent="0.2">
      <c r="A380" s="57" t="s">
        <v>500</v>
      </c>
      <c r="B380" s="416"/>
      <c r="C380" s="417"/>
      <c r="D380" s="418"/>
      <c r="E380" s="419" t="s">
        <v>462</v>
      </c>
      <c r="F380" s="420"/>
      <c r="G380" s="64" t="s">
        <v>424</v>
      </c>
      <c r="H380" s="419" t="s">
        <v>463</v>
      </c>
      <c r="I380" s="420"/>
      <c r="K380" s="57" t="s">
        <v>500</v>
      </c>
      <c r="L380" s="57" t="s">
        <v>64</v>
      </c>
      <c r="S380" s="57">
        <v>0</v>
      </c>
    </row>
    <row r="381" spans="1:19" ht="11.85" customHeight="1" x14ac:dyDescent="0.2">
      <c r="A381" s="57" t="s">
        <v>500</v>
      </c>
      <c r="B381" s="62"/>
      <c r="C381" s="411" t="s">
        <v>501</v>
      </c>
      <c r="D381" s="412"/>
      <c r="E381" s="412"/>
      <c r="F381" s="412"/>
      <c r="G381" s="412"/>
      <c r="H381" s="412"/>
      <c r="I381" s="411"/>
      <c r="K381" s="57" t="s">
        <v>500</v>
      </c>
      <c r="L381" s="57" t="s">
        <v>64</v>
      </c>
      <c r="S381" s="57">
        <v>0</v>
      </c>
    </row>
    <row r="382" spans="1:19" ht="11.1" customHeight="1" x14ac:dyDescent="0.2">
      <c r="A382" s="57" t="s">
        <v>501</v>
      </c>
      <c r="B382" s="413" t="s">
        <v>471</v>
      </c>
      <c r="C382" s="414"/>
      <c r="D382" s="415"/>
      <c r="E382" s="419" t="s">
        <v>502</v>
      </c>
      <c r="F382" s="420"/>
      <c r="G382" s="64" t="s">
        <v>503</v>
      </c>
      <c r="H382" s="419" t="s">
        <v>423</v>
      </c>
      <c r="I382" s="420"/>
      <c r="K382" s="57" t="s">
        <v>501</v>
      </c>
      <c r="L382" s="57" t="s">
        <v>880</v>
      </c>
      <c r="S382" s="57">
        <v>0</v>
      </c>
    </row>
    <row r="383" spans="1:19" ht="11.85" customHeight="1" x14ac:dyDescent="0.2">
      <c r="A383" s="57" t="s">
        <v>501</v>
      </c>
      <c r="B383" s="416"/>
      <c r="C383" s="417"/>
      <c r="D383" s="418"/>
      <c r="E383" s="419" t="s">
        <v>504</v>
      </c>
      <c r="F383" s="420"/>
      <c r="G383" s="64" t="s">
        <v>503</v>
      </c>
      <c r="H383" s="419" t="s">
        <v>423</v>
      </c>
      <c r="I383" s="420"/>
      <c r="K383" s="57" t="s">
        <v>501</v>
      </c>
      <c r="L383" s="57" t="s">
        <v>880</v>
      </c>
      <c r="S383" s="57">
        <v>0</v>
      </c>
    </row>
    <row r="384" spans="1:19" ht="11.85" customHeight="1" x14ac:dyDescent="0.2">
      <c r="A384" s="57" t="s">
        <v>501</v>
      </c>
      <c r="B384" s="62"/>
      <c r="C384" s="411" t="s">
        <v>505</v>
      </c>
      <c r="D384" s="412"/>
      <c r="E384" s="412"/>
      <c r="F384" s="412"/>
      <c r="G384" s="412"/>
      <c r="H384" s="412"/>
      <c r="I384" s="411"/>
      <c r="K384" s="57" t="s">
        <v>501</v>
      </c>
      <c r="L384" s="57" t="s">
        <v>880</v>
      </c>
      <c r="S384" s="57">
        <v>0</v>
      </c>
    </row>
    <row r="385" spans="1:19" ht="11.85" customHeight="1" x14ac:dyDescent="0.2">
      <c r="A385" s="57" t="s">
        <v>505</v>
      </c>
      <c r="B385" s="413" t="s">
        <v>471</v>
      </c>
      <c r="C385" s="414"/>
      <c r="D385" s="415"/>
      <c r="E385" s="419" t="s">
        <v>502</v>
      </c>
      <c r="F385" s="420"/>
      <c r="G385" s="64" t="s">
        <v>503</v>
      </c>
      <c r="H385" s="419" t="s">
        <v>423</v>
      </c>
      <c r="I385" s="420"/>
      <c r="K385" s="57" t="s">
        <v>505</v>
      </c>
      <c r="L385" s="57" t="s">
        <v>73</v>
      </c>
      <c r="S385" s="57">
        <v>0</v>
      </c>
    </row>
    <row r="386" spans="1:19" ht="11.1" customHeight="1" x14ac:dyDescent="0.2">
      <c r="A386" s="57" t="s">
        <v>505</v>
      </c>
      <c r="B386" s="416"/>
      <c r="C386" s="417"/>
      <c r="D386" s="418"/>
      <c r="E386" s="419" t="s">
        <v>504</v>
      </c>
      <c r="F386" s="420"/>
      <c r="G386" s="64" t="s">
        <v>503</v>
      </c>
      <c r="H386" s="419" t="s">
        <v>423</v>
      </c>
      <c r="I386" s="420"/>
      <c r="K386" s="57" t="s">
        <v>505</v>
      </c>
      <c r="L386" s="57" t="s">
        <v>73</v>
      </c>
      <c r="S386" s="57">
        <v>0</v>
      </c>
    </row>
    <row r="387" spans="1:19" ht="11.85" customHeight="1" x14ac:dyDescent="0.2">
      <c r="A387" s="57" t="s">
        <v>505</v>
      </c>
      <c r="B387" s="413" t="s">
        <v>416</v>
      </c>
      <c r="C387" s="414"/>
      <c r="D387" s="415"/>
      <c r="E387" s="419" t="s">
        <v>402</v>
      </c>
      <c r="F387" s="420"/>
      <c r="G387" s="64" t="s">
        <v>417</v>
      </c>
      <c r="H387" s="419" t="s">
        <v>437</v>
      </c>
      <c r="I387" s="420"/>
      <c r="K387" s="57" t="s">
        <v>505</v>
      </c>
      <c r="L387" s="57" t="s">
        <v>73</v>
      </c>
      <c r="S387" s="57">
        <v>0</v>
      </c>
    </row>
    <row r="388" spans="1:19" ht="11.85" customHeight="1" x14ac:dyDescent="0.2">
      <c r="A388" s="57" t="s">
        <v>505</v>
      </c>
      <c r="B388" s="424"/>
      <c r="C388" s="425"/>
      <c r="D388" s="426"/>
      <c r="E388" s="419" t="s">
        <v>403</v>
      </c>
      <c r="F388" s="420"/>
      <c r="G388" s="64" t="s">
        <v>417</v>
      </c>
      <c r="H388" s="419" t="s">
        <v>437</v>
      </c>
      <c r="I388" s="420"/>
      <c r="K388" s="57" t="s">
        <v>505</v>
      </c>
      <c r="L388" s="57" t="s">
        <v>73</v>
      </c>
      <c r="S388" s="57">
        <v>0</v>
      </c>
    </row>
    <row r="389" spans="1:19" ht="11.85" customHeight="1" x14ac:dyDescent="0.2">
      <c r="A389" s="57" t="s">
        <v>505</v>
      </c>
      <c r="B389" s="424"/>
      <c r="C389" s="425"/>
      <c r="D389" s="426"/>
      <c r="E389" s="419" t="s">
        <v>404</v>
      </c>
      <c r="F389" s="420"/>
      <c r="G389" s="64" t="s">
        <v>413</v>
      </c>
      <c r="H389" s="419" t="s">
        <v>478</v>
      </c>
      <c r="I389" s="420"/>
      <c r="K389" s="57" t="s">
        <v>505</v>
      </c>
      <c r="L389" s="57" t="s">
        <v>73</v>
      </c>
      <c r="S389" s="57">
        <v>0</v>
      </c>
    </row>
    <row r="390" spans="1:19" ht="11.1" customHeight="1" x14ac:dyDescent="0.2">
      <c r="A390" s="57" t="s">
        <v>505</v>
      </c>
      <c r="B390" s="424"/>
      <c r="C390" s="425"/>
      <c r="D390" s="426"/>
      <c r="E390" s="419" t="s">
        <v>405</v>
      </c>
      <c r="F390" s="420"/>
      <c r="G390" s="64" t="s">
        <v>420</v>
      </c>
      <c r="H390" s="419" t="s">
        <v>439</v>
      </c>
      <c r="I390" s="420"/>
      <c r="K390" s="57" t="s">
        <v>505</v>
      </c>
      <c r="L390" s="57" t="s">
        <v>73</v>
      </c>
      <c r="S390" s="57">
        <v>0</v>
      </c>
    </row>
    <row r="391" spans="1:19" ht="11.85" customHeight="1" x14ac:dyDescent="0.2">
      <c r="A391" s="57" t="s">
        <v>505</v>
      </c>
      <c r="B391" s="424"/>
      <c r="C391" s="425"/>
      <c r="D391" s="426"/>
      <c r="E391" s="419" t="s">
        <v>407</v>
      </c>
      <c r="F391" s="420"/>
      <c r="G391" s="64" t="s">
        <v>424</v>
      </c>
      <c r="H391" s="419" t="s">
        <v>425</v>
      </c>
      <c r="I391" s="420"/>
      <c r="K391" s="57" t="s">
        <v>505</v>
      </c>
      <c r="L391" s="57" t="s">
        <v>73</v>
      </c>
      <c r="S391" s="57">
        <v>0</v>
      </c>
    </row>
    <row r="392" spans="1:19" ht="11.85" customHeight="1" x14ac:dyDescent="0.2">
      <c r="A392" s="57" t="s">
        <v>505</v>
      </c>
      <c r="B392" s="416"/>
      <c r="C392" s="417"/>
      <c r="D392" s="418"/>
      <c r="E392" s="419" t="s">
        <v>506</v>
      </c>
      <c r="F392" s="420"/>
      <c r="G392" s="64" t="s">
        <v>507</v>
      </c>
      <c r="H392" s="419" t="s">
        <v>423</v>
      </c>
      <c r="I392" s="420"/>
      <c r="K392" s="57" t="s">
        <v>505</v>
      </c>
      <c r="L392" s="57" t="s">
        <v>73</v>
      </c>
      <c r="S392" s="65">
        <v>39.51</v>
      </c>
    </row>
    <row r="393" spans="1:19" ht="11.85" customHeight="1" x14ac:dyDescent="0.2">
      <c r="A393" s="57" t="s">
        <v>505</v>
      </c>
      <c r="B393" s="62"/>
      <c r="C393" s="411" t="s">
        <v>508</v>
      </c>
      <c r="D393" s="412"/>
      <c r="E393" s="412"/>
      <c r="F393" s="412"/>
      <c r="G393" s="412"/>
      <c r="H393" s="412"/>
      <c r="I393" s="411"/>
      <c r="K393" s="57" t="s">
        <v>505</v>
      </c>
      <c r="L393" s="57" t="s">
        <v>73</v>
      </c>
      <c r="S393" s="57">
        <v>0</v>
      </c>
    </row>
    <row r="394" spans="1:19" ht="11.1" customHeight="1" x14ac:dyDescent="0.2">
      <c r="A394" s="57" t="s">
        <v>508</v>
      </c>
      <c r="B394" s="413" t="s">
        <v>471</v>
      </c>
      <c r="C394" s="427"/>
      <c r="D394" s="428"/>
      <c r="E394" s="419" t="s">
        <v>502</v>
      </c>
      <c r="F394" s="420"/>
      <c r="G394" s="64" t="s">
        <v>503</v>
      </c>
      <c r="H394" s="419" t="s">
        <v>423</v>
      </c>
      <c r="I394" s="420"/>
      <c r="K394" s="57" t="s">
        <v>508</v>
      </c>
      <c r="L394" s="57" t="s">
        <v>76</v>
      </c>
      <c r="S394" s="57">
        <v>0</v>
      </c>
    </row>
    <row r="395" spans="1:19" ht="11.85" customHeight="1" x14ac:dyDescent="0.2">
      <c r="A395" s="57" t="s">
        <v>508</v>
      </c>
      <c r="B395" s="413" t="s">
        <v>416</v>
      </c>
      <c r="C395" s="414"/>
      <c r="D395" s="415"/>
      <c r="E395" s="419" t="s">
        <v>402</v>
      </c>
      <c r="F395" s="420"/>
      <c r="G395" s="64" t="s">
        <v>417</v>
      </c>
      <c r="H395" s="419" t="s">
        <v>437</v>
      </c>
      <c r="I395" s="420"/>
      <c r="K395" s="57" t="s">
        <v>508</v>
      </c>
      <c r="L395" s="57" t="s">
        <v>76</v>
      </c>
      <c r="S395" s="57">
        <v>0</v>
      </c>
    </row>
    <row r="396" spans="1:19" ht="11.85" customHeight="1" x14ac:dyDescent="0.2">
      <c r="A396" s="57" t="s">
        <v>508</v>
      </c>
      <c r="B396" s="424"/>
      <c r="C396" s="425"/>
      <c r="D396" s="426"/>
      <c r="E396" s="419" t="s">
        <v>403</v>
      </c>
      <c r="F396" s="420"/>
      <c r="G396" s="64" t="s">
        <v>417</v>
      </c>
      <c r="H396" s="419" t="s">
        <v>437</v>
      </c>
      <c r="I396" s="420"/>
      <c r="K396" s="57" t="s">
        <v>508</v>
      </c>
      <c r="L396" s="57" t="s">
        <v>76</v>
      </c>
      <c r="S396" s="57">
        <v>0</v>
      </c>
    </row>
    <row r="397" spans="1:19" ht="11.85" customHeight="1" x14ac:dyDescent="0.2">
      <c r="A397" s="57" t="s">
        <v>508</v>
      </c>
      <c r="B397" s="424"/>
      <c r="C397" s="425"/>
      <c r="D397" s="426"/>
      <c r="E397" s="419" t="s">
        <v>404</v>
      </c>
      <c r="F397" s="420"/>
      <c r="G397" s="64" t="s">
        <v>413</v>
      </c>
      <c r="H397" s="419" t="s">
        <v>478</v>
      </c>
      <c r="I397" s="420"/>
      <c r="K397" s="57" t="s">
        <v>508</v>
      </c>
      <c r="L397" s="57" t="s">
        <v>76</v>
      </c>
      <c r="S397" s="57">
        <v>0</v>
      </c>
    </row>
    <row r="398" spans="1:19" ht="11.1" customHeight="1" x14ac:dyDescent="0.2">
      <c r="A398" s="57" t="s">
        <v>508</v>
      </c>
      <c r="B398" s="424"/>
      <c r="C398" s="425"/>
      <c r="D398" s="426"/>
      <c r="E398" s="419" t="s">
        <v>405</v>
      </c>
      <c r="F398" s="420"/>
      <c r="G398" s="64" t="s">
        <v>420</v>
      </c>
      <c r="H398" s="419" t="s">
        <v>439</v>
      </c>
      <c r="I398" s="420"/>
      <c r="K398" s="57" t="s">
        <v>508</v>
      </c>
      <c r="L398" s="57" t="s">
        <v>76</v>
      </c>
      <c r="S398" s="57">
        <v>0</v>
      </c>
    </row>
    <row r="399" spans="1:19" ht="11.85" customHeight="1" x14ac:dyDescent="0.2">
      <c r="A399" s="57" t="s">
        <v>508</v>
      </c>
      <c r="B399" s="424"/>
      <c r="C399" s="425"/>
      <c r="D399" s="426"/>
      <c r="E399" s="419" t="s">
        <v>442</v>
      </c>
      <c r="F399" s="420"/>
      <c r="G399" s="64" t="s">
        <v>443</v>
      </c>
      <c r="H399" s="419" t="s">
        <v>425</v>
      </c>
      <c r="I399" s="420"/>
      <c r="K399" s="57" t="s">
        <v>508</v>
      </c>
      <c r="L399" s="57" t="s">
        <v>76</v>
      </c>
      <c r="S399" s="57">
        <v>0</v>
      </c>
    </row>
    <row r="400" spans="1:19" ht="11.85" customHeight="1" x14ac:dyDescent="0.2">
      <c r="A400" s="57" t="s">
        <v>508</v>
      </c>
      <c r="B400" s="416"/>
      <c r="C400" s="417"/>
      <c r="D400" s="418"/>
      <c r="E400" s="419" t="s">
        <v>509</v>
      </c>
      <c r="F400" s="420"/>
      <c r="G400" s="64" t="s">
        <v>510</v>
      </c>
      <c r="H400" s="419" t="s">
        <v>423</v>
      </c>
      <c r="I400" s="420"/>
      <c r="K400" s="57" t="s">
        <v>508</v>
      </c>
      <c r="L400" s="57" t="s">
        <v>76</v>
      </c>
      <c r="S400" s="65">
        <v>39.28</v>
      </c>
    </row>
    <row r="401" spans="1:19" ht="11.85" customHeight="1" x14ac:dyDescent="0.2">
      <c r="A401" s="57" t="s">
        <v>508</v>
      </c>
      <c r="B401" s="62"/>
      <c r="C401" s="411" t="s">
        <v>511</v>
      </c>
      <c r="D401" s="412"/>
      <c r="E401" s="412"/>
      <c r="F401" s="412"/>
      <c r="G401" s="412"/>
      <c r="H401" s="412"/>
      <c r="I401" s="411"/>
      <c r="K401" s="57" t="s">
        <v>508</v>
      </c>
      <c r="L401" s="57" t="s">
        <v>76</v>
      </c>
      <c r="S401" s="57">
        <v>0</v>
      </c>
    </row>
    <row r="402" spans="1:19" ht="11.1" customHeight="1" x14ac:dyDescent="0.2">
      <c r="A402" s="57" t="s">
        <v>511</v>
      </c>
      <c r="B402" s="413" t="s">
        <v>471</v>
      </c>
      <c r="C402" s="427"/>
      <c r="D402" s="428"/>
      <c r="E402" s="419" t="s">
        <v>502</v>
      </c>
      <c r="F402" s="420"/>
      <c r="G402" s="64" t="s">
        <v>503</v>
      </c>
      <c r="H402" s="419" t="s">
        <v>423</v>
      </c>
      <c r="I402" s="420"/>
      <c r="K402" s="57" t="s">
        <v>511</v>
      </c>
      <c r="L402" s="57" t="s">
        <v>77</v>
      </c>
      <c r="S402" s="57">
        <v>0</v>
      </c>
    </row>
    <row r="403" spans="1:19" ht="11.85" customHeight="1" x14ac:dyDescent="0.2">
      <c r="A403" s="57" t="s">
        <v>511</v>
      </c>
      <c r="B403" s="413" t="s">
        <v>416</v>
      </c>
      <c r="C403" s="414"/>
      <c r="D403" s="415"/>
      <c r="E403" s="419" t="s">
        <v>402</v>
      </c>
      <c r="F403" s="420"/>
      <c r="G403" s="64" t="s">
        <v>417</v>
      </c>
      <c r="H403" s="419" t="s">
        <v>437</v>
      </c>
      <c r="I403" s="420"/>
      <c r="K403" s="57" t="s">
        <v>511</v>
      </c>
      <c r="L403" s="57" t="s">
        <v>77</v>
      </c>
      <c r="S403" s="57">
        <v>0</v>
      </c>
    </row>
    <row r="404" spans="1:19" ht="11.85" customHeight="1" x14ac:dyDescent="0.2">
      <c r="A404" s="57" t="s">
        <v>511</v>
      </c>
      <c r="B404" s="424"/>
      <c r="C404" s="425"/>
      <c r="D404" s="426"/>
      <c r="E404" s="419" t="s">
        <v>403</v>
      </c>
      <c r="F404" s="420"/>
      <c r="G404" s="64" t="s">
        <v>417</v>
      </c>
      <c r="H404" s="419" t="s">
        <v>437</v>
      </c>
      <c r="I404" s="420"/>
      <c r="K404" s="57" t="s">
        <v>511</v>
      </c>
      <c r="L404" s="57" t="s">
        <v>77</v>
      </c>
      <c r="S404" s="57">
        <v>0</v>
      </c>
    </row>
    <row r="405" spans="1:19" ht="11.85" customHeight="1" x14ac:dyDescent="0.2">
      <c r="A405" s="57" t="s">
        <v>511</v>
      </c>
      <c r="B405" s="416"/>
      <c r="C405" s="417"/>
      <c r="D405" s="418"/>
      <c r="E405" s="419" t="s">
        <v>404</v>
      </c>
      <c r="F405" s="420"/>
      <c r="G405" s="64" t="s">
        <v>413</v>
      </c>
      <c r="H405" s="419" t="s">
        <v>478</v>
      </c>
      <c r="I405" s="420"/>
      <c r="K405" s="57" t="s">
        <v>511</v>
      </c>
      <c r="L405" s="57" t="s">
        <v>77</v>
      </c>
      <c r="S405" s="57">
        <v>0</v>
      </c>
    </row>
    <row r="406" spans="1:19" ht="11.85" customHeight="1" x14ac:dyDescent="0.2">
      <c r="A406" s="57" t="s">
        <v>511</v>
      </c>
      <c r="B406" s="413" t="s">
        <v>416</v>
      </c>
      <c r="C406" s="414"/>
      <c r="D406" s="415"/>
      <c r="E406" s="419" t="s">
        <v>405</v>
      </c>
      <c r="F406" s="420"/>
      <c r="G406" s="64" t="s">
        <v>420</v>
      </c>
      <c r="H406" s="419" t="s">
        <v>439</v>
      </c>
      <c r="I406" s="420"/>
      <c r="K406" s="57" t="s">
        <v>511</v>
      </c>
      <c r="L406" s="57" t="s">
        <v>77</v>
      </c>
      <c r="S406" s="57">
        <v>0</v>
      </c>
    </row>
    <row r="407" spans="1:19" ht="11.85" customHeight="1" x14ac:dyDescent="0.2">
      <c r="A407" s="57" t="s">
        <v>511</v>
      </c>
      <c r="B407" s="424"/>
      <c r="C407" s="425"/>
      <c r="D407" s="426"/>
      <c r="E407" s="419" t="s">
        <v>442</v>
      </c>
      <c r="F407" s="420"/>
      <c r="G407" s="64" t="s">
        <v>443</v>
      </c>
      <c r="H407" s="419" t="s">
        <v>425</v>
      </c>
      <c r="I407" s="420"/>
      <c r="K407" s="57" t="s">
        <v>511</v>
      </c>
      <c r="L407" s="57" t="s">
        <v>77</v>
      </c>
      <c r="S407" s="57">
        <v>0</v>
      </c>
    </row>
    <row r="408" spans="1:19" ht="11.85" customHeight="1" x14ac:dyDescent="0.2">
      <c r="A408" s="57" t="s">
        <v>511</v>
      </c>
      <c r="B408" s="416"/>
      <c r="C408" s="417"/>
      <c r="D408" s="418"/>
      <c r="E408" s="419" t="s">
        <v>509</v>
      </c>
      <c r="F408" s="420"/>
      <c r="G408" s="64" t="s">
        <v>510</v>
      </c>
      <c r="H408" s="419" t="s">
        <v>423</v>
      </c>
      <c r="I408" s="420"/>
      <c r="K408" s="57" t="s">
        <v>511</v>
      </c>
      <c r="L408" s="57" t="s">
        <v>77</v>
      </c>
      <c r="S408" s="65">
        <v>39.28</v>
      </c>
    </row>
    <row r="409" spans="1:19" ht="11.1" customHeight="1" x14ac:dyDescent="0.2">
      <c r="A409" s="57" t="s">
        <v>511</v>
      </c>
      <c r="B409" s="62"/>
      <c r="C409" s="411" t="s">
        <v>512</v>
      </c>
      <c r="D409" s="412"/>
      <c r="E409" s="412"/>
      <c r="F409" s="412"/>
      <c r="G409" s="412"/>
      <c r="H409" s="412"/>
      <c r="I409" s="411"/>
      <c r="K409" s="57" t="s">
        <v>511</v>
      </c>
      <c r="L409" s="57" t="s">
        <v>77</v>
      </c>
      <c r="S409" s="57">
        <v>0</v>
      </c>
    </row>
    <row r="410" spans="1:19" ht="11.85" customHeight="1" x14ac:dyDescent="0.2">
      <c r="A410" s="57" t="s">
        <v>512</v>
      </c>
      <c r="B410" s="413" t="s">
        <v>471</v>
      </c>
      <c r="C410" s="427"/>
      <c r="D410" s="428"/>
      <c r="E410" s="419" t="s">
        <v>502</v>
      </c>
      <c r="F410" s="420"/>
      <c r="G410" s="64" t="s">
        <v>503</v>
      </c>
      <c r="H410" s="419" t="s">
        <v>423</v>
      </c>
      <c r="I410" s="420"/>
      <c r="K410" s="57" t="s">
        <v>512</v>
      </c>
      <c r="L410" s="57" t="s">
        <v>881</v>
      </c>
      <c r="S410" s="57">
        <v>0</v>
      </c>
    </row>
    <row r="411" spans="1:19" ht="11.85" customHeight="1" x14ac:dyDescent="0.2">
      <c r="A411" s="57" t="s">
        <v>512</v>
      </c>
      <c r="B411" s="62"/>
      <c r="C411" s="411" t="s">
        <v>513</v>
      </c>
      <c r="D411" s="412"/>
      <c r="E411" s="412"/>
      <c r="F411" s="412"/>
      <c r="G411" s="412"/>
      <c r="H411" s="412"/>
      <c r="I411" s="411"/>
      <c r="K411" s="57" t="s">
        <v>512</v>
      </c>
      <c r="L411" s="57" t="s">
        <v>881</v>
      </c>
      <c r="S411" s="57">
        <v>0</v>
      </c>
    </row>
    <row r="412" spans="1:19" ht="11.85" customHeight="1" x14ac:dyDescent="0.2">
      <c r="A412" s="57" t="s">
        <v>513</v>
      </c>
      <c r="B412" s="413" t="s">
        <v>471</v>
      </c>
      <c r="C412" s="427"/>
      <c r="D412" s="428"/>
      <c r="E412" s="419" t="s">
        <v>504</v>
      </c>
      <c r="F412" s="420"/>
      <c r="G412" s="64" t="s">
        <v>503</v>
      </c>
      <c r="H412" s="419" t="s">
        <v>423</v>
      </c>
      <c r="I412" s="420"/>
      <c r="K412" s="57" t="s">
        <v>513</v>
      </c>
      <c r="L412" s="57" t="s">
        <v>882</v>
      </c>
      <c r="S412" s="57">
        <v>0</v>
      </c>
    </row>
    <row r="413" spans="1:19" ht="11.1" customHeight="1" x14ac:dyDescent="0.2">
      <c r="A413" s="57" t="s">
        <v>513</v>
      </c>
      <c r="B413" s="62"/>
      <c r="C413" s="411" t="s">
        <v>514</v>
      </c>
      <c r="D413" s="412"/>
      <c r="E413" s="412"/>
      <c r="F413" s="412"/>
      <c r="G413" s="412"/>
      <c r="H413" s="412"/>
      <c r="I413" s="411"/>
      <c r="K413" s="57" t="s">
        <v>513</v>
      </c>
      <c r="L413" s="57" t="s">
        <v>882</v>
      </c>
      <c r="S413" s="57">
        <v>0</v>
      </c>
    </row>
    <row r="414" spans="1:19" ht="11.85" customHeight="1" x14ac:dyDescent="0.2">
      <c r="A414" s="57" t="s">
        <v>514</v>
      </c>
      <c r="B414" s="413" t="s">
        <v>471</v>
      </c>
      <c r="C414" s="427"/>
      <c r="D414" s="428"/>
      <c r="E414" s="419" t="s">
        <v>502</v>
      </c>
      <c r="F414" s="420"/>
      <c r="G414" s="64" t="s">
        <v>503</v>
      </c>
      <c r="H414" s="419" t="s">
        <v>423</v>
      </c>
      <c r="I414" s="420"/>
      <c r="K414" s="57" t="s">
        <v>514</v>
      </c>
      <c r="L414" s="57" t="s">
        <v>883</v>
      </c>
      <c r="S414" s="57">
        <v>0</v>
      </c>
    </row>
    <row r="415" spans="1:19" ht="11.85" customHeight="1" x14ac:dyDescent="0.2">
      <c r="A415" s="57" t="s">
        <v>514</v>
      </c>
      <c r="B415" s="62"/>
      <c r="C415" s="411" t="s">
        <v>515</v>
      </c>
      <c r="D415" s="412"/>
      <c r="E415" s="412"/>
      <c r="F415" s="412"/>
      <c r="G415" s="412"/>
      <c r="H415" s="412"/>
      <c r="I415" s="411"/>
      <c r="K415" s="57" t="s">
        <v>514</v>
      </c>
      <c r="L415" s="57" t="s">
        <v>883</v>
      </c>
      <c r="S415" s="57">
        <v>0</v>
      </c>
    </row>
    <row r="416" spans="1:19" ht="11.85" customHeight="1" x14ac:dyDescent="0.2">
      <c r="A416" s="57" t="s">
        <v>515</v>
      </c>
      <c r="B416" s="413" t="s">
        <v>471</v>
      </c>
      <c r="C416" s="427"/>
      <c r="D416" s="428"/>
      <c r="E416" s="419" t="s">
        <v>502</v>
      </c>
      <c r="F416" s="420"/>
      <c r="G416" s="64" t="s">
        <v>503</v>
      </c>
      <c r="H416" s="419" t="s">
        <v>423</v>
      </c>
      <c r="I416" s="420"/>
      <c r="K416" s="57" t="s">
        <v>515</v>
      </c>
      <c r="L416" s="57" t="s">
        <v>78</v>
      </c>
      <c r="S416" s="57">
        <v>0</v>
      </c>
    </row>
    <row r="417" spans="1:19" ht="11.1" customHeight="1" x14ac:dyDescent="0.2">
      <c r="A417" s="57" t="s">
        <v>515</v>
      </c>
      <c r="B417" s="413" t="s">
        <v>416</v>
      </c>
      <c r="C417" s="414"/>
      <c r="D417" s="415"/>
      <c r="E417" s="419" t="s">
        <v>402</v>
      </c>
      <c r="F417" s="420"/>
      <c r="G417" s="64" t="s">
        <v>417</v>
      </c>
      <c r="H417" s="419" t="s">
        <v>516</v>
      </c>
      <c r="I417" s="420"/>
      <c r="K417" s="57" t="s">
        <v>515</v>
      </c>
      <c r="L417" s="57" t="s">
        <v>78</v>
      </c>
      <c r="S417" s="57">
        <v>0</v>
      </c>
    </row>
    <row r="418" spans="1:19" ht="11.85" customHeight="1" x14ac:dyDescent="0.2">
      <c r="A418" s="57" t="s">
        <v>515</v>
      </c>
      <c r="B418" s="424"/>
      <c r="C418" s="425"/>
      <c r="D418" s="426"/>
      <c r="E418" s="419" t="s">
        <v>405</v>
      </c>
      <c r="F418" s="420"/>
      <c r="G418" s="64" t="s">
        <v>420</v>
      </c>
      <c r="H418" s="419" t="s">
        <v>516</v>
      </c>
      <c r="I418" s="420"/>
      <c r="K418" s="57" t="s">
        <v>515</v>
      </c>
      <c r="L418" s="57" t="s">
        <v>78</v>
      </c>
      <c r="S418" s="57">
        <v>0</v>
      </c>
    </row>
    <row r="419" spans="1:19" ht="11.85" customHeight="1" x14ac:dyDescent="0.2">
      <c r="A419" s="57" t="s">
        <v>515</v>
      </c>
      <c r="B419" s="424"/>
      <c r="C419" s="425"/>
      <c r="D419" s="426"/>
      <c r="E419" s="419" t="s">
        <v>462</v>
      </c>
      <c r="F419" s="420"/>
      <c r="G419" s="64" t="s">
        <v>424</v>
      </c>
      <c r="H419" s="419" t="s">
        <v>463</v>
      </c>
      <c r="I419" s="420"/>
      <c r="K419" s="57" t="s">
        <v>515</v>
      </c>
      <c r="L419" s="57" t="s">
        <v>78</v>
      </c>
      <c r="S419" s="57">
        <v>0</v>
      </c>
    </row>
    <row r="420" spans="1:19" ht="11.85" customHeight="1" x14ac:dyDescent="0.2">
      <c r="A420" s="57" t="s">
        <v>515</v>
      </c>
      <c r="B420" s="416"/>
      <c r="C420" s="417"/>
      <c r="D420" s="418"/>
      <c r="E420" s="419" t="s">
        <v>517</v>
      </c>
      <c r="F420" s="420"/>
      <c r="G420" s="64" t="s">
        <v>518</v>
      </c>
      <c r="H420" s="419" t="s">
        <v>423</v>
      </c>
      <c r="I420" s="420"/>
      <c r="K420" s="57" t="s">
        <v>515</v>
      </c>
      <c r="L420" s="57" t="s">
        <v>78</v>
      </c>
      <c r="S420" s="65">
        <v>26.91</v>
      </c>
    </row>
    <row r="421" spans="1:19" ht="11.1" customHeight="1" x14ac:dyDescent="0.2">
      <c r="A421" s="57" t="s">
        <v>515</v>
      </c>
      <c r="B421" s="62"/>
      <c r="C421" s="411" t="s">
        <v>519</v>
      </c>
      <c r="D421" s="412"/>
      <c r="E421" s="412"/>
      <c r="F421" s="412"/>
      <c r="G421" s="412"/>
      <c r="H421" s="412"/>
      <c r="I421" s="411"/>
      <c r="K421" s="57" t="s">
        <v>515</v>
      </c>
      <c r="L421" s="57" t="s">
        <v>78</v>
      </c>
      <c r="S421" s="57">
        <v>0</v>
      </c>
    </row>
    <row r="422" spans="1:19" ht="11.85" customHeight="1" x14ac:dyDescent="0.2">
      <c r="A422" s="57" t="s">
        <v>519</v>
      </c>
      <c r="B422" s="413" t="s">
        <v>471</v>
      </c>
      <c r="C422" s="427"/>
      <c r="D422" s="428"/>
      <c r="E422" s="419" t="s">
        <v>502</v>
      </c>
      <c r="F422" s="420"/>
      <c r="G422" s="64" t="s">
        <v>503</v>
      </c>
      <c r="H422" s="419" t="s">
        <v>423</v>
      </c>
      <c r="I422" s="420"/>
      <c r="K422" s="57" t="s">
        <v>519</v>
      </c>
      <c r="L422" s="57" t="s">
        <v>79</v>
      </c>
      <c r="S422" s="57">
        <v>0</v>
      </c>
    </row>
    <row r="423" spans="1:19" ht="11.85" customHeight="1" x14ac:dyDescent="0.2">
      <c r="A423" s="57" t="s">
        <v>519</v>
      </c>
      <c r="B423" s="413" t="s">
        <v>416</v>
      </c>
      <c r="C423" s="414"/>
      <c r="D423" s="415"/>
      <c r="E423" s="419" t="s">
        <v>402</v>
      </c>
      <c r="F423" s="420"/>
      <c r="G423" s="64" t="s">
        <v>417</v>
      </c>
      <c r="H423" s="419" t="s">
        <v>516</v>
      </c>
      <c r="I423" s="420"/>
      <c r="K423" s="57" t="s">
        <v>519</v>
      </c>
      <c r="L423" s="57" t="s">
        <v>79</v>
      </c>
      <c r="S423" s="57">
        <v>0</v>
      </c>
    </row>
    <row r="424" spans="1:19" ht="11.85" customHeight="1" x14ac:dyDescent="0.2">
      <c r="A424" s="57" t="s">
        <v>519</v>
      </c>
      <c r="B424" s="424"/>
      <c r="C424" s="425"/>
      <c r="D424" s="426"/>
      <c r="E424" s="419" t="s">
        <v>405</v>
      </c>
      <c r="F424" s="420"/>
      <c r="G424" s="64" t="s">
        <v>420</v>
      </c>
      <c r="H424" s="419" t="s">
        <v>516</v>
      </c>
      <c r="I424" s="420"/>
      <c r="K424" s="57" t="s">
        <v>519</v>
      </c>
      <c r="L424" s="57" t="s">
        <v>79</v>
      </c>
      <c r="S424" s="57">
        <v>0</v>
      </c>
    </row>
    <row r="425" spans="1:19" ht="11.1" customHeight="1" x14ac:dyDescent="0.2">
      <c r="A425" s="57" t="s">
        <v>519</v>
      </c>
      <c r="B425" s="424"/>
      <c r="C425" s="425"/>
      <c r="D425" s="426"/>
      <c r="E425" s="419" t="s">
        <v>462</v>
      </c>
      <c r="F425" s="420"/>
      <c r="G425" s="64" t="s">
        <v>424</v>
      </c>
      <c r="H425" s="419" t="s">
        <v>463</v>
      </c>
      <c r="I425" s="420"/>
      <c r="K425" s="57" t="s">
        <v>519</v>
      </c>
      <c r="L425" s="57" t="s">
        <v>79</v>
      </c>
      <c r="S425" s="57">
        <v>0</v>
      </c>
    </row>
    <row r="426" spans="1:19" ht="11.85" customHeight="1" x14ac:dyDescent="0.2">
      <c r="A426" s="57" t="s">
        <v>519</v>
      </c>
      <c r="B426" s="416"/>
      <c r="C426" s="417"/>
      <c r="D426" s="418"/>
      <c r="E426" s="419" t="s">
        <v>517</v>
      </c>
      <c r="F426" s="420"/>
      <c r="G426" s="64" t="s">
        <v>518</v>
      </c>
      <c r="H426" s="419" t="s">
        <v>423</v>
      </c>
      <c r="I426" s="420"/>
      <c r="K426" s="57" t="s">
        <v>519</v>
      </c>
      <c r="L426" s="57" t="s">
        <v>79</v>
      </c>
      <c r="S426" s="65">
        <v>26.91</v>
      </c>
    </row>
    <row r="427" spans="1:19" ht="11.85" customHeight="1" x14ac:dyDescent="0.2">
      <c r="A427" s="57" t="s">
        <v>519</v>
      </c>
      <c r="B427" s="62"/>
      <c r="C427" s="411" t="s">
        <v>520</v>
      </c>
      <c r="D427" s="412"/>
      <c r="E427" s="412"/>
      <c r="F427" s="412"/>
      <c r="G427" s="412"/>
      <c r="H427" s="412"/>
      <c r="I427" s="411"/>
      <c r="K427" s="57" t="s">
        <v>519</v>
      </c>
      <c r="L427" s="57" t="s">
        <v>79</v>
      </c>
      <c r="S427" s="57">
        <v>0</v>
      </c>
    </row>
    <row r="428" spans="1:19" ht="11.85" customHeight="1" x14ac:dyDescent="0.2">
      <c r="A428" s="57" t="s">
        <v>520</v>
      </c>
      <c r="B428" s="413" t="s">
        <v>471</v>
      </c>
      <c r="C428" s="427"/>
      <c r="D428" s="428"/>
      <c r="E428" s="419" t="s">
        <v>502</v>
      </c>
      <c r="F428" s="420"/>
      <c r="G428" s="64" t="s">
        <v>503</v>
      </c>
      <c r="H428" s="419" t="s">
        <v>423</v>
      </c>
      <c r="I428" s="420"/>
      <c r="K428" s="57" t="s">
        <v>520</v>
      </c>
      <c r="L428" s="57" t="s">
        <v>80</v>
      </c>
      <c r="S428" s="57">
        <v>0</v>
      </c>
    </row>
    <row r="429" spans="1:19" ht="11.1" customHeight="1" x14ac:dyDescent="0.2">
      <c r="A429" s="57" t="s">
        <v>520</v>
      </c>
      <c r="B429" s="413" t="s">
        <v>416</v>
      </c>
      <c r="C429" s="414"/>
      <c r="D429" s="415"/>
      <c r="E429" s="419" t="s">
        <v>402</v>
      </c>
      <c r="F429" s="420"/>
      <c r="G429" s="64" t="s">
        <v>417</v>
      </c>
      <c r="H429" s="419" t="s">
        <v>516</v>
      </c>
      <c r="I429" s="420"/>
      <c r="K429" s="57" t="s">
        <v>520</v>
      </c>
      <c r="L429" s="57" t="s">
        <v>80</v>
      </c>
      <c r="S429" s="57">
        <v>0</v>
      </c>
    </row>
    <row r="430" spans="1:19" ht="11.85" customHeight="1" x14ac:dyDescent="0.2">
      <c r="A430" s="57" t="s">
        <v>520</v>
      </c>
      <c r="B430" s="424"/>
      <c r="C430" s="425"/>
      <c r="D430" s="426"/>
      <c r="E430" s="419" t="s">
        <v>405</v>
      </c>
      <c r="F430" s="420"/>
      <c r="G430" s="64" t="s">
        <v>420</v>
      </c>
      <c r="H430" s="419" t="s">
        <v>516</v>
      </c>
      <c r="I430" s="420"/>
      <c r="K430" s="57" t="s">
        <v>520</v>
      </c>
      <c r="L430" s="57" t="s">
        <v>80</v>
      </c>
      <c r="S430" s="57">
        <v>0</v>
      </c>
    </row>
    <row r="431" spans="1:19" ht="11.85" customHeight="1" x14ac:dyDescent="0.2">
      <c r="A431" s="57" t="s">
        <v>520</v>
      </c>
      <c r="B431" s="424"/>
      <c r="C431" s="425"/>
      <c r="D431" s="426"/>
      <c r="E431" s="419" t="s">
        <v>521</v>
      </c>
      <c r="F431" s="420"/>
      <c r="G431" s="64" t="s">
        <v>522</v>
      </c>
      <c r="H431" s="419" t="s">
        <v>423</v>
      </c>
      <c r="I431" s="420"/>
      <c r="K431" s="57" t="s">
        <v>520</v>
      </c>
      <c r="L431" s="57" t="s">
        <v>80</v>
      </c>
      <c r="S431" s="65">
        <v>16.23</v>
      </c>
    </row>
    <row r="432" spans="1:19" ht="11.85" customHeight="1" x14ac:dyDescent="0.2">
      <c r="A432" s="57" t="s">
        <v>520</v>
      </c>
      <c r="B432" s="416"/>
      <c r="C432" s="417"/>
      <c r="D432" s="418"/>
      <c r="E432" s="419" t="s">
        <v>462</v>
      </c>
      <c r="F432" s="420"/>
      <c r="G432" s="64" t="s">
        <v>424</v>
      </c>
      <c r="H432" s="419" t="s">
        <v>463</v>
      </c>
      <c r="I432" s="420"/>
      <c r="K432" s="57" t="s">
        <v>520</v>
      </c>
      <c r="L432" s="57" t="s">
        <v>80</v>
      </c>
      <c r="S432" s="57">
        <v>0</v>
      </c>
    </row>
    <row r="433" spans="1:19" ht="11.1" customHeight="1" x14ac:dyDescent="0.2">
      <c r="A433" s="57" t="s">
        <v>520</v>
      </c>
      <c r="B433" s="62"/>
      <c r="C433" s="411" t="s">
        <v>523</v>
      </c>
      <c r="D433" s="412"/>
      <c r="E433" s="412"/>
      <c r="F433" s="412"/>
      <c r="G433" s="412"/>
      <c r="H433" s="412"/>
      <c r="I433" s="411"/>
      <c r="K433" s="57" t="s">
        <v>520</v>
      </c>
      <c r="L433" s="57" t="s">
        <v>80</v>
      </c>
      <c r="S433" s="57">
        <v>0</v>
      </c>
    </row>
    <row r="434" spans="1:19" ht="11.85" customHeight="1" x14ac:dyDescent="0.2">
      <c r="A434" s="57" t="s">
        <v>523</v>
      </c>
      <c r="B434" s="413" t="s">
        <v>471</v>
      </c>
      <c r="C434" s="427"/>
      <c r="D434" s="428"/>
      <c r="E434" s="419" t="s">
        <v>502</v>
      </c>
      <c r="F434" s="420"/>
      <c r="G434" s="64" t="s">
        <v>503</v>
      </c>
      <c r="H434" s="419" t="s">
        <v>423</v>
      </c>
      <c r="I434" s="420"/>
      <c r="K434" s="57" t="s">
        <v>523</v>
      </c>
      <c r="L434" s="57" t="s">
        <v>83</v>
      </c>
      <c r="S434" s="57">
        <v>0</v>
      </c>
    </row>
    <row r="435" spans="1:19" ht="11.85" customHeight="1" x14ac:dyDescent="0.2">
      <c r="A435" s="57" t="s">
        <v>523</v>
      </c>
      <c r="B435" s="413" t="s">
        <v>416</v>
      </c>
      <c r="C435" s="414"/>
      <c r="D435" s="415"/>
      <c r="E435" s="419" t="s">
        <v>402</v>
      </c>
      <c r="F435" s="420"/>
      <c r="G435" s="64" t="s">
        <v>417</v>
      </c>
      <c r="H435" s="419" t="s">
        <v>437</v>
      </c>
      <c r="I435" s="420"/>
      <c r="K435" s="57" t="s">
        <v>523</v>
      </c>
      <c r="L435" s="57" t="s">
        <v>83</v>
      </c>
      <c r="S435" s="57">
        <v>0</v>
      </c>
    </row>
    <row r="436" spans="1:19" ht="11.85" customHeight="1" x14ac:dyDescent="0.2">
      <c r="A436" s="57" t="s">
        <v>523</v>
      </c>
      <c r="B436" s="424"/>
      <c r="C436" s="425"/>
      <c r="D436" s="426"/>
      <c r="E436" s="419" t="s">
        <v>403</v>
      </c>
      <c r="F436" s="420"/>
      <c r="G436" s="64" t="s">
        <v>417</v>
      </c>
      <c r="H436" s="419" t="s">
        <v>437</v>
      </c>
      <c r="I436" s="420"/>
      <c r="K436" s="57" t="s">
        <v>523</v>
      </c>
      <c r="L436" s="57" t="s">
        <v>83</v>
      </c>
      <c r="S436" s="57">
        <v>0</v>
      </c>
    </row>
    <row r="437" spans="1:19" ht="11.1" customHeight="1" x14ac:dyDescent="0.2">
      <c r="A437" s="57" t="s">
        <v>523</v>
      </c>
      <c r="B437" s="424"/>
      <c r="C437" s="425"/>
      <c r="D437" s="426"/>
      <c r="E437" s="419" t="s">
        <v>404</v>
      </c>
      <c r="F437" s="420"/>
      <c r="G437" s="64" t="s">
        <v>413</v>
      </c>
      <c r="H437" s="419" t="s">
        <v>478</v>
      </c>
      <c r="I437" s="420"/>
      <c r="K437" s="57" t="s">
        <v>523</v>
      </c>
      <c r="L437" s="57" t="s">
        <v>83</v>
      </c>
      <c r="S437" s="57">
        <v>0</v>
      </c>
    </row>
    <row r="438" spans="1:19" ht="11.85" customHeight="1" x14ac:dyDescent="0.2">
      <c r="A438" s="57" t="s">
        <v>523</v>
      </c>
      <c r="B438" s="424"/>
      <c r="C438" s="425"/>
      <c r="D438" s="426"/>
      <c r="E438" s="419" t="s">
        <v>405</v>
      </c>
      <c r="F438" s="420"/>
      <c r="G438" s="64" t="s">
        <v>420</v>
      </c>
      <c r="H438" s="419" t="s">
        <v>439</v>
      </c>
      <c r="I438" s="420"/>
      <c r="K438" s="57" t="s">
        <v>523</v>
      </c>
      <c r="L438" s="57" t="s">
        <v>83</v>
      </c>
      <c r="S438" s="57">
        <v>0</v>
      </c>
    </row>
    <row r="439" spans="1:19" ht="11.85" customHeight="1" x14ac:dyDescent="0.2">
      <c r="A439" s="57" t="s">
        <v>523</v>
      </c>
      <c r="B439" s="424"/>
      <c r="C439" s="425"/>
      <c r="D439" s="426"/>
      <c r="E439" s="419" t="s">
        <v>442</v>
      </c>
      <c r="F439" s="420"/>
      <c r="G439" s="64" t="s">
        <v>443</v>
      </c>
      <c r="H439" s="419" t="s">
        <v>425</v>
      </c>
      <c r="I439" s="420"/>
      <c r="K439" s="57" t="s">
        <v>523</v>
      </c>
      <c r="L439" s="57" t="s">
        <v>83</v>
      </c>
      <c r="S439" s="57">
        <v>0</v>
      </c>
    </row>
    <row r="440" spans="1:19" ht="11.85" customHeight="1" x14ac:dyDescent="0.2">
      <c r="A440" s="57" t="s">
        <v>523</v>
      </c>
      <c r="B440" s="416"/>
      <c r="C440" s="417"/>
      <c r="D440" s="418"/>
      <c r="E440" s="419" t="s">
        <v>509</v>
      </c>
      <c r="F440" s="420"/>
      <c r="G440" s="64" t="s">
        <v>510</v>
      </c>
      <c r="H440" s="419" t="s">
        <v>423</v>
      </c>
      <c r="I440" s="420"/>
      <c r="K440" s="57" t="s">
        <v>523</v>
      </c>
      <c r="L440" s="57" t="s">
        <v>83</v>
      </c>
      <c r="S440" s="65">
        <v>39.28</v>
      </c>
    </row>
    <row r="441" spans="1:19" ht="11.1" customHeight="1" x14ac:dyDescent="0.2">
      <c r="A441" s="57" t="s">
        <v>523</v>
      </c>
      <c r="B441" s="62"/>
      <c r="C441" s="411" t="s">
        <v>524</v>
      </c>
      <c r="D441" s="412"/>
      <c r="E441" s="412"/>
      <c r="F441" s="412"/>
      <c r="G441" s="412"/>
      <c r="H441" s="412"/>
      <c r="I441" s="411"/>
      <c r="K441" s="57" t="s">
        <v>523</v>
      </c>
      <c r="L441" s="57" t="s">
        <v>83</v>
      </c>
      <c r="S441" s="57">
        <v>0</v>
      </c>
    </row>
    <row r="442" spans="1:19" ht="11.85" customHeight="1" x14ac:dyDescent="0.2">
      <c r="A442" s="57" t="s">
        <v>524</v>
      </c>
      <c r="B442" s="413" t="s">
        <v>412</v>
      </c>
      <c r="C442" s="414"/>
      <c r="D442" s="415"/>
      <c r="E442" s="419" t="s">
        <v>400</v>
      </c>
      <c r="F442" s="420"/>
      <c r="G442" s="64" t="s">
        <v>413</v>
      </c>
      <c r="H442" s="419" t="s">
        <v>414</v>
      </c>
      <c r="I442" s="420"/>
      <c r="K442" s="57" t="s">
        <v>524</v>
      </c>
      <c r="L442" s="57" t="s">
        <v>84</v>
      </c>
      <c r="S442" s="57">
        <v>0</v>
      </c>
    </row>
    <row r="443" spans="1:19" ht="11.85" customHeight="1" x14ac:dyDescent="0.2">
      <c r="A443" s="57" t="s">
        <v>524</v>
      </c>
      <c r="B443" s="416"/>
      <c r="C443" s="417"/>
      <c r="D443" s="418"/>
      <c r="E443" s="419" t="s">
        <v>401</v>
      </c>
      <c r="F443" s="420"/>
      <c r="G443" s="64" t="s">
        <v>413</v>
      </c>
      <c r="H443" s="419" t="s">
        <v>415</v>
      </c>
      <c r="I443" s="420"/>
      <c r="K443" s="57" t="s">
        <v>524</v>
      </c>
      <c r="L443" s="57" t="s">
        <v>84</v>
      </c>
      <c r="S443" s="57">
        <v>0</v>
      </c>
    </row>
    <row r="444" spans="1:19" ht="11.85" customHeight="1" x14ac:dyDescent="0.2">
      <c r="A444" s="57" t="s">
        <v>524</v>
      </c>
      <c r="B444" s="413" t="s">
        <v>416</v>
      </c>
      <c r="C444" s="414"/>
      <c r="D444" s="415"/>
      <c r="E444" s="419" t="s">
        <v>402</v>
      </c>
      <c r="F444" s="420"/>
      <c r="G444" s="64" t="s">
        <v>417</v>
      </c>
      <c r="H444" s="419" t="s">
        <v>418</v>
      </c>
      <c r="I444" s="420"/>
      <c r="K444" s="57" t="s">
        <v>524</v>
      </c>
      <c r="L444" s="57" t="s">
        <v>84</v>
      </c>
      <c r="S444" s="57">
        <v>0</v>
      </c>
    </row>
    <row r="445" spans="1:19" ht="11.1" customHeight="1" x14ac:dyDescent="0.2">
      <c r="A445" s="57" t="s">
        <v>524</v>
      </c>
      <c r="B445" s="424"/>
      <c r="C445" s="425"/>
      <c r="D445" s="426"/>
      <c r="E445" s="419" t="s">
        <v>403</v>
      </c>
      <c r="F445" s="420"/>
      <c r="G445" s="64" t="s">
        <v>417</v>
      </c>
      <c r="H445" s="419" t="s">
        <v>418</v>
      </c>
      <c r="I445" s="420"/>
      <c r="K445" s="57" t="s">
        <v>524</v>
      </c>
      <c r="L445" s="57" t="s">
        <v>84</v>
      </c>
      <c r="S445" s="57">
        <v>0</v>
      </c>
    </row>
    <row r="446" spans="1:19" ht="11.85" customHeight="1" x14ac:dyDescent="0.2">
      <c r="A446" s="57" t="s">
        <v>524</v>
      </c>
      <c r="B446" s="424"/>
      <c r="C446" s="425"/>
      <c r="D446" s="426"/>
      <c r="E446" s="419" t="s">
        <v>404</v>
      </c>
      <c r="F446" s="420"/>
      <c r="G446" s="64" t="s">
        <v>413</v>
      </c>
      <c r="H446" s="419" t="s">
        <v>419</v>
      </c>
      <c r="I446" s="420"/>
      <c r="K446" s="57" t="s">
        <v>524</v>
      </c>
      <c r="L446" s="57" t="s">
        <v>84</v>
      </c>
      <c r="S446" s="57">
        <v>0</v>
      </c>
    </row>
    <row r="447" spans="1:19" ht="11.85" customHeight="1" x14ac:dyDescent="0.2">
      <c r="A447" s="57" t="s">
        <v>524</v>
      </c>
      <c r="B447" s="424"/>
      <c r="C447" s="425"/>
      <c r="D447" s="426"/>
      <c r="E447" s="419" t="s">
        <v>405</v>
      </c>
      <c r="F447" s="420"/>
      <c r="G447" s="64" t="s">
        <v>420</v>
      </c>
      <c r="H447" s="419" t="s">
        <v>421</v>
      </c>
      <c r="I447" s="420"/>
      <c r="K447" s="57" t="s">
        <v>524</v>
      </c>
      <c r="L447" s="57" t="s">
        <v>84</v>
      </c>
      <c r="S447" s="57">
        <v>0</v>
      </c>
    </row>
    <row r="448" spans="1:19" ht="11.85" customHeight="1" x14ac:dyDescent="0.2">
      <c r="A448" s="57" t="s">
        <v>524</v>
      </c>
      <c r="B448" s="424"/>
      <c r="C448" s="425"/>
      <c r="D448" s="426"/>
      <c r="E448" s="419" t="s">
        <v>406</v>
      </c>
      <c r="F448" s="420"/>
      <c r="G448" s="64" t="s">
        <v>422</v>
      </c>
      <c r="H448" s="419" t="s">
        <v>423</v>
      </c>
      <c r="I448" s="420"/>
      <c r="K448" s="57" t="s">
        <v>524</v>
      </c>
      <c r="L448" s="57" t="s">
        <v>84</v>
      </c>
      <c r="S448" s="65">
        <v>48.44</v>
      </c>
    </row>
    <row r="449" spans="1:19" ht="11.1" customHeight="1" x14ac:dyDescent="0.2">
      <c r="A449" s="57" t="s">
        <v>524</v>
      </c>
      <c r="B449" s="416"/>
      <c r="C449" s="417"/>
      <c r="D449" s="418"/>
      <c r="E449" s="419" t="s">
        <v>407</v>
      </c>
      <c r="F449" s="420"/>
      <c r="G449" s="64" t="s">
        <v>424</v>
      </c>
      <c r="H449" s="419" t="s">
        <v>425</v>
      </c>
      <c r="I449" s="420"/>
      <c r="K449" s="57" t="s">
        <v>524</v>
      </c>
      <c r="L449" s="57" t="s">
        <v>84</v>
      </c>
      <c r="S449" s="57">
        <v>0</v>
      </c>
    </row>
    <row r="450" spans="1:19" ht="11.85" customHeight="1" x14ac:dyDescent="0.2">
      <c r="A450" s="57" t="s">
        <v>524</v>
      </c>
      <c r="B450" s="413" t="s">
        <v>426</v>
      </c>
      <c r="C450" s="414"/>
      <c r="D450" s="415"/>
      <c r="E450" s="419" t="s">
        <v>408</v>
      </c>
      <c r="F450" s="420"/>
      <c r="G450" s="64" t="s">
        <v>420</v>
      </c>
      <c r="H450" s="419" t="s">
        <v>427</v>
      </c>
      <c r="I450" s="420"/>
      <c r="K450" s="57" t="s">
        <v>524</v>
      </c>
      <c r="L450" s="57" t="s">
        <v>84</v>
      </c>
      <c r="S450" s="57">
        <v>0</v>
      </c>
    </row>
    <row r="451" spans="1:19" ht="11.85" customHeight="1" x14ac:dyDescent="0.2">
      <c r="A451" s="57" t="s">
        <v>524</v>
      </c>
      <c r="B451" s="424"/>
      <c r="C451" s="425"/>
      <c r="D451" s="426"/>
      <c r="E451" s="419" t="s">
        <v>409</v>
      </c>
      <c r="F451" s="420"/>
      <c r="G451" s="64" t="s">
        <v>417</v>
      </c>
      <c r="H451" s="419" t="s">
        <v>428</v>
      </c>
      <c r="I451" s="420"/>
      <c r="K451" s="57" t="s">
        <v>524</v>
      </c>
      <c r="L451" s="57" t="s">
        <v>84</v>
      </c>
      <c r="S451" s="57">
        <v>0</v>
      </c>
    </row>
    <row r="452" spans="1:19" ht="11.85" customHeight="1" x14ac:dyDescent="0.2">
      <c r="A452" s="57" t="s">
        <v>524</v>
      </c>
      <c r="B452" s="416"/>
      <c r="C452" s="417"/>
      <c r="D452" s="418"/>
      <c r="E452" s="419" t="s">
        <v>410</v>
      </c>
      <c r="F452" s="420"/>
      <c r="G452" s="64" t="s">
        <v>417</v>
      </c>
      <c r="H452" s="419" t="s">
        <v>415</v>
      </c>
      <c r="I452" s="420"/>
      <c r="K452" s="57" t="s">
        <v>524</v>
      </c>
      <c r="L452" s="57" t="s">
        <v>84</v>
      </c>
      <c r="S452" s="57">
        <v>0</v>
      </c>
    </row>
    <row r="453" spans="1:19" ht="11.1" customHeight="1" x14ac:dyDescent="0.2">
      <c r="A453" s="57" t="s">
        <v>524</v>
      </c>
      <c r="B453" s="62"/>
      <c r="C453" s="411" t="s">
        <v>525</v>
      </c>
      <c r="D453" s="412"/>
      <c r="E453" s="412"/>
      <c r="F453" s="412"/>
      <c r="G453" s="412"/>
      <c r="H453" s="412"/>
      <c r="I453" s="411"/>
      <c r="K453" s="57" t="s">
        <v>524</v>
      </c>
      <c r="L453" s="57" t="s">
        <v>84</v>
      </c>
      <c r="S453" s="57">
        <v>0</v>
      </c>
    </row>
    <row r="454" spans="1:19" ht="11.85" customHeight="1" x14ac:dyDescent="0.2">
      <c r="A454" s="57" t="s">
        <v>525</v>
      </c>
      <c r="B454" s="413" t="s">
        <v>412</v>
      </c>
      <c r="C454" s="414"/>
      <c r="D454" s="415"/>
      <c r="E454" s="419" t="s">
        <v>400</v>
      </c>
      <c r="F454" s="420"/>
      <c r="G454" s="64" t="s">
        <v>413</v>
      </c>
      <c r="H454" s="419" t="s">
        <v>414</v>
      </c>
      <c r="I454" s="420"/>
      <c r="K454" s="57" t="s">
        <v>525</v>
      </c>
      <c r="L454" s="57" t="s">
        <v>85</v>
      </c>
      <c r="S454" s="57">
        <v>0</v>
      </c>
    </row>
    <row r="455" spans="1:19" ht="11.85" customHeight="1" x14ac:dyDescent="0.2">
      <c r="A455" s="57" t="s">
        <v>525</v>
      </c>
      <c r="B455" s="416"/>
      <c r="C455" s="417"/>
      <c r="D455" s="418"/>
      <c r="E455" s="419" t="s">
        <v>401</v>
      </c>
      <c r="F455" s="420"/>
      <c r="G455" s="64" t="s">
        <v>413</v>
      </c>
      <c r="H455" s="419" t="s">
        <v>415</v>
      </c>
      <c r="I455" s="420"/>
      <c r="K455" s="57" t="s">
        <v>525</v>
      </c>
      <c r="L455" s="57" t="s">
        <v>85</v>
      </c>
      <c r="S455" s="57">
        <v>0</v>
      </c>
    </row>
    <row r="456" spans="1:19" ht="11.85" customHeight="1" x14ac:dyDescent="0.2">
      <c r="A456" s="57" t="s">
        <v>525</v>
      </c>
      <c r="B456" s="413" t="s">
        <v>416</v>
      </c>
      <c r="C456" s="414"/>
      <c r="D456" s="415"/>
      <c r="E456" s="419" t="s">
        <v>402</v>
      </c>
      <c r="F456" s="420"/>
      <c r="G456" s="64" t="s">
        <v>417</v>
      </c>
      <c r="H456" s="419" t="s">
        <v>418</v>
      </c>
      <c r="I456" s="420"/>
      <c r="K456" s="57" t="s">
        <v>525</v>
      </c>
      <c r="L456" s="57" t="s">
        <v>85</v>
      </c>
      <c r="S456" s="57">
        <v>0</v>
      </c>
    </row>
    <row r="457" spans="1:19" ht="11.1" customHeight="1" x14ac:dyDescent="0.2">
      <c r="A457" s="57" t="s">
        <v>525</v>
      </c>
      <c r="B457" s="424"/>
      <c r="C457" s="425"/>
      <c r="D457" s="426"/>
      <c r="E457" s="419" t="s">
        <v>403</v>
      </c>
      <c r="F457" s="420"/>
      <c r="G457" s="64" t="s">
        <v>417</v>
      </c>
      <c r="H457" s="419" t="s">
        <v>418</v>
      </c>
      <c r="I457" s="420"/>
      <c r="K457" s="57" t="s">
        <v>525</v>
      </c>
      <c r="L457" s="57" t="s">
        <v>85</v>
      </c>
      <c r="S457" s="57">
        <v>0</v>
      </c>
    </row>
    <row r="458" spans="1:19" ht="11.85" customHeight="1" x14ac:dyDescent="0.2">
      <c r="A458" s="57" t="s">
        <v>525</v>
      </c>
      <c r="B458" s="424"/>
      <c r="C458" s="425"/>
      <c r="D458" s="426"/>
      <c r="E458" s="419" t="s">
        <v>404</v>
      </c>
      <c r="F458" s="420"/>
      <c r="G458" s="64" t="s">
        <v>413</v>
      </c>
      <c r="H458" s="419" t="s">
        <v>419</v>
      </c>
      <c r="I458" s="420"/>
      <c r="K458" s="57" t="s">
        <v>525</v>
      </c>
      <c r="L458" s="57" t="s">
        <v>85</v>
      </c>
      <c r="S458" s="57">
        <v>0</v>
      </c>
    </row>
    <row r="459" spans="1:19" ht="11.85" customHeight="1" x14ac:dyDescent="0.2">
      <c r="A459" s="57" t="s">
        <v>525</v>
      </c>
      <c r="B459" s="424"/>
      <c r="C459" s="425"/>
      <c r="D459" s="426"/>
      <c r="E459" s="419" t="s">
        <v>405</v>
      </c>
      <c r="F459" s="420"/>
      <c r="G459" s="64" t="s">
        <v>420</v>
      </c>
      <c r="H459" s="419" t="s">
        <v>421</v>
      </c>
      <c r="I459" s="420"/>
      <c r="K459" s="57" t="s">
        <v>525</v>
      </c>
      <c r="L459" s="57" t="s">
        <v>85</v>
      </c>
      <c r="S459" s="57">
        <v>0</v>
      </c>
    </row>
    <row r="460" spans="1:19" ht="11.85" customHeight="1" x14ac:dyDescent="0.2">
      <c r="A460" s="57" t="s">
        <v>525</v>
      </c>
      <c r="B460" s="424"/>
      <c r="C460" s="425"/>
      <c r="D460" s="426"/>
      <c r="E460" s="419" t="s">
        <v>406</v>
      </c>
      <c r="F460" s="420"/>
      <c r="G460" s="64" t="s">
        <v>422</v>
      </c>
      <c r="H460" s="419" t="s">
        <v>423</v>
      </c>
      <c r="I460" s="420"/>
      <c r="K460" s="57" t="s">
        <v>525</v>
      </c>
      <c r="L460" s="57" t="s">
        <v>85</v>
      </c>
      <c r="S460" s="65">
        <v>48.44</v>
      </c>
    </row>
    <row r="461" spans="1:19" ht="11.1" customHeight="1" x14ac:dyDescent="0.2">
      <c r="A461" s="57" t="s">
        <v>525</v>
      </c>
      <c r="B461" s="416"/>
      <c r="C461" s="417"/>
      <c r="D461" s="418"/>
      <c r="E461" s="419" t="s">
        <v>407</v>
      </c>
      <c r="F461" s="420"/>
      <c r="G461" s="64" t="s">
        <v>424</v>
      </c>
      <c r="H461" s="419" t="s">
        <v>425</v>
      </c>
      <c r="I461" s="420"/>
      <c r="K461" s="57" t="s">
        <v>525</v>
      </c>
      <c r="L461" s="57" t="s">
        <v>85</v>
      </c>
      <c r="S461" s="57">
        <v>0</v>
      </c>
    </row>
    <row r="462" spans="1:19" ht="11.85" customHeight="1" x14ac:dyDescent="0.2">
      <c r="A462" s="57" t="s">
        <v>525</v>
      </c>
      <c r="B462" s="413" t="s">
        <v>426</v>
      </c>
      <c r="C462" s="414"/>
      <c r="D462" s="415"/>
      <c r="E462" s="419" t="s">
        <v>408</v>
      </c>
      <c r="F462" s="420"/>
      <c r="G462" s="64" t="s">
        <v>420</v>
      </c>
      <c r="H462" s="419" t="s">
        <v>427</v>
      </c>
      <c r="I462" s="420"/>
      <c r="K462" s="57" t="s">
        <v>525</v>
      </c>
      <c r="L462" s="57" t="s">
        <v>85</v>
      </c>
      <c r="S462" s="57">
        <v>0</v>
      </c>
    </row>
    <row r="463" spans="1:19" ht="11.85" customHeight="1" x14ac:dyDescent="0.2">
      <c r="A463" s="57" t="s">
        <v>525</v>
      </c>
      <c r="B463" s="424"/>
      <c r="C463" s="425"/>
      <c r="D463" s="426"/>
      <c r="E463" s="419" t="s">
        <v>409</v>
      </c>
      <c r="F463" s="420"/>
      <c r="G463" s="64" t="s">
        <v>417</v>
      </c>
      <c r="H463" s="419" t="s">
        <v>428</v>
      </c>
      <c r="I463" s="420"/>
      <c r="K463" s="57" t="s">
        <v>525</v>
      </c>
      <c r="L463" s="57" t="s">
        <v>85</v>
      </c>
      <c r="S463" s="57">
        <v>0</v>
      </c>
    </row>
    <row r="464" spans="1:19" ht="11.85" customHeight="1" x14ac:dyDescent="0.2">
      <c r="A464" s="57" t="s">
        <v>525</v>
      </c>
      <c r="B464" s="416"/>
      <c r="C464" s="417"/>
      <c r="D464" s="418"/>
      <c r="E464" s="419" t="s">
        <v>410</v>
      </c>
      <c r="F464" s="420"/>
      <c r="G464" s="64" t="s">
        <v>417</v>
      </c>
      <c r="H464" s="419" t="s">
        <v>415</v>
      </c>
      <c r="I464" s="420"/>
      <c r="K464" s="57" t="s">
        <v>525</v>
      </c>
      <c r="L464" s="57" t="s">
        <v>85</v>
      </c>
      <c r="S464" s="57">
        <v>0</v>
      </c>
    </row>
    <row r="465" spans="1:19" ht="11.1" customHeight="1" x14ac:dyDescent="0.2">
      <c r="A465" s="57" t="s">
        <v>525</v>
      </c>
      <c r="B465" s="62"/>
      <c r="C465" s="411" t="s">
        <v>526</v>
      </c>
      <c r="D465" s="412"/>
      <c r="E465" s="412"/>
      <c r="F465" s="412"/>
      <c r="G465" s="412"/>
      <c r="H465" s="412"/>
      <c r="I465" s="411"/>
      <c r="K465" s="57" t="s">
        <v>525</v>
      </c>
      <c r="L465" s="57" t="s">
        <v>85</v>
      </c>
      <c r="S465" s="57">
        <v>0</v>
      </c>
    </row>
    <row r="466" spans="1:19" ht="11.85" customHeight="1" x14ac:dyDescent="0.2">
      <c r="A466" s="57" t="s">
        <v>526</v>
      </c>
      <c r="B466" s="413" t="s">
        <v>412</v>
      </c>
      <c r="C466" s="414"/>
      <c r="D466" s="415"/>
      <c r="E466" s="419" t="s">
        <v>400</v>
      </c>
      <c r="F466" s="420"/>
      <c r="G466" s="64" t="s">
        <v>413</v>
      </c>
      <c r="H466" s="419" t="s">
        <v>414</v>
      </c>
      <c r="I466" s="420"/>
      <c r="K466" s="57" t="s">
        <v>526</v>
      </c>
      <c r="L466" s="57" t="s">
        <v>86</v>
      </c>
      <c r="S466" s="57">
        <v>0</v>
      </c>
    </row>
    <row r="467" spans="1:19" ht="11.85" customHeight="1" x14ac:dyDescent="0.2">
      <c r="A467" s="57" t="s">
        <v>526</v>
      </c>
      <c r="B467" s="416"/>
      <c r="C467" s="417"/>
      <c r="D467" s="418"/>
      <c r="E467" s="419" t="s">
        <v>401</v>
      </c>
      <c r="F467" s="420"/>
      <c r="G467" s="64" t="s">
        <v>413</v>
      </c>
      <c r="H467" s="419" t="s">
        <v>415</v>
      </c>
      <c r="I467" s="420"/>
      <c r="K467" s="57" t="s">
        <v>526</v>
      </c>
      <c r="L467" s="57" t="s">
        <v>86</v>
      </c>
      <c r="S467" s="57">
        <v>0</v>
      </c>
    </row>
    <row r="468" spans="1:19" ht="11.85" customHeight="1" x14ac:dyDescent="0.2">
      <c r="A468" s="57" t="s">
        <v>526</v>
      </c>
      <c r="B468" s="413" t="s">
        <v>416</v>
      </c>
      <c r="C468" s="414"/>
      <c r="D468" s="415"/>
      <c r="E468" s="419" t="s">
        <v>402</v>
      </c>
      <c r="F468" s="420"/>
      <c r="G468" s="64" t="s">
        <v>417</v>
      </c>
      <c r="H468" s="419" t="s">
        <v>418</v>
      </c>
      <c r="I468" s="420"/>
      <c r="K468" s="57" t="s">
        <v>526</v>
      </c>
      <c r="L468" s="57" t="s">
        <v>86</v>
      </c>
      <c r="S468" s="57">
        <v>0</v>
      </c>
    </row>
    <row r="469" spans="1:19" ht="11.1" customHeight="1" x14ac:dyDescent="0.2">
      <c r="A469" s="57" t="s">
        <v>526</v>
      </c>
      <c r="B469" s="424"/>
      <c r="C469" s="425"/>
      <c r="D469" s="426"/>
      <c r="E469" s="419" t="s">
        <v>403</v>
      </c>
      <c r="F469" s="420"/>
      <c r="G469" s="64" t="s">
        <v>417</v>
      </c>
      <c r="H469" s="419" t="s">
        <v>418</v>
      </c>
      <c r="I469" s="420"/>
      <c r="K469" s="57" t="s">
        <v>526</v>
      </c>
      <c r="L469" s="57" t="s">
        <v>86</v>
      </c>
      <c r="S469" s="57">
        <v>0</v>
      </c>
    </row>
    <row r="470" spans="1:19" ht="11.85" customHeight="1" x14ac:dyDescent="0.2">
      <c r="A470" s="57" t="s">
        <v>526</v>
      </c>
      <c r="B470" s="424"/>
      <c r="C470" s="425"/>
      <c r="D470" s="426"/>
      <c r="E470" s="419" t="s">
        <v>404</v>
      </c>
      <c r="F470" s="420"/>
      <c r="G470" s="64" t="s">
        <v>413</v>
      </c>
      <c r="H470" s="419" t="s">
        <v>419</v>
      </c>
      <c r="I470" s="420"/>
      <c r="K470" s="57" t="s">
        <v>526</v>
      </c>
      <c r="L470" s="57" t="s">
        <v>86</v>
      </c>
      <c r="S470" s="57">
        <v>0</v>
      </c>
    </row>
    <row r="471" spans="1:19" ht="11.85" customHeight="1" x14ac:dyDescent="0.2">
      <c r="A471" s="57" t="s">
        <v>526</v>
      </c>
      <c r="B471" s="424"/>
      <c r="C471" s="425"/>
      <c r="D471" s="426"/>
      <c r="E471" s="419" t="s">
        <v>405</v>
      </c>
      <c r="F471" s="420"/>
      <c r="G471" s="64" t="s">
        <v>420</v>
      </c>
      <c r="H471" s="419" t="s">
        <v>421</v>
      </c>
      <c r="I471" s="420"/>
      <c r="K471" s="57" t="s">
        <v>526</v>
      </c>
      <c r="L471" s="57" t="s">
        <v>86</v>
      </c>
      <c r="S471" s="57">
        <v>0</v>
      </c>
    </row>
    <row r="472" spans="1:19" ht="11.85" customHeight="1" x14ac:dyDescent="0.2">
      <c r="A472" s="57" t="s">
        <v>526</v>
      </c>
      <c r="B472" s="416"/>
      <c r="C472" s="417"/>
      <c r="D472" s="418"/>
      <c r="E472" s="419" t="s">
        <v>406</v>
      </c>
      <c r="F472" s="420"/>
      <c r="G472" s="64" t="s">
        <v>422</v>
      </c>
      <c r="H472" s="419" t="s">
        <v>423</v>
      </c>
      <c r="I472" s="420"/>
      <c r="K472" s="57" t="s">
        <v>526</v>
      </c>
      <c r="L472" s="57" t="s">
        <v>86</v>
      </c>
      <c r="S472" s="65">
        <v>48.44</v>
      </c>
    </row>
    <row r="473" spans="1:19" ht="11.85" customHeight="1" x14ac:dyDescent="0.2">
      <c r="A473" s="57" t="s">
        <v>526</v>
      </c>
      <c r="B473" s="413" t="s">
        <v>416</v>
      </c>
      <c r="C473" s="427"/>
      <c r="D473" s="428"/>
      <c r="E473" s="419" t="s">
        <v>407</v>
      </c>
      <c r="F473" s="420"/>
      <c r="G473" s="64" t="s">
        <v>424</v>
      </c>
      <c r="H473" s="419" t="s">
        <v>425</v>
      </c>
      <c r="I473" s="420"/>
      <c r="K473" s="57" t="s">
        <v>526</v>
      </c>
      <c r="L473" s="57" t="s">
        <v>86</v>
      </c>
      <c r="S473" s="57">
        <v>0</v>
      </c>
    </row>
    <row r="474" spans="1:19" ht="11.85" customHeight="1" x14ac:dyDescent="0.2">
      <c r="A474" s="57" t="s">
        <v>526</v>
      </c>
      <c r="B474" s="413" t="s">
        <v>426</v>
      </c>
      <c r="C474" s="414"/>
      <c r="D474" s="415"/>
      <c r="E474" s="419" t="s">
        <v>408</v>
      </c>
      <c r="F474" s="420"/>
      <c r="G474" s="64" t="s">
        <v>420</v>
      </c>
      <c r="H474" s="419" t="s">
        <v>427</v>
      </c>
      <c r="I474" s="420"/>
      <c r="K474" s="57" t="s">
        <v>526</v>
      </c>
      <c r="L474" s="57" t="s">
        <v>86</v>
      </c>
      <c r="S474" s="57">
        <v>0</v>
      </c>
    </row>
    <row r="475" spans="1:19" ht="11.85" customHeight="1" x14ac:dyDescent="0.2">
      <c r="A475" s="57" t="s">
        <v>526</v>
      </c>
      <c r="B475" s="424"/>
      <c r="C475" s="425"/>
      <c r="D475" s="426"/>
      <c r="E475" s="419" t="s">
        <v>409</v>
      </c>
      <c r="F475" s="420"/>
      <c r="G475" s="64" t="s">
        <v>417</v>
      </c>
      <c r="H475" s="419" t="s">
        <v>428</v>
      </c>
      <c r="I475" s="420"/>
      <c r="K475" s="57" t="s">
        <v>526</v>
      </c>
      <c r="L475" s="57" t="s">
        <v>86</v>
      </c>
      <c r="S475" s="57">
        <v>0</v>
      </c>
    </row>
    <row r="476" spans="1:19" ht="11.1" customHeight="1" x14ac:dyDescent="0.2">
      <c r="A476" s="57" t="s">
        <v>526</v>
      </c>
      <c r="B476" s="416"/>
      <c r="C476" s="417"/>
      <c r="D476" s="418"/>
      <c r="E476" s="419" t="s">
        <v>410</v>
      </c>
      <c r="F476" s="420"/>
      <c r="G476" s="64" t="s">
        <v>417</v>
      </c>
      <c r="H476" s="419" t="s">
        <v>415</v>
      </c>
      <c r="I476" s="420"/>
      <c r="K476" s="57" t="s">
        <v>526</v>
      </c>
      <c r="L476" s="57" t="s">
        <v>86</v>
      </c>
      <c r="S476" s="57">
        <v>0</v>
      </c>
    </row>
    <row r="477" spans="1:19" ht="11.85" customHeight="1" x14ac:dyDescent="0.2">
      <c r="A477" s="57" t="s">
        <v>526</v>
      </c>
      <c r="B477" s="62"/>
      <c r="C477" s="411" t="s">
        <v>527</v>
      </c>
      <c r="D477" s="412"/>
      <c r="E477" s="412"/>
      <c r="F477" s="412"/>
      <c r="G477" s="412"/>
      <c r="H477" s="412"/>
      <c r="I477" s="411"/>
      <c r="K477" s="57" t="s">
        <v>526</v>
      </c>
      <c r="L477" s="57" t="s">
        <v>86</v>
      </c>
      <c r="S477" s="57">
        <v>0</v>
      </c>
    </row>
    <row r="478" spans="1:19" ht="11.85" customHeight="1" x14ac:dyDescent="0.2">
      <c r="A478" s="57" t="s">
        <v>527</v>
      </c>
      <c r="B478" s="413" t="s">
        <v>412</v>
      </c>
      <c r="C478" s="414"/>
      <c r="D478" s="415"/>
      <c r="E478" s="419" t="s">
        <v>400</v>
      </c>
      <c r="F478" s="420"/>
      <c r="G478" s="64" t="s">
        <v>413</v>
      </c>
      <c r="H478" s="419" t="s">
        <v>414</v>
      </c>
      <c r="I478" s="420"/>
      <c r="K478" s="57" t="s">
        <v>527</v>
      </c>
      <c r="L478" s="57" t="s">
        <v>87</v>
      </c>
      <c r="S478" s="57">
        <v>0</v>
      </c>
    </row>
    <row r="479" spans="1:19" ht="11.85" customHeight="1" x14ac:dyDescent="0.2">
      <c r="A479" s="57" t="s">
        <v>527</v>
      </c>
      <c r="B479" s="416"/>
      <c r="C479" s="417"/>
      <c r="D479" s="418"/>
      <c r="E479" s="419" t="s">
        <v>401</v>
      </c>
      <c r="F479" s="420"/>
      <c r="G479" s="64" t="s">
        <v>413</v>
      </c>
      <c r="H479" s="419" t="s">
        <v>415</v>
      </c>
      <c r="I479" s="420"/>
      <c r="K479" s="57" t="s">
        <v>527</v>
      </c>
      <c r="L479" s="57" t="s">
        <v>87</v>
      </c>
      <c r="S479" s="57">
        <v>0</v>
      </c>
    </row>
    <row r="480" spans="1:19" ht="11.1" customHeight="1" x14ac:dyDescent="0.2">
      <c r="A480" s="57" t="s">
        <v>527</v>
      </c>
      <c r="B480" s="413" t="s">
        <v>416</v>
      </c>
      <c r="C480" s="414"/>
      <c r="D480" s="415"/>
      <c r="E480" s="419" t="s">
        <v>402</v>
      </c>
      <c r="F480" s="420"/>
      <c r="G480" s="64" t="s">
        <v>417</v>
      </c>
      <c r="H480" s="419" t="s">
        <v>437</v>
      </c>
      <c r="I480" s="420"/>
      <c r="K480" s="57" t="s">
        <v>527</v>
      </c>
      <c r="L480" s="57" t="s">
        <v>87</v>
      </c>
      <c r="S480" s="57">
        <v>0</v>
      </c>
    </row>
    <row r="481" spans="1:19" ht="11.85" customHeight="1" x14ac:dyDescent="0.2">
      <c r="A481" s="57" t="s">
        <v>527</v>
      </c>
      <c r="B481" s="424"/>
      <c r="C481" s="425"/>
      <c r="D481" s="426"/>
      <c r="E481" s="419" t="s">
        <v>403</v>
      </c>
      <c r="F481" s="420"/>
      <c r="G481" s="64" t="s">
        <v>417</v>
      </c>
      <c r="H481" s="419" t="s">
        <v>437</v>
      </c>
      <c r="I481" s="420"/>
      <c r="K481" s="57" t="s">
        <v>527</v>
      </c>
      <c r="L481" s="57" t="s">
        <v>87</v>
      </c>
      <c r="S481" s="57">
        <v>0</v>
      </c>
    </row>
    <row r="482" spans="1:19" ht="11.85" customHeight="1" x14ac:dyDescent="0.2">
      <c r="A482" s="57" t="s">
        <v>527</v>
      </c>
      <c r="B482" s="424"/>
      <c r="C482" s="425"/>
      <c r="D482" s="426"/>
      <c r="E482" s="419" t="s">
        <v>404</v>
      </c>
      <c r="F482" s="420"/>
      <c r="G482" s="64" t="s">
        <v>413</v>
      </c>
      <c r="H482" s="419" t="s">
        <v>478</v>
      </c>
      <c r="I482" s="420"/>
      <c r="K482" s="57" t="s">
        <v>527</v>
      </c>
      <c r="L482" s="57" t="s">
        <v>87</v>
      </c>
      <c r="S482" s="57">
        <v>0</v>
      </c>
    </row>
    <row r="483" spans="1:19" ht="11.85" customHeight="1" x14ac:dyDescent="0.2">
      <c r="A483" s="57" t="s">
        <v>527</v>
      </c>
      <c r="B483" s="424"/>
      <c r="C483" s="425"/>
      <c r="D483" s="426"/>
      <c r="E483" s="419" t="s">
        <v>405</v>
      </c>
      <c r="F483" s="420"/>
      <c r="G483" s="64" t="s">
        <v>420</v>
      </c>
      <c r="H483" s="419" t="s">
        <v>439</v>
      </c>
      <c r="I483" s="420"/>
      <c r="K483" s="57" t="s">
        <v>527</v>
      </c>
      <c r="L483" s="57" t="s">
        <v>87</v>
      </c>
      <c r="S483" s="57">
        <v>0</v>
      </c>
    </row>
    <row r="484" spans="1:19" ht="11.1" customHeight="1" x14ac:dyDescent="0.2">
      <c r="A484" s="57" t="s">
        <v>527</v>
      </c>
      <c r="B484" s="424"/>
      <c r="C484" s="425"/>
      <c r="D484" s="426"/>
      <c r="E484" s="419" t="s">
        <v>406</v>
      </c>
      <c r="F484" s="420"/>
      <c r="G484" s="64" t="s">
        <v>422</v>
      </c>
      <c r="H484" s="419" t="s">
        <v>423</v>
      </c>
      <c r="I484" s="420"/>
      <c r="K484" s="57" t="s">
        <v>527</v>
      </c>
      <c r="L484" s="57" t="s">
        <v>87</v>
      </c>
      <c r="S484" s="65">
        <v>48.44</v>
      </c>
    </row>
    <row r="485" spans="1:19" ht="11.85" customHeight="1" x14ac:dyDescent="0.2">
      <c r="A485" s="57" t="s">
        <v>527</v>
      </c>
      <c r="B485" s="416"/>
      <c r="C485" s="417"/>
      <c r="D485" s="418"/>
      <c r="E485" s="419" t="s">
        <v>407</v>
      </c>
      <c r="F485" s="420"/>
      <c r="G485" s="64" t="s">
        <v>424</v>
      </c>
      <c r="H485" s="419" t="s">
        <v>425</v>
      </c>
      <c r="I485" s="420"/>
      <c r="K485" s="57" t="s">
        <v>527</v>
      </c>
      <c r="L485" s="57" t="s">
        <v>87</v>
      </c>
      <c r="S485" s="57">
        <v>0</v>
      </c>
    </row>
    <row r="486" spans="1:19" ht="11.85" customHeight="1" x14ac:dyDescent="0.2">
      <c r="A486" s="57" t="s">
        <v>527</v>
      </c>
      <c r="B486" s="413" t="s">
        <v>426</v>
      </c>
      <c r="C486" s="414"/>
      <c r="D486" s="415"/>
      <c r="E486" s="419" t="s">
        <v>408</v>
      </c>
      <c r="F486" s="420"/>
      <c r="G486" s="64" t="s">
        <v>420</v>
      </c>
      <c r="H486" s="419" t="s">
        <v>427</v>
      </c>
      <c r="I486" s="420"/>
      <c r="K486" s="57" t="s">
        <v>527</v>
      </c>
      <c r="L486" s="57" t="s">
        <v>87</v>
      </c>
      <c r="S486" s="57">
        <v>0</v>
      </c>
    </row>
    <row r="487" spans="1:19" ht="11.85" customHeight="1" x14ac:dyDescent="0.2">
      <c r="A487" s="57" t="s">
        <v>527</v>
      </c>
      <c r="B487" s="424"/>
      <c r="C487" s="425"/>
      <c r="D487" s="426"/>
      <c r="E487" s="419" t="s">
        <v>409</v>
      </c>
      <c r="F487" s="420"/>
      <c r="G487" s="64" t="s">
        <v>417</v>
      </c>
      <c r="H487" s="419" t="s">
        <v>428</v>
      </c>
      <c r="I487" s="420"/>
      <c r="K487" s="57" t="s">
        <v>527</v>
      </c>
      <c r="L487" s="57" t="s">
        <v>87</v>
      </c>
      <c r="S487" s="57">
        <v>0</v>
      </c>
    </row>
    <row r="488" spans="1:19" ht="11.1" customHeight="1" x14ac:dyDescent="0.2">
      <c r="A488" s="57" t="s">
        <v>527</v>
      </c>
      <c r="B488" s="416"/>
      <c r="C488" s="417"/>
      <c r="D488" s="418"/>
      <c r="E488" s="419" t="s">
        <v>410</v>
      </c>
      <c r="F488" s="420"/>
      <c r="G488" s="64" t="s">
        <v>417</v>
      </c>
      <c r="H488" s="419" t="s">
        <v>415</v>
      </c>
      <c r="I488" s="420"/>
      <c r="K488" s="57" t="s">
        <v>527</v>
      </c>
      <c r="L488" s="57" t="s">
        <v>87</v>
      </c>
      <c r="S488" s="57">
        <v>0</v>
      </c>
    </row>
    <row r="489" spans="1:19" ht="11.85" customHeight="1" x14ac:dyDescent="0.2">
      <c r="A489" s="57" t="s">
        <v>527</v>
      </c>
      <c r="B489" s="62"/>
      <c r="C489" s="411" t="s">
        <v>528</v>
      </c>
      <c r="D489" s="412"/>
      <c r="E489" s="412"/>
      <c r="F489" s="412"/>
      <c r="G489" s="412"/>
      <c r="H489" s="412"/>
      <c r="I489" s="411"/>
      <c r="K489" s="57" t="s">
        <v>527</v>
      </c>
      <c r="L489" s="57" t="s">
        <v>87</v>
      </c>
      <c r="S489" s="57">
        <v>0</v>
      </c>
    </row>
    <row r="490" spans="1:19" ht="11.85" customHeight="1" x14ac:dyDescent="0.2">
      <c r="A490" s="57" t="s">
        <v>528</v>
      </c>
      <c r="B490" s="413" t="s">
        <v>412</v>
      </c>
      <c r="C490" s="414"/>
      <c r="D490" s="415"/>
      <c r="E490" s="419" t="s">
        <v>400</v>
      </c>
      <c r="F490" s="420"/>
      <c r="G490" s="64" t="s">
        <v>413</v>
      </c>
      <c r="H490" s="419" t="s">
        <v>414</v>
      </c>
      <c r="I490" s="420"/>
      <c r="K490" s="57" t="s">
        <v>528</v>
      </c>
      <c r="L490" s="57" t="s">
        <v>88</v>
      </c>
      <c r="S490" s="57">
        <v>0</v>
      </c>
    </row>
    <row r="491" spans="1:19" ht="11.85" customHeight="1" x14ac:dyDescent="0.2">
      <c r="A491" s="57" t="s">
        <v>528</v>
      </c>
      <c r="B491" s="416"/>
      <c r="C491" s="417"/>
      <c r="D491" s="418"/>
      <c r="E491" s="419" t="s">
        <v>401</v>
      </c>
      <c r="F491" s="420"/>
      <c r="G491" s="64" t="s">
        <v>413</v>
      </c>
      <c r="H491" s="419" t="s">
        <v>415</v>
      </c>
      <c r="I491" s="420"/>
      <c r="K491" s="57" t="s">
        <v>528</v>
      </c>
      <c r="L491" s="57" t="s">
        <v>88</v>
      </c>
      <c r="S491" s="57">
        <v>0</v>
      </c>
    </row>
    <row r="492" spans="1:19" ht="11.1" customHeight="1" x14ac:dyDescent="0.2">
      <c r="A492" s="57" t="s">
        <v>528</v>
      </c>
      <c r="B492" s="413" t="s">
        <v>416</v>
      </c>
      <c r="C492" s="414"/>
      <c r="D492" s="415"/>
      <c r="E492" s="419" t="s">
        <v>402</v>
      </c>
      <c r="F492" s="420"/>
      <c r="G492" s="64" t="s">
        <v>417</v>
      </c>
      <c r="H492" s="419" t="s">
        <v>437</v>
      </c>
      <c r="I492" s="420"/>
      <c r="K492" s="57" t="s">
        <v>528</v>
      </c>
      <c r="L492" s="57" t="s">
        <v>88</v>
      </c>
      <c r="S492" s="57">
        <v>0</v>
      </c>
    </row>
    <row r="493" spans="1:19" ht="11.85" customHeight="1" x14ac:dyDescent="0.2">
      <c r="A493" s="57" t="s">
        <v>528</v>
      </c>
      <c r="B493" s="424"/>
      <c r="C493" s="425"/>
      <c r="D493" s="426"/>
      <c r="E493" s="419" t="s">
        <v>403</v>
      </c>
      <c r="F493" s="420"/>
      <c r="G493" s="64" t="s">
        <v>417</v>
      </c>
      <c r="H493" s="419" t="s">
        <v>437</v>
      </c>
      <c r="I493" s="420"/>
      <c r="K493" s="57" t="s">
        <v>528</v>
      </c>
      <c r="L493" s="57" t="s">
        <v>88</v>
      </c>
      <c r="S493" s="57">
        <v>0</v>
      </c>
    </row>
    <row r="494" spans="1:19" ht="11.85" customHeight="1" x14ac:dyDescent="0.2">
      <c r="A494" s="57" t="s">
        <v>528</v>
      </c>
      <c r="B494" s="424"/>
      <c r="C494" s="425"/>
      <c r="D494" s="426"/>
      <c r="E494" s="419" t="s">
        <v>404</v>
      </c>
      <c r="F494" s="420"/>
      <c r="G494" s="64" t="s">
        <v>413</v>
      </c>
      <c r="H494" s="419" t="s">
        <v>478</v>
      </c>
      <c r="I494" s="420"/>
      <c r="K494" s="57" t="s">
        <v>528</v>
      </c>
      <c r="L494" s="57" t="s">
        <v>88</v>
      </c>
      <c r="S494" s="57">
        <v>0</v>
      </c>
    </row>
    <row r="495" spans="1:19" ht="11.85" customHeight="1" x14ac:dyDescent="0.2">
      <c r="A495" s="57" t="s">
        <v>528</v>
      </c>
      <c r="B495" s="424"/>
      <c r="C495" s="425"/>
      <c r="D495" s="426"/>
      <c r="E495" s="419" t="s">
        <v>405</v>
      </c>
      <c r="F495" s="420"/>
      <c r="G495" s="64" t="s">
        <v>420</v>
      </c>
      <c r="H495" s="419" t="s">
        <v>439</v>
      </c>
      <c r="I495" s="420"/>
      <c r="K495" s="57" t="s">
        <v>528</v>
      </c>
      <c r="L495" s="57" t="s">
        <v>88</v>
      </c>
      <c r="S495" s="57">
        <v>0</v>
      </c>
    </row>
    <row r="496" spans="1:19" ht="11.1" customHeight="1" x14ac:dyDescent="0.2">
      <c r="A496" s="57" t="s">
        <v>528</v>
      </c>
      <c r="B496" s="424"/>
      <c r="C496" s="425"/>
      <c r="D496" s="426"/>
      <c r="E496" s="419" t="s">
        <v>406</v>
      </c>
      <c r="F496" s="420"/>
      <c r="G496" s="64" t="s">
        <v>422</v>
      </c>
      <c r="H496" s="419" t="s">
        <v>423</v>
      </c>
      <c r="I496" s="420"/>
      <c r="K496" s="57" t="s">
        <v>528</v>
      </c>
      <c r="L496" s="57" t="s">
        <v>88</v>
      </c>
      <c r="S496" s="65">
        <v>48.44</v>
      </c>
    </row>
    <row r="497" spans="1:19" ht="11.85" customHeight="1" x14ac:dyDescent="0.2">
      <c r="A497" s="57" t="s">
        <v>528</v>
      </c>
      <c r="B497" s="416"/>
      <c r="C497" s="417"/>
      <c r="D497" s="418"/>
      <c r="E497" s="419" t="s">
        <v>407</v>
      </c>
      <c r="F497" s="420"/>
      <c r="G497" s="64" t="s">
        <v>424</v>
      </c>
      <c r="H497" s="419" t="s">
        <v>425</v>
      </c>
      <c r="I497" s="420"/>
      <c r="K497" s="57" t="s">
        <v>528</v>
      </c>
      <c r="L497" s="57" t="s">
        <v>88</v>
      </c>
      <c r="S497" s="57">
        <v>0</v>
      </c>
    </row>
    <row r="498" spans="1:19" ht="11.85" customHeight="1" x14ac:dyDescent="0.2">
      <c r="A498" s="57" t="s">
        <v>528</v>
      </c>
      <c r="B498" s="413" t="s">
        <v>426</v>
      </c>
      <c r="C498" s="414"/>
      <c r="D498" s="415"/>
      <c r="E498" s="419" t="s">
        <v>408</v>
      </c>
      <c r="F498" s="420"/>
      <c r="G498" s="64" t="s">
        <v>420</v>
      </c>
      <c r="H498" s="419" t="s">
        <v>427</v>
      </c>
      <c r="I498" s="420"/>
      <c r="K498" s="57" t="s">
        <v>528</v>
      </c>
      <c r="L498" s="57" t="s">
        <v>88</v>
      </c>
      <c r="S498" s="57">
        <v>0</v>
      </c>
    </row>
    <row r="499" spans="1:19" ht="11.85" customHeight="1" x14ac:dyDescent="0.2">
      <c r="A499" s="57" t="s">
        <v>528</v>
      </c>
      <c r="B499" s="424"/>
      <c r="C499" s="425"/>
      <c r="D499" s="426"/>
      <c r="E499" s="419" t="s">
        <v>409</v>
      </c>
      <c r="F499" s="420"/>
      <c r="G499" s="64" t="s">
        <v>417</v>
      </c>
      <c r="H499" s="419" t="s">
        <v>428</v>
      </c>
      <c r="I499" s="420"/>
      <c r="K499" s="57" t="s">
        <v>528</v>
      </c>
      <c r="L499" s="57" t="s">
        <v>88</v>
      </c>
      <c r="S499" s="57">
        <v>0</v>
      </c>
    </row>
    <row r="500" spans="1:19" ht="11.1" customHeight="1" x14ac:dyDescent="0.2">
      <c r="A500" s="57" t="s">
        <v>528</v>
      </c>
      <c r="B500" s="416"/>
      <c r="C500" s="417"/>
      <c r="D500" s="418"/>
      <c r="E500" s="419" t="s">
        <v>410</v>
      </c>
      <c r="F500" s="420"/>
      <c r="G500" s="64" t="s">
        <v>417</v>
      </c>
      <c r="H500" s="419" t="s">
        <v>415</v>
      </c>
      <c r="I500" s="420"/>
      <c r="K500" s="57" t="s">
        <v>528</v>
      </c>
      <c r="L500" s="57" t="s">
        <v>88</v>
      </c>
      <c r="S500" s="57">
        <v>0</v>
      </c>
    </row>
    <row r="501" spans="1:19" ht="11.85" customHeight="1" x14ac:dyDescent="0.2">
      <c r="A501" s="57" t="s">
        <v>528</v>
      </c>
      <c r="B501" s="62"/>
      <c r="C501" s="411" t="s">
        <v>529</v>
      </c>
      <c r="D501" s="412"/>
      <c r="E501" s="412"/>
      <c r="F501" s="412"/>
      <c r="G501" s="412"/>
      <c r="H501" s="412"/>
      <c r="I501" s="411"/>
      <c r="K501" s="57" t="s">
        <v>528</v>
      </c>
      <c r="L501" s="57" t="s">
        <v>88</v>
      </c>
      <c r="S501" s="57">
        <v>0</v>
      </c>
    </row>
    <row r="502" spans="1:19" ht="11.85" customHeight="1" x14ac:dyDescent="0.2">
      <c r="A502" s="57" t="s">
        <v>529</v>
      </c>
      <c r="B502" s="413" t="s">
        <v>471</v>
      </c>
      <c r="C502" s="427"/>
      <c r="D502" s="428"/>
      <c r="E502" s="419" t="s">
        <v>502</v>
      </c>
      <c r="F502" s="420"/>
      <c r="G502" s="64" t="s">
        <v>503</v>
      </c>
      <c r="H502" s="419" t="s">
        <v>423</v>
      </c>
      <c r="I502" s="420"/>
      <c r="K502" s="57" t="s">
        <v>529</v>
      </c>
      <c r="L502" s="57" t="s">
        <v>884</v>
      </c>
      <c r="S502" s="57">
        <v>0</v>
      </c>
    </row>
    <row r="503" spans="1:19" ht="11.85" customHeight="1" x14ac:dyDescent="0.2">
      <c r="A503" s="57" t="s">
        <v>529</v>
      </c>
      <c r="B503" s="62"/>
      <c r="C503" s="411" t="s">
        <v>530</v>
      </c>
      <c r="D503" s="412"/>
      <c r="E503" s="412"/>
      <c r="F503" s="412"/>
      <c r="G503" s="412"/>
      <c r="H503" s="412"/>
      <c r="I503" s="411"/>
      <c r="K503" s="57" t="s">
        <v>529</v>
      </c>
      <c r="L503" s="57" t="s">
        <v>884</v>
      </c>
      <c r="S503" s="57">
        <v>0</v>
      </c>
    </row>
    <row r="504" spans="1:19" ht="11.1" customHeight="1" x14ac:dyDescent="0.2">
      <c r="A504" s="57" t="s">
        <v>530</v>
      </c>
      <c r="B504" s="413" t="s">
        <v>412</v>
      </c>
      <c r="C504" s="414"/>
      <c r="D504" s="415"/>
      <c r="E504" s="419" t="s">
        <v>400</v>
      </c>
      <c r="F504" s="420"/>
      <c r="G504" s="64" t="s">
        <v>413</v>
      </c>
      <c r="H504" s="419" t="s">
        <v>414</v>
      </c>
      <c r="I504" s="420"/>
      <c r="K504" s="57" t="s">
        <v>530</v>
      </c>
      <c r="L504" s="57" t="s">
        <v>89</v>
      </c>
      <c r="S504" s="57">
        <v>0</v>
      </c>
    </row>
    <row r="505" spans="1:19" ht="11.85" customHeight="1" x14ac:dyDescent="0.2">
      <c r="A505" s="57" t="s">
        <v>530</v>
      </c>
      <c r="B505" s="416"/>
      <c r="C505" s="417"/>
      <c r="D505" s="418"/>
      <c r="E505" s="419" t="s">
        <v>401</v>
      </c>
      <c r="F505" s="420"/>
      <c r="G505" s="64" t="s">
        <v>413</v>
      </c>
      <c r="H505" s="419" t="s">
        <v>415</v>
      </c>
      <c r="I505" s="420"/>
      <c r="K505" s="57" t="s">
        <v>530</v>
      </c>
      <c r="L505" s="57" t="s">
        <v>89</v>
      </c>
      <c r="S505" s="57">
        <v>0</v>
      </c>
    </row>
    <row r="506" spans="1:19" ht="11.85" customHeight="1" x14ac:dyDescent="0.2">
      <c r="A506" s="57" t="s">
        <v>530</v>
      </c>
      <c r="B506" s="413" t="s">
        <v>416</v>
      </c>
      <c r="C506" s="414"/>
      <c r="D506" s="415"/>
      <c r="E506" s="419" t="s">
        <v>402</v>
      </c>
      <c r="F506" s="420"/>
      <c r="G506" s="64" t="s">
        <v>417</v>
      </c>
      <c r="H506" s="419" t="s">
        <v>466</v>
      </c>
      <c r="I506" s="420"/>
      <c r="K506" s="57" t="s">
        <v>530</v>
      </c>
      <c r="L506" s="57" t="s">
        <v>89</v>
      </c>
      <c r="S506" s="57">
        <v>0</v>
      </c>
    </row>
    <row r="507" spans="1:19" ht="11.85" customHeight="1" x14ac:dyDescent="0.2">
      <c r="A507" s="57" t="s">
        <v>530</v>
      </c>
      <c r="B507" s="424"/>
      <c r="C507" s="425"/>
      <c r="D507" s="426"/>
      <c r="E507" s="419" t="s">
        <v>403</v>
      </c>
      <c r="F507" s="420"/>
      <c r="G507" s="64" t="s">
        <v>417</v>
      </c>
      <c r="H507" s="419" t="s">
        <v>466</v>
      </c>
      <c r="I507" s="420"/>
      <c r="K507" s="57" t="s">
        <v>530</v>
      </c>
      <c r="L507" s="57" t="s">
        <v>89</v>
      </c>
      <c r="S507" s="57">
        <v>0</v>
      </c>
    </row>
    <row r="508" spans="1:19" ht="11.1" customHeight="1" x14ac:dyDescent="0.2">
      <c r="A508" s="57" t="s">
        <v>530</v>
      </c>
      <c r="B508" s="424"/>
      <c r="C508" s="425"/>
      <c r="D508" s="426"/>
      <c r="E508" s="419" t="s">
        <v>404</v>
      </c>
      <c r="F508" s="420"/>
      <c r="G508" s="64" t="s">
        <v>413</v>
      </c>
      <c r="H508" s="419" t="s">
        <v>531</v>
      </c>
      <c r="I508" s="420"/>
      <c r="K508" s="57" t="s">
        <v>530</v>
      </c>
      <c r="L508" s="57" t="s">
        <v>89</v>
      </c>
      <c r="S508" s="57">
        <v>0</v>
      </c>
    </row>
    <row r="509" spans="1:19" ht="11.85" customHeight="1" x14ac:dyDescent="0.2">
      <c r="A509" s="57" t="s">
        <v>530</v>
      </c>
      <c r="B509" s="424"/>
      <c r="C509" s="425"/>
      <c r="D509" s="426"/>
      <c r="E509" s="419" t="s">
        <v>405</v>
      </c>
      <c r="F509" s="420"/>
      <c r="G509" s="64" t="s">
        <v>420</v>
      </c>
      <c r="H509" s="419" t="s">
        <v>418</v>
      </c>
      <c r="I509" s="420"/>
      <c r="K509" s="57" t="s">
        <v>530</v>
      </c>
      <c r="L509" s="57" t="s">
        <v>89</v>
      </c>
      <c r="S509" s="57">
        <v>0</v>
      </c>
    </row>
    <row r="510" spans="1:19" ht="11.85" customHeight="1" x14ac:dyDescent="0.2">
      <c r="A510" s="57" t="s">
        <v>530</v>
      </c>
      <c r="B510" s="424"/>
      <c r="C510" s="425"/>
      <c r="D510" s="426"/>
      <c r="E510" s="419" t="s">
        <v>440</v>
      </c>
      <c r="F510" s="420"/>
      <c r="G510" s="64" t="s">
        <v>441</v>
      </c>
      <c r="H510" s="419" t="s">
        <v>423</v>
      </c>
      <c r="I510" s="420"/>
      <c r="K510" s="57" t="s">
        <v>530</v>
      </c>
      <c r="L510" s="57" t="s">
        <v>89</v>
      </c>
      <c r="S510" s="65">
        <v>48.16</v>
      </c>
    </row>
    <row r="511" spans="1:19" ht="11.85" customHeight="1" x14ac:dyDescent="0.2">
      <c r="A511" s="57" t="s">
        <v>530</v>
      </c>
      <c r="B511" s="416"/>
      <c r="C511" s="417"/>
      <c r="D511" s="418"/>
      <c r="E511" s="419" t="s">
        <v>442</v>
      </c>
      <c r="F511" s="420"/>
      <c r="G511" s="64" t="s">
        <v>443</v>
      </c>
      <c r="H511" s="419" t="s">
        <v>425</v>
      </c>
      <c r="I511" s="420"/>
      <c r="K511" s="57" t="s">
        <v>530</v>
      </c>
      <c r="L511" s="57" t="s">
        <v>89</v>
      </c>
      <c r="S511" s="57">
        <v>0</v>
      </c>
    </row>
    <row r="512" spans="1:19" ht="11.1" customHeight="1" x14ac:dyDescent="0.2">
      <c r="A512" s="57" t="s">
        <v>530</v>
      </c>
      <c r="B512" s="413" t="s">
        <v>426</v>
      </c>
      <c r="C512" s="414"/>
      <c r="D512" s="415"/>
      <c r="E512" s="419" t="s">
        <v>408</v>
      </c>
      <c r="F512" s="420"/>
      <c r="G512" s="64" t="s">
        <v>420</v>
      </c>
      <c r="H512" s="419" t="s">
        <v>427</v>
      </c>
      <c r="I512" s="420"/>
      <c r="K512" s="57" t="s">
        <v>530</v>
      </c>
      <c r="L512" s="57" t="s">
        <v>89</v>
      </c>
      <c r="S512" s="57">
        <v>0</v>
      </c>
    </row>
    <row r="513" spans="1:19" ht="11.85" customHeight="1" x14ac:dyDescent="0.2">
      <c r="A513" s="57" t="s">
        <v>530</v>
      </c>
      <c r="B513" s="424"/>
      <c r="C513" s="425"/>
      <c r="D513" s="426"/>
      <c r="E513" s="419" t="s">
        <v>409</v>
      </c>
      <c r="F513" s="420"/>
      <c r="G513" s="64" t="s">
        <v>417</v>
      </c>
      <c r="H513" s="419" t="s">
        <v>428</v>
      </c>
      <c r="I513" s="420"/>
      <c r="K513" s="57" t="s">
        <v>530</v>
      </c>
      <c r="L513" s="57" t="s">
        <v>89</v>
      </c>
      <c r="S513" s="57">
        <v>0</v>
      </c>
    </row>
    <row r="514" spans="1:19" ht="11.85" customHeight="1" x14ac:dyDescent="0.2">
      <c r="A514" s="57" t="s">
        <v>530</v>
      </c>
      <c r="B514" s="416"/>
      <c r="C514" s="417"/>
      <c r="D514" s="418"/>
      <c r="E514" s="419" t="s">
        <v>410</v>
      </c>
      <c r="F514" s="420"/>
      <c r="G514" s="64" t="s">
        <v>417</v>
      </c>
      <c r="H514" s="419" t="s">
        <v>415</v>
      </c>
      <c r="I514" s="420"/>
      <c r="K514" s="57" t="s">
        <v>530</v>
      </c>
      <c r="L514" s="57" t="s">
        <v>89</v>
      </c>
      <c r="S514" s="57">
        <v>0</v>
      </c>
    </row>
    <row r="515" spans="1:19" ht="11.85" customHeight="1" x14ac:dyDescent="0.2">
      <c r="A515" s="57" t="s">
        <v>530</v>
      </c>
      <c r="B515" s="62"/>
      <c r="C515" s="411" t="s">
        <v>532</v>
      </c>
      <c r="D515" s="412"/>
      <c r="E515" s="412"/>
      <c r="F515" s="412"/>
      <c r="G515" s="412"/>
      <c r="H515" s="412"/>
      <c r="I515" s="411"/>
      <c r="K515" s="57" t="s">
        <v>530</v>
      </c>
      <c r="L515" s="57" t="s">
        <v>89</v>
      </c>
      <c r="S515" s="57">
        <v>0</v>
      </c>
    </row>
    <row r="516" spans="1:19" ht="11.1" customHeight="1" x14ac:dyDescent="0.2">
      <c r="A516" s="57" t="s">
        <v>532</v>
      </c>
      <c r="B516" s="413" t="s">
        <v>412</v>
      </c>
      <c r="C516" s="427"/>
      <c r="D516" s="428"/>
      <c r="E516" s="419" t="s">
        <v>401</v>
      </c>
      <c r="F516" s="420"/>
      <c r="G516" s="64" t="s">
        <v>413</v>
      </c>
      <c r="H516" s="419" t="s">
        <v>415</v>
      </c>
      <c r="I516" s="420"/>
      <c r="K516" s="57" t="s">
        <v>532</v>
      </c>
      <c r="L516" s="57" t="s">
        <v>90</v>
      </c>
      <c r="S516" s="57">
        <v>0</v>
      </c>
    </row>
    <row r="517" spans="1:19" ht="11.85" customHeight="1" x14ac:dyDescent="0.2">
      <c r="A517" s="57" t="s">
        <v>532</v>
      </c>
      <c r="B517" s="413" t="s">
        <v>416</v>
      </c>
      <c r="C517" s="414"/>
      <c r="D517" s="415"/>
      <c r="E517" s="419" t="s">
        <v>402</v>
      </c>
      <c r="F517" s="420"/>
      <c r="G517" s="64" t="s">
        <v>417</v>
      </c>
      <c r="H517" s="419" t="s">
        <v>457</v>
      </c>
      <c r="I517" s="420"/>
      <c r="K517" s="57" t="s">
        <v>532</v>
      </c>
      <c r="L517" s="57" t="s">
        <v>90</v>
      </c>
      <c r="S517" s="57">
        <v>0</v>
      </c>
    </row>
    <row r="518" spans="1:19" ht="11.85" customHeight="1" x14ac:dyDescent="0.2">
      <c r="A518" s="57" t="s">
        <v>532</v>
      </c>
      <c r="B518" s="424"/>
      <c r="C518" s="425"/>
      <c r="D518" s="426"/>
      <c r="E518" s="419" t="s">
        <v>403</v>
      </c>
      <c r="F518" s="420"/>
      <c r="G518" s="64" t="s">
        <v>417</v>
      </c>
      <c r="H518" s="419" t="s">
        <v>457</v>
      </c>
      <c r="I518" s="420"/>
      <c r="K518" s="57" t="s">
        <v>532</v>
      </c>
      <c r="L518" s="57" t="s">
        <v>90</v>
      </c>
      <c r="S518" s="57">
        <v>0</v>
      </c>
    </row>
    <row r="519" spans="1:19" ht="11.85" customHeight="1" x14ac:dyDescent="0.2">
      <c r="A519" s="57" t="s">
        <v>532</v>
      </c>
      <c r="B519" s="424"/>
      <c r="C519" s="425"/>
      <c r="D519" s="426"/>
      <c r="E519" s="419" t="s">
        <v>404</v>
      </c>
      <c r="F519" s="420"/>
      <c r="G519" s="64" t="s">
        <v>413</v>
      </c>
      <c r="H519" s="419" t="s">
        <v>458</v>
      </c>
      <c r="I519" s="420"/>
      <c r="K519" s="57" t="s">
        <v>532</v>
      </c>
      <c r="L519" s="57" t="s">
        <v>90</v>
      </c>
      <c r="S519" s="57">
        <v>0</v>
      </c>
    </row>
    <row r="520" spans="1:19" ht="11.1" customHeight="1" x14ac:dyDescent="0.2">
      <c r="A520" s="57" t="s">
        <v>532</v>
      </c>
      <c r="B520" s="424"/>
      <c r="C520" s="425"/>
      <c r="D520" s="426"/>
      <c r="E520" s="419" t="s">
        <v>405</v>
      </c>
      <c r="F520" s="420"/>
      <c r="G520" s="64" t="s">
        <v>420</v>
      </c>
      <c r="H520" s="419" t="s">
        <v>459</v>
      </c>
      <c r="I520" s="420"/>
      <c r="K520" s="57" t="s">
        <v>532</v>
      </c>
      <c r="L520" s="57" t="s">
        <v>90</v>
      </c>
      <c r="S520" s="57">
        <v>0</v>
      </c>
    </row>
    <row r="521" spans="1:19" ht="11.85" customHeight="1" x14ac:dyDescent="0.2">
      <c r="A521" s="57" t="s">
        <v>532</v>
      </c>
      <c r="B521" s="424"/>
      <c r="C521" s="425"/>
      <c r="D521" s="426"/>
      <c r="E521" s="419" t="s">
        <v>460</v>
      </c>
      <c r="F521" s="420"/>
      <c r="G521" s="64" t="s">
        <v>461</v>
      </c>
      <c r="H521" s="419" t="s">
        <v>423</v>
      </c>
      <c r="I521" s="420"/>
      <c r="K521" s="57" t="s">
        <v>532</v>
      </c>
      <c r="L521" s="57" t="s">
        <v>90</v>
      </c>
      <c r="S521" s="65">
        <v>33.17</v>
      </c>
    </row>
    <row r="522" spans="1:19" ht="11.85" customHeight="1" x14ac:dyDescent="0.2">
      <c r="A522" s="57" t="s">
        <v>532</v>
      </c>
      <c r="B522" s="416"/>
      <c r="C522" s="417"/>
      <c r="D522" s="418"/>
      <c r="E522" s="419" t="s">
        <v>462</v>
      </c>
      <c r="F522" s="420"/>
      <c r="G522" s="64" t="s">
        <v>424</v>
      </c>
      <c r="H522" s="419" t="s">
        <v>463</v>
      </c>
      <c r="I522" s="420"/>
      <c r="K522" s="57" t="s">
        <v>532</v>
      </c>
      <c r="L522" s="57" t="s">
        <v>90</v>
      </c>
      <c r="S522" s="57">
        <v>0</v>
      </c>
    </row>
    <row r="523" spans="1:19" ht="11.85" customHeight="1" x14ac:dyDescent="0.2">
      <c r="A523" s="57" t="s">
        <v>532</v>
      </c>
      <c r="B523" s="413" t="s">
        <v>426</v>
      </c>
      <c r="C523" s="414"/>
      <c r="D523" s="415"/>
      <c r="E523" s="419" t="s">
        <v>408</v>
      </c>
      <c r="F523" s="420"/>
      <c r="G523" s="64" t="s">
        <v>420</v>
      </c>
      <c r="H523" s="419" t="s">
        <v>427</v>
      </c>
      <c r="I523" s="420"/>
      <c r="K523" s="57" t="s">
        <v>532</v>
      </c>
      <c r="L523" s="57" t="s">
        <v>90</v>
      </c>
      <c r="S523" s="57">
        <v>0</v>
      </c>
    </row>
    <row r="524" spans="1:19" ht="11.1" customHeight="1" x14ac:dyDescent="0.2">
      <c r="A524" s="57" t="s">
        <v>532</v>
      </c>
      <c r="B524" s="424"/>
      <c r="C524" s="425"/>
      <c r="D524" s="426"/>
      <c r="E524" s="419" t="s">
        <v>409</v>
      </c>
      <c r="F524" s="420"/>
      <c r="G524" s="64" t="s">
        <v>417</v>
      </c>
      <c r="H524" s="419" t="s">
        <v>428</v>
      </c>
      <c r="I524" s="420"/>
      <c r="K524" s="57" t="s">
        <v>532</v>
      </c>
      <c r="L524" s="57" t="s">
        <v>90</v>
      </c>
      <c r="S524" s="57">
        <v>0</v>
      </c>
    </row>
    <row r="525" spans="1:19" ht="11.85" customHeight="1" x14ac:dyDescent="0.2">
      <c r="A525" s="57" t="s">
        <v>532</v>
      </c>
      <c r="B525" s="416"/>
      <c r="C525" s="417"/>
      <c r="D525" s="418"/>
      <c r="E525" s="419" t="s">
        <v>410</v>
      </c>
      <c r="F525" s="420"/>
      <c r="G525" s="64" t="s">
        <v>417</v>
      </c>
      <c r="H525" s="419" t="s">
        <v>415</v>
      </c>
      <c r="I525" s="420"/>
      <c r="K525" s="57" t="s">
        <v>532</v>
      </c>
      <c r="L525" s="57" t="s">
        <v>90</v>
      </c>
      <c r="S525" s="57">
        <v>0</v>
      </c>
    </row>
    <row r="526" spans="1:19" ht="11.85" customHeight="1" x14ac:dyDescent="0.2">
      <c r="A526" s="57" t="s">
        <v>532</v>
      </c>
      <c r="B526" s="62"/>
      <c r="C526" s="411" t="s">
        <v>533</v>
      </c>
      <c r="D526" s="412"/>
      <c r="E526" s="412"/>
      <c r="F526" s="412"/>
      <c r="G526" s="412"/>
      <c r="H526" s="412"/>
      <c r="I526" s="411"/>
      <c r="K526" s="57" t="s">
        <v>532</v>
      </c>
      <c r="L526" s="57" t="s">
        <v>90</v>
      </c>
      <c r="S526" s="57">
        <v>0</v>
      </c>
    </row>
    <row r="527" spans="1:19" ht="11.85" customHeight="1" x14ac:dyDescent="0.2">
      <c r="A527" s="57" t="s">
        <v>533</v>
      </c>
      <c r="B527" s="413" t="s">
        <v>471</v>
      </c>
      <c r="C527" s="427"/>
      <c r="D527" s="428"/>
      <c r="E527" s="419" t="s">
        <v>502</v>
      </c>
      <c r="F527" s="420"/>
      <c r="G527" s="64" t="s">
        <v>503</v>
      </c>
      <c r="H527" s="419" t="s">
        <v>423</v>
      </c>
      <c r="I527" s="420"/>
      <c r="K527" s="57" t="s">
        <v>533</v>
      </c>
      <c r="L527" s="57" t="s">
        <v>885</v>
      </c>
      <c r="S527" s="57">
        <v>0</v>
      </c>
    </row>
    <row r="528" spans="1:19" ht="11.1" customHeight="1" x14ac:dyDescent="0.2">
      <c r="A528" s="57" t="s">
        <v>533</v>
      </c>
      <c r="B528" s="62"/>
      <c r="C528" s="411" t="s">
        <v>534</v>
      </c>
      <c r="D528" s="412"/>
      <c r="E528" s="412"/>
      <c r="F528" s="412"/>
      <c r="G528" s="412"/>
      <c r="H528" s="412"/>
      <c r="I528" s="411"/>
      <c r="K528" s="57" t="s">
        <v>533</v>
      </c>
      <c r="L528" s="57" t="s">
        <v>885</v>
      </c>
      <c r="S528" s="57">
        <v>0</v>
      </c>
    </row>
    <row r="529" spans="1:19" ht="11.85" customHeight="1" x14ac:dyDescent="0.2">
      <c r="A529" s="57" t="s">
        <v>534</v>
      </c>
      <c r="B529" s="413" t="s">
        <v>471</v>
      </c>
      <c r="C529" s="427"/>
      <c r="D529" s="428"/>
      <c r="E529" s="419" t="s">
        <v>502</v>
      </c>
      <c r="F529" s="420"/>
      <c r="G529" s="64" t="s">
        <v>503</v>
      </c>
      <c r="H529" s="419" t="s">
        <v>423</v>
      </c>
      <c r="I529" s="420"/>
      <c r="K529" s="57" t="s">
        <v>534</v>
      </c>
      <c r="L529" s="57" t="s">
        <v>886</v>
      </c>
      <c r="S529" s="57">
        <v>0</v>
      </c>
    </row>
    <row r="530" spans="1:19" ht="11.85" customHeight="1" x14ac:dyDescent="0.2">
      <c r="A530" s="57" t="s">
        <v>534</v>
      </c>
      <c r="B530" s="62"/>
      <c r="C530" s="411" t="s">
        <v>535</v>
      </c>
      <c r="D530" s="412"/>
      <c r="E530" s="412"/>
      <c r="F530" s="412"/>
      <c r="G530" s="412"/>
      <c r="H530" s="412"/>
      <c r="I530" s="411"/>
      <c r="K530" s="57" t="s">
        <v>534</v>
      </c>
      <c r="L530" s="57" t="s">
        <v>886</v>
      </c>
      <c r="S530" s="57">
        <v>0</v>
      </c>
    </row>
    <row r="531" spans="1:19" ht="11.85" customHeight="1" x14ac:dyDescent="0.2">
      <c r="A531" s="57" t="s">
        <v>535</v>
      </c>
      <c r="B531" s="413" t="s">
        <v>471</v>
      </c>
      <c r="C531" s="427"/>
      <c r="D531" s="428"/>
      <c r="E531" s="419" t="s">
        <v>502</v>
      </c>
      <c r="F531" s="420"/>
      <c r="G531" s="64" t="s">
        <v>503</v>
      </c>
      <c r="H531" s="419" t="s">
        <v>423</v>
      </c>
      <c r="I531" s="420"/>
      <c r="K531" s="57" t="s">
        <v>535</v>
      </c>
      <c r="L531" s="57" t="s">
        <v>91</v>
      </c>
      <c r="S531" s="57">
        <v>0</v>
      </c>
    </row>
    <row r="532" spans="1:19" ht="11.1" customHeight="1" x14ac:dyDescent="0.2">
      <c r="A532" s="57" t="s">
        <v>535</v>
      </c>
      <c r="B532" s="413" t="s">
        <v>416</v>
      </c>
      <c r="C532" s="414"/>
      <c r="D532" s="415"/>
      <c r="E532" s="419" t="s">
        <v>402</v>
      </c>
      <c r="F532" s="420"/>
      <c r="G532" s="64" t="s">
        <v>417</v>
      </c>
      <c r="H532" s="419" t="s">
        <v>516</v>
      </c>
      <c r="I532" s="420"/>
      <c r="K532" s="57" t="s">
        <v>535</v>
      </c>
      <c r="L532" s="57" t="s">
        <v>91</v>
      </c>
      <c r="S532" s="57">
        <v>0</v>
      </c>
    </row>
    <row r="533" spans="1:19" ht="11.85" customHeight="1" x14ac:dyDescent="0.2">
      <c r="A533" s="57" t="s">
        <v>535</v>
      </c>
      <c r="B533" s="424"/>
      <c r="C533" s="425"/>
      <c r="D533" s="426"/>
      <c r="E533" s="419" t="s">
        <v>405</v>
      </c>
      <c r="F533" s="420"/>
      <c r="G533" s="64" t="s">
        <v>420</v>
      </c>
      <c r="H533" s="419" t="s">
        <v>516</v>
      </c>
      <c r="I533" s="420"/>
      <c r="K533" s="57" t="s">
        <v>535</v>
      </c>
      <c r="L533" s="57" t="s">
        <v>91</v>
      </c>
      <c r="S533" s="57">
        <v>0</v>
      </c>
    </row>
    <row r="534" spans="1:19" ht="11.85" customHeight="1" x14ac:dyDescent="0.2">
      <c r="A534" s="57" t="s">
        <v>535</v>
      </c>
      <c r="B534" s="424"/>
      <c r="C534" s="425"/>
      <c r="D534" s="426"/>
      <c r="E534" s="419" t="s">
        <v>462</v>
      </c>
      <c r="F534" s="420"/>
      <c r="G534" s="64" t="s">
        <v>424</v>
      </c>
      <c r="H534" s="419" t="s">
        <v>463</v>
      </c>
      <c r="I534" s="420"/>
      <c r="K534" s="57" t="s">
        <v>535</v>
      </c>
      <c r="L534" s="57" t="s">
        <v>91</v>
      </c>
      <c r="S534" s="57">
        <v>0</v>
      </c>
    </row>
    <row r="535" spans="1:19" ht="11.85" customHeight="1" x14ac:dyDescent="0.2">
      <c r="A535" s="57" t="s">
        <v>535</v>
      </c>
      <c r="B535" s="416"/>
      <c r="C535" s="417"/>
      <c r="D535" s="418"/>
      <c r="E535" s="419" t="s">
        <v>517</v>
      </c>
      <c r="F535" s="420"/>
      <c r="G535" s="64" t="s">
        <v>518</v>
      </c>
      <c r="H535" s="419" t="s">
        <v>423</v>
      </c>
      <c r="I535" s="420"/>
      <c r="K535" s="57" t="s">
        <v>535</v>
      </c>
      <c r="L535" s="57" t="s">
        <v>91</v>
      </c>
      <c r="S535" s="65">
        <v>26.91</v>
      </c>
    </row>
    <row r="536" spans="1:19" ht="11.1" customHeight="1" x14ac:dyDescent="0.2">
      <c r="A536" s="57" t="s">
        <v>535</v>
      </c>
      <c r="B536" s="62"/>
      <c r="C536" s="411" t="s">
        <v>536</v>
      </c>
      <c r="D536" s="412"/>
      <c r="E536" s="412"/>
      <c r="F536" s="412"/>
      <c r="G536" s="412"/>
      <c r="H536" s="412"/>
      <c r="I536" s="411"/>
      <c r="K536" s="57" t="s">
        <v>535</v>
      </c>
      <c r="L536" s="57" t="s">
        <v>91</v>
      </c>
      <c r="S536" s="57">
        <v>0</v>
      </c>
    </row>
    <row r="537" spans="1:19" ht="11.85" customHeight="1" x14ac:dyDescent="0.2">
      <c r="A537" s="57" t="s">
        <v>536</v>
      </c>
      <c r="B537" s="413" t="s">
        <v>471</v>
      </c>
      <c r="C537" s="427"/>
      <c r="D537" s="428"/>
      <c r="E537" s="419" t="s">
        <v>502</v>
      </c>
      <c r="F537" s="420"/>
      <c r="G537" s="64" t="s">
        <v>503</v>
      </c>
      <c r="H537" s="419" t="s">
        <v>423</v>
      </c>
      <c r="I537" s="420"/>
      <c r="K537" s="57" t="s">
        <v>536</v>
      </c>
      <c r="L537" s="57" t="s">
        <v>92</v>
      </c>
      <c r="S537" s="57">
        <v>0</v>
      </c>
    </row>
    <row r="538" spans="1:19" ht="11.85" customHeight="1" x14ac:dyDescent="0.2">
      <c r="A538" s="57" t="s">
        <v>536</v>
      </c>
      <c r="B538" s="413" t="s">
        <v>416</v>
      </c>
      <c r="C538" s="414"/>
      <c r="D538" s="415"/>
      <c r="E538" s="419" t="s">
        <v>537</v>
      </c>
      <c r="F538" s="420"/>
      <c r="G538" s="64" t="s">
        <v>420</v>
      </c>
      <c r="H538" s="419" t="s">
        <v>516</v>
      </c>
      <c r="I538" s="420"/>
      <c r="K538" s="57" t="s">
        <v>536</v>
      </c>
      <c r="L538" s="57" t="s">
        <v>92</v>
      </c>
      <c r="S538" s="57">
        <v>0</v>
      </c>
    </row>
    <row r="539" spans="1:19" ht="11.85" customHeight="1" x14ac:dyDescent="0.2">
      <c r="A539" s="57" t="s">
        <v>536</v>
      </c>
      <c r="B539" s="416"/>
      <c r="C539" s="417"/>
      <c r="D539" s="418"/>
      <c r="E539" s="419" t="s">
        <v>538</v>
      </c>
      <c r="F539" s="420"/>
      <c r="G539" s="64" t="s">
        <v>417</v>
      </c>
      <c r="H539" s="419" t="s">
        <v>516</v>
      </c>
      <c r="I539" s="420"/>
      <c r="K539" s="57" t="s">
        <v>536</v>
      </c>
      <c r="L539" s="57" t="s">
        <v>92</v>
      </c>
      <c r="S539" s="57">
        <v>0</v>
      </c>
    </row>
    <row r="540" spans="1:19" ht="11.85" customHeight="1" x14ac:dyDescent="0.2">
      <c r="A540" s="57" t="s">
        <v>536</v>
      </c>
      <c r="B540" s="413" t="s">
        <v>416</v>
      </c>
      <c r="C540" s="414"/>
      <c r="D540" s="415"/>
      <c r="E540" s="419" t="s">
        <v>462</v>
      </c>
      <c r="F540" s="420"/>
      <c r="G540" s="64" t="s">
        <v>424</v>
      </c>
      <c r="H540" s="419" t="s">
        <v>463</v>
      </c>
      <c r="I540" s="420"/>
      <c r="K540" s="57" t="s">
        <v>536</v>
      </c>
      <c r="L540" s="57" t="s">
        <v>92</v>
      </c>
      <c r="S540" s="57">
        <v>0</v>
      </c>
    </row>
    <row r="541" spans="1:19" ht="11.85" customHeight="1" x14ac:dyDescent="0.2">
      <c r="A541" s="57" t="s">
        <v>536</v>
      </c>
      <c r="B541" s="416"/>
      <c r="C541" s="417"/>
      <c r="D541" s="418"/>
      <c r="E541" s="419" t="s">
        <v>517</v>
      </c>
      <c r="F541" s="420"/>
      <c r="G541" s="64" t="s">
        <v>518</v>
      </c>
      <c r="H541" s="419" t="s">
        <v>423</v>
      </c>
      <c r="I541" s="420"/>
      <c r="K541" s="57" t="s">
        <v>536</v>
      </c>
      <c r="L541" s="57" t="s">
        <v>92</v>
      </c>
      <c r="S541" s="65">
        <v>26.91</v>
      </c>
    </row>
    <row r="542" spans="1:19" ht="11.85" customHeight="1" x14ac:dyDescent="0.2">
      <c r="A542" s="57" t="s">
        <v>536</v>
      </c>
      <c r="B542" s="62"/>
      <c r="C542" s="411" t="s">
        <v>539</v>
      </c>
      <c r="D542" s="412"/>
      <c r="E542" s="412"/>
      <c r="F542" s="412"/>
      <c r="G542" s="412"/>
      <c r="H542" s="412"/>
      <c r="I542" s="411"/>
      <c r="K542" s="57" t="s">
        <v>536</v>
      </c>
      <c r="L542" s="57" t="s">
        <v>92</v>
      </c>
      <c r="S542" s="57">
        <v>0</v>
      </c>
    </row>
    <row r="543" spans="1:19" ht="11.1" customHeight="1" x14ac:dyDescent="0.2">
      <c r="A543" s="57" t="s">
        <v>539</v>
      </c>
      <c r="B543" s="413" t="s">
        <v>471</v>
      </c>
      <c r="C543" s="427"/>
      <c r="D543" s="428"/>
      <c r="E543" s="419" t="s">
        <v>502</v>
      </c>
      <c r="F543" s="420"/>
      <c r="G543" s="64" t="s">
        <v>503</v>
      </c>
      <c r="H543" s="419" t="s">
        <v>423</v>
      </c>
      <c r="I543" s="420"/>
      <c r="K543" s="57" t="s">
        <v>539</v>
      </c>
      <c r="L543" s="57" t="s">
        <v>93</v>
      </c>
      <c r="S543" s="57">
        <v>0</v>
      </c>
    </row>
    <row r="544" spans="1:19" ht="11.85" customHeight="1" x14ac:dyDescent="0.2">
      <c r="A544" s="57" t="s">
        <v>539</v>
      </c>
      <c r="B544" s="413" t="s">
        <v>416</v>
      </c>
      <c r="C544" s="414"/>
      <c r="D544" s="415"/>
      <c r="E544" s="419" t="s">
        <v>537</v>
      </c>
      <c r="F544" s="420"/>
      <c r="G544" s="64" t="s">
        <v>420</v>
      </c>
      <c r="H544" s="419" t="s">
        <v>516</v>
      </c>
      <c r="I544" s="420"/>
      <c r="K544" s="57" t="s">
        <v>539</v>
      </c>
      <c r="L544" s="57" t="s">
        <v>93</v>
      </c>
      <c r="S544" s="57">
        <v>0</v>
      </c>
    </row>
    <row r="545" spans="1:19" ht="11.85" customHeight="1" x14ac:dyDescent="0.2">
      <c r="A545" s="57" t="s">
        <v>539</v>
      </c>
      <c r="B545" s="424"/>
      <c r="C545" s="425"/>
      <c r="D545" s="426"/>
      <c r="E545" s="419" t="s">
        <v>538</v>
      </c>
      <c r="F545" s="420"/>
      <c r="G545" s="64" t="s">
        <v>417</v>
      </c>
      <c r="H545" s="419" t="s">
        <v>516</v>
      </c>
      <c r="I545" s="420"/>
      <c r="K545" s="57" t="s">
        <v>539</v>
      </c>
      <c r="L545" s="57" t="s">
        <v>93</v>
      </c>
      <c r="S545" s="57">
        <v>0</v>
      </c>
    </row>
    <row r="546" spans="1:19" ht="11.85" customHeight="1" x14ac:dyDescent="0.2">
      <c r="A546" s="57" t="s">
        <v>539</v>
      </c>
      <c r="B546" s="424"/>
      <c r="C546" s="425"/>
      <c r="D546" s="426"/>
      <c r="E546" s="419" t="s">
        <v>462</v>
      </c>
      <c r="F546" s="420"/>
      <c r="G546" s="64" t="s">
        <v>424</v>
      </c>
      <c r="H546" s="419" t="s">
        <v>463</v>
      </c>
      <c r="I546" s="420"/>
      <c r="K546" s="57" t="s">
        <v>539</v>
      </c>
      <c r="L546" s="57" t="s">
        <v>93</v>
      </c>
      <c r="S546" s="57">
        <v>0</v>
      </c>
    </row>
    <row r="547" spans="1:19" ht="11.1" customHeight="1" x14ac:dyDescent="0.2">
      <c r="A547" s="57" t="s">
        <v>539</v>
      </c>
      <c r="B547" s="416"/>
      <c r="C547" s="417"/>
      <c r="D547" s="418"/>
      <c r="E547" s="419" t="s">
        <v>517</v>
      </c>
      <c r="F547" s="420"/>
      <c r="G547" s="64" t="s">
        <v>518</v>
      </c>
      <c r="H547" s="419" t="s">
        <v>423</v>
      </c>
      <c r="I547" s="420"/>
      <c r="K547" s="57" t="s">
        <v>539</v>
      </c>
      <c r="L547" s="57" t="s">
        <v>93</v>
      </c>
      <c r="S547" s="65">
        <v>26.91</v>
      </c>
    </row>
    <row r="548" spans="1:19" ht="11.85" customHeight="1" x14ac:dyDescent="0.2">
      <c r="A548" s="57" t="s">
        <v>539</v>
      </c>
      <c r="B548" s="62"/>
      <c r="C548" s="411" t="s">
        <v>540</v>
      </c>
      <c r="D548" s="412"/>
      <c r="E548" s="412"/>
      <c r="F548" s="412"/>
      <c r="G548" s="412"/>
      <c r="H548" s="412"/>
      <c r="I548" s="411"/>
      <c r="K548" s="57" t="s">
        <v>539</v>
      </c>
      <c r="L548" s="57" t="s">
        <v>93</v>
      </c>
      <c r="S548" s="57">
        <v>0</v>
      </c>
    </row>
    <row r="549" spans="1:19" ht="11.85" customHeight="1" x14ac:dyDescent="0.2">
      <c r="A549" s="57" t="s">
        <v>540</v>
      </c>
      <c r="B549" s="413" t="s">
        <v>471</v>
      </c>
      <c r="C549" s="427"/>
      <c r="D549" s="428"/>
      <c r="E549" s="419" t="s">
        <v>502</v>
      </c>
      <c r="F549" s="420"/>
      <c r="G549" s="64" t="s">
        <v>503</v>
      </c>
      <c r="H549" s="419" t="s">
        <v>423</v>
      </c>
      <c r="I549" s="420"/>
      <c r="K549" s="57" t="s">
        <v>540</v>
      </c>
      <c r="L549" s="57" t="s">
        <v>94</v>
      </c>
      <c r="S549" s="57">
        <v>0</v>
      </c>
    </row>
    <row r="550" spans="1:19" ht="11.85" customHeight="1" x14ac:dyDescent="0.2">
      <c r="A550" s="57" t="s">
        <v>540</v>
      </c>
      <c r="B550" s="413" t="s">
        <v>416</v>
      </c>
      <c r="C550" s="414"/>
      <c r="D550" s="415"/>
      <c r="E550" s="419" t="s">
        <v>402</v>
      </c>
      <c r="F550" s="420"/>
      <c r="G550" s="64" t="s">
        <v>417</v>
      </c>
      <c r="H550" s="419" t="s">
        <v>516</v>
      </c>
      <c r="I550" s="420"/>
      <c r="K550" s="57" t="s">
        <v>540</v>
      </c>
      <c r="L550" s="57" t="s">
        <v>94</v>
      </c>
      <c r="S550" s="57">
        <v>0</v>
      </c>
    </row>
    <row r="551" spans="1:19" ht="11.1" customHeight="1" x14ac:dyDescent="0.2">
      <c r="A551" s="57" t="s">
        <v>540</v>
      </c>
      <c r="B551" s="424"/>
      <c r="C551" s="425"/>
      <c r="D551" s="426"/>
      <c r="E551" s="419" t="s">
        <v>541</v>
      </c>
      <c r="F551" s="420"/>
      <c r="G551" s="64" t="s">
        <v>518</v>
      </c>
      <c r="H551" s="419" t="s">
        <v>423</v>
      </c>
      <c r="I551" s="420"/>
      <c r="K551" s="57" t="s">
        <v>540</v>
      </c>
      <c r="L551" s="57" t="s">
        <v>94</v>
      </c>
      <c r="S551" s="65">
        <v>26.91</v>
      </c>
    </row>
    <row r="552" spans="1:19" ht="11.85" customHeight="1" x14ac:dyDescent="0.2">
      <c r="A552" s="57" t="s">
        <v>540</v>
      </c>
      <c r="B552" s="424"/>
      <c r="C552" s="425"/>
      <c r="D552" s="426"/>
      <c r="E552" s="419" t="s">
        <v>542</v>
      </c>
      <c r="F552" s="420"/>
      <c r="G552" s="64" t="s">
        <v>420</v>
      </c>
      <c r="H552" s="419" t="s">
        <v>516</v>
      </c>
      <c r="I552" s="420"/>
      <c r="K552" s="57" t="s">
        <v>540</v>
      </c>
      <c r="L552" s="57" t="s">
        <v>94</v>
      </c>
      <c r="S552" s="57">
        <v>0</v>
      </c>
    </row>
    <row r="553" spans="1:19" ht="11.85" customHeight="1" x14ac:dyDescent="0.2">
      <c r="A553" s="57" t="s">
        <v>540</v>
      </c>
      <c r="B553" s="416"/>
      <c r="C553" s="417"/>
      <c r="D553" s="418"/>
      <c r="E553" s="419" t="s">
        <v>462</v>
      </c>
      <c r="F553" s="420"/>
      <c r="G553" s="64" t="s">
        <v>424</v>
      </c>
      <c r="H553" s="419" t="s">
        <v>463</v>
      </c>
      <c r="I553" s="420"/>
      <c r="K553" s="57" t="s">
        <v>540</v>
      </c>
      <c r="L553" s="57" t="s">
        <v>94</v>
      </c>
      <c r="S553" s="57">
        <v>0</v>
      </c>
    </row>
    <row r="554" spans="1:19" ht="11.85" customHeight="1" x14ac:dyDescent="0.2">
      <c r="A554" s="57" t="s">
        <v>540</v>
      </c>
      <c r="B554" s="62"/>
      <c r="C554" s="411" t="s">
        <v>543</v>
      </c>
      <c r="D554" s="412"/>
      <c r="E554" s="412"/>
      <c r="F554" s="412"/>
      <c r="G554" s="412"/>
      <c r="H554" s="412"/>
      <c r="I554" s="411"/>
      <c r="K554" s="57" t="s">
        <v>540</v>
      </c>
      <c r="L554" s="57" t="s">
        <v>94</v>
      </c>
      <c r="S554" s="57">
        <v>0</v>
      </c>
    </row>
    <row r="555" spans="1:19" ht="11.1" customHeight="1" x14ac:dyDescent="0.2">
      <c r="A555" s="57" t="s">
        <v>543</v>
      </c>
      <c r="B555" s="413" t="s">
        <v>471</v>
      </c>
      <c r="C555" s="427"/>
      <c r="D555" s="428"/>
      <c r="E555" s="419" t="s">
        <v>502</v>
      </c>
      <c r="F555" s="420"/>
      <c r="G555" s="64" t="s">
        <v>503</v>
      </c>
      <c r="H555" s="419" t="s">
        <v>423</v>
      </c>
      <c r="I555" s="420"/>
      <c r="K555" s="57" t="s">
        <v>543</v>
      </c>
      <c r="L555" s="57" t="s">
        <v>95</v>
      </c>
      <c r="S555" s="57">
        <v>0</v>
      </c>
    </row>
    <row r="556" spans="1:19" ht="11.85" customHeight="1" x14ac:dyDescent="0.2">
      <c r="A556" s="57" t="s">
        <v>543</v>
      </c>
      <c r="B556" s="413" t="s">
        <v>416</v>
      </c>
      <c r="C556" s="414"/>
      <c r="D556" s="415"/>
      <c r="E556" s="419" t="s">
        <v>402</v>
      </c>
      <c r="F556" s="420"/>
      <c r="G556" s="64" t="s">
        <v>417</v>
      </c>
      <c r="H556" s="419" t="s">
        <v>516</v>
      </c>
      <c r="I556" s="420"/>
      <c r="K556" s="57" t="s">
        <v>543</v>
      </c>
      <c r="L556" s="57" t="s">
        <v>95</v>
      </c>
      <c r="S556" s="57">
        <v>0</v>
      </c>
    </row>
    <row r="557" spans="1:19" ht="11.85" customHeight="1" x14ac:dyDescent="0.2">
      <c r="A557" s="57" t="s">
        <v>543</v>
      </c>
      <c r="B557" s="424"/>
      <c r="C557" s="425"/>
      <c r="D557" s="426"/>
      <c r="E557" s="419" t="s">
        <v>405</v>
      </c>
      <c r="F557" s="420"/>
      <c r="G557" s="64" t="s">
        <v>420</v>
      </c>
      <c r="H557" s="419" t="s">
        <v>516</v>
      </c>
      <c r="I557" s="420"/>
      <c r="K557" s="57" t="s">
        <v>543</v>
      </c>
      <c r="L557" s="57" t="s">
        <v>95</v>
      </c>
      <c r="S557" s="57">
        <v>0</v>
      </c>
    </row>
    <row r="558" spans="1:19" ht="11.85" customHeight="1" x14ac:dyDescent="0.2">
      <c r="A558" s="57" t="s">
        <v>543</v>
      </c>
      <c r="B558" s="424"/>
      <c r="C558" s="425"/>
      <c r="D558" s="426"/>
      <c r="E558" s="419" t="s">
        <v>462</v>
      </c>
      <c r="F558" s="420"/>
      <c r="G558" s="64" t="s">
        <v>424</v>
      </c>
      <c r="H558" s="419" t="s">
        <v>463</v>
      </c>
      <c r="I558" s="420"/>
      <c r="K558" s="57" t="s">
        <v>543</v>
      </c>
      <c r="L558" s="57" t="s">
        <v>95</v>
      </c>
      <c r="S558" s="57">
        <v>0</v>
      </c>
    </row>
    <row r="559" spans="1:19" ht="11.1" customHeight="1" x14ac:dyDescent="0.2">
      <c r="A559" s="57" t="s">
        <v>543</v>
      </c>
      <c r="B559" s="416"/>
      <c r="C559" s="417"/>
      <c r="D559" s="418"/>
      <c r="E559" s="419" t="s">
        <v>517</v>
      </c>
      <c r="F559" s="420"/>
      <c r="G559" s="64" t="s">
        <v>518</v>
      </c>
      <c r="H559" s="419" t="s">
        <v>423</v>
      </c>
      <c r="I559" s="420"/>
      <c r="K559" s="57" t="s">
        <v>543</v>
      </c>
      <c r="L559" s="57" t="s">
        <v>95</v>
      </c>
      <c r="S559" s="65">
        <v>26.91</v>
      </c>
    </row>
    <row r="560" spans="1:19" ht="11.85" customHeight="1" x14ac:dyDescent="0.2">
      <c r="A560" s="57" t="s">
        <v>543</v>
      </c>
      <c r="B560" s="62"/>
      <c r="C560" s="411" t="s">
        <v>544</v>
      </c>
      <c r="D560" s="412"/>
      <c r="E560" s="412"/>
      <c r="F560" s="412"/>
      <c r="G560" s="412"/>
      <c r="H560" s="412"/>
      <c r="I560" s="411"/>
      <c r="K560" s="57" t="s">
        <v>543</v>
      </c>
      <c r="L560" s="57" t="s">
        <v>95</v>
      </c>
      <c r="S560" s="57">
        <v>0</v>
      </c>
    </row>
    <row r="561" spans="1:19" ht="11.85" customHeight="1" x14ac:dyDescent="0.2">
      <c r="A561" s="57" t="s">
        <v>544</v>
      </c>
      <c r="B561" s="413" t="s">
        <v>471</v>
      </c>
      <c r="C561" s="427"/>
      <c r="D561" s="428"/>
      <c r="E561" s="419" t="s">
        <v>502</v>
      </c>
      <c r="F561" s="420"/>
      <c r="G561" s="64" t="s">
        <v>503</v>
      </c>
      <c r="H561" s="419" t="s">
        <v>423</v>
      </c>
      <c r="I561" s="420"/>
      <c r="K561" s="57" t="s">
        <v>544</v>
      </c>
      <c r="L561" s="57" t="s">
        <v>887</v>
      </c>
      <c r="S561" s="57">
        <v>0</v>
      </c>
    </row>
    <row r="562" spans="1:19" ht="11.85" customHeight="1" x14ac:dyDescent="0.2">
      <c r="A562" s="57" t="s">
        <v>544</v>
      </c>
      <c r="B562" s="62"/>
      <c r="C562" s="411" t="s">
        <v>545</v>
      </c>
      <c r="D562" s="412"/>
      <c r="E562" s="412"/>
      <c r="F562" s="412"/>
      <c r="G562" s="412"/>
      <c r="H562" s="412"/>
      <c r="I562" s="411"/>
      <c r="K562" s="57" t="s">
        <v>544</v>
      </c>
      <c r="L562" s="57" t="s">
        <v>887</v>
      </c>
      <c r="S562" s="57">
        <v>0</v>
      </c>
    </row>
    <row r="563" spans="1:19" ht="11.1" customHeight="1" x14ac:dyDescent="0.2">
      <c r="A563" s="57" t="s">
        <v>545</v>
      </c>
      <c r="B563" s="413" t="s">
        <v>471</v>
      </c>
      <c r="C563" s="427"/>
      <c r="D563" s="428"/>
      <c r="E563" s="419" t="s">
        <v>502</v>
      </c>
      <c r="F563" s="420"/>
      <c r="G563" s="64" t="s">
        <v>503</v>
      </c>
      <c r="H563" s="419" t="s">
        <v>423</v>
      </c>
      <c r="I563" s="420"/>
      <c r="K563" s="57" t="s">
        <v>545</v>
      </c>
      <c r="L563" s="57" t="s">
        <v>96</v>
      </c>
      <c r="S563" s="57">
        <v>0</v>
      </c>
    </row>
    <row r="564" spans="1:19" ht="11.85" customHeight="1" x14ac:dyDescent="0.2">
      <c r="A564" s="57" t="s">
        <v>545</v>
      </c>
      <c r="B564" s="413" t="s">
        <v>416</v>
      </c>
      <c r="C564" s="414"/>
      <c r="D564" s="415"/>
      <c r="E564" s="419" t="s">
        <v>402</v>
      </c>
      <c r="F564" s="420"/>
      <c r="G564" s="64" t="s">
        <v>417</v>
      </c>
      <c r="H564" s="419" t="s">
        <v>457</v>
      </c>
      <c r="I564" s="420"/>
      <c r="K564" s="57" t="s">
        <v>545</v>
      </c>
      <c r="L564" s="57" t="s">
        <v>96</v>
      </c>
      <c r="S564" s="57">
        <v>0</v>
      </c>
    </row>
    <row r="565" spans="1:19" ht="11.85" customHeight="1" x14ac:dyDescent="0.2">
      <c r="A565" s="57" t="s">
        <v>545</v>
      </c>
      <c r="B565" s="424"/>
      <c r="C565" s="425"/>
      <c r="D565" s="426"/>
      <c r="E565" s="419" t="s">
        <v>403</v>
      </c>
      <c r="F565" s="420"/>
      <c r="G565" s="64" t="s">
        <v>417</v>
      </c>
      <c r="H565" s="419" t="s">
        <v>457</v>
      </c>
      <c r="I565" s="420"/>
      <c r="K565" s="57" t="s">
        <v>545</v>
      </c>
      <c r="L565" s="57" t="s">
        <v>96</v>
      </c>
      <c r="S565" s="57">
        <v>0</v>
      </c>
    </row>
    <row r="566" spans="1:19" ht="11.85" customHeight="1" x14ac:dyDescent="0.2">
      <c r="A566" s="57" t="s">
        <v>545</v>
      </c>
      <c r="B566" s="424"/>
      <c r="C566" s="425"/>
      <c r="D566" s="426"/>
      <c r="E566" s="419" t="s">
        <v>404</v>
      </c>
      <c r="F566" s="420"/>
      <c r="G566" s="64" t="s">
        <v>413</v>
      </c>
      <c r="H566" s="419" t="s">
        <v>458</v>
      </c>
      <c r="I566" s="420"/>
      <c r="K566" s="57" t="s">
        <v>545</v>
      </c>
      <c r="L566" s="57" t="s">
        <v>96</v>
      </c>
      <c r="S566" s="57">
        <v>0</v>
      </c>
    </row>
    <row r="567" spans="1:19" ht="11.1" customHeight="1" x14ac:dyDescent="0.2">
      <c r="A567" s="57" t="s">
        <v>545</v>
      </c>
      <c r="B567" s="424"/>
      <c r="C567" s="425"/>
      <c r="D567" s="426"/>
      <c r="E567" s="419" t="s">
        <v>542</v>
      </c>
      <c r="F567" s="420"/>
      <c r="G567" s="64" t="s">
        <v>420</v>
      </c>
      <c r="H567" s="419" t="s">
        <v>459</v>
      </c>
      <c r="I567" s="420"/>
      <c r="K567" s="57" t="s">
        <v>545</v>
      </c>
      <c r="L567" s="57" t="s">
        <v>96</v>
      </c>
      <c r="S567" s="57">
        <v>0</v>
      </c>
    </row>
    <row r="568" spans="1:19" ht="11.85" customHeight="1" x14ac:dyDescent="0.2">
      <c r="A568" s="57" t="s">
        <v>545</v>
      </c>
      <c r="B568" s="424"/>
      <c r="C568" s="425"/>
      <c r="D568" s="426"/>
      <c r="E568" s="419" t="s">
        <v>462</v>
      </c>
      <c r="F568" s="420"/>
      <c r="G568" s="64" t="s">
        <v>424</v>
      </c>
      <c r="H568" s="419" t="s">
        <v>463</v>
      </c>
      <c r="I568" s="420"/>
      <c r="K568" s="57" t="s">
        <v>545</v>
      </c>
      <c r="L568" s="57" t="s">
        <v>96</v>
      </c>
      <c r="S568" s="57">
        <v>0</v>
      </c>
    </row>
    <row r="569" spans="1:19" ht="11.85" customHeight="1" x14ac:dyDescent="0.2">
      <c r="A569" s="57" t="s">
        <v>545</v>
      </c>
      <c r="B569" s="416"/>
      <c r="C569" s="417"/>
      <c r="D569" s="418"/>
      <c r="E569" s="419" t="s">
        <v>546</v>
      </c>
      <c r="F569" s="420"/>
      <c r="G569" s="64" t="s">
        <v>461</v>
      </c>
      <c r="H569" s="419" t="s">
        <v>423</v>
      </c>
      <c r="I569" s="420"/>
      <c r="K569" s="57" t="s">
        <v>545</v>
      </c>
      <c r="L569" s="57" t="s">
        <v>96</v>
      </c>
      <c r="S569" s="65">
        <v>33.17</v>
      </c>
    </row>
    <row r="570" spans="1:19" ht="11.85" customHeight="1" x14ac:dyDescent="0.2">
      <c r="A570" s="57" t="s">
        <v>545</v>
      </c>
      <c r="B570" s="62"/>
      <c r="C570" s="411" t="s">
        <v>547</v>
      </c>
      <c r="D570" s="412"/>
      <c r="E570" s="412"/>
      <c r="F570" s="412"/>
      <c r="G570" s="412"/>
      <c r="H570" s="412"/>
      <c r="I570" s="411"/>
      <c r="K570" s="57" t="s">
        <v>545</v>
      </c>
      <c r="L570" s="57" t="s">
        <v>96</v>
      </c>
      <c r="S570" s="57">
        <v>0</v>
      </c>
    </row>
    <row r="571" spans="1:19" ht="11.1" customHeight="1" x14ac:dyDescent="0.2">
      <c r="A571" s="57" t="s">
        <v>547</v>
      </c>
      <c r="B571" s="413" t="s">
        <v>471</v>
      </c>
      <c r="C571" s="427"/>
      <c r="D571" s="428"/>
      <c r="E571" s="419" t="s">
        <v>502</v>
      </c>
      <c r="F571" s="420"/>
      <c r="G571" s="64" t="s">
        <v>503</v>
      </c>
      <c r="H571" s="419" t="s">
        <v>423</v>
      </c>
      <c r="I571" s="420"/>
      <c r="K571" s="57" t="s">
        <v>547</v>
      </c>
      <c r="L571" s="57" t="s">
        <v>97</v>
      </c>
      <c r="S571" s="57">
        <v>0</v>
      </c>
    </row>
    <row r="572" spans="1:19" ht="11.85" customHeight="1" x14ac:dyDescent="0.2">
      <c r="A572" s="57" t="s">
        <v>547</v>
      </c>
      <c r="B572" s="413" t="s">
        <v>416</v>
      </c>
      <c r="C572" s="414"/>
      <c r="D572" s="415"/>
      <c r="E572" s="419" t="s">
        <v>537</v>
      </c>
      <c r="F572" s="420"/>
      <c r="G572" s="64" t="s">
        <v>420</v>
      </c>
      <c r="H572" s="419" t="s">
        <v>516</v>
      </c>
      <c r="I572" s="420"/>
      <c r="K572" s="57" t="s">
        <v>547</v>
      </c>
      <c r="L572" s="57" t="s">
        <v>97</v>
      </c>
      <c r="S572" s="57">
        <v>0</v>
      </c>
    </row>
    <row r="573" spans="1:19" ht="11.85" customHeight="1" x14ac:dyDescent="0.2">
      <c r="A573" s="57" t="s">
        <v>547</v>
      </c>
      <c r="B573" s="424"/>
      <c r="C573" s="425"/>
      <c r="D573" s="426"/>
      <c r="E573" s="419" t="s">
        <v>538</v>
      </c>
      <c r="F573" s="420"/>
      <c r="G573" s="64" t="s">
        <v>417</v>
      </c>
      <c r="H573" s="419" t="s">
        <v>516</v>
      </c>
      <c r="I573" s="420"/>
      <c r="K573" s="57" t="s">
        <v>547</v>
      </c>
      <c r="L573" s="57" t="s">
        <v>97</v>
      </c>
      <c r="S573" s="57">
        <v>0</v>
      </c>
    </row>
    <row r="574" spans="1:19" ht="11.85" customHeight="1" x14ac:dyDescent="0.2">
      <c r="A574" s="57" t="s">
        <v>547</v>
      </c>
      <c r="B574" s="424"/>
      <c r="C574" s="425"/>
      <c r="D574" s="426"/>
      <c r="E574" s="419" t="s">
        <v>462</v>
      </c>
      <c r="F574" s="420"/>
      <c r="G574" s="64" t="s">
        <v>424</v>
      </c>
      <c r="H574" s="419" t="s">
        <v>463</v>
      </c>
      <c r="I574" s="420"/>
      <c r="K574" s="57" t="s">
        <v>547</v>
      </c>
      <c r="L574" s="57" t="s">
        <v>97</v>
      </c>
      <c r="S574" s="57">
        <v>0</v>
      </c>
    </row>
    <row r="575" spans="1:19" ht="11.1" customHeight="1" x14ac:dyDescent="0.2">
      <c r="A575" s="57" t="s">
        <v>547</v>
      </c>
      <c r="B575" s="416"/>
      <c r="C575" s="417"/>
      <c r="D575" s="418"/>
      <c r="E575" s="419" t="s">
        <v>517</v>
      </c>
      <c r="F575" s="420"/>
      <c r="G575" s="64" t="s">
        <v>518</v>
      </c>
      <c r="H575" s="419" t="s">
        <v>423</v>
      </c>
      <c r="I575" s="420"/>
      <c r="K575" s="57" t="s">
        <v>547</v>
      </c>
      <c r="L575" s="57" t="s">
        <v>97</v>
      </c>
      <c r="S575" s="65">
        <v>26.91</v>
      </c>
    </row>
    <row r="576" spans="1:19" ht="11.85" customHeight="1" x14ac:dyDescent="0.2">
      <c r="A576" s="57" t="s">
        <v>547</v>
      </c>
      <c r="B576" s="62"/>
      <c r="C576" s="411" t="s">
        <v>548</v>
      </c>
      <c r="D576" s="412"/>
      <c r="E576" s="412"/>
      <c r="F576" s="412"/>
      <c r="G576" s="412"/>
      <c r="H576" s="412"/>
      <c r="I576" s="411"/>
      <c r="K576" s="57" t="s">
        <v>547</v>
      </c>
      <c r="L576" s="57" t="s">
        <v>97</v>
      </c>
      <c r="S576" s="57">
        <v>0</v>
      </c>
    </row>
    <row r="577" spans="1:19" ht="11.85" customHeight="1" x14ac:dyDescent="0.2">
      <c r="A577" s="57" t="s">
        <v>548</v>
      </c>
      <c r="B577" s="413" t="s">
        <v>471</v>
      </c>
      <c r="C577" s="427"/>
      <c r="D577" s="428"/>
      <c r="E577" s="419" t="s">
        <v>502</v>
      </c>
      <c r="F577" s="420"/>
      <c r="G577" s="64" t="s">
        <v>503</v>
      </c>
      <c r="H577" s="419" t="s">
        <v>423</v>
      </c>
      <c r="I577" s="420"/>
      <c r="K577" s="57" t="s">
        <v>548</v>
      </c>
      <c r="L577" s="57" t="s">
        <v>98</v>
      </c>
      <c r="S577" s="57">
        <v>0</v>
      </c>
    </row>
    <row r="578" spans="1:19" ht="11.85" customHeight="1" x14ac:dyDescent="0.2">
      <c r="A578" s="57" t="s">
        <v>548</v>
      </c>
      <c r="B578" s="413" t="s">
        <v>416</v>
      </c>
      <c r="C578" s="414"/>
      <c r="D578" s="415"/>
      <c r="E578" s="419" t="s">
        <v>402</v>
      </c>
      <c r="F578" s="420"/>
      <c r="G578" s="64" t="s">
        <v>417</v>
      </c>
      <c r="H578" s="419" t="s">
        <v>516</v>
      </c>
      <c r="I578" s="420"/>
      <c r="K578" s="57" t="s">
        <v>548</v>
      </c>
      <c r="L578" s="57" t="s">
        <v>98</v>
      </c>
      <c r="S578" s="57">
        <v>0</v>
      </c>
    </row>
    <row r="579" spans="1:19" ht="11.1" customHeight="1" x14ac:dyDescent="0.2">
      <c r="A579" s="57" t="s">
        <v>548</v>
      </c>
      <c r="B579" s="424"/>
      <c r="C579" s="425"/>
      <c r="D579" s="426"/>
      <c r="E579" s="419" t="s">
        <v>541</v>
      </c>
      <c r="F579" s="420"/>
      <c r="G579" s="64" t="s">
        <v>518</v>
      </c>
      <c r="H579" s="419" t="s">
        <v>423</v>
      </c>
      <c r="I579" s="420"/>
      <c r="K579" s="57" t="s">
        <v>548</v>
      </c>
      <c r="L579" s="57" t="s">
        <v>98</v>
      </c>
      <c r="S579" s="65">
        <v>26.91</v>
      </c>
    </row>
    <row r="580" spans="1:19" ht="11.85" customHeight="1" x14ac:dyDescent="0.2">
      <c r="A580" s="57" t="s">
        <v>548</v>
      </c>
      <c r="B580" s="424"/>
      <c r="C580" s="425"/>
      <c r="D580" s="426"/>
      <c r="E580" s="419" t="s">
        <v>542</v>
      </c>
      <c r="F580" s="420"/>
      <c r="G580" s="64" t="s">
        <v>420</v>
      </c>
      <c r="H580" s="419" t="s">
        <v>516</v>
      </c>
      <c r="I580" s="420"/>
      <c r="K580" s="57" t="s">
        <v>548</v>
      </c>
      <c r="L580" s="57" t="s">
        <v>98</v>
      </c>
      <c r="S580" s="57">
        <v>0</v>
      </c>
    </row>
    <row r="581" spans="1:19" ht="11.85" customHeight="1" x14ac:dyDescent="0.2">
      <c r="A581" s="57" t="s">
        <v>548</v>
      </c>
      <c r="B581" s="416"/>
      <c r="C581" s="417"/>
      <c r="D581" s="418"/>
      <c r="E581" s="419" t="s">
        <v>462</v>
      </c>
      <c r="F581" s="420"/>
      <c r="G581" s="64" t="s">
        <v>424</v>
      </c>
      <c r="H581" s="419" t="s">
        <v>463</v>
      </c>
      <c r="I581" s="420"/>
      <c r="K581" s="57" t="s">
        <v>548</v>
      </c>
      <c r="L581" s="57" t="s">
        <v>98</v>
      </c>
      <c r="S581" s="57">
        <v>0</v>
      </c>
    </row>
    <row r="582" spans="1:19" ht="11.85" customHeight="1" x14ac:dyDescent="0.2">
      <c r="A582" s="57" t="s">
        <v>548</v>
      </c>
      <c r="B582" s="62"/>
      <c r="C582" s="411" t="s">
        <v>549</v>
      </c>
      <c r="D582" s="412"/>
      <c r="E582" s="412"/>
      <c r="F582" s="412"/>
      <c r="G582" s="412"/>
      <c r="H582" s="412"/>
      <c r="I582" s="411"/>
      <c r="K582" s="57" t="s">
        <v>548</v>
      </c>
      <c r="L582" s="57" t="s">
        <v>98</v>
      </c>
      <c r="S582" s="57">
        <v>0</v>
      </c>
    </row>
    <row r="583" spans="1:19" ht="11.1" customHeight="1" x14ac:dyDescent="0.2">
      <c r="A583" s="57" t="s">
        <v>549</v>
      </c>
      <c r="B583" s="413" t="s">
        <v>416</v>
      </c>
      <c r="C583" s="414"/>
      <c r="D583" s="415"/>
      <c r="E583" s="419" t="s">
        <v>402</v>
      </c>
      <c r="F583" s="420"/>
      <c r="G583" s="64" t="s">
        <v>417</v>
      </c>
      <c r="H583" s="419" t="s">
        <v>550</v>
      </c>
      <c r="I583" s="420"/>
      <c r="K583" s="57" t="s">
        <v>549</v>
      </c>
      <c r="L583" s="57" t="s">
        <v>888</v>
      </c>
      <c r="S583" s="57">
        <v>0</v>
      </c>
    </row>
    <row r="584" spans="1:19" ht="11.85" customHeight="1" x14ac:dyDescent="0.2">
      <c r="A584" s="57" t="s">
        <v>549</v>
      </c>
      <c r="B584" s="424"/>
      <c r="C584" s="425"/>
      <c r="D584" s="426"/>
      <c r="E584" s="419" t="s">
        <v>403</v>
      </c>
      <c r="F584" s="420"/>
      <c r="G584" s="64" t="s">
        <v>417</v>
      </c>
      <c r="H584" s="419" t="s">
        <v>423</v>
      </c>
      <c r="I584" s="420"/>
      <c r="K584" s="57" t="s">
        <v>549</v>
      </c>
      <c r="L584" s="57" t="s">
        <v>888</v>
      </c>
      <c r="S584" s="57">
        <v>0</v>
      </c>
    </row>
    <row r="585" spans="1:19" ht="11.85" customHeight="1" x14ac:dyDescent="0.2">
      <c r="A585" s="57" t="s">
        <v>549</v>
      </c>
      <c r="B585" s="416"/>
      <c r="C585" s="417"/>
      <c r="D585" s="418"/>
      <c r="E585" s="419" t="s">
        <v>404</v>
      </c>
      <c r="F585" s="420"/>
      <c r="G585" s="64" t="s">
        <v>413</v>
      </c>
      <c r="H585" s="419" t="s">
        <v>423</v>
      </c>
      <c r="I585" s="420"/>
      <c r="K585" s="57" t="s">
        <v>549</v>
      </c>
      <c r="L585" s="57" t="s">
        <v>888</v>
      </c>
      <c r="S585" s="57">
        <v>0</v>
      </c>
    </row>
    <row r="586" spans="1:19" ht="11.85" customHeight="1" x14ac:dyDescent="0.2">
      <c r="A586" s="57" t="s">
        <v>549</v>
      </c>
      <c r="B586" s="62"/>
      <c r="C586" s="411" t="s">
        <v>551</v>
      </c>
      <c r="D586" s="412"/>
      <c r="E586" s="412"/>
      <c r="F586" s="412"/>
      <c r="G586" s="412"/>
      <c r="H586" s="412"/>
      <c r="I586" s="411"/>
      <c r="K586" s="57" t="s">
        <v>549</v>
      </c>
      <c r="L586" s="57" t="s">
        <v>888</v>
      </c>
      <c r="S586" s="57">
        <v>0</v>
      </c>
    </row>
    <row r="587" spans="1:19" ht="11.1" customHeight="1" x14ac:dyDescent="0.2">
      <c r="A587" s="57" t="s">
        <v>551</v>
      </c>
      <c r="B587" s="413" t="s">
        <v>416</v>
      </c>
      <c r="C587" s="414"/>
      <c r="D587" s="415"/>
      <c r="E587" s="419" t="s">
        <v>402</v>
      </c>
      <c r="F587" s="420"/>
      <c r="G587" s="64" t="s">
        <v>417</v>
      </c>
      <c r="H587" s="419" t="s">
        <v>418</v>
      </c>
      <c r="I587" s="420"/>
      <c r="K587" s="57" t="s">
        <v>551</v>
      </c>
      <c r="L587" s="57" t="s">
        <v>99</v>
      </c>
      <c r="S587" s="57">
        <v>0</v>
      </c>
    </row>
    <row r="588" spans="1:19" ht="11.85" customHeight="1" x14ac:dyDescent="0.2">
      <c r="A588" s="57" t="s">
        <v>551</v>
      </c>
      <c r="B588" s="424"/>
      <c r="C588" s="425"/>
      <c r="D588" s="426"/>
      <c r="E588" s="419" t="s">
        <v>403</v>
      </c>
      <c r="F588" s="420"/>
      <c r="G588" s="64" t="s">
        <v>417</v>
      </c>
      <c r="H588" s="419" t="s">
        <v>418</v>
      </c>
      <c r="I588" s="420"/>
      <c r="K588" s="57" t="s">
        <v>551</v>
      </c>
      <c r="L588" s="57" t="s">
        <v>99</v>
      </c>
      <c r="S588" s="57">
        <v>0</v>
      </c>
    </row>
    <row r="589" spans="1:19" ht="11.85" customHeight="1" x14ac:dyDescent="0.2">
      <c r="A589" s="57" t="s">
        <v>551</v>
      </c>
      <c r="B589" s="424"/>
      <c r="C589" s="425"/>
      <c r="D589" s="426"/>
      <c r="E589" s="419" t="s">
        <v>404</v>
      </c>
      <c r="F589" s="420"/>
      <c r="G589" s="64" t="s">
        <v>413</v>
      </c>
      <c r="H589" s="419" t="s">
        <v>419</v>
      </c>
      <c r="I589" s="420"/>
      <c r="K589" s="57" t="s">
        <v>551</v>
      </c>
      <c r="L589" s="57" t="s">
        <v>99</v>
      </c>
      <c r="S589" s="57">
        <v>0</v>
      </c>
    </row>
    <row r="590" spans="1:19" ht="11.85" customHeight="1" x14ac:dyDescent="0.2">
      <c r="A590" s="57" t="s">
        <v>551</v>
      </c>
      <c r="B590" s="424"/>
      <c r="C590" s="425"/>
      <c r="D590" s="426"/>
      <c r="E590" s="419" t="s">
        <v>405</v>
      </c>
      <c r="F590" s="420"/>
      <c r="G590" s="64" t="s">
        <v>420</v>
      </c>
      <c r="H590" s="419" t="s">
        <v>421</v>
      </c>
      <c r="I590" s="420"/>
      <c r="K590" s="57" t="s">
        <v>551</v>
      </c>
      <c r="L590" s="57" t="s">
        <v>99</v>
      </c>
      <c r="S590" s="57">
        <v>0</v>
      </c>
    </row>
    <row r="591" spans="1:19" ht="11.1" customHeight="1" x14ac:dyDescent="0.2">
      <c r="A591" s="57" t="s">
        <v>551</v>
      </c>
      <c r="B591" s="424"/>
      <c r="C591" s="425"/>
      <c r="D591" s="426"/>
      <c r="E591" s="419" t="s">
        <v>406</v>
      </c>
      <c r="F591" s="420"/>
      <c r="G591" s="64" t="s">
        <v>422</v>
      </c>
      <c r="H591" s="419" t="s">
        <v>423</v>
      </c>
      <c r="I591" s="420"/>
      <c r="K591" s="57" t="s">
        <v>551</v>
      </c>
      <c r="L591" s="57" t="s">
        <v>99</v>
      </c>
      <c r="S591" s="65">
        <v>48.44</v>
      </c>
    </row>
    <row r="592" spans="1:19" ht="11.85" customHeight="1" x14ac:dyDescent="0.2">
      <c r="A592" s="57" t="s">
        <v>551</v>
      </c>
      <c r="B592" s="416"/>
      <c r="C592" s="417"/>
      <c r="D592" s="418"/>
      <c r="E592" s="419" t="s">
        <v>407</v>
      </c>
      <c r="F592" s="420"/>
      <c r="G592" s="64" t="s">
        <v>424</v>
      </c>
      <c r="H592" s="419" t="s">
        <v>425</v>
      </c>
      <c r="I592" s="420"/>
      <c r="K592" s="57" t="s">
        <v>551</v>
      </c>
      <c r="L592" s="57" t="s">
        <v>99</v>
      </c>
      <c r="S592" s="57">
        <v>0</v>
      </c>
    </row>
    <row r="593" spans="1:19" ht="11.85" customHeight="1" x14ac:dyDescent="0.2">
      <c r="A593" s="57" t="s">
        <v>551</v>
      </c>
      <c r="B593" s="62"/>
      <c r="C593" s="411" t="s">
        <v>552</v>
      </c>
      <c r="D593" s="412"/>
      <c r="E593" s="412"/>
      <c r="F593" s="412"/>
      <c r="G593" s="412"/>
      <c r="H593" s="412"/>
      <c r="I593" s="411"/>
      <c r="K593" s="57" t="s">
        <v>551</v>
      </c>
      <c r="L593" s="57" t="s">
        <v>99</v>
      </c>
      <c r="S593" s="57">
        <v>0</v>
      </c>
    </row>
    <row r="594" spans="1:19" ht="11.85" customHeight="1" x14ac:dyDescent="0.2">
      <c r="A594" s="57" t="s">
        <v>552</v>
      </c>
      <c r="B594" s="413" t="s">
        <v>416</v>
      </c>
      <c r="C594" s="414"/>
      <c r="D594" s="415"/>
      <c r="E594" s="419" t="s">
        <v>402</v>
      </c>
      <c r="F594" s="420"/>
      <c r="G594" s="64" t="s">
        <v>417</v>
      </c>
      <c r="H594" s="419" t="s">
        <v>418</v>
      </c>
      <c r="I594" s="420"/>
      <c r="K594" s="57" t="s">
        <v>552</v>
      </c>
      <c r="L594" s="57" t="s">
        <v>100</v>
      </c>
      <c r="S594" s="57">
        <v>0</v>
      </c>
    </row>
    <row r="595" spans="1:19" ht="11.1" customHeight="1" x14ac:dyDescent="0.2">
      <c r="A595" s="57" t="s">
        <v>552</v>
      </c>
      <c r="B595" s="424"/>
      <c r="C595" s="425"/>
      <c r="D595" s="426"/>
      <c r="E595" s="419" t="s">
        <v>403</v>
      </c>
      <c r="F595" s="420"/>
      <c r="G595" s="64" t="s">
        <v>417</v>
      </c>
      <c r="H595" s="419" t="s">
        <v>418</v>
      </c>
      <c r="I595" s="420"/>
      <c r="K595" s="57" t="s">
        <v>552</v>
      </c>
      <c r="L595" s="57" t="s">
        <v>100</v>
      </c>
      <c r="S595" s="57">
        <v>0</v>
      </c>
    </row>
    <row r="596" spans="1:19" ht="11.85" customHeight="1" x14ac:dyDescent="0.2">
      <c r="A596" s="57" t="s">
        <v>552</v>
      </c>
      <c r="B596" s="424"/>
      <c r="C596" s="425"/>
      <c r="D596" s="426"/>
      <c r="E596" s="419" t="s">
        <v>404</v>
      </c>
      <c r="F596" s="420"/>
      <c r="G596" s="64" t="s">
        <v>413</v>
      </c>
      <c r="H596" s="419" t="s">
        <v>419</v>
      </c>
      <c r="I596" s="420"/>
      <c r="K596" s="57" t="s">
        <v>552</v>
      </c>
      <c r="L596" s="57" t="s">
        <v>100</v>
      </c>
      <c r="S596" s="57">
        <v>0</v>
      </c>
    </row>
    <row r="597" spans="1:19" ht="11.85" customHeight="1" x14ac:dyDescent="0.2">
      <c r="A597" s="57" t="s">
        <v>552</v>
      </c>
      <c r="B597" s="424"/>
      <c r="C597" s="425"/>
      <c r="D597" s="426"/>
      <c r="E597" s="419" t="s">
        <v>405</v>
      </c>
      <c r="F597" s="420"/>
      <c r="G597" s="64" t="s">
        <v>420</v>
      </c>
      <c r="H597" s="419" t="s">
        <v>421</v>
      </c>
      <c r="I597" s="420"/>
      <c r="K597" s="57" t="s">
        <v>552</v>
      </c>
      <c r="L597" s="57" t="s">
        <v>100</v>
      </c>
      <c r="S597" s="57">
        <v>0</v>
      </c>
    </row>
    <row r="598" spans="1:19" ht="11.85" customHeight="1" x14ac:dyDescent="0.2">
      <c r="A598" s="57" t="s">
        <v>552</v>
      </c>
      <c r="B598" s="424"/>
      <c r="C598" s="425"/>
      <c r="D598" s="426"/>
      <c r="E598" s="419" t="s">
        <v>406</v>
      </c>
      <c r="F598" s="420"/>
      <c r="G598" s="64" t="s">
        <v>422</v>
      </c>
      <c r="H598" s="419" t="s">
        <v>423</v>
      </c>
      <c r="I598" s="420"/>
      <c r="K598" s="57" t="s">
        <v>552</v>
      </c>
      <c r="L598" s="57" t="s">
        <v>100</v>
      </c>
      <c r="S598" s="65">
        <v>48.44</v>
      </c>
    </row>
    <row r="599" spans="1:19" ht="11.1" customHeight="1" x14ac:dyDescent="0.2">
      <c r="A599" s="57" t="s">
        <v>552</v>
      </c>
      <c r="B599" s="416"/>
      <c r="C599" s="417"/>
      <c r="D599" s="418"/>
      <c r="E599" s="419" t="s">
        <v>407</v>
      </c>
      <c r="F599" s="420"/>
      <c r="G599" s="64" t="s">
        <v>424</v>
      </c>
      <c r="H599" s="419" t="s">
        <v>425</v>
      </c>
      <c r="I599" s="420"/>
      <c r="K599" s="57" t="s">
        <v>552</v>
      </c>
      <c r="L599" s="57" t="s">
        <v>100</v>
      </c>
      <c r="S599" s="57">
        <v>0</v>
      </c>
    </row>
    <row r="600" spans="1:19" ht="11.85" customHeight="1" x14ac:dyDescent="0.2">
      <c r="A600" s="57" t="s">
        <v>552</v>
      </c>
      <c r="B600" s="62"/>
      <c r="C600" s="411" t="s">
        <v>553</v>
      </c>
      <c r="D600" s="412"/>
      <c r="E600" s="412"/>
      <c r="F600" s="412"/>
      <c r="G600" s="412"/>
      <c r="H600" s="412"/>
      <c r="I600" s="411"/>
      <c r="K600" s="57" t="s">
        <v>552</v>
      </c>
      <c r="L600" s="57" t="s">
        <v>100</v>
      </c>
      <c r="S600" s="57">
        <v>0</v>
      </c>
    </row>
    <row r="601" spans="1:19" ht="11.85" customHeight="1" x14ac:dyDescent="0.2">
      <c r="A601" s="57" t="s">
        <v>553</v>
      </c>
      <c r="B601" s="413" t="s">
        <v>412</v>
      </c>
      <c r="C601" s="414"/>
      <c r="D601" s="415"/>
      <c r="E601" s="419" t="s">
        <v>400</v>
      </c>
      <c r="F601" s="420"/>
      <c r="G601" s="64" t="s">
        <v>413</v>
      </c>
      <c r="H601" s="419" t="s">
        <v>414</v>
      </c>
      <c r="I601" s="420"/>
      <c r="K601" s="57" t="s">
        <v>553</v>
      </c>
      <c r="L601" s="57" t="s">
        <v>101</v>
      </c>
      <c r="S601" s="57">
        <v>0</v>
      </c>
    </row>
    <row r="602" spans="1:19" ht="11.85" customHeight="1" x14ac:dyDescent="0.2">
      <c r="A602" s="57" t="s">
        <v>553</v>
      </c>
      <c r="B602" s="416"/>
      <c r="C602" s="417"/>
      <c r="D602" s="418"/>
      <c r="E602" s="419" t="s">
        <v>401</v>
      </c>
      <c r="F602" s="420"/>
      <c r="G602" s="64" t="s">
        <v>413</v>
      </c>
      <c r="H602" s="419" t="s">
        <v>415</v>
      </c>
      <c r="I602" s="420"/>
      <c r="K602" s="57" t="s">
        <v>553</v>
      </c>
      <c r="L602" s="57" t="s">
        <v>101</v>
      </c>
      <c r="S602" s="57">
        <v>0</v>
      </c>
    </row>
    <row r="603" spans="1:19" ht="11.1" customHeight="1" x14ac:dyDescent="0.2">
      <c r="A603" s="57" t="s">
        <v>553</v>
      </c>
      <c r="B603" s="413" t="s">
        <v>416</v>
      </c>
      <c r="C603" s="414"/>
      <c r="D603" s="415"/>
      <c r="E603" s="419" t="s">
        <v>402</v>
      </c>
      <c r="F603" s="420"/>
      <c r="G603" s="64" t="s">
        <v>417</v>
      </c>
      <c r="H603" s="419" t="s">
        <v>437</v>
      </c>
      <c r="I603" s="420"/>
      <c r="K603" s="57" t="s">
        <v>553</v>
      </c>
      <c r="L603" s="57" t="s">
        <v>101</v>
      </c>
      <c r="S603" s="57">
        <v>0</v>
      </c>
    </row>
    <row r="604" spans="1:19" ht="11.85" customHeight="1" x14ac:dyDescent="0.2">
      <c r="A604" s="57" t="s">
        <v>553</v>
      </c>
      <c r="B604" s="424"/>
      <c r="C604" s="425"/>
      <c r="D604" s="426"/>
      <c r="E604" s="419" t="s">
        <v>403</v>
      </c>
      <c r="F604" s="420"/>
      <c r="G604" s="64" t="s">
        <v>417</v>
      </c>
      <c r="H604" s="419" t="s">
        <v>437</v>
      </c>
      <c r="I604" s="420"/>
      <c r="K604" s="57" t="s">
        <v>553</v>
      </c>
      <c r="L604" s="57" t="s">
        <v>101</v>
      </c>
      <c r="S604" s="57">
        <v>0</v>
      </c>
    </row>
    <row r="605" spans="1:19" ht="11.85" customHeight="1" x14ac:dyDescent="0.2">
      <c r="A605" s="57" t="s">
        <v>553</v>
      </c>
      <c r="B605" s="424"/>
      <c r="C605" s="425"/>
      <c r="D605" s="426"/>
      <c r="E605" s="419" t="s">
        <v>404</v>
      </c>
      <c r="F605" s="420"/>
      <c r="G605" s="64" t="s">
        <v>413</v>
      </c>
      <c r="H605" s="419" t="s">
        <v>478</v>
      </c>
      <c r="I605" s="420"/>
      <c r="K605" s="57" t="s">
        <v>553</v>
      </c>
      <c r="L605" s="57" t="s">
        <v>101</v>
      </c>
      <c r="S605" s="57">
        <v>0</v>
      </c>
    </row>
    <row r="606" spans="1:19" ht="11.85" customHeight="1" x14ac:dyDescent="0.2">
      <c r="A606" s="57" t="s">
        <v>553</v>
      </c>
      <c r="B606" s="416"/>
      <c r="C606" s="417"/>
      <c r="D606" s="418"/>
      <c r="E606" s="419" t="s">
        <v>405</v>
      </c>
      <c r="F606" s="420"/>
      <c r="G606" s="64" t="s">
        <v>420</v>
      </c>
      <c r="H606" s="419" t="s">
        <v>439</v>
      </c>
      <c r="I606" s="420"/>
      <c r="K606" s="57" t="s">
        <v>553</v>
      </c>
      <c r="L606" s="57" t="s">
        <v>101</v>
      </c>
      <c r="S606" s="57">
        <v>0</v>
      </c>
    </row>
    <row r="607" spans="1:19" ht="11.85" customHeight="1" x14ac:dyDescent="0.2">
      <c r="A607" s="57" t="s">
        <v>553</v>
      </c>
      <c r="B607" s="413" t="s">
        <v>416</v>
      </c>
      <c r="C607" s="414"/>
      <c r="D607" s="415"/>
      <c r="E607" s="419" t="s">
        <v>440</v>
      </c>
      <c r="F607" s="420"/>
      <c r="G607" s="64" t="s">
        <v>441</v>
      </c>
      <c r="H607" s="419" t="s">
        <v>423</v>
      </c>
      <c r="I607" s="420"/>
      <c r="K607" s="57" t="s">
        <v>553</v>
      </c>
      <c r="L607" s="57" t="s">
        <v>101</v>
      </c>
      <c r="S607" s="65">
        <v>48.16</v>
      </c>
    </row>
    <row r="608" spans="1:19" ht="11.85" customHeight="1" x14ac:dyDescent="0.2">
      <c r="A608" s="57" t="s">
        <v>553</v>
      </c>
      <c r="B608" s="416"/>
      <c r="C608" s="417"/>
      <c r="D608" s="418"/>
      <c r="E608" s="419" t="s">
        <v>442</v>
      </c>
      <c r="F608" s="420"/>
      <c r="G608" s="64" t="s">
        <v>443</v>
      </c>
      <c r="H608" s="419" t="s">
        <v>425</v>
      </c>
      <c r="I608" s="420"/>
      <c r="K608" s="57" t="s">
        <v>553</v>
      </c>
      <c r="L608" s="57" t="s">
        <v>101</v>
      </c>
      <c r="S608" s="57">
        <v>0</v>
      </c>
    </row>
    <row r="609" spans="1:19" ht="11.85" customHeight="1" x14ac:dyDescent="0.2">
      <c r="A609" s="57" t="s">
        <v>553</v>
      </c>
      <c r="B609" s="413" t="s">
        <v>426</v>
      </c>
      <c r="C609" s="414"/>
      <c r="D609" s="415"/>
      <c r="E609" s="419" t="s">
        <v>408</v>
      </c>
      <c r="F609" s="420"/>
      <c r="G609" s="64" t="s">
        <v>420</v>
      </c>
      <c r="H609" s="419" t="s">
        <v>427</v>
      </c>
      <c r="I609" s="420"/>
      <c r="K609" s="57" t="s">
        <v>553</v>
      </c>
      <c r="L609" s="57" t="s">
        <v>101</v>
      </c>
      <c r="S609" s="57">
        <v>0</v>
      </c>
    </row>
    <row r="610" spans="1:19" ht="11.1" customHeight="1" x14ac:dyDescent="0.2">
      <c r="A610" s="57" t="s">
        <v>553</v>
      </c>
      <c r="B610" s="424"/>
      <c r="C610" s="425"/>
      <c r="D610" s="426"/>
      <c r="E610" s="419" t="s">
        <v>409</v>
      </c>
      <c r="F610" s="420"/>
      <c r="G610" s="64" t="s">
        <v>417</v>
      </c>
      <c r="H610" s="419" t="s">
        <v>428</v>
      </c>
      <c r="I610" s="420"/>
      <c r="K610" s="57" t="s">
        <v>553</v>
      </c>
      <c r="L610" s="57" t="s">
        <v>101</v>
      </c>
      <c r="S610" s="57">
        <v>0</v>
      </c>
    </row>
    <row r="611" spans="1:19" ht="11.85" customHeight="1" x14ac:dyDescent="0.2">
      <c r="A611" s="57" t="s">
        <v>553</v>
      </c>
      <c r="B611" s="416"/>
      <c r="C611" s="417"/>
      <c r="D611" s="418"/>
      <c r="E611" s="419" t="s">
        <v>410</v>
      </c>
      <c r="F611" s="420"/>
      <c r="G611" s="64" t="s">
        <v>417</v>
      </c>
      <c r="H611" s="419" t="s">
        <v>415</v>
      </c>
      <c r="I611" s="420"/>
      <c r="K611" s="57" t="s">
        <v>553</v>
      </c>
      <c r="L611" s="57" t="s">
        <v>101</v>
      </c>
      <c r="S611" s="57">
        <v>0</v>
      </c>
    </row>
    <row r="612" spans="1:19" ht="11.85" customHeight="1" x14ac:dyDescent="0.2">
      <c r="A612" s="57" t="s">
        <v>553</v>
      </c>
      <c r="B612" s="62"/>
      <c r="C612" s="411" t="s">
        <v>554</v>
      </c>
      <c r="D612" s="412"/>
      <c r="E612" s="412"/>
      <c r="F612" s="412"/>
      <c r="G612" s="412"/>
      <c r="H612" s="412"/>
      <c r="I612" s="411"/>
      <c r="K612" s="57" t="s">
        <v>553</v>
      </c>
      <c r="L612" s="57" t="s">
        <v>101</v>
      </c>
      <c r="S612" s="57">
        <v>0</v>
      </c>
    </row>
    <row r="613" spans="1:19" ht="11.85" customHeight="1" x14ac:dyDescent="0.2">
      <c r="A613" s="57" t="s">
        <v>554</v>
      </c>
      <c r="B613" s="413" t="s">
        <v>412</v>
      </c>
      <c r="C613" s="414"/>
      <c r="D613" s="415"/>
      <c r="E613" s="419" t="s">
        <v>400</v>
      </c>
      <c r="F613" s="420"/>
      <c r="G613" s="64" t="s">
        <v>413</v>
      </c>
      <c r="H613" s="419" t="s">
        <v>414</v>
      </c>
      <c r="I613" s="420"/>
      <c r="K613" s="57" t="s">
        <v>554</v>
      </c>
      <c r="L613" s="57" t="s">
        <v>102</v>
      </c>
      <c r="S613" s="57">
        <v>0</v>
      </c>
    </row>
    <row r="614" spans="1:19" ht="11.1" customHeight="1" x14ac:dyDescent="0.2">
      <c r="A614" s="57" t="s">
        <v>554</v>
      </c>
      <c r="B614" s="416"/>
      <c r="C614" s="417"/>
      <c r="D614" s="418"/>
      <c r="E614" s="419" t="s">
        <v>401</v>
      </c>
      <c r="F614" s="420"/>
      <c r="G614" s="64" t="s">
        <v>413</v>
      </c>
      <c r="H614" s="419" t="s">
        <v>415</v>
      </c>
      <c r="I614" s="420"/>
      <c r="K614" s="57" t="s">
        <v>554</v>
      </c>
      <c r="L614" s="57" t="s">
        <v>102</v>
      </c>
      <c r="S614" s="57">
        <v>0</v>
      </c>
    </row>
    <row r="615" spans="1:19" ht="11.85" customHeight="1" x14ac:dyDescent="0.2">
      <c r="A615" s="57" t="s">
        <v>554</v>
      </c>
      <c r="B615" s="413" t="s">
        <v>416</v>
      </c>
      <c r="C615" s="414"/>
      <c r="D615" s="415"/>
      <c r="E615" s="419" t="s">
        <v>402</v>
      </c>
      <c r="F615" s="420"/>
      <c r="G615" s="64" t="s">
        <v>417</v>
      </c>
      <c r="H615" s="419" t="s">
        <v>437</v>
      </c>
      <c r="I615" s="420"/>
      <c r="K615" s="57" t="s">
        <v>554</v>
      </c>
      <c r="L615" s="57" t="s">
        <v>102</v>
      </c>
      <c r="S615" s="57">
        <v>0</v>
      </c>
    </row>
    <row r="616" spans="1:19" ht="11.85" customHeight="1" x14ac:dyDescent="0.2">
      <c r="A616" s="57" t="s">
        <v>554</v>
      </c>
      <c r="B616" s="424"/>
      <c r="C616" s="425"/>
      <c r="D616" s="426"/>
      <c r="E616" s="419" t="s">
        <v>403</v>
      </c>
      <c r="F616" s="420"/>
      <c r="G616" s="64" t="s">
        <v>417</v>
      </c>
      <c r="H616" s="419" t="s">
        <v>437</v>
      </c>
      <c r="I616" s="420"/>
      <c r="K616" s="57" t="s">
        <v>554</v>
      </c>
      <c r="L616" s="57" t="s">
        <v>102</v>
      </c>
      <c r="S616" s="57">
        <v>0</v>
      </c>
    </row>
    <row r="617" spans="1:19" ht="11.85" customHeight="1" x14ac:dyDescent="0.2">
      <c r="A617" s="57" t="s">
        <v>554</v>
      </c>
      <c r="B617" s="424"/>
      <c r="C617" s="425"/>
      <c r="D617" s="426"/>
      <c r="E617" s="419" t="s">
        <v>404</v>
      </c>
      <c r="F617" s="420"/>
      <c r="G617" s="64" t="s">
        <v>413</v>
      </c>
      <c r="H617" s="419" t="s">
        <v>478</v>
      </c>
      <c r="I617" s="420"/>
      <c r="K617" s="57" t="s">
        <v>554</v>
      </c>
      <c r="L617" s="57" t="s">
        <v>102</v>
      </c>
      <c r="S617" s="57">
        <v>0</v>
      </c>
    </row>
    <row r="618" spans="1:19" ht="11.1" customHeight="1" x14ac:dyDescent="0.2">
      <c r="A618" s="57" t="s">
        <v>554</v>
      </c>
      <c r="B618" s="424"/>
      <c r="C618" s="425"/>
      <c r="D618" s="426"/>
      <c r="E618" s="419" t="s">
        <v>405</v>
      </c>
      <c r="F618" s="420"/>
      <c r="G618" s="64" t="s">
        <v>420</v>
      </c>
      <c r="H618" s="419" t="s">
        <v>439</v>
      </c>
      <c r="I618" s="420"/>
      <c r="K618" s="57" t="s">
        <v>554</v>
      </c>
      <c r="L618" s="57" t="s">
        <v>102</v>
      </c>
      <c r="S618" s="57">
        <v>0</v>
      </c>
    </row>
    <row r="619" spans="1:19" ht="11.85" customHeight="1" x14ac:dyDescent="0.2">
      <c r="A619" s="57" t="s">
        <v>554</v>
      </c>
      <c r="B619" s="424"/>
      <c r="C619" s="425"/>
      <c r="D619" s="426"/>
      <c r="E619" s="419" t="s">
        <v>440</v>
      </c>
      <c r="F619" s="420"/>
      <c r="G619" s="64" t="s">
        <v>441</v>
      </c>
      <c r="H619" s="419" t="s">
        <v>423</v>
      </c>
      <c r="I619" s="420"/>
      <c r="K619" s="57" t="s">
        <v>554</v>
      </c>
      <c r="L619" s="57" t="s">
        <v>102</v>
      </c>
      <c r="S619" s="65">
        <v>48.16</v>
      </c>
    </row>
    <row r="620" spans="1:19" ht="11.85" customHeight="1" x14ac:dyDescent="0.2">
      <c r="A620" s="57" t="s">
        <v>554</v>
      </c>
      <c r="B620" s="416"/>
      <c r="C620" s="417"/>
      <c r="D620" s="418"/>
      <c r="E620" s="419" t="s">
        <v>442</v>
      </c>
      <c r="F620" s="420"/>
      <c r="G620" s="64" t="s">
        <v>443</v>
      </c>
      <c r="H620" s="419" t="s">
        <v>425</v>
      </c>
      <c r="I620" s="420"/>
      <c r="K620" s="57" t="s">
        <v>554</v>
      </c>
      <c r="L620" s="57" t="s">
        <v>102</v>
      </c>
      <c r="S620" s="57">
        <v>0</v>
      </c>
    </row>
    <row r="621" spans="1:19" ht="11.85" customHeight="1" x14ac:dyDescent="0.2">
      <c r="A621" s="57" t="s">
        <v>554</v>
      </c>
      <c r="B621" s="413" t="s">
        <v>426</v>
      </c>
      <c r="C621" s="414"/>
      <c r="D621" s="415"/>
      <c r="E621" s="419" t="s">
        <v>408</v>
      </c>
      <c r="F621" s="420"/>
      <c r="G621" s="64" t="s">
        <v>420</v>
      </c>
      <c r="H621" s="419" t="s">
        <v>427</v>
      </c>
      <c r="I621" s="420"/>
      <c r="K621" s="57" t="s">
        <v>554</v>
      </c>
      <c r="L621" s="57" t="s">
        <v>102</v>
      </c>
      <c r="S621" s="57">
        <v>0</v>
      </c>
    </row>
    <row r="622" spans="1:19" ht="11.1" customHeight="1" x14ac:dyDescent="0.2">
      <c r="A622" s="57" t="s">
        <v>554</v>
      </c>
      <c r="B622" s="424"/>
      <c r="C622" s="425"/>
      <c r="D622" s="426"/>
      <c r="E622" s="419" t="s">
        <v>409</v>
      </c>
      <c r="F622" s="420"/>
      <c r="G622" s="64" t="s">
        <v>417</v>
      </c>
      <c r="H622" s="419" t="s">
        <v>428</v>
      </c>
      <c r="I622" s="420"/>
      <c r="K622" s="57" t="s">
        <v>554</v>
      </c>
      <c r="L622" s="57" t="s">
        <v>102</v>
      </c>
      <c r="S622" s="57">
        <v>0</v>
      </c>
    </row>
    <row r="623" spans="1:19" ht="11.85" customHeight="1" x14ac:dyDescent="0.2">
      <c r="A623" s="57" t="s">
        <v>554</v>
      </c>
      <c r="B623" s="416"/>
      <c r="C623" s="417"/>
      <c r="D623" s="418"/>
      <c r="E623" s="419" t="s">
        <v>410</v>
      </c>
      <c r="F623" s="420"/>
      <c r="G623" s="64" t="s">
        <v>417</v>
      </c>
      <c r="H623" s="419" t="s">
        <v>415</v>
      </c>
      <c r="I623" s="420"/>
      <c r="K623" s="57" t="s">
        <v>554</v>
      </c>
      <c r="L623" s="57" t="s">
        <v>102</v>
      </c>
      <c r="S623" s="57">
        <v>0</v>
      </c>
    </row>
    <row r="624" spans="1:19" ht="11.85" customHeight="1" x14ac:dyDescent="0.2">
      <c r="A624" s="57" t="s">
        <v>554</v>
      </c>
      <c r="B624" s="62"/>
      <c r="C624" s="411" t="s">
        <v>555</v>
      </c>
      <c r="D624" s="412"/>
      <c r="E624" s="412"/>
      <c r="F624" s="412"/>
      <c r="G624" s="412"/>
      <c r="H624" s="412"/>
      <c r="I624" s="411"/>
      <c r="K624" s="57" t="s">
        <v>554</v>
      </c>
      <c r="L624" s="57" t="s">
        <v>102</v>
      </c>
      <c r="S624" s="57">
        <v>0</v>
      </c>
    </row>
    <row r="625" spans="1:19" ht="11.85" customHeight="1" x14ac:dyDescent="0.2">
      <c r="A625" s="57" t="s">
        <v>555</v>
      </c>
      <c r="B625" s="413" t="s">
        <v>471</v>
      </c>
      <c r="C625" s="427"/>
      <c r="D625" s="428"/>
      <c r="E625" s="419" t="s">
        <v>502</v>
      </c>
      <c r="F625" s="420"/>
      <c r="G625" s="64" t="s">
        <v>503</v>
      </c>
      <c r="H625" s="419" t="s">
        <v>423</v>
      </c>
      <c r="I625" s="420"/>
      <c r="K625" s="57" t="s">
        <v>555</v>
      </c>
      <c r="L625" s="57" t="s">
        <v>103</v>
      </c>
      <c r="S625" s="57">
        <v>0</v>
      </c>
    </row>
    <row r="626" spans="1:19" ht="11.1" customHeight="1" x14ac:dyDescent="0.2">
      <c r="A626" s="57" t="s">
        <v>555</v>
      </c>
      <c r="B626" s="413" t="s">
        <v>416</v>
      </c>
      <c r="C626" s="414"/>
      <c r="D626" s="415"/>
      <c r="E626" s="419" t="s">
        <v>402</v>
      </c>
      <c r="F626" s="420"/>
      <c r="G626" s="64" t="s">
        <v>417</v>
      </c>
      <c r="H626" s="419" t="s">
        <v>418</v>
      </c>
      <c r="I626" s="420"/>
      <c r="K626" s="57" t="s">
        <v>555</v>
      </c>
      <c r="L626" s="57" t="s">
        <v>103</v>
      </c>
      <c r="S626" s="57">
        <v>0</v>
      </c>
    </row>
    <row r="627" spans="1:19" ht="11.85" customHeight="1" x14ac:dyDescent="0.2">
      <c r="A627" s="57" t="s">
        <v>555</v>
      </c>
      <c r="B627" s="424"/>
      <c r="C627" s="425"/>
      <c r="D627" s="426"/>
      <c r="E627" s="419" t="s">
        <v>403</v>
      </c>
      <c r="F627" s="420"/>
      <c r="G627" s="64" t="s">
        <v>417</v>
      </c>
      <c r="H627" s="419" t="s">
        <v>418</v>
      </c>
      <c r="I627" s="420"/>
      <c r="K627" s="57" t="s">
        <v>555</v>
      </c>
      <c r="L627" s="57" t="s">
        <v>103</v>
      </c>
      <c r="S627" s="57">
        <v>0</v>
      </c>
    </row>
    <row r="628" spans="1:19" ht="11.85" customHeight="1" x14ac:dyDescent="0.2">
      <c r="A628" s="57" t="s">
        <v>555</v>
      </c>
      <c r="B628" s="424"/>
      <c r="C628" s="425"/>
      <c r="D628" s="426"/>
      <c r="E628" s="419" t="s">
        <v>404</v>
      </c>
      <c r="F628" s="420"/>
      <c r="G628" s="64" t="s">
        <v>413</v>
      </c>
      <c r="H628" s="419" t="s">
        <v>419</v>
      </c>
      <c r="I628" s="420"/>
      <c r="K628" s="57" t="s">
        <v>555</v>
      </c>
      <c r="L628" s="57" t="s">
        <v>103</v>
      </c>
      <c r="S628" s="57">
        <v>0</v>
      </c>
    </row>
    <row r="629" spans="1:19" ht="11.85" customHeight="1" x14ac:dyDescent="0.2">
      <c r="A629" s="57" t="s">
        <v>555</v>
      </c>
      <c r="B629" s="424"/>
      <c r="C629" s="425"/>
      <c r="D629" s="426"/>
      <c r="E629" s="419" t="s">
        <v>405</v>
      </c>
      <c r="F629" s="420"/>
      <c r="G629" s="64" t="s">
        <v>420</v>
      </c>
      <c r="H629" s="419" t="s">
        <v>421</v>
      </c>
      <c r="I629" s="420"/>
      <c r="K629" s="57" t="s">
        <v>555</v>
      </c>
      <c r="L629" s="57" t="s">
        <v>103</v>
      </c>
      <c r="S629" s="57">
        <v>0</v>
      </c>
    </row>
    <row r="630" spans="1:19" ht="11.1" customHeight="1" x14ac:dyDescent="0.2">
      <c r="A630" s="57" t="s">
        <v>555</v>
      </c>
      <c r="B630" s="424"/>
      <c r="C630" s="425"/>
      <c r="D630" s="426"/>
      <c r="E630" s="419" t="s">
        <v>407</v>
      </c>
      <c r="F630" s="420"/>
      <c r="G630" s="64" t="s">
        <v>424</v>
      </c>
      <c r="H630" s="419" t="s">
        <v>425</v>
      </c>
      <c r="I630" s="420"/>
      <c r="K630" s="57" t="s">
        <v>555</v>
      </c>
      <c r="L630" s="57" t="s">
        <v>103</v>
      </c>
      <c r="S630" s="57">
        <v>0</v>
      </c>
    </row>
    <row r="631" spans="1:19" ht="11.85" customHeight="1" x14ac:dyDescent="0.2">
      <c r="A631" s="57" t="s">
        <v>555</v>
      </c>
      <c r="B631" s="416"/>
      <c r="C631" s="417"/>
      <c r="D631" s="418"/>
      <c r="E631" s="419" t="s">
        <v>506</v>
      </c>
      <c r="F631" s="420"/>
      <c r="G631" s="64" t="s">
        <v>507</v>
      </c>
      <c r="H631" s="419" t="s">
        <v>423</v>
      </c>
      <c r="I631" s="420"/>
      <c r="K631" s="57" t="s">
        <v>555</v>
      </c>
      <c r="L631" s="57" t="s">
        <v>103</v>
      </c>
      <c r="S631" s="65">
        <v>39.51</v>
      </c>
    </row>
    <row r="632" spans="1:19" ht="11.85" customHeight="1" x14ac:dyDescent="0.2">
      <c r="A632" s="57" t="s">
        <v>555</v>
      </c>
      <c r="B632" s="62"/>
      <c r="C632" s="411" t="s">
        <v>556</v>
      </c>
      <c r="D632" s="412"/>
      <c r="E632" s="412"/>
      <c r="F632" s="412"/>
      <c r="G632" s="412"/>
      <c r="H632" s="412"/>
      <c r="I632" s="411"/>
      <c r="K632" s="57" t="s">
        <v>555</v>
      </c>
      <c r="L632" s="57" t="s">
        <v>103</v>
      </c>
      <c r="S632" s="57">
        <v>0</v>
      </c>
    </row>
    <row r="633" spans="1:19" ht="11.85" customHeight="1" x14ac:dyDescent="0.2">
      <c r="A633" s="57" t="s">
        <v>556</v>
      </c>
      <c r="B633" s="413" t="s">
        <v>471</v>
      </c>
      <c r="C633" s="427"/>
      <c r="D633" s="428"/>
      <c r="E633" s="419" t="s">
        <v>502</v>
      </c>
      <c r="F633" s="420"/>
      <c r="G633" s="64" t="s">
        <v>503</v>
      </c>
      <c r="H633" s="419" t="s">
        <v>423</v>
      </c>
      <c r="I633" s="420"/>
      <c r="K633" s="57" t="s">
        <v>556</v>
      </c>
      <c r="L633" s="57" t="s">
        <v>889</v>
      </c>
      <c r="S633" s="57">
        <v>0</v>
      </c>
    </row>
    <row r="634" spans="1:19" ht="11.1" customHeight="1" x14ac:dyDescent="0.2">
      <c r="A634" s="57" t="s">
        <v>556</v>
      </c>
      <c r="B634" s="62"/>
      <c r="C634" s="411" t="s">
        <v>557</v>
      </c>
      <c r="D634" s="412"/>
      <c r="E634" s="412"/>
      <c r="F634" s="412"/>
      <c r="G634" s="412"/>
      <c r="H634" s="412"/>
      <c r="I634" s="411"/>
      <c r="K634" s="57" t="s">
        <v>556</v>
      </c>
      <c r="L634" s="57" t="s">
        <v>889</v>
      </c>
      <c r="S634" s="57">
        <v>0</v>
      </c>
    </row>
    <row r="635" spans="1:19" ht="11.85" customHeight="1" x14ac:dyDescent="0.2">
      <c r="A635" s="57" t="s">
        <v>557</v>
      </c>
      <c r="B635" s="413" t="s">
        <v>471</v>
      </c>
      <c r="C635" s="427"/>
      <c r="D635" s="428"/>
      <c r="E635" s="419" t="s">
        <v>502</v>
      </c>
      <c r="F635" s="420"/>
      <c r="G635" s="64" t="s">
        <v>503</v>
      </c>
      <c r="H635" s="419" t="s">
        <v>423</v>
      </c>
      <c r="I635" s="420"/>
      <c r="K635" s="57" t="s">
        <v>557</v>
      </c>
      <c r="L635" s="57" t="s">
        <v>104</v>
      </c>
      <c r="S635" s="57">
        <v>0</v>
      </c>
    </row>
    <row r="636" spans="1:19" ht="11.85" customHeight="1" x14ac:dyDescent="0.2">
      <c r="A636" s="57" t="s">
        <v>557</v>
      </c>
      <c r="B636" s="413" t="s">
        <v>416</v>
      </c>
      <c r="C636" s="414"/>
      <c r="D636" s="415"/>
      <c r="E636" s="419" t="s">
        <v>402</v>
      </c>
      <c r="F636" s="420"/>
      <c r="G636" s="64" t="s">
        <v>417</v>
      </c>
      <c r="H636" s="419" t="s">
        <v>437</v>
      </c>
      <c r="I636" s="420"/>
      <c r="K636" s="57" t="s">
        <v>557</v>
      </c>
      <c r="L636" s="57" t="s">
        <v>104</v>
      </c>
      <c r="S636" s="57">
        <v>0</v>
      </c>
    </row>
    <row r="637" spans="1:19" ht="11.85" customHeight="1" x14ac:dyDescent="0.2">
      <c r="A637" s="57" t="s">
        <v>557</v>
      </c>
      <c r="B637" s="424"/>
      <c r="C637" s="425"/>
      <c r="D637" s="426"/>
      <c r="E637" s="419" t="s">
        <v>403</v>
      </c>
      <c r="F637" s="420"/>
      <c r="G637" s="64" t="s">
        <v>417</v>
      </c>
      <c r="H637" s="419" t="s">
        <v>437</v>
      </c>
      <c r="I637" s="420"/>
      <c r="K637" s="57" t="s">
        <v>557</v>
      </c>
      <c r="L637" s="57" t="s">
        <v>104</v>
      </c>
      <c r="S637" s="57">
        <v>0</v>
      </c>
    </row>
    <row r="638" spans="1:19" ht="11.1" customHeight="1" x14ac:dyDescent="0.2">
      <c r="A638" s="57" t="s">
        <v>557</v>
      </c>
      <c r="B638" s="424"/>
      <c r="C638" s="425"/>
      <c r="D638" s="426"/>
      <c r="E638" s="419" t="s">
        <v>404</v>
      </c>
      <c r="F638" s="420"/>
      <c r="G638" s="64" t="s">
        <v>413</v>
      </c>
      <c r="H638" s="419" t="s">
        <v>478</v>
      </c>
      <c r="I638" s="420"/>
      <c r="K638" s="57" t="s">
        <v>557</v>
      </c>
      <c r="L638" s="57" t="s">
        <v>104</v>
      </c>
      <c r="S638" s="57">
        <v>0</v>
      </c>
    </row>
    <row r="639" spans="1:19" ht="11.85" customHeight="1" x14ac:dyDescent="0.2">
      <c r="A639" s="57" t="s">
        <v>557</v>
      </c>
      <c r="B639" s="424"/>
      <c r="C639" s="425"/>
      <c r="D639" s="426"/>
      <c r="E639" s="419" t="s">
        <v>405</v>
      </c>
      <c r="F639" s="420"/>
      <c r="G639" s="64" t="s">
        <v>420</v>
      </c>
      <c r="H639" s="419" t="s">
        <v>439</v>
      </c>
      <c r="I639" s="420"/>
      <c r="K639" s="57" t="s">
        <v>557</v>
      </c>
      <c r="L639" s="57" t="s">
        <v>104</v>
      </c>
      <c r="S639" s="57">
        <v>0</v>
      </c>
    </row>
    <row r="640" spans="1:19" ht="11.85" customHeight="1" x14ac:dyDescent="0.2">
      <c r="A640" s="57" t="s">
        <v>557</v>
      </c>
      <c r="B640" s="424"/>
      <c r="C640" s="425"/>
      <c r="D640" s="426"/>
      <c r="E640" s="419" t="s">
        <v>442</v>
      </c>
      <c r="F640" s="420"/>
      <c r="G640" s="64" t="s">
        <v>443</v>
      </c>
      <c r="H640" s="419" t="s">
        <v>425</v>
      </c>
      <c r="I640" s="420"/>
      <c r="K640" s="57" t="s">
        <v>557</v>
      </c>
      <c r="L640" s="57" t="s">
        <v>104</v>
      </c>
      <c r="S640" s="57">
        <v>0</v>
      </c>
    </row>
    <row r="641" spans="1:19" ht="11.85" customHeight="1" x14ac:dyDescent="0.2">
      <c r="A641" s="57" t="s">
        <v>557</v>
      </c>
      <c r="B641" s="416"/>
      <c r="C641" s="417"/>
      <c r="D641" s="418"/>
      <c r="E641" s="419" t="s">
        <v>509</v>
      </c>
      <c r="F641" s="420"/>
      <c r="G641" s="64" t="s">
        <v>510</v>
      </c>
      <c r="H641" s="419" t="s">
        <v>423</v>
      </c>
      <c r="I641" s="420"/>
      <c r="K641" s="57" t="s">
        <v>557</v>
      </c>
      <c r="L641" s="57" t="s">
        <v>104</v>
      </c>
      <c r="S641" s="65">
        <v>39.28</v>
      </c>
    </row>
    <row r="642" spans="1:19" ht="11.1" customHeight="1" x14ac:dyDescent="0.2">
      <c r="A642" s="57" t="s">
        <v>557</v>
      </c>
      <c r="B642" s="62"/>
      <c r="C642" s="411" t="s">
        <v>558</v>
      </c>
      <c r="D642" s="412"/>
      <c r="E642" s="412"/>
      <c r="F642" s="412"/>
      <c r="G642" s="412"/>
      <c r="H642" s="412"/>
      <c r="I642" s="411"/>
      <c r="K642" s="57" t="s">
        <v>557</v>
      </c>
      <c r="L642" s="57" t="s">
        <v>104</v>
      </c>
      <c r="S642" s="57">
        <v>0</v>
      </c>
    </row>
    <row r="643" spans="1:19" ht="11.85" customHeight="1" x14ac:dyDescent="0.2">
      <c r="A643" s="57" t="s">
        <v>558</v>
      </c>
      <c r="B643" s="413" t="s">
        <v>471</v>
      </c>
      <c r="C643" s="427"/>
      <c r="D643" s="428"/>
      <c r="E643" s="419" t="s">
        <v>502</v>
      </c>
      <c r="F643" s="420"/>
      <c r="G643" s="64" t="s">
        <v>503</v>
      </c>
      <c r="H643" s="419" t="s">
        <v>423</v>
      </c>
      <c r="I643" s="420"/>
      <c r="K643" s="57" t="s">
        <v>558</v>
      </c>
      <c r="L643" s="57" t="s">
        <v>105</v>
      </c>
      <c r="S643" s="57">
        <v>0</v>
      </c>
    </row>
    <row r="644" spans="1:19" ht="11.85" customHeight="1" x14ac:dyDescent="0.2">
      <c r="A644" s="57" t="s">
        <v>558</v>
      </c>
      <c r="B644" s="413" t="s">
        <v>416</v>
      </c>
      <c r="C644" s="414"/>
      <c r="D644" s="415"/>
      <c r="E644" s="419" t="s">
        <v>402</v>
      </c>
      <c r="F644" s="420"/>
      <c r="G644" s="64" t="s">
        <v>417</v>
      </c>
      <c r="H644" s="419" t="s">
        <v>418</v>
      </c>
      <c r="I644" s="420"/>
      <c r="K644" s="57" t="s">
        <v>558</v>
      </c>
      <c r="L644" s="57" t="s">
        <v>105</v>
      </c>
      <c r="S644" s="57">
        <v>0</v>
      </c>
    </row>
    <row r="645" spans="1:19" ht="11.85" customHeight="1" x14ac:dyDescent="0.2">
      <c r="A645" s="57" t="s">
        <v>558</v>
      </c>
      <c r="B645" s="424"/>
      <c r="C645" s="425"/>
      <c r="D645" s="426"/>
      <c r="E645" s="419" t="s">
        <v>403</v>
      </c>
      <c r="F645" s="420"/>
      <c r="G645" s="64" t="s">
        <v>417</v>
      </c>
      <c r="H645" s="419" t="s">
        <v>418</v>
      </c>
      <c r="I645" s="420"/>
      <c r="K645" s="57" t="s">
        <v>558</v>
      </c>
      <c r="L645" s="57" t="s">
        <v>105</v>
      </c>
      <c r="S645" s="57">
        <v>0</v>
      </c>
    </row>
    <row r="646" spans="1:19" ht="11.1" customHeight="1" x14ac:dyDescent="0.2">
      <c r="A646" s="57" t="s">
        <v>558</v>
      </c>
      <c r="B646" s="424"/>
      <c r="C646" s="425"/>
      <c r="D646" s="426"/>
      <c r="E646" s="419" t="s">
        <v>404</v>
      </c>
      <c r="F646" s="420"/>
      <c r="G646" s="64" t="s">
        <v>413</v>
      </c>
      <c r="H646" s="419" t="s">
        <v>419</v>
      </c>
      <c r="I646" s="420"/>
      <c r="K646" s="57" t="s">
        <v>558</v>
      </c>
      <c r="L646" s="57" t="s">
        <v>105</v>
      </c>
      <c r="S646" s="57">
        <v>0</v>
      </c>
    </row>
    <row r="647" spans="1:19" ht="11.85" customHeight="1" x14ac:dyDescent="0.2">
      <c r="A647" s="57" t="s">
        <v>558</v>
      </c>
      <c r="B647" s="424"/>
      <c r="C647" s="425"/>
      <c r="D647" s="426"/>
      <c r="E647" s="419" t="s">
        <v>405</v>
      </c>
      <c r="F647" s="420"/>
      <c r="G647" s="64" t="s">
        <v>420</v>
      </c>
      <c r="H647" s="419" t="s">
        <v>421</v>
      </c>
      <c r="I647" s="420"/>
      <c r="K647" s="57" t="s">
        <v>558</v>
      </c>
      <c r="L647" s="57" t="s">
        <v>105</v>
      </c>
      <c r="S647" s="57">
        <v>0</v>
      </c>
    </row>
    <row r="648" spans="1:19" ht="11.85" customHeight="1" x14ac:dyDescent="0.2">
      <c r="A648" s="57" t="s">
        <v>558</v>
      </c>
      <c r="B648" s="424"/>
      <c r="C648" s="425"/>
      <c r="D648" s="426"/>
      <c r="E648" s="419" t="s">
        <v>407</v>
      </c>
      <c r="F648" s="420"/>
      <c r="G648" s="64" t="s">
        <v>424</v>
      </c>
      <c r="H648" s="419" t="s">
        <v>425</v>
      </c>
      <c r="I648" s="420"/>
      <c r="K648" s="57" t="s">
        <v>558</v>
      </c>
      <c r="L648" s="57" t="s">
        <v>105</v>
      </c>
      <c r="S648" s="57">
        <v>0</v>
      </c>
    </row>
    <row r="649" spans="1:19" ht="11.85" customHeight="1" x14ac:dyDescent="0.2">
      <c r="A649" s="57" t="s">
        <v>558</v>
      </c>
      <c r="B649" s="416"/>
      <c r="C649" s="417"/>
      <c r="D649" s="418"/>
      <c r="E649" s="419" t="s">
        <v>506</v>
      </c>
      <c r="F649" s="420"/>
      <c r="G649" s="64" t="s">
        <v>507</v>
      </c>
      <c r="H649" s="419" t="s">
        <v>423</v>
      </c>
      <c r="I649" s="420"/>
      <c r="K649" s="57" t="s">
        <v>558</v>
      </c>
      <c r="L649" s="57" t="s">
        <v>105</v>
      </c>
      <c r="S649" s="65">
        <v>39.51</v>
      </c>
    </row>
    <row r="650" spans="1:19" ht="11.1" customHeight="1" x14ac:dyDescent="0.2">
      <c r="A650" s="57" t="s">
        <v>558</v>
      </c>
      <c r="B650" s="62"/>
      <c r="C650" s="411" t="s">
        <v>559</v>
      </c>
      <c r="D650" s="412"/>
      <c r="E650" s="412"/>
      <c r="F650" s="412"/>
      <c r="G650" s="412"/>
      <c r="H650" s="412"/>
      <c r="I650" s="411"/>
      <c r="K650" s="57" t="s">
        <v>558</v>
      </c>
      <c r="L650" s="57" t="s">
        <v>105</v>
      </c>
      <c r="S650" s="57">
        <v>0</v>
      </c>
    </row>
    <row r="651" spans="1:19" ht="11.85" customHeight="1" x14ac:dyDescent="0.2">
      <c r="A651" s="57" t="s">
        <v>559</v>
      </c>
      <c r="B651" s="413" t="s">
        <v>471</v>
      </c>
      <c r="C651" s="427"/>
      <c r="D651" s="428"/>
      <c r="E651" s="419" t="s">
        <v>502</v>
      </c>
      <c r="F651" s="420"/>
      <c r="G651" s="64" t="s">
        <v>503</v>
      </c>
      <c r="H651" s="419" t="s">
        <v>423</v>
      </c>
      <c r="I651" s="420"/>
      <c r="K651" s="57" t="s">
        <v>559</v>
      </c>
      <c r="L651" s="57" t="s">
        <v>106</v>
      </c>
      <c r="S651" s="57">
        <v>0</v>
      </c>
    </row>
    <row r="652" spans="1:19" ht="11.85" customHeight="1" x14ac:dyDescent="0.2">
      <c r="A652" s="57" t="s">
        <v>559</v>
      </c>
      <c r="B652" s="413" t="s">
        <v>416</v>
      </c>
      <c r="C652" s="414"/>
      <c r="D652" s="415"/>
      <c r="E652" s="419" t="s">
        <v>402</v>
      </c>
      <c r="F652" s="420"/>
      <c r="G652" s="64" t="s">
        <v>417</v>
      </c>
      <c r="H652" s="419" t="s">
        <v>437</v>
      </c>
      <c r="I652" s="420"/>
      <c r="K652" s="57" t="s">
        <v>559</v>
      </c>
      <c r="L652" s="57" t="s">
        <v>106</v>
      </c>
      <c r="S652" s="57">
        <v>0</v>
      </c>
    </row>
    <row r="653" spans="1:19" ht="11.85" customHeight="1" x14ac:dyDescent="0.2">
      <c r="A653" s="57" t="s">
        <v>559</v>
      </c>
      <c r="B653" s="424"/>
      <c r="C653" s="425"/>
      <c r="D653" s="426"/>
      <c r="E653" s="419" t="s">
        <v>403</v>
      </c>
      <c r="F653" s="420"/>
      <c r="G653" s="64" t="s">
        <v>417</v>
      </c>
      <c r="H653" s="419" t="s">
        <v>437</v>
      </c>
      <c r="I653" s="420"/>
      <c r="K653" s="57" t="s">
        <v>559</v>
      </c>
      <c r="L653" s="57" t="s">
        <v>106</v>
      </c>
      <c r="S653" s="57">
        <v>0</v>
      </c>
    </row>
    <row r="654" spans="1:19" ht="11.1" customHeight="1" x14ac:dyDescent="0.2">
      <c r="A654" s="57" t="s">
        <v>559</v>
      </c>
      <c r="B654" s="424"/>
      <c r="C654" s="425"/>
      <c r="D654" s="426"/>
      <c r="E654" s="419" t="s">
        <v>404</v>
      </c>
      <c r="F654" s="420"/>
      <c r="G654" s="64" t="s">
        <v>413</v>
      </c>
      <c r="H654" s="419" t="s">
        <v>478</v>
      </c>
      <c r="I654" s="420"/>
      <c r="K654" s="57" t="s">
        <v>559</v>
      </c>
      <c r="L654" s="57" t="s">
        <v>106</v>
      </c>
      <c r="S654" s="57">
        <v>0</v>
      </c>
    </row>
    <row r="655" spans="1:19" ht="11.85" customHeight="1" x14ac:dyDescent="0.2">
      <c r="A655" s="57" t="s">
        <v>559</v>
      </c>
      <c r="B655" s="424"/>
      <c r="C655" s="425"/>
      <c r="D655" s="426"/>
      <c r="E655" s="419" t="s">
        <v>405</v>
      </c>
      <c r="F655" s="420"/>
      <c r="G655" s="64" t="s">
        <v>420</v>
      </c>
      <c r="H655" s="419" t="s">
        <v>439</v>
      </c>
      <c r="I655" s="420"/>
      <c r="K655" s="57" t="s">
        <v>559</v>
      </c>
      <c r="L655" s="57" t="s">
        <v>106</v>
      </c>
      <c r="S655" s="57">
        <v>0</v>
      </c>
    </row>
    <row r="656" spans="1:19" ht="11.85" customHeight="1" x14ac:dyDescent="0.2">
      <c r="A656" s="57" t="s">
        <v>559</v>
      </c>
      <c r="B656" s="424"/>
      <c r="C656" s="425"/>
      <c r="D656" s="426"/>
      <c r="E656" s="419" t="s">
        <v>442</v>
      </c>
      <c r="F656" s="420"/>
      <c r="G656" s="64" t="s">
        <v>443</v>
      </c>
      <c r="H656" s="419" t="s">
        <v>425</v>
      </c>
      <c r="I656" s="420"/>
      <c r="K656" s="57" t="s">
        <v>559</v>
      </c>
      <c r="L656" s="57" t="s">
        <v>106</v>
      </c>
      <c r="S656" s="57">
        <v>0</v>
      </c>
    </row>
    <row r="657" spans="1:19" ht="11.85" customHeight="1" x14ac:dyDescent="0.2">
      <c r="A657" s="57" t="s">
        <v>559</v>
      </c>
      <c r="B657" s="416"/>
      <c r="C657" s="417"/>
      <c r="D657" s="418"/>
      <c r="E657" s="419" t="s">
        <v>509</v>
      </c>
      <c r="F657" s="420"/>
      <c r="G657" s="64" t="s">
        <v>510</v>
      </c>
      <c r="H657" s="419" t="s">
        <v>423</v>
      </c>
      <c r="I657" s="420"/>
      <c r="K657" s="57" t="s">
        <v>559</v>
      </c>
      <c r="L657" s="57" t="s">
        <v>106</v>
      </c>
      <c r="S657" s="65">
        <v>39.28</v>
      </c>
    </row>
    <row r="658" spans="1:19" ht="11.1" customHeight="1" x14ac:dyDescent="0.2">
      <c r="A658" s="57" t="s">
        <v>559</v>
      </c>
      <c r="B658" s="62"/>
      <c r="C658" s="411" t="s">
        <v>560</v>
      </c>
      <c r="D658" s="412"/>
      <c r="E658" s="412"/>
      <c r="F658" s="412"/>
      <c r="G658" s="412"/>
      <c r="H658" s="412"/>
      <c r="I658" s="411"/>
      <c r="K658" s="57" t="s">
        <v>559</v>
      </c>
      <c r="L658" s="57" t="s">
        <v>106</v>
      </c>
      <c r="S658" s="57">
        <v>0</v>
      </c>
    </row>
    <row r="659" spans="1:19" ht="11.85" customHeight="1" x14ac:dyDescent="0.2">
      <c r="A659" s="57" t="s">
        <v>560</v>
      </c>
      <c r="B659" s="413" t="s">
        <v>471</v>
      </c>
      <c r="C659" s="427"/>
      <c r="D659" s="428"/>
      <c r="E659" s="419" t="s">
        <v>502</v>
      </c>
      <c r="F659" s="420"/>
      <c r="G659" s="64" t="s">
        <v>503</v>
      </c>
      <c r="H659" s="419" t="s">
        <v>423</v>
      </c>
      <c r="I659" s="420"/>
      <c r="K659" s="57" t="s">
        <v>560</v>
      </c>
      <c r="L659" s="57" t="s">
        <v>107</v>
      </c>
      <c r="S659" s="57">
        <v>0</v>
      </c>
    </row>
    <row r="660" spans="1:19" ht="11.85" customHeight="1" x14ac:dyDescent="0.2">
      <c r="A660" s="57" t="s">
        <v>560</v>
      </c>
      <c r="B660" s="413" t="s">
        <v>416</v>
      </c>
      <c r="C660" s="414"/>
      <c r="D660" s="415"/>
      <c r="E660" s="419" t="s">
        <v>402</v>
      </c>
      <c r="F660" s="420"/>
      <c r="G660" s="64" t="s">
        <v>417</v>
      </c>
      <c r="H660" s="419" t="s">
        <v>437</v>
      </c>
      <c r="I660" s="420"/>
      <c r="K660" s="57" t="s">
        <v>560</v>
      </c>
      <c r="L660" s="57" t="s">
        <v>107</v>
      </c>
      <c r="S660" s="57">
        <v>0</v>
      </c>
    </row>
    <row r="661" spans="1:19" ht="11.85" customHeight="1" x14ac:dyDescent="0.2">
      <c r="A661" s="57" t="s">
        <v>560</v>
      </c>
      <c r="B661" s="424"/>
      <c r="C661" s="425"/>
      <c r="D661" s="426"/>
      <c r="E661" s="419" t="s">
        <v>403</v>
      </c>
      <c r="F661" s="420"/>
      <c r="G661" s="64" t="s">
        <v>417</v>
      </c>
      <c r="H661" s="419" t="s">
        <v>437</v>
      </c>
      <c r="I661" s="420"/>
      <c r="K661" s="57" t="s">
        <v>560</v>
      </c>
      <c r="L661" s="57" t="s">
        <v>107</v>
      </c>
      <c r="S661" s="57">
        <v>0</v>
      </c>
    </row>
    <row r="662" spans="1:19" ht="11.1" customHeight="1" x14ac:dyDescent="0.2">
      <c r="A662" s="57" t="s">
        <v>560</v>
      </c>
      <c r="B662" s="424"/>
      <c r="C662" s="425"/>
      <c r="D662" s="426"/>
      <c r="E662" s="419" t="s">
        <v>404</v>
      </c>
      <c r="F662" s="420"/>
      <c r="G662" s="64" t="s">
        <v>413</v>
      </c>
      <c r="H662" s="419" t="s">
        <v>478</v>
      </c>
      <c r="I662" s="420"/>
      <c r="K662" s="57" t="s">
        <v>560</v>
      </c>
      <c r="L662" s="57" t="s">
        <v>107</v>
      </c>
      <c r="S662" s="57">
        <v>0</v>
      </c>
    </row>
    <row r="663" spans="1:19" ht="11.85" customHeight="1" x14ac:dyDescent="0.2">
      <c r="A663" s="57" t="s">
        <v>560</v>
      </c>
      <c r="B663" s="424"/>
      <c r="C663" s="425"/>
      <c r="D663" s="426"/>
      <c r="E663" s="419" t="s">
        <v>405</v>
      </c>
      <c r="F663" s="420"/>
      <c r="G663" s="64" t="s">
        <v>420</v>
      </c>
      <c r="H663" s="419" t="s">
        <v>439</v>
      </c>
      <c r="I663" s="420"/>
      <c r="K663" s="57" t="s">
        <v>560</v>
      </c>
      <c r="L663" s="57" t="s">
        <v>107</v>
      </c>
      <c r="S663" s="57">
        <v>0</v>
      </c>
    </row>
    <row r="664" spans="1:19" ht="11.85" customHeight="1" x14ac:dyDescent="0.2">
      <c r="A664" s="57" t="s">
        <v>560</v>
      </c>
      <c r="B664" s="424"/>
      <c r="C664" s="425"/>
      <c r="D664" s="426"/>
      <c r="E664" s="419" t="s">
        <v>442</v>
      </c>
      <c r="F664" s="420"/>
      <c r="G664" s="64" t="s">
        <v>443</v>
      </c>
      <c r="H664" s="419" t="s">
        <v>425</v>
      </c>
      <c r="I664" s="420"/>
      <c r="K664" s="57" t="s">
        <v>560</v>
      </c>
      <c r="L664" s="57" t="s">
        <v>107</v>
      </c>
      <c r="S664" s="57">
        <v>0</v>
      </c>
    </row>
    <row r="665" spans="1:19" ht="11.85" customHeight="1" x14ac:dyDescent="0.2">
      <c r="A665" s="57" t="s">
        <v>560</v>
      </c>
      <c r="B665" s="416"/>
      <c r="C665" s="417"/>
      <c r="D665" s="418"/>
      <c r="E665" s="419" t="s">
        <v>509</v>
      </c>
      <c r="F665" s="420"/>
      <c r="G665" s="64" t="s">
        <v>510</v>
      </c>
      <c r="H665" s="419" t="s">
        <v>423</v>
      </c>
      <c r="I665" s="420"/>
      <c r="K665" s="57" t="s">
        <v>560</v>
      </c>
      <c r="L665" s="57" t="s">
        <v>107</v>
      </c>
      <c r="S665" s="65">
        <v>39.28</v>
      </c>
    </row>
    <row r="666" spans="1:19" ht="11.1" customHeight="1" x14ac:dyDescent="0.2">
      <c r="A666" s="57" t="s">
        <v>560</v>
      </c>
      <c r="B666" s="62"/>
      <c r="C666" s="411" t="s">
        <v>561</v>
      </c>
      <c r="D666" s="412"/>
      <c r="E666" s="412"/>
      <c r="F666" s="412"/>
      <c r="G666" s="412"/>
      <c r="H666" s="412"/>
      <c r="I666" s="411"/>
      <c r="K666" s="57" t="s">
        <v>560</v>
      </c>
      <c r="L666" s="57" t="s">
        <v>107</v>
      </c>
      <c r="S666" s="57">
        <v>0</v>
      </c>
    </row>
    <row r="667" spans="1:19" ht="11.85" customHeight="1" x14ac:dyDescent="0.2">
      <c r="A667" s="57" t="s">
        <v>561</v>
      </c>
      <c r="B667" s="413" t="s">
        <v>471</v>
      </c>
      <c r="C667" s="427"/>
      <c r="D667" s="428"/>
      <c r="E667" s="419" t="s">
        <v>502</v>
      </c>
      <c r="F667" s="420"/>
      <c r="G667" s="64" t="s">
        <v>503</v>
      </c>
      <c r="H667" s="419" t="s">
        <v>423</v>
      </c>
      <c r="I667" s="420"/>
      <c r="K667" s="57" t="s">
        <v>561</v>
      </c>
      <c r="L667" s="57" t="s">
        <v>108</v>
      </c>
      <c r="S667" s="57">
        <v>0</v>
      </c>
    </row>
    <row r="668" spans="1:19" ht="11.85" customHeight="1" x14ac:dyDescent="0.2">
      <c r="A668" s="57" t="s">
        <v>561</v>
      </c>
      <c r="B668" s="413" t="s">
        <v>416</v>
      </c>
      <c r="C668" s="414"/>
      <c r="D668" s="415"/>
      <c r="E668" s="419" t="s">
        <v>402</v>
      </c>
      <c r="F668" s="420"/>
      <c r="G668" s="64" t="s">
        <v>417</v>
      </c>
      <c r="H668" s="419" t="s">
        <v>437</v>
      </c>
      <c r="I668" s="420"/>
      <c r="K668" s="57" t="s">
        <v>561</v>
      </c>
      <c r="L668" s="57" t="s">
        <v>108</v>
      </c>
      <c r="S668" s="57">
        <v>0</v>
      </c>
    </row>
    <row r="669" spans="1:19" ht="11.85" customHeight="1" x14ac:dyDescent="0.2">
      <c r="A669" s="57" t="s">
        <v>561</v>
      </c>
      <c r="B669" s="424"/>
      <c r="C669" s="425"/>
      <c r="D669" s="426"/>
      <c r="E669" s="419" t="s">
        <v>403</v>
      </c>
      <c r="F669" s="420"/>
      <c r="G669" s="64" t="s">
        <v>417</v>
      </c>
      <c r="H669" s="419" t="s">
        <v>437</v>
      </c>
      <c r="I669" s="420"/>
      <c r="K669" s="57" t="s">
        <v>561</v>
      </c>
      <c r="L669" s="57" t="s">
        <v>108</v>
      </c>
      <c r="S669" s="57">
        <v>0</v>
      </c>
    </row>
    <row r="670" spans="1:19" ht="11.1" customHeight="1" x14ac:dyDescent="0.2">
      <c r="A670" s="57" t="s">
        <v>561</v>
      </c>
      <c r="B670" s="424"/>
      <c r="C670" s="425"/>
      <c r="D670" s="426"/>
      <c r="E670" s="419" t="s">
        <v>404</v>
      </c>
      <c r="F670" s="420"/>
      <c r="G670" s="64" t="s">
        <v>413</v>
      </c>
      <c r="H670" s="419" t="s">
        <v>478</v>
      </c>
      <c r="I670" s="420"/>
      <c r="K670" s="57" t="s">
        <v>561</v>
      </c>
      <c r="L670" s="57" t="s">
        <v>108</v>
      </c>
      <c r="S670" s="57">
        <v>0</v>
      </c>
    </row>
    <row r="671" spans="1:19" ht="11.85" customHeight="1" x14ac:dyDescent="0.2">
      <c r="A671" s="57" t="s">
        <v>561</v>
      </c>
      <c r="B671" s="424"/>
      <c r="C671" s="425"/>
      <c r="D671" s="426"/>
      <c r="E671" s="419" t="s">
        <v>405</v>
      </c>
      <c r="F671" s="420"/>
      <c r="G671" s="64" t="s">
        <v>420</v>
      </c>
      <c r="H671" s="419" t="s">
        <v>439</v>
      </c>
      <c r="I671" s="420"/>
      <c r="K671" s="57" t="s">
        <v>561</v>
      </c>
      <c r="L671" s="57" t="s">
        <v>108</v>
      </c>
      <c r="S671" s="57">
        <v>0</v>
      </c>
    </row>
    <row r="672" spans="1:19" ht="11.85" customHeight="1" x14ac:dyDescent="0.2">
      <c r="A672" s="57" t="s">
        <v>561</v>
      </c>
      <c r="B672" s="424"/>
      <c r="C672" s="425"/>
      <c r="D672" s="426"/>
      <c r="E672" s="419" t="s">
        <v>442</v>
      </c>
      <c r="F672" s="420"/>
      <c r="G672" s="64" t="s">
        <v>443</v>
      </c>
      <c r="H672" s="419" t="s">
        <v>425</v>
      </c>
      <c r="I672" s="420"/>
      <c r="K672" s="57" t="s">
        <v>561</v>
      </c>
      <c r="L672" s="57" t="s">
        <v>108</v>
      </c>
      <c r="S672" s="57">
        <v>0</v>
      </c>
    </row>
    <row r="673" spans="1:19" ht="11.85" customHeight="1" x14ac:dyDescent="0.2">
      <c r="A673" s="57" t="s">
        <v>561</v>
      </c>
      <c r="B673" s="416"/>
      <c r="C673" s="417"/>
      <c r="D673" s="418"/>
      <c r="E673" s="419" t="s">
        <v>509</v>
      </c>
      <c r="F673" s="420"/>
      <c r="G673" s="64" t="s">
        <v>510</v>
      </c>
      <c r="H673" s="419" t="s">
        <v>423</v>
      </c>
      <c r="I673" s="420"/>
      <c r="K673" s="57" t="s">
        <v>561</v>
      </c>
      <c r="L673" s="57" t="s">
        <v>108</v>
      </c>
      <c r="S673" s="65">
        <v>39.28</v>
      </c>
    </row>
    <row r="674" spans="1:19" ht="11.85" customHeight="1" x14ac:dyDescent="0.2">
      <c r="A674" s="57" t="s">
        <v>561</v>
      </c>
      <c r="B674" s="62"/>
      <c r="C674" s="411" t="s">
        <v>562</v>
      </c>
      <c r="D674" s="412"/>
      <c r="E674" s="412"/>
      <c r="F674" s="412"/>
      <c r="G674" s="412"/>
      <c r="H674" s="412"/>
      <c r="I674" s="411"/>
      <c r="K674" s="57" t="s">
        <v>561</v>
      </c>
      <c r="L674" s="57" t="s">
        <v>108</v>
      </c>
      <c r="S674" s="57">
        <v>0</v>
      </c>
    </row>
    <row r="675" spans="1:19" ht="11.85" customHeight="1" x14ac:dyDescent="0.2">
      <c r="A675" s="57" t="s">
        <v>562</v>
      </c>
      <c r="B675" s="413" t="s">
        <v>471</v>
      </c>
      <c r="C675" s="427"/>
      <c r="D675" s="428"/>
      <c r="E675" s="419" t="s">
        <v>502</v>
      </c>
      <c r="F675" s="420"/>
      <c r="G675" s="64" t="s">
        <v>503</v>
      </c>
      <c r="H675" s="419" t="s">
        <v>423</v>
      </c>
      <c r="I675" s="420"/>
      <c r="K675" s="57" t="s">
        <v>562</v>
      </c>
      <c r="L675" s="57" t="s">
        <v>890</v>
      </c>
      <c r="S675" s="57">
        <v>0</v>
      </c>
    </row>
    <row r="676" spans="1:19" ht="11.85" customHeight="1" x14ac:dyDescent="0.2">
      <c r="A676" s="57" t="s">
        <v>562</v>
      </c>
      <c r="B676" s="62"/>
      <c r="C676" s="411" t="s">
        <v>563</v>
      </c>
      <c r="D676" s="412"/>
      <c r="E676" s="412"/>
      <c r="F676" s="412"/>
      <c r="G676" s="412"/>
      <c r="H676" s="412"/>
      <c r="I676" s="411"/>
      <c r="K676" s="57" t="s">
        <v>562</v>
      </c>
      <c r="L676" s="57" t="s">
        <v>890</v>
      </c>
      <c r="S676" s="57">
        <v>0</v>
      </c>
    </row>
    <row r="677" spans="1:19" ht="11.1" customHeight="1" x14ac:dyDescent="0.2">
      <c r="A677" s="57" t="s">
        <v>563</v>
      </c>
      <c r="B677" s="413" t="s">
        <v>471</v>
      </c>
      <c r="C677" s="427"/>
      <c r="D677" s="428"/>
      <c r="E677" s="419" t="s">
        <v>502</v>
      </c>
      <c r="F677" s="420"/>
      <c r="G677" s="64" t="s">
        <v>503</v>
      </c>
      <c r="H677" s="419" t="s">
        <v>423</v>
      </c>
      <c r="I677" s="420"/>
      <c r="K677" s="57" t="s">
        <v>563</v>
      </c>
      <c r="L677" s="57" t="s">
        <v>891</v>
      </c>
      <c r="S677" s="57">
        <v>0</v>
      </c>
    </row>
    <row r="678" spans="1:19" ht="11.85" customHeight="1" x14ac:dyDescent="0.2">
      <c r="A678" s="57" t="s">
        <v>563</v>
      </c>
      <c r="B678" s="62"/>
      <c r="C678" s="411" t="s">
        <v>564</v>
      </c>
      <c r="D678" s="412"/>
      <c r="E678" s="412"/>
      <c r="F678" s="412"/>
      <c r="G678" s="412"/>
      <c r="H678" s="412"/>
      <c r="I678" s="411"/>
      <c r="K678" s="57" t="s">
        <v>563</v>
      </c>
      <c r="L678" s="57" t="s">
        <v>891</v>
      </c>
      <c r="S678" s="57">
        <v>0</v>
      </c>
    </row>
    <row r="679" spans="1:19" ht="11.85" customHeight="1" x14ac:dyDescent="0.2">
      <c r="A679" s="57" t="s">
        <v>564</v>
      </c>
      <c r="B679" s="413" t="s">
        <v>471</v>
      </c>
      <c r="C679" s="427"/>
      <c r="D679" s="428"/>
      <c r="E679" s="419" t="s">
        <v>502</v>
      </c>
      <c r="F679" s="420"/>
      <c r="G679" s="64" t="s">
        <v>503</v>
      </c>
      <c r="H679" s="419" t="s">
        <v>423</v>
      </c>
      <c r="I679" s="420"/>
      <c r="K679" s="57" t="s">
        <v>564</v>
      </c>
      <c r="L679" s="57" t="s">
        <v>892</v>
      </c>
      <c r="S679" s="57">
        <v>0</v>
      </c>
    </row>
    <row r="680" spans="1:19" ht="11.85" customHeight="1" x14ac:dyDescent="0.2">
      <c r="A680" s="57" t="s">
        <v>564</v>
      </c>
      <c r="B680" s="62"/>
      <c r="C680" s="411" t="s">
        <v>565</v>
      </c>
      <c r="D680" s="412"/>
      <c r="E680" s="412"/>
      <c r="F680" s="412"/>
      <c r="G680" s="412"/>
      <c r="H680" s="412"/>
      <c r="I680" s="411"/>
      <c r="K680" s="57" t="s">
        <v>564</v>
      </c>
      <c r="L680" s="57" t="s">
        <v>892</v>
      </c>
      <c r="S680" s="57">
        <v>0</v>
      </c>
    </row>
    <row r="681" spans="1:19" ht="11.1" customHeight="1" x14ac:dyDescent="0.2">
      <c r="A681" s="57" t="s">
        <v>565</v>
      </c>
      <c r="B681" s="413" t="s">
        <v>471</v>
      </c>
      <c r="C681" s="427"/>
      <c r="D681" s="428"/>
      <c r="E681" s="419" t="s">
        <v>502</v>
      </c>
      <c r="F681" s="420"/>
      <c r="G681" s="64" t="s">
        <v>503</v>
      </c>
      <c r="H681" s="419" t="s">
        <v>423</v>
      </c>
      <c r="I681" s="420"/>
      <c r="K681" s="57" t="s">
        <v>565</v>
      </c>
      <c r="L681" s="57" t="s">
        <v>893</v>
      </c>
      <c r="S681" s="57">
        <v>0</v>
      </c>
    </row>
    <row r="682" spans="1:19" ht="11.85" customHeight="1" x14ac:dyDescent="0.2">
      <c r="A682" s="57" t="s">
        <v>565</v>
      </c>
      <c r="B682" s="62"/>
      <c r="C682" s="411" t="s">
        <v>566</v>
      </c>
      <c r="D682" s="412"/>
      <c r="E682" s="412"/>
      <c r="F682" s="412"/>
      <c r="G682" s="412"/>
      <c r="H682" s="412"/>
      <c r="I682" s="411"/>
      <c r="K682" s="57" t="s">
        <v>565</v>
      </c>
      <c r="L682" s="57" t="s">
        <v>893</v>
      </c>
      <c r="S682" s="57">
        <v>0</v>
      </c>
    </row>
    <row r="683" spans="1:19" ht="11.85" customHeight="1" x14ac:dyDescent="0.2">
      <c r="A683" s="57" t="s">
        <v>566</v>
      </c>
      <c r="B683" s="413" t="s">
        <v>471</v>
      </c>
      <c r="C683" s="427"/>
      <c r="D683" s="428"/>
      <c r="E683" s="419" t="s">
        <v>502</v>
      </c>
      <c r="F683" s="420"/>
      <c r="G683" s="64" t="s">
        <v>503</v>
      </c>
      <c r="H683" s="419" t="s">
        <v>423</v>
      </c>
      <c r="I683" s="420"/>
      <c r="K683" s="57" t="s">
        <v>566</v>
      </c>
      <c r="L683" s="57" t="s">
        <v>894</v>
      </c>
      <c r="S683" s="57">
        <v>0</v>
      </c>
    </row>
    <row r="684" spans="1:19" ht="11.85" customHeight="1" x14ac:dyDescent="0.2">
      <c r="A684" s="57" t="s">
        <v>566</v>
      </c>
      <c r="B684" s="62"/>
      <c r="C684" s="411" t="s">
        <v>567</v>
      </c>
      <c r="D684" s="412"/>
      <c r="E684" s="412"/>
      <c r="F684" s="412"/>
      <c r="G684" s="412"/>
      <c r="H684" s="412"/>
      <c r="I684" s="411"/>
      <c r="K684" s="57" t="s">
        <v>566</v>
      </c>
      <c r="L684" s="57" t="s">
        <v>894</v>
      </c>
      <c r="S684" s="57">
        <v>0</v>
      </c>
    </row>
    <row r="685" spans="1:19" ht="11.1" customHeight="1" x14ac:dyDescent="0.2">
      <c r="A685" s="57" t="s">
        <v>567</v>
      </c>
      <c r="B685" s="413" t="s">
        <v>471</v>
      </c>
      <c r="C685" s="427"/>
      <c r="D685" s="428"/>
      <c r="E685" s="419" t="s">
        <v>502</v>
      </c>
      <c r="F685" s="420"/>
      <c r="G685" s="64" t="s">
        <v>503</v>
      </c>
      <c r="H685" s="419" t="s">
        <v>423</v>
      </c>
      <c r="I685" s="420"/>
      <c r="K685" s="57" t="s">
        <v>567</v>
      </c>
      <c r="L685" s="57" t="s">
        <v>895</v>
      </c>
      <c r="S685" s="57">
        <v>0</v>
      </c>
    </row>
    <row r="686" spans="1:19" ht="11.85" customHeight="1" x14ac:dyDescent="0.2">
      <c r="A686" s="57" t="s">
        <v>567</v>
      </c>
      <c r="B686" s="62"/>
      <c r="C686" s="411" t="s">
        <v>568</v>
      </c>
      <c r="D686" s="412"/>
      <c r="E686" s="412"/>
      <c r="F686" s="412"/>
      <c r="G686" s="412"/>
      <c r="H686" s="412"/>
      <c r="I686" s="411"/>
      <c r="K686" s="57" t="s">
        <v>567</v>
      </c>
      <c r="L686" s="57" t="s">
        <v>895</v>
      </c>
      <c r="S686" s="57">
        <v>0</v>
      </c>
    </row>
    <row r="687" spans="1:19" ht="11.85" customHeight="1" x14ac:dyDescent="0.2">
      <c r="A687" s="57" t="s">
        <v>568</v>
      </c>
      <c r="B687" s="413" t="s">
        <v>471</v>
      </c>
      <c r="C687" s="427"/>
      <c r="D687" s="428"/>
      <c r="E687" s="419" t="s">
        <v>502</v>
      </c>
      <c r="F687" s="420"/>
      <c r="G687" s="64" t="s">
        <v>503</v>
      </c>
      <c r="H687" s="419" t="s">
        <v>423</v>
      </c>
      <c r="I687" s="420"/>
      <c r="K687" s="57" t="s">
        <v>568</v>
      </c>
      <c r="L687" s="57" t="s">
        <v>896</v>
      </c>
      <c r="S687" s="57">
        <v>0</v>
      </c>
    </row>
    <row r="688" spans="1:19" ht="11.85" customHeight="1" x14ac:dyDescent="0.2">
      <c r="A688" s="57" t="s">
        <v>568</v>
      </c>
      <c r="B688" s="62"/>
      <c r="C688" s="411" t="s">
        <v>569</v>
      </c>
      <c r="D688" s="412"/>
      <c r="E688" s="412"/>
      <c r="F688" s="412"/>
      <c r="G688" s="412"/>
      <c r="H688" s="412"/>
      <c r="I688" s="411"/>
      <c r="K688" s="57" t="s">
        <v>568</v>
      </c>
      <c r="L688" s="57" t="s">
        <v>896</v>
      </c>
      <c r="S688" s="57">
        <v>0</v>
      </c>
    </row>
    <row r="689" spans="1:19" ht="11.1" customHeight="1" x14ac:dyDescent="0.2">
      <c r="A689" s="57" t="s">
        <v>569</v>
      </c>
      <c r="B689" s="413" t="s">
        <v>471</v>
      </c>
      <c r="C689" s="427"/>
      <c r="D689" s="428"/>
      <c r="E689" s="419" t="s">
        <v>502</v>
      </c>
      <c r="F689" s="420"/>
      <c r="G689" s="64" t="s">
        <v>503</v>
      </c>
      <c r="H689" s="419" t="s">
        <v>423</v>
      </c>
      <c r="I689" s="420"/>
      <c r="K689" s="57" t="s">
        <v>569</v>
      </c>
      <c r="L689" s="57" t="s">
        <v>897</v>
      </c>
      <c r="S689" s="57">
        <v>0</v>
      </c>
    </row>
    <row r="690" spans="1:19" ht="11.85" customHeight="1" x14ac:dyDescent="0.2">
      <c r="A690" s="57" t="s">
        <v>569</v>
      </c>
      <c r="B690" s="62"/>
      <c r="C690" s="411" t="s">
        <v>570</v>
      </c>
      <c r="D690" s="412"/>
      <c r="E690" s="412"/>
      <c r="F690" s="412"/>
      <c r="G690" s="412"/>
      <c r="H690" s="412"/>
      <c r="I690" s="411"/>
      <c r="K690" s="57" t="s">
        <v>569</v>
      </c>
      <c r="L690" s="57" t="s">
        <v>897</v>
      </c>
      <c r="S690" s="57">
        <v>0</v>
      </c>
    </row>
    <row r="691" spans="1:19" ht="11.85" customHeight="1" x14ac:dyDescent="0.2">
      <c r="A691" s="57" t="s">
        <v>570</v>
      </c>
      <c r="B691" s="413" t="s">
        <v>416</v>
      </c>
      <c r="C691" s="414"/>
      <c r="D691" s="415"/>
      <c r="E691" s="419" t="s">
        <v>402</v>
      </c>
      <c r="F691" s="420"/>
      <c r="G691" s="64" t="s">
        <v>417</v>
      </c>
      <c r="H691" s="419" t="s">
        <v>418</v>
      </c>
      <c r="I691" s="420"/>
      <c r="K691" s="57" t="s">
        <v>570</v>
      </c>
      <c r="L691" s="57" t="s">
        <v>131</v>
      </c>
      <c r="S691" s="57">
        <v>0</v>
      </c>
    </row>
    <row r="692" spans="1:19" ht="11.85" customHeight="1" x14ac:dyDescent="0.2">
      <c r="A692" s="57" t="s">
        <v>570</v>
      </c>
      <c r="B692" s="424"/>
      <c r="C692" s="425"/>
      <c r="D692" s="426"/>
      <c r="E692" s="419" t="s">
        <v>403</v>
      </c>
      <c r="F692" s="420"/>
      <c r="G692" s="64" t="s">
        <v>417</v>
      </c>
      <c r="H692" s="419" t="s">
        <v>418</v>
      </c>
      <c r="I692" s="420"/>
      <c r="K692" s="57" t="s">
        <v>570</v>
      </c>
      <c r="L692" s="57" t="s">
        <v>131</v>
      </c>
      <c r="S692" s="57">
        <v>0</v>
      </c>
    </row>
    <row r="693" spans="1:19" ht="11.1" customHeight="1" x14ac:dyDescent="0.2">
      <c r="A693" s="57" t="s">
        <v>570</v>
      </c>
      <c r="B693" s="424"/>
      <c r="C693" s="425"/>
      <c r="D693" s="426"/>
      <c r="E693" s="419" t="s">
        <v>404</v>
      </c>
      <c r="F693" s="420"/>
      <c r="G693" s="64" t="s">
        <v>413</v>
      </c>
      <c r="H693" s="419" t="s">
        <v>419</v>
      </c>
      <c r="I693" s="420"/>
      <c r="K693" s="57" t="s">
        <v>570</v>
      </c>
      <c r="L693" s="57" t="s">
        <v>131</v>
      </c>
      <c r="S693" s="57">
        <v>0</v>
      </c>
    </row>
    <row r="694" spans="1:19" ht="11.85" customHeight="1" x14ac:dyDescent="0.2">
      <c r="A694" s="57" t="s">
        <v>570</v>
      </c>
      <c r="B694" s="424"/>
      <c r="C694" s="425"/>
      <c r="D694" s="426"/>
      <c r="E694" s="419" t="s">
        <v>405</v>
      </c>
      <c r="F694" s="420"/>
      <c r="G694" s="64" t="s">
        <v>420</v>
      </c>
      <c r="H694" s="419" t="s">
        <v>421</v>
      </c>
      <c r="I694" s="420"/>
      <c r="K694" s="57" t="s">
        <v>570</v>
      </c>
      <c r="L694" s="57" t="s">
        <v>131</v>
      </c>
      <c r="S694" s="57">
        <v>0</v>
      </c>
    </row>
    <row r="695" spans="1:19" ht="11.85" customHeight="1" x14ac:dyDescent="0.2">
      <c r="A695" s="57" t="s">
        <v>570</v>
      </c>
      <c r="B695" s="424"/>
      <c r="C695" s="425"/>
      <c r="D695" s="426"/>
      <c r="E695" s="419" t="s">
        <v>406</v>
      </c>
      <c r="F695" s="420"/>
      <c r="G695" s="64" t="s">
        <v>422</v>
      </c>
      <c r="H695" s="419" t="s">
        <v>423</v>
      </c>
      <c r="I695" s="420"/>
      <c r="K695" s="57" t="s">
        <v>570</v>
      </c>
      <c r="L695" s="57" t="s">
        <v>131</v>
      </c>
      <c r="S695" s="65">
        <v>48.44</v>
      </c>
    </row>
    <row r="696" spans="1:19" ht="11.85" customHeight="1" x14ac:dyDescent="0.2">
      <c r="A696" s="57" t="s">
        <v>570</v>
      </c>
      <c r="B696" s="416"/>
      <c r="C696" s="417"/>
      <c r="D696" s="418"/>
      <c r="E696" s="419" t="s">
        <v>407</v>
      </c>
      <c r="F696" s="420"/>
      <c r="G696" s="64" t="s">
        <v>424</v>
      </c>
      <c r="H696" s="419" t="s">
        <v>425</v>
      </c>
      <c r="I696" s="420"/>
      <c r="K696" s="57" t="s">
        <v>570</v>
      </c>
      <c r="L696" s="57" t="s">
        <v>131</v>
      </c>
      <c r="S696" s="57">
        <v>0</v>
      </c>
    </row>
    <row r="697" spans="1:19" ht="11.1" customHeight="1" x14ac:dyDescent="0.2">
      <c r="A697" s="57" t="s">
        <v>570</v>
      </c>
      <c r="B697" s="62"/>
      <c r="C697" s="411" t="s">
        <v>571</v>
      </c>
      <c r="D697" s="412"/>
      <c r="E697" s="412"/>
      <c r="F697" s="412"/>
      <c r="G697" s="412"/>
      <c r="H697" s="412"/>
      <c r="I697" s="411"/>
      <c r="K697" s="57" t="s">
        <v>570</v>
      </c>
      <c r="L697" s="57" t="s">
        <v>131</v>
      </c>
      <c r="S697" s="57">
        <v>0</v>
      </c>
    </row>
    <row r="698" spans="1:19" ht="11.85" customHeight="1" x14ac:dyDescent="0.2">
      <c r="A698" s="57" t="s">
        <v>571</v>
      </c>
      <c r="B698" s="413" t="s">
        <v>412</v>
      </c>
      <c r="C698" s="414"/>
      <c r="D698" s="415"/>
      <c r="E698" s="419" t="s">
        <v>450</v>
      </c>
      <c r="F698" s="420"/>
      <c r="G698" s="64" t="s">
        <v>413</v>
      </c>
      <c r="H698" s="419" t="s">
        <v>415</v>
      </c>
      <c r="I698" s="420"/>
      <c r="K698" s="57" t="s">
        <v>571</v>
      </c>
      <c r="L698" s="57" t="s">
        <v>132</v>
      </c>
      <c r="S698" s="57">
        <v>0</v>
      </c>
    </row>
    <row r="699" spans="1:19" ht="11.85" customHeight="1" x14ac:dyDescent="0.2">
      <c r="A699" s="57" t="s">
        <v>571</v>
      </c>
      <c r="B699" s="416"/>
      <c r="C699" s="417"/>
      <c r="D699" s="418"/>
      <c r="E699" s="419" t="s">
        <v>401</v>
      </c>
      <c r="F699" s="420"/>
      <c r="G699" s="64" t="s">
        <v>413</v>
      </c>
      <c r="H699" s="419" t="s">
        <v>415</v>
      </c>
      <c r="I699" s="420"/>
      <c r="K699" s="57" t="s">
        <v>571</v>
      </c>
      <c r="L699" s="57" t="s">
        <v>132</v>
      </c>
      <c r="S699" s="57">
        <v>0</v>
      </c>
    </row>
    <row r="700" spans="1:19" ht="11.85" customHeight="1" x14ac:dyDescent="0.2">
      <c r="A700" s="57" t="s">
        <v>571</v>
      </c>
      <c r="B700" s="413" t="s">
        <v>416</v>
      </c>
      <c r="C700" s="414"/>
      <c r="D700" s="415"/>
      <c r="E700" s="419" t="s">
        <v>402</v>
      </c>
      <c r="F700" s="420"/>
      <c r="G700" s="64" t="s">
        <v>417</v>
      </c>
      <c r="H700" s="419" t="s">
        <v>572</v>
      </c>
      <c r="I700" s="420"/>
      <c r="K700" s="57" t="s">
        <v>571</v>
      </c>
      <c r="L700" s="57" t="s">
        <v>132</v>
      </c>
      <c r="S700" s="57">
        <v>0</v>
      </c>
    </row>
    <row r="701" spans="1:19" ht="11.1" customHeight="1" x14ac:dyDescent="0.2">
      <c r="A701" s="57" t="s">
        <v>571</v>
      </c>
      <c r="B701" s="424"/>
      <c r="C701" s="425"/>
      <c r="D701" s="426"/>
      <c r="E701" s="419" t="s">
        <v>403</v>
      </c>
      <c r="F701" s="420"/>
      <c r="G701" s="64" t="s">
        <v>417</v>
      </c>
      <c r="H701" s="419" t="s">
        <v>572</v>
      </c>
      <c r="I701" s="420"/>
      <c r="K701" s="57" t="s">
        <v>571</v>
      </c>
      <c r="L701" s="57" t="s">
        <v>132</v>
      </c>
      <c r="S701" s="57">
        <v>0</v>
      </c>
    </row>
    <row r="702" spans="1:19" ht="11.85" customHeight="1" x14ac:dyDescent="0.2">
      <c r="A702" s="57" t="s">
        <v>571</v>
      </c>
      <c r="B702" s="424"/>
      <c r="C702" s="425"/>
      <c r="D702" s="426"/>
      <c r="E702" s="419" t="s">
        <v>404</v>
      </c>
      <c r="F702" s="420"/>
      <c r="G702" s="64" t="s">
        <v>413</v>
      </c>
      <c r="H702" s="419" t="s">
        <v>573</v>
      </c>
      <c r="I702" s="420"/>
      <c r="K702" s="57" t="s">
        <v>571</v>
      </c>
      <c r="L702" s="57" t="s">
        <v>132</v>
      </c>
      <c r="S702" s="57">
        <v>0</v>
      </c>
    </row>
    <row r="703" spans="1:19" ht="11.85" customHeight="1" x14ac:dyDescent="0.2">
      <c r="A703" s="57" t="s">
        <v>571</v>
      </c>
      <c r="B703" s="424"/>
      <c r="C703" s="425"/>
      <c r="D703" s="426"/>
      <c r="E703" s="419" t="s">
        <v>405</v>
      </c>
      <c r="F703" s="420"/>
      <c r="G703" s="64" t="s">
        <v>420</v>
      </c>
      <c r="H703" s="419" t="s">
        <v>516</v>
      </c>
      <c r="I703" s="420"/>
      <c r="K703" s="57" t="s">
        <v>571</v>
      </c>
      <c r="L703" s="57" t="s">
        <v>132</v>
      </c>
      <c r="S703" s="57">
        <v>0</v>
      </c>
    </row>
    <row r="704" spans="1:19" ht="11.85" customHeight="1" x14ac:dyDescent="0.2">
      <c r="A704" s="57" t="s">
        <v>571</v>
      </c>
      <c r="B704" s="424"/>
      <c r="C704" s="425"/>
      <c r="D704" s="426"/>
      <c r="E704" s="419" t="s">
        <v>574</v>
      </c>
      <c r="F704" s="420"/>
      <c r="G704" s="64" t="s">
        <v>503</v>
      </c>
      <c r="H704" s="419" t="s">
        <v>423</v>
      </c>
      <c r="I704" s="420"/>
      <c r="K704" s="57" t="s">
        <v>571</v>
      </c>
      <c r="L704" s="57" t="s">
        <v>132</v>
      </c>
      <c r="S704" s="57">
        <v>0</v>
      </c>
    </row>
    <row r="705" spans="1:19" ht="11.1" customHeight="1" x14ac:dyDescent="0.2">
      <c r="A705" s="57" t="s">
        <v>571</v>
      </c>
      <c r="B705" s="424"/>
      <c r="C705" s="425"/>
      <c r="D705" s="426"/>
      <c r="E705" s="419" t="s">
        <v>442</v>
      </c>
      <c r="F705" s="420"/>
      <c r="G705" s="64" t="s">
        <v>443</v>
      </c>
      <c r="H705" s="419" t="s">
        <v>425</v>
      </c>
      <c r="I705" s="420"/>
      <c r="K705" s="57" t="s">
        <v>571</v>
      </c>
      <c r="L705" s="57" t="s">
        <v>132</v>
      </c>
      <c r="S705" s="57">
        <v>0</v>
      </c>
    </row>
    <row r="706" spans="1:19" ht="11.85" customHeight="1" x14ac:dyDescent="0.2">
      <c r="A706" s="57" t="s">
        <v>571</v>
      </c>
      <c r="B706" s="416"/>
      <c r="C706" s="417"/>
      <c r="D706" s="418"/>
      <c r="E706" s="419" t="s">
        <v>509</v>
      </c>
      <c r="F706" s="420"/>
      <c r="G706" s="64" t="s">
        <v>510</v>
      </c>
      <c r="H706" s="419" t="s">
        <v>423</v>
      </c>
      <c r="I706" s="420"/>
      <c r="K706" s="57" t="s">
        <v>571</v>
      </c>
      <c r="L706" s="57" t="s">
        <v>132</v>
      </c>
      <c r="S706" s="65">
        <v>39.28</v>
      </c>
    </row>
    <row r="707" spans="1:19" ht="11.85" customHeight="1" x14ac:dyDescent="0.2">
      <c r="A707" s="57" t="s">
        <v>571</v>
      </c>
      <c r="B707" s="413" t="s">
        <v>426</v>
      </c>
      <c r="C707" s="414"/>
      <c r="D707" s="415"/>
      <c r="E707" s="419" t="s">
        <v>453</v>
      </c>
      <c r="F707" s="420"/>
      <c r="G707" s="64" t="s">
        <v>417</v>
      </c>
      <c r="H707" s="419" t="s">
        <v>415</v>
      </c>
      <c r="I707" s="420"/>
      <c r="K707" s="57" t="s">
        <v>571</v>
      </c>
      <c r="L707" s="57" t="s">
        <v>132</v>
      </c>
      <c r="S707" s="57">
        <v>0</v>
      </c>
    </row>
    <row r="708" spans="1:19" ht="11.85" customHeight="1" x14ac:dyDescent="0.2">
      <c r="A708" s="57" t="s">
        <v>571</v>
      </c>
      <c r="B708" s="416"/>
      <c r="C708" s="417"/>
      <c r="D708" s="418"/>
      <c r="E708" s="419" t="s">
        <v>410</v>
      </c>
      <c r="F708" s="420"/>
      <c r="G708" s="64" t="s">
        <v>417</v>
      </c>
      <c r="H708" s="419" t="s">
        <v>415</v>
      </c>
      <c r="I708" s="420"/>
      <c r="K708" s="57" t="s">
        <v>571</v>
      </c>
      <c r="L708" s="57" t="s">
        <v>132</v>
      </c>
      <c r="S708" s="57">
        <v>0</v>
      </c>
    </row>
    <row r="709" spans="1:19" ht="11.1" customHeight="1" x14ac:dyDescent="0.2">
      <c r="A709" s="57" t="s">
        <v>571</v>
      </c>
      <c r="B709" s="62"/>
      <c r="C709" s="411" t="s">
        <v>575</v>
      </c>
      <c r="D709" s="412"/>
      <c r="E709" s="412"/>
      <c r="F709" s="412"/>
      <c r="G709" s="412"/>
      <c r="H709" s="412"/>
      <c r="I709" s="411"/>
      <c r="K709" s="57" t="s">
        <v>571</v>
      </c>
      <c r="L709" s="57" t="s">
        <v>132</v>
      </c>
      <c r="S709" s="57">
        <v>0</v>
      </c>
    </row>
    <row r="710" spans="1:19" ht="11.85" customHeight="1" x14ac:dyDescent="0.2">
      <c r="A710" s="57" t="s">
        <v>575</v>
      </c>
      <c r="B710" s="413" t="s">
        <v>412</v>
      </c>
      <c r="C710" s="414"/>
      <c r="D710" s="415"/>
      <c r="E710" s="419" t="s">
        <v>400</v>
      </c>
      <c r="F710" s="420"/>
      <c r="G710" s="64" t="s">
        <v>413</v>
      </c>
      <c r="H710" s="419" t="s">
        <v>414</v>
      </c>
      <c r="I710" s="420"/>
      <c r="K710" s="57" t="s">
        <v>575</v>
      </c>
      <c r="L710" s="57" t="s">
        <v>133</v>
      </c>
      <c r="S710" s="57">
        <v>0</v>
      </c>
    </row>
    <row r="711" spans="1:19" ht="11.85" customHeight="1" x14ac:dyDescent="0.2">
      <c r="A711" s="57" t="s">
        <v>575</v>
      </c>
      <c r="B711" s="416"/>
      <c r="C711" s="417"/>
      <c r="D711" s="418"/>
      <c r="E711" s="419" t="s">
        <v>401</v>
      </c>
      <c r="F711" s="420"/>
      <c r="G711" s="64" t="s">
        <v>413</v>
      </c>
      <c r="H711" s="419" t="s">
        <v>415</v>
      </c>
      <c r="I711" s="420"/>
      <c r="K711" s="57" t="s">
        <v>575</v>
      </c>
      <c r="L711" s="57" t="s">
        <v>133</v>
      </c>
      <c r="S711" s="57">
        <v>0</v>
      </c>
    </row>
    <row r="712" spans="1:19" ht="11.85" customHeight="1" x14ac:dyDescent="0.2">
      <c r="A712" s="57" t="s">
        <v>575</v>
      </c>
      <c r="B712" s="413" t="s">
        <v>416</v>
      </c>
      <c r="C712" s="414"/>
      <c r="D712" s="415"/>
      <c r="E712" s="419" t="s">
        <v>402</v>
      </c>
      <c r="F712" s="420"/>
      <c r="G712" s="64" t="s">
        <v>417</v>
      </c>
      <c r="H712" s="419" t="s">
        <v>457</v>
      </c>
      <c r="I712" s="420"/>
      <c r="K712" s="57" t="s">
        <v>575</v>
      </c>
      <c r="L712" s="57" t="s">
        <v>133</v>
      </c>
      <c r="S712" s="57">
        <v>0</v>
      </c>
    </row>
    <row r="713" spans="1:19" ht="11.1" customHeight="1" x14ac:dyDescent="0.2">
      <c r="A713" s="57" t="s">
        <v>575</v>
      </c>
      <c r="B713" s="424"/>
      <c r="C713" s="425"/>
      <c r="D713" s="426"/>
      <c r="E713" s="419" t="s">
        <v>403</v>
      </c>
      <c r="F713" s="420"/>
      <c r="G713" s="64" t="s">
        <v>417</v>
      </c>
      <c r="H713" s="419" t="s">
        <v>457</v>
      </c>
      <c r="I713" s="420"/>
      <c r="K713" s="57" t="s">
        <v>575</v>
      </c>
      <c r="L713" s="57" t="s">
        <v>133</v>
      </c>
      <c r="S713" s="57">
        <v>0</v>
      </c>
    </row>
    <row r="714" spans="1:19" ht="11.85" customHeight="1" x14ac:dyDescent="0.2">
      <c r="A714" s="57" t="s">
        <v>575</v>
      </c>
      <c r="B714" s="424"/>
      <c r="C714" s="425"/>
      <c r="D714" s="426"/>
      <c r="E714" s="419" t="s">
        <v>404</v>
      </c>
      <c r="F714" s="420"/>
      <c r="G714" s="64" t="s">
        <v>413</v>
      </c>
      <c r="H714" s="419" t="s">
        <v>458</v>
      </c>
      <c r="I714" s="420"/>
      <c r="K714" s="57" t="s">
        <v>575</v>
      </c>
      <c r="L714" s="57" t="s">
        <v>133</v>
      </c>
      <c r="S714" s="57">
        <v>0</v>
      </c>
    </row>
    <row r="715" spans="1:19" ht="11.85" customHeight="1" x14ac:dyDescent="0.2">
      <c r="A715" s="57" t="s">
        <v>575</v>
      </c>
      <c r="B715" s="424"/>
      <c r="C715" s="425"/>
      <c r="D715" s="426"/>
      <c r="E715" s="419" t="s">
        <v>405</v>
      </c>
      <c r="F715" s="420"/>
      <c r="G715" s="64" t="s">
        <v>420</v>
      </c>
      <c r="H715" s="419" t="s">
        <v>459</v>
      </c>
      <c r="I715" s="420"/>
      <c r="K715" s="57" t="s">
        <v>575</v>
      </c>
      <c r="L715" s="57" t="s">
        <v>133</v>
      </c>
      <c r="S715" s="57">
        <v>0</v>
      </c>
    </row>
    <row r="716" spans="1:19" ht="11.85" customHeight="1" x14ac:dyDescent="0.2">
      <c r="A716" s="57" t="s">
        <v>575</v>
      </c>
      <c r="B716" s="424"/>
      <c r="C716" s="425"/>
      <c r="D716" s="426"/>
      <c r="E716" s="419" t="s">
        <v>460</v>
      </c>
      <c r="F716" s="420"/>
      <c r="G716" s="64" t="s">
        <v>461</v>
      </c>
      <c r="H716" s="419" t="s">
        <v>423</v>
      </c>
      <c r="I716" s="420"/>
      <c r="K716" s="57" t="s">
        <v>575</v>
      </c>
      <c r="L716" s="57" t="s">
        <v>133</v>
      </c>
      <c r="S716" s="65">
        <v>33.17</v>
      </c>
    </row>
    <row r="717" spans="1:19" ht="11.1" customHeight="1" x14ac:dyDescent="0.2">
      <c r="A717" s="57" t="s">
        <v>575</v>
      </c>
      <c r="B717" s="416"/>
      <c r="C717" s="417"/>
      <c r="D717" s="418"/>
      <c r="E717" s="419" t="s">
        <v>462</v>
      </c>
      <c r="F717" s="420"/>
      <c r="G717" s="64" t="s">
        <v>424</v>
      </c>
      <c r="H717" s="419" t="s">
        <v>463</v>
      </c>
      <c r="I717" s="420"/>
      <c r="K717" s="57" t="s">
        <v>575</v>
      </c>
      <c r="L717" s="57" t="s">
        <v>133</v>
      </c>
      <c r="S717" s="57">
        <v>0</v>
      </c>
    </row>
    <row r="718" spans="1:19" ht="11.85" customHeight="1" x14ac:dyDescent="0.2">
      <c r="A718" s="57" t="s">
        <v>575</v>
      </c>
      <c r="B718" s="413" t="s">
        <v>426</v>
      </c>
      <c r="C718" s="414"/>
      <c r="D718" s="415"/>
      <c r="E718" s="419" t="s">
        <v>408</v>
      </c>
      <c r="F718" s="420"/>
      <c r="G718" s="64" t="s">
        <v>420</v>
      </c>
      <c r="H718" s="419" t="s">
        <v>427</v>
      </c>
      <c r="I718" s="420"/>
      <c r="K718" s="57" t="s">
        <v>575</v>
      </c>
      <c r="L718" s="57" t="s">
        <v>133</v>
      </c>
      <c r="S718" s="57">
        <v>0</v>
      </c>
    </row>
    <row r="719" spans="1:19" ht="11.85" customHeight="1" x14ac:dyDescent="0.2">
      <c r="A719" s="57" t="s">
        <v>575</v>
      </c>
      <c r="B719" s="424"/>
      <c r="C719" s="425"/>
      <c r="D719" s="426"/>
      <c r="E719" s="419" t="s">
        <v>409</v>
      </c>
      <c r="F719" s="420"/>
      <c r="G719" s="64" t="s">
        <v>417</v>
      </c>
      <c r="H719" s="419" t="s">
        <v>428</v>
      </c>
      <c r="I719" s="420"/>
      <c r="K719" s="57" t="s">
        <v>575</v>
      </c>
      <c r="L719" s="57" t="s">
        <v>133</v>
      </c>
      <c r="S719" s="57">
        <v>0</v>
      </c>
    </row>
    <row r="720" spans="1:19" ht="11.85" customHeight="1" x14ac:dyDescent="0.2">
      <c r="A720" s="57" t="s">
        <v>575</v>
      </c>
      <c r="B720" s="416"/>
      <c r="C720" s="417"/>
      <c r="D720" s="418"/>
      <c r="E720" s="419" t="s">
        <v>410</v>
      </c>
      <c r="F720" s="420"/>
      <c r="G720" s="64" t="s">
        <v>417</v>
      </c>
      <c r="H720" s="419" t="s">
        <v>415</v>
      </c>
      <c r="I720" s="420"/>
      <c r="K720" s="57" t="s">
        <v>575</v>
      </c>
      <c r="L720" s="57" t="s">
        <v>133</v>
      </c>
      <c r="S720" s="57">
        <v>0</v>
      </c>
    </row>
    <row r="721" spans="1:19" ht="11.1" customHeight="1" x14ac:dyDescent="0.2">
      <c r="A721" s="57" t="s">
        <v>575</v>
      </c>
      <c r="B721" s="62"/>
      <c r="C721" s="411" t="s">
        <v>576</v>
      </c>
      <c r="D721" s="412"/>
      <c r="E721" s="412"/>
      <c r="F721" s="412"/>
      <c r="G721" s="412"/>
      <c r="H721" s="412"/>
      <c r="I721" s="411"/>
      <c r="K721" s="57" t="s">
        <v>575</v>
      </c>
      <c r="L721" s="57" t="s">
        <v>133</v>
      </c>
      <c r="S721" s="57">
        <v>0</v>
      </c>
    </row>
    <row r="722" spans="1:19" ht="11.85" customHeight="1" x14ac:dyDescent="0.2">
      <c r="A722" s="57" t="s">
        <v>576</v>
      </c>
      <c r="B722" s="413" t="s">
        <v>416</v>
      </c>
      <c r="C722" s="414"/>
      <c r="D722" s="415"/>
      <c r="E722" s="419" t="s">
        <v>402</v>
      </c>
      <c r="F722" s="420"/>
      <c r="G722" s="64" t="s">
        <v>417</v>
      </c>
      <c r="H722" s="419" t="s">
        <v>457</v>
      </c>
      <c r="I722" s="420"/>
      <c r="K722" s="57" t="s">
        <v>576</v>
      </c>
      <c r="L722" s="57" t="s">
        <v>134</v>
      </c>
      <c r="S722" s="57">
        <v>0</v>
      </c>
    </row>
    <row r="723" spans="1:19" ht="11.85" customHeight="1" x14ac:dyDescent="0.2">
      <c r="A723" s="57" t="s">
        <v>576</v>
      </c>
      <c r="B723" s="424"/>
      <c r="C723" s="425"/>
      <c r="D723" s="426"/>
      <c r="E723" s="419" t="s">
        <v>403</v>
      </c>
      <c r="F723" s="420"/>
      <c r="G723" s="64" t="s">
        <v>417</v>
      </c>
      <c r="H723" s="419" t="s">
        <v>457</v>
      </c>
      <c r="I723" s="420"/>
      <c r="K723" s="57" t="s">
        <v>576</v>
      </c>
      <c r="L723" s="57" t="s">
        <v>134</v>
      </c>
      <c r="S723" s="57">
        <v>0</v>
      </c>
    </row>
    <row r="724" spans="1:19" ht="11.85" customHeight="1" x14ac:dyDescent="0.2">
      <c r="A724" s="57" t="s">
        <v>576</v>
      </c>
      <c r="B724" s="424"/>
      <c r="C724" s="425"/>
      <c r="D724" s="426"/>
      <c r="E724" s="419" t="s">
        <v>404</v>
      </c>
      <c r="F724" s="420"/>
      <c r="G724" s="64" t="s">
        <v>413</v>
      </c>
      <c r="H724" s="419" t="s">
        <v>458</v>
      </c>
      <c r="I724" s="420"/>
      <c r="K724" s="57" t="s">
        <v>576</v>
      </c>
      <c r="L724" s="57" t="s">
        <v>134</v>
      </c>
      <c r="S724" s="57">
        <v>0</v>
      </c>
    </row>
    <row r="725" spans="1:19" ht="11.1" customHeight="1" x14ac:dyDescent="0.2">
      <c r="A725" s="57" t="s">
        <v>576</v>
      </c>
      <c r="B725" s="424"/>
      <c r="C725" s="425"/>
      <c r="D725" s="426"/>
      <c r="E725" s="419" t="s">
        <v>405</v>
      </c>
      <c r="F725" s="420"/>
      <c r="G725" s="64" t="s">
        <v>420</v>
      </c>
      <c r="H725" s="419" t="s">
        <v>459</v>
      </c>
      <c r="I725" s="420"/>
      <c r="K725" s="57" t="s">
        <v>576</v>
      </c>
      <c r="L725" s="57" t="s">
        <v>134</v>
      </c>
      <c r="S725" s="57">
        <v>0</v>
      </c>
    </row>
    <row r="726" spans="1:19" ht="11.85" customHeight="1" x14ac:dyDescent="0.2">
      <c r="A726" s="57" t="s">
        <v>576</v>
      </c>
      <c r="B726" s="424"/>
      <c r="C726" s="425"/>
      <c r="D726" s="426"/>
      <c r="E726" s="419" t="s">
        <v>460</v>
      </c>
      <c r="F726" s="420"/>
      <c r="G726" s="64" t="s">
        <v>461</v>
      </c>
      <c r="H726" s="419" t="s">
        <v>423</v>
      </c>
      <c r="I726" s="420"/>
      <c r="K726" s="57" t="s">
        <v>576</v>
      </c>
      <c r="L726" s="57" t="s">
        <v>134</v>
      </c>
      <c r="S726" s="65">
        <v>33.17</v>
      </c>
    </row>
    <row r="727" spans="1:19" ht="11.85" customHeight="1" x14ac:dyDescent="0.2">
      <c r="A727" s="57" t="s">
        <v>576</v>
      </c>
      <c r="B727" s="416"/>
      <c r="C727" s="417"/>
      <c r="D727" s="418"/>
      <c r="E727" s="419" t="s">
        <v>462</v>
      </c>
      <c r="F727" s="420"/>
      <c r="G727" s="64" t="s">
        <v>424</v>
      </c>
      <c r="H727" s="419" t="s">
        <v>463</v>
      </c>
      <c r="I727" s="420"/>
      <c r="K727" s="57" t="s">
        <v>576</v>
      </c>
      <c r="L727" s="57" t="s">
        <v>134</v>
      </c>
      <c r="S727" s="57">
        <v>0</v>
      </c>
    </row>
    <row r="728" spans="1:19" ht="11.85" customHeight="1" x14ac:dyDescent="0.2">
      <c r="A728" s="57" t="s">
        <v>576</v>
      </c>
      <c r="B728" s="62"/>
      <c r="C728" s="411" t="s">
        <v>577</v>
      </c>
      <c r="D728" s="412"/>
      <c r="E728" s="412"/>
      <c r="F728" s="412"/>
      <c r="G728" s="412"/>
      <c r="H728" s="412"/>
      <c r="I728" s="411"/>
      <c r="K728" s="57" t="s">
        <v>576</v>
      </c>
      <c r="L728" s="57" t="s">
        <v>134</v>
      </c>
      <c r="S728" s="57">
        <v>0</v>
      </c>
    </row>
    <row r="729" spans="1:19" ht="11.1" customHeight="1" x14ac:dyDescent="0.2">
      <c r="A729" s="57" t="s">
        <v>577</v>
      </c>
      <c r="B729" s="413" t="s">
        <v>412</v>
      </c>
      <c r="C729" s="414"/>
      <c r="D729" s="415"/>
      <c r="E729" s="419" t="s">
        <v>400</v>
      </c>
      <c r="F729" s="420"/>
      <c r="G729" s="64" t="s">
        <v>413</v>
      </c>
      <c r="H729" s="419" t="s">
        <v>414</v>
      </c>
      <c r="I729" s="420"/>
      <c r="K729" s="57" t="s">
        <v>577</v>
      </c>
      <c r="L729" s="57" t="s">
        <v>135</v>
      </c>
      <c r="S729" s="57">
        <v>0</v>
      </c>
    </row>
    <row r="730" spans="1:19" ht="11.85" customHeight="1" x14ac:dyDescent="0.2">
      <c r="A730" s="57" t="s">
        <v>577</v>
      </c>
      <c r="B730" s="416"/>
      <c r="C730" s="417"/>
      <c r="D730" s="418"/>
      <c r="E730" s="419" t="s">
        <v>401</v>
      </c>
      <c r="F730" s="420"/>
      <c r="G730" s="64" t="s">
        <v>413</v>
      </c>
      <c r="H730" s="419" t="s">
        <v>415</v>
      </c>
      <c r="I730" s="420"/>
      <c r="K730" s="57" t="s">
        <v>577</v>
      </c>
      <c r="L730" s="57" t="s">
        <v>135</v>
      </c>
      <c r="S730" s="57">
        <v>0</v>
      </c>
    </row>
    <row r="731" spans="1:19" ht="11.85" customHeight="1" x14ac:dyDescent="0.2">
      <c r="A731" s="57" t="s">
        <v>577</v>
      </c>
      <c r="B731" s="413" t="s">
        <v>416</v>
      </c>
      <c r="C731" s="414"/>
      <c r="D731" s="415"/>
      <c r="E731" s="419" t="s">
        <v>402</v>
      </c>
      <c r="F731" s="420"/>
      <c r="G731" s="64" t="s">
        <v>417</v>
      </c>
      <c r="H731" s="419" t="s">
        <v>457</v>
      </c>
      <c r="I731" s="420"/>
      <c r="K731" s="57" t="s">
        <v>577</v>
      </c>
      <c r="L731" s="57" t="s">
        <v>135</v>
      </c>
      <c r="S731" s="57">
        <v>0</v>
      </c>
    </row>
    <row r="732" spans="1:19" ht="11.85" customHeight="1" x14ac:dyDescent="0.2">
      <c r="A732" s="57" t="s">
        <v>577</v>
      </c>
      <c r="B732" s="424"/>
      <c r="C732" s="425"/>
      <c r="D732" s="426"/>
      <c r="E732" s="419" t="s">
        <v>403</v>
      </c>
      <c r="F732" s="420"/>
      <c r="G732" s="64" t="s">
        <v>417</v>
      </c>
      <c r="H732" s="419" t="s">
        <v>457</v>
      </c>
      <c r="I732" s="420"/>
      <c r="K732" s="57" t="s">
        <v>577</v>
      </c>
      <c r="L732" s="57" t="s">
        <v>135</v>
      </c>
      <c r="S732" s="57">
        <v>0</v>
      </c>
    </row>
    <row r="733" spans="1:19" ht="11.1" customHeight="1" x14ac:dyDescent="0.2">
      <c r="A733" s="57" t="s">
        <v>577</v>
      </c>
      <c r="B733" s="424"/>
      <c r="C733" s="425"/>
      <c r="D733" s="426"/>
      <c r="E733" s="419" t="s">
        <v>404</v>
      </c>
      <c r="F733" s="420"/>
      <c r="G733" s="64" t="s">
        <v>413</v>
      </c>
      <c r="H733" s="419" t="s">
        <v>458</v>
      </c>
      <c r="I733" s="420"/>
      <c r="K733" s="57" t="s">
        <v>577</v>
      </c>
      <c r="L733" s="57" t="s">
        <v>135</v>
      </c>
      <c r="S733" s="57">
        <v>0</v>
      </c>
    </row>
    <row r="734" spans="1:19" ht="11.85" customHeight="1" x14ac:dyDescent="0.2">
      <c r="A734" s="57" t="s">
        <v>577</v>
      </c>
      <c r="B734" s="424"/>
      <c r="C734" s="425"/>
      <c r="D734" s="426"/>
      <c r="E734" s="419" t="s">
        <v>405</v>
      </c>
      <c r="F734" s="420"/>
      <c r="G734" s="64" t="s">
        <v>420</v>
      </c>
      <c r="H734" s="419" t="s">
        <v>459</v>
      </c>
      <c r="I734" s="420"/>
      <c r="K734" s="57" t="s">
        <v>577</v>
      </c>
      <c r="L734" s="57" t="s">
        <v>135</v>
      </c>
      <c r="S734" s="57">
        <v>0</v>
      </c>
    </row>
    <row r="735" spans="1:19" ht="11.85" customHeight="1" x14ac:dyDescent="0.2">
      <c r="A735" s="57" t="s">
        <v>577</v>
      </c>
      <c r="B735" s="424"/>
      <c r="C735" s="425"/>
      <c r="D735" s="426"/>
      <c r="E735" s="419" t="s">
        <v>460</v>
      </c>
      <c r="F735" s="420"/>
      <c r="G735" s="64" t="s">
        <v>461</v>
      </c>
      <c r="H735" s="419" t="s">
        <v>423</v>
      </c>
      <c r="I735" s="420"/>
      <c r="K735" s="57" t="s">
        <v>577</v>
      </c>
      <c r="L735" s="57" t="s">
        <v>135</v>
      </c>
      <c r="S735" s="65">
        <v>33.17</v>
      </c>
    </row>
    <row r="736" spans="1:19" ht="11.85" customHeight="1" x14ac:dyDescent="0.2">
      <c r="A736" s="57" t="s">
        <v>577</v>
      </c>
      <c r="B736" s="416"/>
      <c r="C736" s="417"/>
      <c r="D736" s="418"/>
      <c r="E736" s="419" t="s">
        <v>462</v>
      </c>
      <c r="F736" s="420"/>
      <c r="G736" s="64" t="s">
        <v>424</v>
      </c>
      <c r="H736" s="419" t="s">
        <v>463</v>
      </c>
      <c r="I736" s="420"/>
      <c r="K736" s="57" t="s">
        <v>577</v>
      </c>
      <c r="L736" s="57" t="s">
        <v>135</v>
      </c>
      <c r="S736" s="57">
        <v>0</v>
      </c>
    </row>
    <row r="737" spans="1:19" ht="11.1" customHeight="1" x14ac:dyDescent="0.2">
      <c r="A737" s="57" t="s">
        <v>577</v>
      </c>
      <c r="B737" s="413" t="s">
        <v>426</v>
      </c>
      <c r="C737" s="414"/>
      <c r="D737" s="415"/>
      <c r="E737" s="419" t="s">
        <v>408</v>
      </c>
      <c r="F737" s="420"/>
      <c r="G737" s="64" t="s">
        <v>420</v>
      </c>
      <c r="H737" s="419" t="s">
        <v>427</v>
      </c>
      <c r="I737" s="420"/>
      <c r="K737" s="57" t="s">
        <v>577</v>
      </c>
      <c r="L737" s="57" t="s">
        <v>135</v>
      </c>
      <c r="S737" s="57">
        <v>0</v>
      </c>
    </row>
    <row r="738" spans="1:19" ht="11.85" customHeight="1" x14ac:dyDescent="0.2">
      <c r="A738" s="57" t="s">
        <v>577</v>
      </c>
      <c r="B738" s="424"/>
      <c r="C738" s="425"/>
      <c r="D738" s="426"/>
      <c r="E738" s="419" t="s">
        <v>409</v>
      </c>
      <c r="F738" s="420"/>
      <c r="G738" s="64" t="s">
        <v>417</v>
      </c>
      <c r="H738" s="419" t="s">
        <v>428</v>
      </c>
      <c r="I738" s="420"/>
      <c r="K738" s="57" t="s">
        <v>577</v>
      </c>
      <c r="L738" s="57" t="s">
        <v>135</v>
      </c>
      <c r="S738" s="57">
        <v>0</v>
      </c>
    </row>
    <row r="739" spans="1:19" ht="11.85" customHeight="1" x14ac:dyDescent="0.2">
      <c r="A739" s="57" t="s">
        <v>577</v>
      </c>
      <c r="B739" s="416"/>
      <c r="C739" s="417"/>
      <c r="D739" s="418"/>
      <c r="E739" s="419" t="s">
        <v>410</v>
      </c>
      <c r="F739" s="420"/>
      <c r="G739" s="64" t="s">
        <v>417</v>
      </c>
      <c r="H739" s="419" t="s">
        <v>415</v>
      </c>
      <c r="I739" s="420"/>
      <c r="K739" s="57" t="s">
        <v>577</v>
      </c>
      <c r="L739" s="57" t="s">
        <v>135</v>
      </c>
      <c r="S739" s="57">
        <v>0</v>
      </c>
    </row>
    <row r="740" spans="1:19" ht="11.85" customHeight="1" x14ac:dyDescent="0.2">
      <c r="A740" s="57" t="s">
        <v>577</v>
      </c>
      <c r="B740" s="62"/>
      <c r="C740" s="411" t="s">
        <v>578</v>
      </c>
      <c r="D740" s="412"/>
      <c r="E740" s="412"/>
      <c r="F740" s="412"/>
      <c r="G740" s="412"/>
      <c r="H740" s="412"/>
      <c r="I740" s="411"/>
      <c r="K740" s="57" t="s">
        <v>577</v>
      </c>
      <c r="L740" s="57" t="s">
        <v>135</v>
      </c>
      <c r="S740" s="57">
        <v>0</v>
      </c>
    </row>
    <row r="741" spans="1:19" ht="11.85" customHeight="1" x14ac:dyDescent="0.2">
      <c r="A741" s="57" t="s">
        <v>578</v>
      </c>
      <c r="B741" s="413" t="s">
        <v>412</v>
      </c>
      <c r="C741" s="414"/>
      <c r="D741" s="415"/>
      <c r="E741" s="419" t="s">
        <v>400</v>
      </c>
      <c r="F741" s="420"/>
      <c r="G741" s="64" t="s">
        <v>413</v>
      </c>
      <c r="H741" s="419" t="s">
        <v>414</v>
      </c>
      <c r="I741" s="420"/>
      <c r="K741" s="57" t="s">
        <v>578</v>
      </c>
      <c r="L741" s="57" t="s">
        <v>136</v>
      </c>
      <c r="S741" s="57">
        <v>0</v>
      </c>
    </row>
    <row r="742" spans="1:19" ht="11.85" customHeight="1" x14ac:dyDescent="0.2">
      <c r="A742" s="57" t="s">
        <v>578</v>
      </c>
      <c r="B742" s="416"/>
      <c r="C742" s="417"/>
      <c r="D742" s="418"/>
      <c r="E742" s="419" t="s">
        <v>401</v>
      </c>
      <c r="F742" s="420"/>
      <c r="G742" s="64" t="s">
        <v>413</v>
      </c>
      <c r="H742" s="419" t="s">
        <v>415</v>
      </c>
      <c r="I742" s="420"/>
      <c r="K742" s="57" t="s">
        <v>578</v>
      </c>
      <c r="L742" s="57" t="s">
        <v>136</v>
      </c>
      <c r="S742" s="57">
        <v>0</v>
      </c>
    </row>
    <row r="743" spans="1:19" ht="11.1" customHeight="1" x14ac:dyDescent="0.2">
      <c r="A743" s="57" t="s">
        <v>578</v>
      </c>
      <c r="B743" s="413" t="s">
        <v>416</v>
      </c>
      <c r="C743" s="414"/>
      <c r="D743" s="415"/>
      <c r="E743" s="419" t="s">
        <v>402</v>
      </c>
      <c r="F743" s="420"/>
      <c r="G743" s="64" t="s">
        <v>417</v>
      </c>
      <c r="H743" s="419" t="s">
        <v>418</v>
      </c>
      <c r="I743" s="420"/>
      <c r="K743" s="57" t="s">
        <v>578</v>
      </c>
      <c r="L743" s="57" t="s">
        <v>136</v>
      </c>
      <c r="S743" s="57">
        <v>0</v>
      </c>
    </row>
    <row r="744" spans="1:19" ht="11.85" customHeight="1" x14ac:dyDescent="0.2">
      <c r="A744" s="57" t="s">
        <v>578</v>
      </c>
      <c r="B744" s="424"/>
      <c r="C744" s="425"/>
      <c r="D744" s="426"/>
      <c r="E744" s="419" t="s">
        <v>403</v>
      </c>
      <c r="F744" s="420"/>
      <c r="G744" s="64" t="s">
        <v>417</v>
      </c>
      <c r="H744" s="419" t="s">
        <v>418</v>
      </c>
      <c r="I744" s="420"/>
      <c r="K744" s="57" t="s">
        <v>578</v>
      </c>
      <c r="L744" s="57" t="s">
        <v>136</v>
      </c>
      <c r="S744" s="57">
        <v>0</v>
      </c>
    </row>
    <row r="745" spans="1:19" ht="11.85" customHeight="1" x14ac:dyDescent="0.2">
      <c r="A745" s="57" t="s">
        <v>578</v>
      </c>
      <c r="B745" s="424"/>
      <c r="C745" s="425"/>
      <c r="D745" s="426"/>
      <c r="E745" s="419" t="s">
        <v>404</v>
      </c>
      <c r="F745" s="420"/>
      <c r="G745" s="64" t="s">
        <v>413</v>
      </c>
      <c r="H745" s="419" t="s">
        <v>419</v>
      </c>
      <c r="I745" s="420"/>
      <c r="K745" s="57" t="s">
        <v>578</v>
      </c>
      <c r="L745" s="57" t="s">
        <v>136</v>
      </c>
      <c r="S745" s="57">
        <v>0</v>
      </c>
    </row>
    <row r="746" spans="1:19" ht="11.85" customHeight="1" x14ac:dyDescent="0.2">
      <c r="A746" s="57" t="s">
        <v>578</v>
      </c>
      <c r="B746" s="424"/>
      <c r="C746" s="425"/>
      <c r="D746" s="426"/>
      <c r="E746" s="419" t="s">
        <v>405</v>
      </c>
      <c r="F746" s="420"/>
      <c r="G746" s="64" t="s">
        <v>420</v>
      </c>
      <c r="H746" s="419" t="s">
        <v>421</v>
      </c>
      <c r="I746" s="420"/>
      <c r="K746" s="57" t="s">
        <v>578</v>
      </c>
      <c r="L746" s="57" t="s">
        <v>136</v>
      </c>
      <c r="S746" s="57">
        <v>0</v>
      </c>
    </row>
    <row r="747" spans="1:19" ht="11.1" customHeight="1" x14ac:dyDescent="0.2">
      <c r="A747" s="57" t="s">
        <v>578</v>
      </c>
      <c r="B747" s="424"/>
      <c r="C747" s="425"/>
      <c r="D747" s="426"/>
      <c r="E747" s="419" t="s">
        <v>406</v>
      </c>
      <c r="F747" s="420"/>
      <c r="G747" s="64" t="s">
        <v>422</v>
      </c>
      <c r="H747" s="419" t="s">
        <v>423</v>
      </c>
      <c r="I747" s="420"/>
      <c r="K747" s="57" t="s">
        <v>578</v>
      </c>
      <c r="L747" s="57" t="s">
        <v>136</v>
      </c>
      <c r="S747" s="65">
        <v>48.44</v>
      </c>
    </row>
    <row r="748" spans="1:19" ht="11.85" customHeight="1" x14ac:dyDescent="0.2">
      <c r="A748" s="57" t="s">
        <v>578</v>
      </c>
      <c r="B748" s="416"/>
      <c r="C748" s="417"/>
      <c r="D748" s="418"/>
      <c r="E748" s="419" t="s">
        <v>407</v>
      </c>
      <c r="F748" s="420"/>
      <c r="G748" s="64" t="s">
        <v>424</v>
      </c>
      <c r="H748" s="419" t="s">
        <v>425</v>
      </c>
      <c r="I748" s="420"/>
      <c r="K748" s="57" t="s">
        <v>578</v>
      </c>
      <c r="L748" s="57" t="s">
        <v>136</v>
      </c>
      <c r="S748" s="57">
        <v>0</v>
      </c>
    </row>
    <row r="749" spans="1:19" ht="11.85" customHeight="1" x14ac:dyDescent="0.2">
      <c r="A749" s="57" t="s">
        <v>578</v>
      </c>
      <c r="B749" s="413" t="s">
        <v>426</v>
      </c>
      <c r="C749" s="414"/>
      <c r="D749" s="415"/>
      <c r="E749" s="419" t="s">
        <v>408</v>
      </c>
      <c r="F749" s="420"/>
      <c r="G749" s="64" t="s">
        <v>420</v>
      </c>
      <c r="H749" s="419" t="s">
        <v>427</v>
      </c>
      <c r="I749" s="420"/>
      <c r="K749" s="57" t="s">
        <v>578</v>
      </c>
      <c r="L749" s="57" t="s">
        <v>136</v>
      </c>
      <c r="S749" s="57">
        <v>0</v>
      </c>
    </row>
    <row r="750" spans="1:19" ht="11.85" customHeight="1" x14ac:dyDescent="0.2">
      <c r="A750" s="57" t="s">
        <v>578</v>
      </c>
      <c r="B750" s="424"/>
      <c r="C750" s="425"/>
      <c r="D750" s="426"/>
      <c r="E750" s="419" t="s">
        <v>409</v>
      </c>
      <c r="F750" s="420"/>
      <c r="G750" s="64" t="s">
        <v>417</v>
      </c>
      <c r="H750" s="419" t="s">
        <v>428</v>
      </c>
      <c r="I750" s="420"/>
      <c r="K750" s="57" t="s">
        <v>578</v>
      </c>
      <c r="L750" s="57" t="s">
        <v>136</v>
      </c>
      <c r="S750" s="57">
        <v>0</v>
      </c>
    </row>
    <row r="751" spans="1:19" ht="11.1" customHeight="1" x14ac:dyDescent="0.2">
      <c r="A751" s="57" t="s">
        <v>578</v>
      </c>
      <c r="B751" s="416"/>
      <c r="C751" s="417"/>
      <c r="D751" s="418"/>
      <c r="E751" s="419" t="s">
        <v>410</v>
      </c>
      <c r="F751" s="420"/>
      <c r="G751" s="64" t="s">
        <v>417</v>
      </c>
      <c r="H751" s="419" t="s">
        <v>415</v>
      </c>
      <c r="I751" s="420"/>
      <c r="K751" s="57" t="s">
        <v>578</v>
      </c>
      <c r="L751" s="57" t="s">
        <v>136</v>
      </c>
      <c r="S751" s="57">
        <v>0</v>
      </c>
    </row>
    <row r="752" spans="1:19" ht="11.85" customHeight="1" x14ac:dyDescent="0.2">
      <c r="A752" s="57" t="s">
        <v>578</v>
      </c>
      <c r="B752" s="62"/>
      <c r="C752" s="411" t="s">
        <v>579</v>
      </c>
      <c r="D752" s="412"/>
      <c r="E752" s="412"/>
      <c r="F752" s="412"/>
      <c r="G752" s="412"/>
      <c r="H752" s="412"/>
      <c r="I752" s="411"/>
      <c r="K752" s="57" t="s">
        <v>578</v>
      </c>
      <c r="L752" s="57" t="s">
        <v>136</v>
      </c>
      <c r="S752" s="57">
        <v>0</v>
      </c>
    </row>
    <row r="753" spans="1:19" ht="11.85" customHeight="1" x14ac:dyDescent="0.2">
      <c r="A753" s="57" t="s">
        <v>579</v>
      </c>
      <c r="B753" s="413" t="s">
        <v>412</v>
      </c>
      <c r="C753" s="414"/>
      <c r="D753" s="415"/>
      <c r="E753" s="419" t="s">
        <v>400</v>
      </c>
      <c r="F753" s="420"/>
      <c r="G753" s="64" t="s">
        <v>413</v>
      </c>
      <c r="H753" s="419" t="s">
        <v>414</v>
      </c>
      <c r="I753" s="420"/>
      <c r="K753" s="57" t="s">
        <v>579</v>
      </c>
      <c r="L753" s="57" t="s">
        <v>137</v>
      </c>
      <c r="S753" s="57">
        <v>0</v>
      </c>
    </row>
    <row r="754" spans="1:19" ht="11.85" customHeight="1" x14ac:dyDescent="0.2">
      <c r="A754" s="57" t="s">
        <v>579</v>
      </c>
      <c r="B754" s="416"/>
      <c r="C754" s="417"/>
      <c r="D754" s="418"/>
      <c r="E754" s="419" t="s">
        <v>401</v>
      </c>
      <c r="F754" s="420"/>
      <c r="G754" s="64" t="s">
        <v>413</v>
      </c>
      <c r="H754" s="419" t="s">
        <v>415</v>
      </c>
      <c r="I754" s="420"/>
      <c r="K754" s="57" t="s">
        <v>579</v>
      </c>
      <c r="L754" s="57" t="s">
        <v>137</v>
      </c>
      <c r="S754" s="57">
        <v>0</v>
      </c>
    </row>
    <row r="755" spans="1:19" ht="11.1" customHeight="1" x14ac:dyDescent="0.2">
      <c r="A755" s="57" t="s">
        <v>579</v>
      </c>
      <c r="B755" s="413" t="s">
        <v>416</v>
      </c>
      <c r="C755" s="414"/>
      <c r="D755" s="415"/>
      <c r="E755" s="419" t="s">
        <v>402</v>
      </c>
      <c r="F755" s="420"/>
      <c r="G755" s="64" t="s">
        <v>417</v>
      </c>
      <c r="H755" s="419" t="s">
        <v>418</v>
      </c>
      <c r="I755" s="420"/>
      <c r="K755" s="57" t="s">
        <v>579</v>
      </c>
      <c r="L755" s="57" t="s">
        <v>137</v>
      </c>
      <c r="S755" s="57">
        <v>0</v>
      </c>
    </row>
    <row r="756" spans="1:19" ht="11.85" customHeight="1" x14ac:dyDescent="0.2">
      <c r="A756" s="57" t="s">
        <v>579</v>
      </c>
      <c r="B756" s="424"/>
      <c r="C756" s="425"/>
      <c r="D756" s="426"/>
      <c r="E756" s="419" t="s">
        <v>403</v>
      </c>
      <c r="F756" s="420"/>
      <c r="G756" s="64" t="s">
        <v>417</v>
      </c>
      <c r="H756" s="419" t="s">
        <v>418</v>
      </c>
      <c r="I756" s="420"/>
      <c r="K756" s="57" t="s">
        <v>579</v>
      </c>
      <c r="L756" s="57" t="s">
        <v>137</v>
      </c>
      <c r="S756" s="57">
        <v>0</v>
      </c>
    </row>
    <row r="757" spans="1:19" ht="11.85" customHeight="1" x14ac:dyDescent="0.2">
      <c r="A757" s="57" t="s">
        <v>579</v>
      </c>
      <c r="B757" s="424"/>
      <c r="C757" s="425"/>
      <c r="D757" s="426"/>
      <c r="E757" s="419" t="s">
        <v>404</v>
      </c>
      <c r="F757" s="420"/>
      <c r="G757" s="64" t="s">
        <v>413</v>
      </c>
      <c r="H757" s="419" t="s">
        <v>419</v>
      </c>
      <c r="I757" s="420"/>
      <c r="K757" s="57" t="s">
        <v>579</v>
      </c>
      <c r="L757" s="57" t="s">
        <v>137</v>
      </c>
      <c r="S757" s="57">
        <v>0</v>
      </c>
    </row>
    <row r="758" spans="1:19" ht="11.85" customHeight="1" x14ac:dyDescent="0.2">
      <c r="A758" s="57" t="s">
        <v>579</v>
      </c>
      <c r="B758" s="424"/>
      <c r="C758" s="425"/>
      <c r="D758" s="426"/>
      <c r="E758" s="419" t="s">
        <v>405</v>
      </c>
      <c r="F758" s="420"/>
      <c r="G758" s="64" t="s">
        <v>420</v>
      </c>
      <c r="H758" s="419" t="s">
        <v>421</v>
      </c>
      <c r="I758" s="420"/>
      <c r="K758" s="57" t="s">
        <v>579</v>
      </c>
      <c r="L758" s="57" t="s">
        <v>137</v>
      </c>
      <c r="S758" s="57">
        <v>0</v>
      </c>
    </row>
    <row r="759" spans="1:19" ht="11.1" customHeight="1" x14ac:dyDescent="0.2">
      <c r="A759" s="57" t="s">
        <v>579</v>
      </c>
      <c r="B759" s="424"/>
      <c r="C759" s="425"/>
      <c r="D759" s="426"/>
      <c r="E759" s="419" t="s">
        <v>406</v>
      </c>
      <c r="F759" s="420"/>
      <c r="G759" s="64" t="s">
        <v>422</v>
      </c>
      <c r="H759" s="419" t="s">
        <v>423</v>
      </c>
      <c r="I759" s="420"/>
      <c r="K759" s="57" t="s">
        <v>579</v>
      </c>
      <c r="L759" s="57" t="s">
        <v>137</v>
      </c>
      <c r="S759" s="65">
        <v>48.44</v>
      </c>
    </row>
    <row r="760" spans="1:19" ht="11.85" customHeight="1" x14ac:dyDescent="0.2">
      <c r="A760" s="57" t="s">
        <v>579</v>
      </c>
      <c r="B760" s="416"/>
      <c r="C760" s="417"/>
      <c r="D760" s="418"/>
      <c r="E760" s="419" t="s">
        <v>407</v>
      </c>
      <c r="F760" s="420"/>
      <c r="G760" s="64" t="s">
        <v>424</v>
      </c>
      <c r="H760" s="419" t="s">
        <v>425</v>
      </c>
      <c r="I760" s="420"/>
      <c r="K760" s="57" t="s">
        <v>579</v>
      </c>
      <c r="L760" s="57" t="s">
        <v>137</v>
      </c>
      <c r="S760" s="57">
        <v>0</v>
      </c>
    </row>
    <row r="761" spans="1:19" ht="11.85" customHeight="1" x14ac:dyDescent="0.2">
      <c r="A761" s="57" t="s">
        <v>579</v>
      </c>
      <c r="B761" s="413" t="s">
        <v>426</v>
      </c>
      <c r="C761" s="414"/>
      <c r="D761" s="415"/>
      <c r="E761" s="419" t="s">
        <v>408</v>
      </c>
      <c r="F761" s="420"/>
      <c r="G761" s="64" t="s">
        <v>420</v>
      </c>
      <c r="H761" s="419" t="s">
        <v>427</v>
      </c>
      <c r="I761" s="420"/>
      <c r="K761" s="57" t="s">
        <v>579</v>
      </c>
      <c r="L761" s="57" t="s">
        <v>137</v>
      </c>
      <c r="S761" s="57">
        <v>0</v>
      </c>
    </row>
    <row r="762" spans="1:19" ht="11.85" customHeight="1" x14ac:dyDescent="0.2">
      <c r="A762" s="57" t="s">
        <v>579</v>
      </c>
      <c r="B762" s="424"/>
      <c r="C762" s="425"/>
      <c r="D762" s="426"/>
      <c r="E762" s="419" t="s">
        <v>409</v>
      </c>
      <c r="F762" s="420"/>
      <c r="G762" s="64" t="s">
        <v>417</v>
      </c>
      <c r="H762" s="419" t="s">
        <v>428</v>
      </c>
      <c r="I762" s="420"/>
      <c r="K762" s="57" t="s">
        <v>579</v>
      </c>
      <c r="L762" s="57" t="s">
        <v>137</v>
      </c>
      <c r="S762" s="57">
        <v>0</v>
      </c>
    </row>
    <row r="763" spans="1:19" ht="11.1" customHeight="1" x14ac:dyDescent="0.2">
      <c r="A763" s="57" t="s">
        <v>579</v>
      </c>
      <c r="B763" s="416"/>
      <c r="C763" s="417"/>
      <c r="D763" s="418"/>
      <c r="E763" s="419" t="s">
        <v>410</v>
      </c>
      <c r="F763" s="420"/>
      <c r="G763" s="64" t="s">
        <v>417</v>
      </c>
      <c r="H763" s="419" t="s">
        <v>415</v>
      </c>
      <c r="I763" s="420"/>
      <c r="K763" s="57" t="s">
        <v>579</v>
      </c>
      <c r="L763" s="57" t="s">
        <v>137</v>
      </c>
      <c r="S763" s="57">
        <v>0</v>
      </c>
    </row>
    <row r="764" spans="1:19" ht="11.85" customHeight="1" x14ac:dyDescent="0.2">
      <c r="A764" s="57" t="s">
        <v>579</v>
      </c>
      <c r="B764" s="62"/>
      <c r="C764" s="411" t="s">
        <v>580</v>
      </c>
      <c r="D764" s="412"/>
      <c r="E764" s="412"/>
      <c r="F764" s="412"/>
      <c r="G764" s="412"/>
      <c r="H764" s="412"/>
      <c r="I764" s="411"/>
      <c r="K764" s="57" t="s">
        <v>579</v>
      </c>
      <c r="L764" s="57" t="s">
        <v>137</v>
      </c>
      <c r="S764" s="57">
        <v>0</v>
      </c>
    </row>
    <row r="765" spans="1:19" ht="11.85" customHeight="1" x14ac:dyDescent="0.2">
      <c r="A765" s="57" t="s">
        <v>580</v>
      </c>
      <c r="B765" s="413" t="s">
        <v>412</v>
      </c>
      <c r="C765" s="414"/>
      <c r="D765" s="415"/>
      <c r="E765" s="419" t="s">
        <v>400</v>
      </c>
      <c r="F765" s="420"/>
      <c r="G765" s="64" t="s">
        <v>413</v>
      </c>
      <c r="H765" s="419" t="s">
        <v>414</v>
      </c>
      <c r="I765" s="420"/>
      <c r="K765" s="57" t="s">
        <v>580</v>
      </c>
      <c r="L765" s="57" t="s">
        <v>138</v>
      </c>
      <c r="S765" s="57">
        <v>0</v>
      </c>
    </row>
    <row r="766" spans="1:19" ht="11.85" customHeight="1" x14ac:dyDescent="0.2">
      <c r="A766" s="57" t="s">
        <v>580</v>
      </c>
      <c r="B766" s="416"/>
      <c r="C766" s="417"/>
      <c r="D766" s="418"/>
      <c r="E766" s="419" t="s">
        <v>401</v>
      </c>
      <c r="F766" s="420"/>
      <c r="G766" s="64" t="s">
        <v>413</v>
      </c>
      <c r="H766" s="419" t="s">
        <v>415</v>
      </c>
      <c r="I766" s="420"/>
      <c r="K766" s="57" t="s">
        <v>580</v>
      </c>
      <c r="L766" s="57" t="s">
        <v>138</v>
      </c>
      <c r="S766" s="57">
        <v>0</v>
      </c>
    </row>
    <row r="767" spans="1:19" ht="11.1" customHeight="1" x14ac:dyDescent="0.2">
      <c r="A767" s="57" t="s">
        <v>580</v>
      </c>
      <c r="B767" s="413" t="s">
        <v>416</v>
      </c>
      <c r="C767" s="414"/>
      <c r="D767" s="415"/>
      <c r="E767" s="419" t="s">
        <v>402</v>
      </c>
      <c r="F767" s="420"/>
      <c r="G767" s="64" t="s">
        <v>417</v>
      </c>
      <c r="H767" s="419" t="s">
        <v>418</v>
      </c>
      <c r="I767" s="420"/>
      <c r="K767" s="57" t="s">
        <v>580</v>
      </c>
      <c r="L767" s="57" t="s">
        <v>138</v>
      </c>
      <c r="S767" s="57">
        <v>0</v>
      </c>
    </row>
    <row r="768" spans="1:19" ht="11.85" customHeight="1" x14ac:dyDescent="0.2">
      <c r="A768" s="57" t="s">
        <v>580</v>
      </c>
      <c r="B768" s="424"/>
      <c r="C768" s="425"/>
      <c r="D768" s="426"/>
      <c r="E768" s="419" t="s">
        <v>403</v>
      </c>
      <c r="F768" s="420"/>
      <c r="G768" s="64" t="s">
        <v>417</v>
      </c>
      <c r="H768" s="419" t="s">
        <v>418</v>
      </c>
      <c r="I768" s="420"/>
      <c r="K768" s="57" t="s">
        <v>580</v>
      </c>
      <c r="L768" s="57" t="s">
        <v>138</v>
      </c>
      <c r="S768" s="57">
        <v>0</v>
      </c>
    </row>
    <row r="769" spans="1:19" ht="11.85" customHeight="1" x14ac:dyDescent="0.2">
      <c r="A769" s="57" t="s">
        <v>580</v>
      </c>
      <c r="B769" s="424"/>
      <c r="C769" s="425"/>
      <c r="D769" s="426"/>
      <c r="E769" s="419" t="s">
        <v>404</v>
      </c>
      <c r="F769" s="420"/>
      <c r="G769" s="64" t="s">
        <v>413</v>
      </c>
      <c r="H769" s="419" t="s">
        <v>419</v>
      </c>
      <c r="I769" s="420"/>
      <c r="K769" s="57" t="s">
        <v>580</v>
      </c>
      <c r="L769" s="57" t="s">
        <v>138</v>
      </c>
      <c r="S769" s="57">
        <v>0</v>
      </c>
    </row>
    <row r="770" spans="1:19" ht="11.85" customHeight="1" x14ac:dyDescent="0.2">
      <c r="A770" s="57" t="s">
        <v>580</v>
      </c>
      <c r="B770" s="424"/>
      <c r="C770" s="425"/>
      <c r="D770" s="426"/>
      <c r="E770" s="419" t="s">
        <v>405</v>
      </c>
      <c r="F770" s="420"/>
      <c r="G770" s="64" t="s">
        <v>420</v>
      </c>
      <c r="H770" s="419" t="s">
        <v>421</v>
      </c>
      <c r="I770" s="420"/>
      <c r="K770" s="57" t="s">
        <v>580</v>
      </c>
      <c r="L770" s="57" t="s">
        <v>138</v>
      </c>
      <c r="S770" s="57">
        <v>0</v>
      </c>
    </row>
    <row r="771" spans="1:19" ht="11.1" customHeight="1" x14ac:dyDescent="0.2">
      <c r="A771" s="57" t="s">
        <v>580</v>
      </c>
      <c r="B771" s="424"/>
      <c r="C771" s="425"/>
      <c r="D771" s="426"/>
      <c r="E771" s="419" t="s">
        <v>406</v>
      </c>
      <c r="F771" s="420"/>
      <c r="G771" s="64" t="s">
        <v>422</v>
      </c>
      <c r="H771" s="419" t="s">
        <v>423</v>
      </c>
      <c r="I771" s="420"/>
      <c r="K771" s="57" t="s">
        <v>580</v>
      </c>
      <c r="L771" s="57" t="s">
        <v>138</v>
      </c>
      <c r="S771" s="65">
        <v>48.44</v>
      </c>
    </row>
    <row r="772" spans="1:19" ht="11.85" customHeight="1" x14ac:dyDescent="0.2">
      <c r="A772" s="57" t="s">
        <v>580</v>
      </c>
      <c r="B772" s="416"/>
      <c r="C772" s="417"/>
      <c r="D772" s="418"/>
      <c r="E772" s="419" t="s">
        <v>407</v>
      </c>
      <c r="F772" s="420"/>
      <c r="G772" s="64" t="s">
        <v>424</v>
      </c>
      <c r="H772" s="419" t="s">
        <v>425</v>
      </c>
      <c r="I772" s="420"/>
      <c r="K772" s="57" t="s">
        <v>580</v>
      </c>
      <c r="L772" s="57" t="s">
        <v>138</v>
      </c>
      <c r="S772" s="57">
        <v>0</v>
      </c>
    </row>
    <row r="773" spans="1:19" ht="11.85" customHeight="1" x14ac:dyDescent="0.2">
      <c r="A773" s="57" t="s">
        <v>580</v>
      </c>
      <c r="B773" s="413" t="s">
        <v>426</v>
      </c>
      <c r="C773" s="414"/>
      <c r="D773" s="415"/>
      <c r="E773" s="419" t="s">
        <v>408</v>
      </c>
      <c r="F773" s="420"/>
      <c r="G773" s="64" t="s">
        <v>420</v>
      </c>
      <c r="H773" s="419" t="s">
        <v>427</v>
      </c>
      <c r="I773" s="420"/>
      <c r="K773" s="57" t="s">
        <v>580</v>
      </c>
      <c r="L773" s="57" t="s">
        <v>138</v>
      </c>
      <c r="S773" s="57">
        <v>0</v>
      </c>
    </row>
    <row r="774" spans="1:19" ht="11.85" customHeight="1" x14ac:dyDescent="0.2">
      <c r="A774" s="57" t="s">
        <v>580</v>
      </c>
      <c r="B774" s="424"/>
      <c r="C774" s="425"/>
      <c r="D774" s="426"/>
      <c r="E774" s="419" t="s">
        <v>409</v>
      </c>
      <c r="F774" s="420"/>
      <c r="G774" s="64" t="s">
        <v>417</v>
      </c>
      <c r="H774" s="419" t="s">
        <v>428</v>
      </c>
      <c r="I774" s="420"/>
      <c r="K774" s="57" t="s">
        <v>580</v>
      </c>
      <c r="L774" s="57" t="s">
        <v>138</v>
      </c>
      <c r="S774" s="57">
        <v>0</v>
      </c>
    </row>
    <row r="775" spans="1:19" ht="11.1" customHeight="1" x14ac:dyDescent="0.2">
      <c r="A775" s="57" t="s">
        <v>580</v>
      </c>
      <c r="B775" s="416"/>
      <c r="C775" s="417"/>
      <c r="D775" s="418"/>
      <c r="E775" s="419" t="s">
        <v>410</v>
      </c>
      <c r="F775" s="420"/>
      <c r="G775" s="64" t="s">
        <v>417</v>
      </c>
      <c r="H775" s="419" t="s">
        <v>415</v>
      </c>
      <c r="I775" s="420"/>
      <c r="K775" s="57" t="s">
        <v>580</v>
      </c>
      <c r="L775" s="57" t="s">
        <v>138</v>
      </c>
      <c r="S775" s="57">
        <v>0</v>
      </c>
    </row>
    <row r="776" spans="1:19" ht="11.85" customHeight="1" x14ac:dyDescent="0.2">
      <c r="A776" s="57" t="s">
        <v>580</v>
      </c>
      <c r="B776" s="62"/>
      <c r="C776" s="411" t="s">
        <v>581</v>
      </c>
      <c r="D776" s="412"/>
      <c r="E776" s="412"/>
      <c r="F776" s="412"/>
      <c r="G776" s="412"/>
      <c r="H776" s="412"/>
      <c r="I776" s="411"/>
      <c r="K776" s="57" t="s">
        <v>580</v>
      </c>
      <c r="L776" s="57" t="s">
        <v>138</v>
      </c>
      <c r="S776" s="57">
        <v>0</v>
      </c>
    </row>
    <row r="777" spans="1:19" ht="11.85" customHeight="1" x14ac:dyDescent="0.2">
      <c r="A777" s="57" t="s">
        <v>581</v>
      </c>
      <c r="B777" s="413" t="s">
        <v>412</v>
      </c>
      <c r="C777" s="414"/>
      <c r="D777" s="415"/>
      <c r="E777" s="419" t="s">
        <v>400</v>
      </c>
      <c r="F777" s="420"/>
      <c r="G777" s="64" t="s">
        <v>413</v>
      </c>
      <c r="H777" s="419" t="s">
        <v>414</v>
      </c>
      <c r="I777" s="420"/>
      <c r="K777" s="57" t="s">
        <v>581</v>
      </c>
      <c r="L777" s="57" t="s">
        <v>139</v>
      </c>
      <c r="S777" s="57">
        <v>0</v>
      </c>
    </row>
    <row r="778" spans="1:19" ht="11.85" customHeight="1" x14ac:dyDescent="0.2">
      <c r="A778" s="57" t="s">
        <v>581</v>
      </c>
      <c r="B778" s="416"/>
      <c r="C778" s="417"/>
      <c r="D778" s="418"/>
      <c r="E778" s="419" t="s">
        <v>401</v>
      </c>
      <c r="F778" s="420"/>
      <c r="G778" s="64" t="s">
        <v>413</v>
      </c>
      <c r="H778" s="419" t="s">
        <v>415</v>
      </c>
      <c r="I778" s="420"/>
      <c r="K778" s="57" t="s">
        <v>581</v>
      </c>
      <c r="L778" s="57" t="s">
        <v>139</v>
      </c>
      <c r="S778" s="57">
        <v>0</v>
      </c>
    </row>
    <row r="779" spans="1:19" ht="11.1" customHeight="1" x14ac:dyDescent="0.2">
      <c r="A779" s="57" t="s">
        <v>581</v>
      </c>
      <c r="B779" s="413" t="s">
        <v>416</v>
      </c>
      <c r="C779" s="414"/>
      <c r="D779" s="415"/>
      <c r="E779" s="419" t="s">
        <v>402</v>
      </c>
      <c r="F779" s="420"/>
      <c r="G779" s="64" t="s">
        <v>417</v>
      </c>
      <c r="H779" s="419" t="s">
        <v>457</v>
      </c>
      <c r="I779" s="420"/>
      <c r="K779" s="57" t="s">
        <v>581</v>
      </c>
      <c r="L779" s="57" t="s">
        <v>139</v>
      </c>
      <c r="S779" s="57">
        <v>0</v>
      </c>
    </row>
    <row r="780" spans="1:19" ht="11.85" customHeight="1" x14ac:dyDescent="0.2">
      <c r="A780" s="57" t="s">
        <v>581</v>
      </c>
      <c r="B780" s="424"/>
      <c r="C780" s="425"/>
      <c r="D780" s="426"/>
      <c r="E780" s="419" t="s">
        <v>403</v>
      </c>
      <c r="F780" s="420"/>
      <c r="G780" s="64" t="s">
        <v>417</v>
      </c>
      <c r="H780" s="419" t="s">
        <v>457</v>
      </c>
      <c r="I780" s="420"/>
      <c r="K780" s="57" t="s">
        <v>581</v>
      </c>
      <c r="L780" s="57" t="s">
        <v>139</v>
      </c>
      <c r="S780" s="57">
        <v>0</v>
      </c>
    </row>
    <row r="781" spans="1:19" ht="11.85" customHeight="1" x14ac:dyDescent="0.2">
      <c r="A781" s="57" t="s">
        <v>581</v>
      </c>
      <c r="B781" s="424"/>
      <c r="C781" s="425"/>
      <c r="D781" s="426"/>
      <c r="E781" s="419" t="s">
        <v>404</v>
      </c>
      <c r="F781" s="420"/>
      <c r="G781" s="64" t="s">
        <v>413</v>
      </c>
      <c r="H781" s="419" t="s">
        <v>458</v>
      </c>
      <c r="I781" s="420"/>
      <c r="K781" s="57" t="s">
        <v>581</v>
      </c>
      <c r="L781" s="57" t="s">
        <v>139</v>
      </c>
      <c r="S781" s="57">
        <v>0</v>
      </c>
    </row>
    <row r="782" spans="1:19" ht="11.85" customHeight="1" x14ac:dyDescent="0.2">
      <c r="A782" s="57" t="s">
        <v>581</v>
      </c>
      <c r="B782" s="424"/>
      <c r="C782" s="425"/>
      <c r="D782" s="426"/>
      <c r="E782" s="419" t="s">
        <v>405</v>
      </c>
      <c r="F782" s="420"/>
      <c r="G782" s="64" t="s">
        <v>420</v>
      </c>
      <c r="H782" s="419" t="s">
        <v>459</v>
      </c>
      <c r="I782" s="420"/>
      <c r="K782" s="57" t="s">
        <v>581</v>
      </c>
      <c r="L782" s="57" t="s">
        <v>139</v>
      </c>
      <c r="S782" s="57">
        <v>0</v>
      </c>
    </row>
    <row r="783" spans="1:19" ht="11.1" customHeight="1" x14ac:dyDescent="0.2">
      <c r="A783" s="57" t="s">
        <v>581</v>
      </c>
      <c r="B783" s="424"/>
      <c r="C783" s="425"/>
      <c r="D783" s="426"/>
      <c r="E783" s="419" t="s">
        <v>460</v>
      </c>
      <c r="F783" s="420"/>
      <c r="G783" s="64" t="s">
        <v>461</v>
      </c>
      <c r="H783" s="419" t="s">
        <v>423</v>
      </c>
      <c r="I783" s="420"/>
      <c r="K783" s="57" t="s">
        <v>581</v>
      </c>
      <c r="L783" s="57" t="s">
        <v>139</v>
      </c>
      <c r="S783" s="65">
        <v>33.17</v>
      </c>
    </row>
    <row r="784" spans="1:19" ht="11.85" customHeight="1" x14ac:dyDescent="0.2">
      <c r="A784" s="57" t="s">
        <v>581</v>
      </c>
      <c r="B784" s="416"/>
      <c r="C784" s="417"/>
      <c r="D784" s="418"/>
      <c r="E784" s="419" t="s">
        <v>462</v>
      </c>
      <c r="F784" s="420"/>
      <c r="G784" s="64" t="s">
        <v>424</v>
      </c>
      <c r="H784" s="419" t="s">
        <v>463</v>
      </c>
      <c r="I784" s="420"/>
      <c r="K784" s="57" t="s">
        <v>581</v>
      </c>
      <c r="L784" s="57" t="s">
        <v>139</v>
      </c>
      <c r="S784" s="57">
        <v>0</v>
      </c>
    </row>
    <row r="785" spans="1:19" ht="11.85" customHeight="1" x14ac:dyDescent="0.2">
      <c r="A785" s="57" t="s">
        <v>581</v>
      </c>
      <c r="B785" s="413" t="s">
        <v>426</v>
      </c>
      <c r="C785" s="414"/>
      <c r="D785" s="415"/>
      <c r="E785" s="419" t="s">
        <v>408</v>
      </c>
      <c r="F785" s="420"/>
      <c r="G785" s="64" t="s">
        <v>420</v>
      </c>
      <c r="H785" s="419" t="s">
        <v>427</v>
      </c>
      <c r="I785" s="420"/>
      <c r="K785" s="57" t="s">
        <v>581</v>
      </c>
      <c r="L785" s="57" t="s">
        <v>139</v>
      </c>
      <c r="S785" s="57">
        <v>0</v>
      </c>
    </row>
    <row r="786" spans="1:19" ht="11.85" customHeight="1" x14ac:dyDescent="0.2">
      <c r="A786" s="57" t="s">
        <v>581</v>
      </c>
      <c r="B786" s="424"/>
      <c r="C786" s="425"/>
      <c r="D786" s="426"/>
      <c r="E786" s="419" t="s">
        <v>409</v>
      </c>
      <c r="F786" s="420"/>
      <c r="G786" s="64" t="s">
        <v>417</v>
      </c>
      <c r="H786" s="419" t="s">
        <v>428</v>
      </c>
      <c r="I786" s="420"/>
      <c r="K786" s="57" t="s">
        <v>581</v>
      </c>
      <c r="L786" s="57" t="s">
        <v>139</v>
      </c>
      <c r="S786" s="57">
        <v>0</v>
      </c>
    </row>
    <row r="787" spans="1:19" ht="11.1" customHeight="1" x14ac:dyDescent="0.2">
      <c r="A787" s="57" t="s">
        <v>581</v>
      </c>
      <c r="B787" s="416"/>
      <c r="C787" s="417"/>
      <c r="D787" s="418"/>
      <c r="E787" s="419" t="s">
        <v>410</v>
      </c>
      <c r="F787" s="420"/>
      <c r="G787" s="64" t="s">
        <v>417</v>
      </c>
      <c r="H787" s="419" t="s">
        <v>415</v>
      </c>
      <c r="I787" s="420"/>
      <c r="K787" s="57" t="s">
        <v>581</v>
      </c>
      <c r="L787" s="57" t="s">
        <v>139</v>
      </c>
      <c r="S787" s="57">
        <v>0</v>
      </c>
    </row>
    <row r="788" spans="1:19" ht="11.85" customHeight="1" x14ac:dyDescent="0.2">
      <c r="A788" s="57" t="s">
        <v>581</v>
      </c>
      <c r="B788" s="62"/>
      <c r="C788" s="411" t="s">
        <v>582</v>
      </c>
      <c r="D788" s="412"/>
      <c r="E788" s="412"/>
      <c r="F788" s="412"/>
      <c r="G788" s="412"/>
      <c r="H788" s="412"/>
      <c r="I788" s="411"/>
      <c r="K788" s="57" t="s">
        <v>581</v>
      </c>
      <c r="L788" s="57" t="s">
        <v>139</v>
      </c>
      <c r="S788" s="57">
        <v>0</v>
      </c>
    </row>
    <row r="789" spans="1:19" ht="11.85" customHeight="1" x14ac:dyDescent="0.2">
      <c r="A789" s="57" t="s">
        <v>582</v>
      </c>
      <c r="B789" s="413" t="s">
        <v>416</v>
      </c>
      <c r="C789" s="414"/>
      <c r="D789" s="415"/>
      <c r="E789" s="419" t="s">
        <v>402</v>
      </c>
      <c r="F789" s="420"/>
      <c r="G789" s="64" t="s">
        <v>417</v>
      </c>
      <c r="H789" s="419" t="s">
        <v>457</v>
      </c>
      <c r="I789" s="420"/>
      <c r="K789" s="57" t="s">
        <v>582</v>
      </c>
      <c r="L789" s="57" t="s">
        <v>140</v>
      </c>
      <c r="S789" s="57">
        <v>0</v>
      </c>
    </row>
    <row r="790" spans="1:19" ht="11.85" customHeight="1" x14ac:dyDescent="0.2">
      <c r="A790" s="57" t="s">
        <v>582</v>
      </c>
      <c r="B790" s="424"/>
      <c r="C790" s="425"/>
      <c r="D790" s="426"/>
      <c r="E790" s="419" t="s">
        <v>403</v>
      </c>
      <c r="F790" s="420"/>
      <c r="G790" s="64" t="s">
        <v>417</v>
      </c>
      <c r="H790" s="419" t="s">
        <v>457</v>
      </c>
      <c r="I790" s="420"/>
      <c r="K790" s="57" t="s">
        <v>582</v>
      </c>
      <c r="L790" s="57" t="s">
        <v>140</v>
      </c>
      <c r="S790" s="57">
        <v>0</v>
      </c>
    </row>
    <row r="791" spans="1:19" ht="11.1" customHeight="1" x14ac:dyDescent="0.2">
      <c r="A791" s="57" t="s">
        <v>582</v>
      </c>
      <c r="B791" s="424"/>
      <c r="C791" s="425"/>
      <c r="D791" s="426"/>
      <c r="E791" s="419" t="s">
        <v>404</v>
      </c>
      <c r="F791" s="420"/>
      <c r="G791" s="64" t="s">
        <v>413</v>
      </c>
      <c r="H791" s="419" t="s">
        <v>458</v>
      </c>
      <c r="I791" s="420"/>
      <c r="K791" s="57" t="s">
        <v>582</v>
      </c>
      <c r="L791" s="57" t="s">
        <v>140</v>
      </c>
      <c r="S791" s="57">
        <v>0</v>
      </c>
    </row>
    <row r="792" spans="1:19" ht="11.85" customHeight="1" x14ac:dyDescent="0.2">
      <c r="A792" s="57" t="s">
        <v>582</v>
      </c>
      <c r="B792" s="424"/>
      <c r="C792" s="425"/>
      <c r="D792" s="426"/>
      <c r="E792" s="419" t="s">
        <v>405</v>
      </c>
      <c r="F792" s="420"/>
      <c r="G792" s="64" t="s">
        <v>420</v>
      </c>
      <c r="H792" s="419" t="s">
        <v>459</v>
      </c>
      <c r="I792" s="420"/>
      <c r="K792" s="57" t="s">
        <v>582</v>
      </c>
      <c r="L792" s="57" t="s">
        <v>140</v>
      </c>
      <c r="S792" s="57">
        <v>0</v>
      </c>
    </row>
    <row r="793" spans="1:19" ht="11.85" customHeight="1" x14ac:dyDescent="0.2">
      <c r="A793" s="57" t="s">
        <v>582</v>
      </c>
      <c r="B793" s="424"/>
      <c r="C793" s="425"/>
      <c r="D793" s="426"/>
      <c r="E793" s="419" t="s">
        <v>460</v>
      </c>
      <c r="F793" s="420"/>
      <c r="G793" s="64" t="s">
        <v>461</v>
      </c>
      <c r="H793" s="419" t="s">
        <v>423</v>
      </c>
      <c r="I793" s="420"/>
      <c r="K793" s="57" t="s">
        <v>582</v>
      </c>
      <c r="L793" s="57" t="s">
        <v>140</v>
      </c>
      <c r="S793" s="65">
        <v>33.17</v>
      </c>
    </row>
    <row r="794" spans="1:19" ht="11.85" customHeight="1" x14ac:dyDescent="0.2">
      <c r="A794" s="57" t="s">
        <v>582</v>
      </c>
      <c r="B794" s="416"/>
      <c r="C794" s="417"/>
      <c r="D794" s="418"/>
      <c r="E794" s="419" t="s">
        <v>462</v>
      </c>
      <c r="F794" s="420"/>
      <c r="G794" s="64" t="s">
        <v>424</v>
      </c>
      <c r="H794" s="419" t="s">
        <v>463</v>
      </c>
      <c r="I794" s="420"/>
      <c r="K794" s="57" t="s">
        <v>582</v>
      </c>
      <c r="L794" s="57" t="s">
        <v>140</v>
      </c>
      <c r="S794" s="57">
        <v>0</v>
      </c>
    </row>
    <row r="795" spans="1:19" ht="11.1" customHeight="1" x14ac:dyDescent="0.2">
      <c r="A795" s="57" t="s">
        <v>582</v>
      </c>
      <c r="B795" s="62"/>
      <c r="C795" s="411" t="s">
        <v>583</v>
      </c>
      <c r="D795" s="412"/>
      <c r="E795" s="412"/>
      <c r="F795" s="412"/>
      <c r="G795" s="412"/>
      <c r="H795" s="412"/>
      <c r="I795" s="411"/>
      <c r="K795" s="57" t="s">
        <v>582</v>
      </c>
      <c r="L795" s="57" t="s">
        <v>140</v>
      </c>
      <c r="S795" s="57">
        <v>0</v>
      </c>
    </row>
    <row r="796" spans="1:19" ht="11.85" customHeight="1" x14ac:dyDescent="0.2">
      <c r="A796" s="57" t="s">
        <v>583</v>
      </c>
      <c r="B796" s="413" t="s">
        <v>416</v>
      </c>
      <c r="C796" s="414"/>
      <c r="D796" s="415"/>
      <c r="E796" s="419" t="s">
        <v>402</v>
      </c>
      <c r="F796" s="420"/>
      <c r="G796" s="64" t="s">
        <v>417</v>
      </c>
      <c r="H796" s="419" t="s">
        <v>457</v>
      </c>
      <c r="I796" s="420"/>
      <c r="K796" s="57" t="s">
        <v>583</v>
      </c>
      <c r="L796" s="57" t="s">
        <v>141</v>
      </c>
      <c r="S796" s="57">
        <v>0</v>
      </c>
    </row>
    <row r="797" spans="1:19" ht="11.85" customHeight="1" x14ac:dyDescent="0.2">
      <c r="A797" s="57" t="s">
        <v>583</v>
      </c>
      <c r="B797" s="424"/>
      <c r="C797" s="425"/>
      <c r="D797" s="426"/>
      <c r="E797" s="419" t="s">
        <v>403</v>
      </c>
      <c r="F797" s="420"/>
      <c r="G797" s="64" t="s">
        <v>417</v>
      </c>
      <c r="H797" s="419" t="s">
        <v>457</v>
      </c>
      <c r="I797" s="420"/>
      <c r="K797" s="57" t="s">
        <v>583</v>
      </c>
      <c r="L797" s="57" t="s">
        <v>141</v>
      </c>
      <c r="S797" s="57">
        <v>0</v>
      </c>
    </row>
    <row r="798" spans="1:19" ht="11.85" customHeight="1" x14ac:dyDescent="0.2">
      <c r="A798" s="57" t="s">
        <v>583</v>
      </c>
      <c r="B798" s="424"/>
      <c r="C798" s="425"/>
      <c r="D798" s="426"/>
      <c r="E798" s="419" t="s">
        <v>404</v>
      </c>
      <c r="F798" s="420"/>
      <c r="G798" s="64" t="s">
        <v>413</v>
      </c>
      <c r="H798" s="419" t="s">
        <v>458</v>
      </c>
      <c r="I798" s="420"/>
      <c r="K798" s="57" t="s">
        <v>583</v>
      </c>
      <c r="L798" s="57" t="s">
        <v>141</v>
      </c>
      <c r="S798" s="57">
        <v>0</v>
      </c>
    </row>
    <row r="799" spans="1:19" ht="11.1" customHeight="1" x14ac:dyDescent="0.2">
      <c r="A799" s="57" t="s">
        <v>583</v>
      </c>
      <c r="B799" s="424"/>
      <c r="C799" s="425"/>
      <c r="D799" s="426"/>
      <c r="E799" s="419" t="s">
        <v>405</v>
      </c>
      <c r="F799" s="420"/>
      <c r="G799" s="64" t="s">
        <v>420</v>
      </c>
      <c r="H799" s="419" t="s">
        <v>459</v>
      </c>
      <c r="I799" s="420"/>
      <c r="K799" s="57" t="s">
        <v>583</v>
      </c>
      <c r="L799" s="57" t="s">
        <v>141</v>
      </c>
      <c r="S799" s="57">
        <v>0</v>
      </c>
    </row>
    <row r="800" spans="1:19" ht="11.85" customHeight="1" x14ac:dyDescent="0.2">
      <c r="A800" s="57" t="s">
        <v>583</v>
      </c>
      <c r="B800" s="424"/>
      <c r="C800" s="425"/>
      <c r="D800" s="426"/>
      <c r="E800" s="419" t="s">
        <v>460</v>
      </c>
      <c r="F800" s="420"/>
      <c r="G800" s="64" t="s">
        <v>461</v>
      </c>
      <c r="H800" s="419" t="s">
        <v>423</v>
      </c>
      <c r="I800" s="420"/>
      <c r="K800" s="57" t="s">
        <v>583</v>
      </c>
      <c r="L800" s="57" t="s">
        <v>141</v>
      </c>
      <c r="S800" s="65">
        <v>33.17</v>
      </c>
    </row>
    <row r="801" spans="1:19" ht="11.85" customHeight="1" x14ac:dyDescent="0.2">
      <c r="A801" s="57" t="s">
        <v>583</v>
      </c>
      <c r="B801" s="416"/>
      <c r="C801" s="417"/>
      <c r="D801" s="418"/>
      <c r="E801" s="419" t="s">
        <v>462</v>
      </c>
      <c r="F801" s="420"/>
      <c r="G801" s="64" t="s">
        <v>424</v>
      </c>
      <c r="H801" s="419" t="s">
        <v>463</v>
      </c>
      <c r="I801" s="420"/>
      <c r="K801" s="57" t="s">
        <v>583</v>
      </c>
      <c r="L801" s="57" t="s">
        <v>141</v>
      </c>
      <c r="S801" s="57">
        <v>0</v>
      </c>
    </row>
    <row r="802" spans="1:19" ht="11.85" customHeight="1" x14ac:dyDescent="0.2">
      <c r="A802" s="57" t="s">
        <v>583</v>
      </c>
      <c r="B802" s="62"/>
      <c r="C802" s="411" t="s">
        <v>584</v>
      </c>
      <c r="D802" s="412"/>
      <c r="E802" s="412"/>
      <c r="F802" s="412"/>
      <c r="G802" s="412"/>
      <c r="H802" s="412"/>
      <c r="I802" s="411"/>
      <c r="K802" s="57" t="s">
        <v>583</v>
      </c>
      <c r="L802" s="57" t="s">
        <v>141</v>
      </c>
      <c r="S802" s="57">
        <v>0</v>
      </c>
    </row>
    <row r="803" spans="1:19" ht="11.1" customHeight="1" x14ac:dyDescent="0.2">
      <c r="A803" s="57" t="s">
        <v>584</v>
      </c>
      <c r="B803" s="413" t="s">
        <v>412</v>
      </c>
      <c r="C803" s="414"/>
      <c r="D803" s="415"/>
      <c r="E803" s="419" t="s">
        <v>400</v>
      </c>
      <c r="F803" s="420"/>
      <c r="G803" s="64" t="s">
        <v>413</v>
      </c>
      <c r="H803" s="419" t="s">
        <v>414</v>
      </c>
      <c r="I803" s="420"/>
      <c r="K803" s="57" t="s">
        <v>584</v>
      </c>
      <c r="L803" s="57" t="s">
        <v>142</v>
      </c>
      <c r="S803" s="57">
        <v>0</v>
      </c>
    </row>
    <row r="804" spans="1:19" ht="11.85" customHeight="1" x14ac:dyDescent="0.2">
      <c r="A804" s="57" t="s">
        <v>584</v>
      </c>
      <c r="B804" s="416"/>
      <c r="C804" s="417"/>
      <c r="D804" s="418"/>
      <c r="E804" s="419" t="s">
        <v>401</v>
      </c>
      <c r="F804" s="420"/>
      <c r="G804" s="64" t="s">
        <v>413</v>
      </c>
      <c r="H804" s="419" t="s">
        <v>415</v>
      </c>
      <c r="I804" s="420"/>
      <c r="K804" s="57" t="s">
        <v>584</v>
      </c>
      <c r="L804" s="57" t="s">
        <v>142</v>
      </c>
      <c r="S804" s="57">
        <v>0</v>
      </c>
    </row>
    <row r="805" spans="1:19" ht="11.85" customHeight="1" x14ac:dyDescent="0.2">
      <c r="A805" s="57" t="s">
        <v>584</v>
      </c>
      <c r="B805" s="413" t="s">
        <v>416</v>
      </c>
      <c r="C805" s="414"/>
      <c r="D805" s="415"/>
      <c r="E805" s="419" t="s">
        <v>402</v>
      </c>
      <c r="F805" s="420"/>
      <c r="G805" s="64" t="s">
        <v>417</v>
      </c>
      <c r="H805" s="419" t="s">
        <v>457</v>
      </c>
      <c r="I805" s="420"/>
      <c r="K805" s="57" t="s">
        <v>584</v>
      </c>
      <c r="L805" s="57" t="s">
        <v>142</v>
      </c>
      <c r="S805" s="57">
        <v>0</v>
      </c>
    </row>
    <row r="806" spans="1:19" ht="11.85" customHeight="1" x14ac:dyDescent="0.2">
      <c r="A806" s="57" t="s">
        <v>584</v>
      </c>
      <c r="B806" s="416"/>
      <c r="C806" s="417"/>
      <c r="D806" s="418"/>
      <c r="E806" s="419" t="s">
        <v>403</v>
      </c>
      <c r="F806" s="420"/>
      <c r="G806" s="64" t="s">
        <v>417</v>
      </c>
      <c r="H806" s="419" t="s">
        <v>457</v>
      </c>
      <c r="I806" s="420"/>
      <c r="K806" s="57" t="s">
        <v>584</v>
      </c>
      <c r="L806" s="57" t="s">
        <v>142</v>
      </c>
      <c r="S806" s="57">
        <v>0</v>
      </c>
    </row>
    <row r="807" spans="1:19" ht="11.85" customHeight="1" x14ac:dyDescent="0.2">
      <c r="A807" s="57" t="s">
        <v>584</v>
      </c>
      <c r="B807" s="413" t="s">
        <v>416</v>
      </c>
      <c r="C807" s="414"/>
      <c r="D807" s="415"/>
      <c r="E807" s="419" t="s">
        <v>404</v>
      </c>
      <c r="F807" s="420"/>
      <c r="G807" s="64" t="s">
        <v>413</v>
      </c>
      <c r="H807" s="419" t="s">
        <v>458</v>
      </c>
      <c r="I807" s="420"/>
      <c r="K807" s="57" t="s">
        <v>584</v>
      </c>
      <c r="L807" s="57" t="s">
        <v>142</v>
      </c>
      <c r="S807" s="57">
        <v>0</v>
      </c>
    </row>
    <row r="808" spans="1:19" ht="11.85" customHeight="1" x14ac:dyDescent="0.2">
      <c r="A808" s="57" t="s">
        <v>584</v>
      </c>
      <c r="B808" s="424"/>
      <c r="C808" s="425"/>
      <c r="D808" s="426"/>
      <c r="E808" s="419" t="s">
        <v>405</v>
      </c>
      <c r="F808" s="420"/>
      <c r="G808" s="64" t="s">
        <v>420</v>
      </c>
      <c r="H808" s="419" t="s">
        <v>459</v>
      </c>
      <c r="I808" s="420"/>
      <c r="K808" s="57" t="s">
        <v>584</v>
      </c>
      <c r="L808" s="57" t="s">
        <v>142</v>
      </c>
      <c r="S808" s="57">
        <v>0</v>
      </c>
    </row>
    <row r="809" spans="1:19" ht="11.85" customHeight="1" x14ac:dyDescent="0.2">
      <c r="A809" s="57" t="s">
        <v>584</v>
      </c>
      <c r="B809" s="424"/>
      <c r="C809" s="425"/>
      <c r="D809" s="426"/>
      <c r="E809" s="419" t="s">
        <v>460</v>
      </c>
      <c r="F809" s="420"/>
      <c r="G809" s="64" t="s">
        <v>461</v>
      </c>
      <c r="H809" s="419" t="s">
        <v>423</v>
      </c>
      <c r="I809" s="420"/>
      <c r="K809" s="57" t="s">
        <v>584</v>
      </c>
      <c r="L809" s="57" t="s">
        <v>142</v>
      </c>
      <c r="S809" s="65">
        <v>33.17</v>
      </c>
    </row>
    <row r="810" spans="1:19" ht="11.1" customHeight="1" x14ac:dyDescent="0.2">
      <c r="A810" s="57" t="s">
        <v>584</v>
      </c>
      <c r="B810" s="416"/>
      <c r="C810" s="417"/>
      <c r="D810" s="418"/>
      <c r="E810" s="419" t="s">
        <v>462</v>
      </c>
      <c r="F810" s="420"/>
      <c r="G810" s="64" t="s">
        <v>424</v>
      </c>
      <c r="H810" s="419" t="s">
        <v>463</v>
      </c>
      <c r="I810" s="420"/>
      <c r="K810" s="57" t="s">
        <v>584</v>
      </c>
      <c r="L810" s="57" t="s">
        <v>142</v>
      </c>
      <c r="S810" s="57">
        <v>0</v>
      </c>
    </row>
    <row r="811" spans="1:19" ht="11.85" customHeight="1" x14ac:dyDescent="0.2">
      <c r="A811" s="57" t="s">
        <v>584</v>
      </c>
      <c r="B811" s="413" t="s">
        <v>426</v>
      </c>
      <c r="C811" s="414"/>
      <c r="D811" s="415"/>
      <c r="E811" s="419" t="s">
        <v>408</v>
      </c>
      <c r="F811" s="420"/>
      <c r="G811" s="64" t="s">
        <v>420</v>
      </c>
      <c r="H811" s="419" t="s">
        <v>427</v>
      </c>
      <c r="I811" s="420"/>
      <c r="K811" s="57" t="s">
        <v>584</v>
      </c>
      <c r="L811" s="57" t="s">
        <v>142</v>
      </c>
      <c r="S811" s="57">
        <v>0</v>
      </c>
    </row>
    <row r="812" spans="1:19" ht="11.85" customHeight="1" x14ac:dyDescent="0.2">
      <c r="A812" s="57" t="s">
        <v>584</v>
      </c>
      <c r="B812" s="424"/>
      <c r="C812" s="425"/>
      <c r="D812" s="426"/>
      <c r="E812" s="419" t="s">
        <v>409</v>
      </c>
      <c r="F812" s="420"/>
      <c r="G812" s="64" t="s">
        <v>417</v>
      </c>
      <c r="H812" s="419" t="s">
        <v>428</v>
      </c>
      <c r="I812" s="420"/>
      <c r="K812" s="57" t="s">
        <v>584</v>
      </c>
      <c r="L812" s="57" t="s">
        <v>142</v>
      </c>
      <c r="S812" s="57">
        <v>0</v>
      </c>
    </row>
    <row r="813" spans="1:19" ht="11.85" customHeight="1" x14ac:dyDescent="0.2">
      <c r="A813" s="57" t="s">
        <v>584</v>
      </c>
      <c r="B813" s="416"/>
      <c r="C813" s="417"/>
      <c r="D813" s="418"/>
      <c r="E813" s="419" t="s">
        <v>410</v>
      </c>
      <c r="F813" s="420"/>
      <c r="G813" s="64" t="s">
        <v>417</v>
      </c>
      <c r="H813" s="419" t="s">
        <v>415</v>
      </c>
      <c r="I813" s="420"/>
      <c r="K813" s="57" t="s">
        <v>584</v>
      </c>
      <c r="L813" s="57" t="s">
        <v>142</v>
      </c>
      <c r="S813" s="57">
        <v>0</v>
      </c>
    </row>
    <row r="814" spans="1:19" ht="11.1" customHeight="1" x14ac:dyDescent="0.2">
      <c r="A814" s="57" t="s">
        <v>584</v>
      </c>
      <c r="B814" s="62"/>
      <c r="C814" s="411" t="s">
        <v>585</v>
      </c>
      <c r="D814" s="412"/>
      <c r="E814" s="412"/>
      <c r="F814" s="412"/>
      <c r="G814" s="412"/>
      <c r="H814" s="412"/>
      <c r="I814" s="411"/>
      <c r="K814" s="57" t="s">
        <v>584</v>
      </c>
      <c r="L814" s="57" t="s">
        <v>142</v>
      </c>
      <c r="S814" s="57">
        <v>0</v>
      </c>
    </row>
    <row r="815" spans="1:19" ht="11.85" customHeight="1" x14ac:dyDescent="0.2">
      <c r="A815" s="57" t="s">
        <v>585</v>
      </c>
      <c r="B815" s="413" t="s">
        <v>412</v>
      </c>
      <c r="C815" s="414"/>
      <c r="D815" s="415"/>
      <c r="E815" s="419" t="s">
        <v>400</v>
      </c>
      <c r="F815" s="420"/>
      <c r="G815" s="64" t="s">
        <v>413</v>
      </c>
      <c r="H815" s="419" t="s">
        <v>414</v>
      </c>
      <c r="I815" s="420"/>
      <c r="K815" s="57" t="s">
        <v>585</v>
      </c>
      <c r="L815" s="57" t="s">
        <v>143</v>
      </c>
      <c r="S815" s="57">
        <v>0</v>
      </c>
    </row>
    <row r="816" spans="1:19" ht="11.85" customHeight="1" x14ac:dyDescent="0.2">
      <c r="A816" s="57" t="s">
        <v>585</v>
      </c>
      <c r="B816" s="416"/>
      <c r="C816" s="417"/>
      <c r="D816" s="418"/>
      <c r="E816" s="419" t="s">
        <v>401</v>
      </c>
      <c r="F816" s="420"/>
      <c r="G816" s="64" t="s">
        <v>413</v>
      </c>
      <c r="H816" s="419" t="s">
        <v>415</v>
      </c>
      <c r="I816" s="420"/>
      <c r="K816" s="57" t="s">
        <v>585</v>
      </c>
      <c r="L816" s="57" t="s">
        <v>143</v>
      </c>
      <c r="S816" s="57">
        <v>0</v>
      </c>
    </row>
    <row r="817" spans="1:19" ht="11.85" customHeight="1" x14ac:dyDescent="0.2">
      <c r="A817" s="57" t="s">
        <v>585</v>
      </c>
      <c r="B817" s="413" t="s">
        <v>416</v>
      </c>
      <c r="C817" s="414"/>
      <c r="D817" s="415"/>
      <c r="E817" s="419" t="s">
        <v>402</v>
      </c>
      <c r="F817" s="420"/>
      <c r="G817" s="64" t="s">
        <v>417</v>
      </c>
      <c r="H817" s="419" t="s">
        <v>437</v>
      </c>
      <c r="I817" s="420"/>
      <c r="K817" s="57" t="s">
        <v>585</v>
      </c>
      <c r="L817" s="57" t="s">
        <v>143</v>
      </c>
      <c r="S817" s="57">
        <v>0</v>
      </c>
    </row>
    <row r="818" spans="1:19" ht="11.1" customHeight="1" x14ac:dyDescent="0.2">
      <c r="A818" s="57" t="s">
        <v>585</v>
      </c>
      <c r="B818" s="424"/>
      <c r="C818" s="425"/>
      <c r="D818" s="426"/>
      <c r="E818" s="419" t="s">
        <v>403</v>
      </c>
      <c r="F818" s="420"/>
      <c r="G818" s="64" t="s">
        <v>417</v>
      </c>
      <c r="H818" s="419" t="s">
        <v>437</v>
      </c>
      <c r="I818" s="420"/>
      <c r="K818" s="57" t="s">
        <v>585</v>
      </c>
      <c r="L818" s="57" t="s">
        <v>143</v>
      </c>
      <c r="S818" s="57">
        <v>0</v>
      </c>
    </row>
    <row r="819" spans="1:19" ht="11.85" customHeight="1" x14ac:dyDescent="0.2">
      <c r="A819" s="57" t="s">
        <v>585</v>
      </c>
      <c r="B819" s="424"/>
      <c r="C819" s="425"/>
      <c r="D819" s="426"/>
      <c r="E819" s="419" t="s">
        <v>404</v>
      </c>
      <c r="F819" s="420"/>
      <c r="G819" s="64" t="s">
        <v>413</v>
      </c>
      <c r="H819" s="419" t="s">
        <v>478</v>
      </c>
      <c r="I819" s="420"/>
      <c r="K819" s="57" t="s">
        <v>585</v>
      </c>
      <c r="L819" s="57" t="s">
        <v>143</v>
      </c>
      <c r="S819" s="57">
        <v>0</v>
      </c>
    </row>
    <row r="820" spans="1:19" ht="11.85" customHeight="1" x14ac:dyDescent="0.2">
      <c r="A820" s="57" t="s">
        <v>585</v>
      </c>
      <c r="B820" s="424"/>
      <c r="C820" s="425"/>
      <c r="D820" s="426"/>
      <c r="E820" s="419" t="s">
        <v>405</v>
      </c>
      <c r="F820" s="420"/>
      <c r="G820" s="64" t="s">
        <v>420</v>
      </c>
      <c r="H820" s="419" t="s">
        <v>439</v>
      </c>
      <c r="I820" s="420"/>
      <c r="K820" s="57" t="s">
        <v>585</v>
      </c>
      <c r="L820" s="57" t="s">
        <v>143</v>
      </c>
      <c r="S820" s="57">
        <v>0</v>
      </c>
    </row>
    <row r="821" spans="1:19" ht="11.85" customHeight="1" x14ac:dyDescent="0.2">
      <c r="A821" s="57" t="s">
        <v>585</v>
      </c>
      <c r="B821" s="424"/>
      <c r="C821" s="425"/>
      <c r="D821" s="426"/>
      <c r="E821" s="419" t="s">
        <v>406</v>
      </c>
      <c r="F821" s="420"/>
      <c r="G821" s="64" t="s">
        <v>422</v>
      </c>
      <c r="H821" s="419" t="s">
        <v>423</v>
      </c>
      <c r="I821" s="420"/>
      <c r="K821" s="57" t="s">
        <v>585</v>
      </c>
      <c r="L821" s="57" t="s">
        <v>143</v>
      </c>
      <c r="S821" s="65">
        <v>48.44</v>
      </c>
    </row>
    <row r="822" spans="1:19" ht="11.1" customHeight="1" x14ac:dyDescent="0.2">
      <c r="A822" s="57" t="s">
        <v>585</v>
      </c>
      <c r="B822" s="416"/>
      <c r="C822" s="417"/>
      <c r="D822" s="418"/>
      <c r="E822" s="419" t="s">
        <v>407</v>
      </c>
      <c r="F822" s="420"/>
      <c r="G822" s="64" t="s">
        <v>424</v>
      </c>
      <c r="H822" s="419" t="s">
        <v>425</v>
      </c>
      <c r="I822" s="420"/>
      <c r="K822" s="57" t="s">
        <v>585</v>
      </c>
      <c r="L822" s="57" t="s">
        <v>143</v>
      </c>
      <c r="S822" s="57">
        <v>0</v>
      </c>
    </row>
    <row r="823" spans="1:19" ht="11.85" customHeight="1" x14ac:dyDescent="0.2">
      <c r="A823" s="57" t="s">
        <v>585</v>
      </c>
      <c r="B823" s="413" t="s">
        <v>426</v>
      </c>
      <c r="C823" s="414"/>
      <c r="D823" s="415"/>
      <c r="E823" s="419" t="s">
        <v>408</v>
      </c>
      <c r="F823" s="420"/>
      <c r="G823" s="64" t="s">
        <v>420</v>
      </c>
      <c r="H823" s="419" t="s">
        <v>427</v>
      </c>
      <c r="I823" s="420"/>
      <c r="K823" s="57" t="s">
        <v>585</v>
      </c>
      <c r="L823" s="57" t="s">
        <v>143</v>
      </c>
      <c r="S823" s="57">
        <v>0</v>
      </c>
    </row>
    <row r="824" spans="1:19" ht="11.85" customHeight="1" x14ac:dyDescent="0.2">
      <c r="A824" s="57" t="s">
        <v>585</v>
      </c>
      <c r="B824" s="424"/>
      <c r="C824" s="425"/>
      <c r="D824" s="426"/>
      <c r="E824" s="419" t="s">
        <v>409</v>
      </c>
      <c r="F824" s="420"/>
      <c r="G824" s="64" t="s">
        <v>417</v>
      </c>
      <c r="H824" s="419" t="s">
        <v>428</v>
      </c>
      <c r="I824" s="420"/>
      <c r="K824" s="57" t="s">
        <v>585</v>
      </c>
      <c r="L824" s="57" t="s">
        <v>143</v>
      </c>
      <c r="S824" s="57">
        <v>0</v>
      </c>
    </row>
    <row r="825" spans="1:19" ht="11.85" customHeight="1" x14ac:dyDescent="0.2">
      <c r="A825" s="57" t="s">
        <v>585</v>
      </c>
      <c r="B825" s="416"/>
      <c r="C825" s="417"/>
      <c r="D825" s="418"/>
      <c r="E825" s="419" t="s">
        <v>410</v>
      </c>
      <c r="F825" s="420"/>
      <c r="G825" s="64" t="s">
        <v>417</v>
      </c>
      <c r="H825" s="419" t="s">
        <v>415</v>
      </c>
      <c r="I825" s="420"/>
      <c r="K825" s="57" t="s">
        <v>585</v>
      </c>
      <c r="L825" s="57" t="s">
        <v>143</v>
      </c>
      <c r="S825" s="57">
        <v>0</v>
      </c>
    </row>
    <row r="826" spans="1:19" ht="11.1" customHeight="1" x14ac:dyDescent="0.2">
      <c r="A826" s="57" t="s">
        <v>585</v>
      </c>
      <c r="B826" s="62"/>
      <c r="C826" s="411" t="s">
        <v>586</v>
      </c>
      <c r="D826" s="412"/>
      <c r="E826" s="412"/>
      <c r="F826" s="412"/>
      <c r="G826" s="412"/>
      <c r="H826" s="412"/>
      <c r="I826" s="411"/>
      <c r="K826" s="57" t="s">
        <v>585</v>
      </c>
      <c r="L826" s="57" t="s">
        <v>143</v>
      </c>
      <c r="S826" s="57">
        <v>0</v>
      </c>
    </row>
    <row r="827" spans="1:19" ht="11.85" customHeight="1" x14ac:dyDescent="0.2">
      <c r="A827" s="57" t="s">
        <v>586</v>
      </c>
      <c r="B827" s="413" t="s">
        <v>412</v>
      </c>
      <c r="C827" s="414"/>
      <c r="D827" s="415"/>
      <c r="E827" s="419" t="s">
        <v>400</v>
      </c>
      <c r="F827" s="420"/>
      <c r="G827" s="64" t="s">
        <v>413</v>
      </c>
      <c r="H827" s="419" t="s">
        <v>414</v>
      </c>
      <c r="I827" s="420"/>
      <c r="K827" s="57" t="s">
        <v>586</v>
      </c>
      <c r="L827" s="57" t="s">
        <v>144</v>
      </c>
      <c r="S827" s="57">
        <v>0</v>
      </c>
    </row>
    <row r="828" spans="1:19" ht="11.85" customHeight="1" x14ac:dyDescent="0.2">
      <c r="A828" s="57" t="s">
        <v>586</v>
      </c>
      <c r="B828" s="416"/>
      <c r="C828" s="417"/>
      <c r="D828" s="418"/>
      <c r="E828" s="419" t="s">
        <v>401</v>
      </c>
      <c r="F828" s="420"/>
      <c r="G828" s="64" t="s">
        <v>413</v>
      </c>
      <c r="H828" s="419" t="s">
        <v>415</v>
      </c>
      <c r="I828" s="420"/>
      <c r="K828" s="57" t="s">
        <v>586</v>
      </c>
      <c r="L828" s="57" t="s">
        <v>144</v>
      </c>
      <c r="S828" s="57">
        <v>0</v>
      </c>
    </row>
    <row r="829" spans="1:19" ht="11.85" customHeight="1" x14ac:dyDescent="0.2">
      <c r="A829" s="57" t="s">
        <v>586</v>
      </c>
      <c r="B829" s="413" t="s">
        <v>416</v>
      </c>
      <c r="C829" s="414"/>
      <c r="D829" s="415"/>
      <c r="E829" s="419" t="s">
        <v>402</v>
      </c>
      <c r="F829" s="420"/>
      <c r="G829" s="64" t="s">
        <v>417</v>
      </c>
      <c r="H829" s="419" t="s">
        <v>437</v>
      </c>
      <c r="I829" s="420"/>
      <c r="K829" s="57" t="s">
        <v>586</v>
      </c>
      <c r="L829" s="57" t="s">
        <v>144</v>
      </c>
      <c r="S829" s="57">
        <v>0</v>
      </c>
    </row>
    <row r="830" spans="1:19" ht="11.1" customHeight="1" x14ac:dyDescent="0.2">
      <c r="A830" s="57" t="s">
        <v>586</v>
      </c>
      <c r="B830" s="424"/>
      <c r="C830" s="425"/>
      <c r="D830" s="426"/>
      <c r="E830" s="419" t="s">
        <v>403</v>
      </c>
      <c r="F830" s="420"/>
      <c r="G830" s="64" t="s">
        <v>417</v>
      </c>
      <c r="H830" s="419" t="s">
        <v>437</v>
      </c>
      <c r="I830" s="420"/>
      <c r="K830" s="57" t="s">
        <v>586</v>
      </c>
      <c r="L830" s="57" t="s">
        <v>144</v>
      </c>
      <c r="S830" s="57">
        <v>0</v>
      </c>
    </row>
    <row r="831" spans="1:19" ht="11.85" customHeight="1" x14ac:dyDescent="0.2">
      <c r="A831" s="57" t="s">
        <v>586</v>
      </c>
      <c r="B831" s="424"/>
      <c r="C831" s="425"/>
      <c r="D831" s="426"/>
      <c r="E831" s="419" t="s">
        <v>404</v>
      </c>
      <c r="F831" s="420"/>
      <c r="G831" s="64" t="s">
        <v>413</v>
      </c>
      <c r="H831" s="419" t="s">
        <v>478</v>
      </c>
      <c r="I831" s="420"/>
      <c r="K831" s="57" t="s">
        <v>586</v>
      </c>
      <c r="L831" s="57" t="s">
        <v>144</v>
      </c>
      <c r="S831" s="57">
        <v>0</v>
      </c>
    </row>
    <row r="832" spans="1:19" ht="11.85" customHeight="1" x14ac:dyDescent="0.2">
      <c r="A832" s="57" t="s">
        <v>586</v>
      </c>
      <c r="B832" s="424"/>
      <c r="C832" s="425"/>
      <c r="D832" s="426"/>
      <c r="E832" s="419" t="s">
        <v>405</v>
      </c>
      <c r="F832" s="420"/>
      <c r="G832" s="64" t="s">
        <v>420</v>
      </c>
      <c r="H832" s="419" t="s">
        <v>439</v>
      </c>
      <c r="I832" s="420"/>
      <c r="K832" s="57" t="s">
        <v>586</v>
      </c>
      <c r="L832" s="57" t="s">
        <v>144</v>
      </c>
      <c r="S832" s="57">
        <v>0</v>
      </c>
    </row>
    <row r="833" spans="1:19" ht="11.85" customHeight="1" x14ac:dyDescent="0.2">
      <c r="A833" s="57" t="s">
        <v>586</v>
      </c>
      <c r="B833" s="424"/>
      <c r="C833" s="425"/>
      <c r="D833" s="426"/>
      <c r="E833" s="419" t="s">
        <v>406</v>
      </c>
      <c r="F833" s="420"/>
      <c r="G833" s="64" t="s">
        <v>422</v>
      </c>
      <c r="H833" s="419" t="s">
        <v>423</v>
      </c>
      <c r="I833" s="420"/>
      <c r="K833" s="57" t="s">
        <v>586</v>
      </c>
      <c r="L833" s="57" t="s">
        <v>144</v>
      </c>
      <c r="S833" s="65">
        <v>48.44</v>
      </c>
    </row>
    <row r="834" spans="1:19" ht="11.1" customHeight="1" x14ac:dyDescent="0.2">
      <c r="A834" s="57" t="s">
        <v>586</v>
      </c>
      <c r="B834" s="416"/>
      <c r="C834" s="417"/>
      <c r="D834" s="418"/>
      <c r="E834" s="419" t="s">
        <v>407</v>
      </c>
      <c r="F834" s="420"/>
      <c r="G834" s="64" t="s">
        <v>424</v>
      </c>
      <c r="H834" s="419" t="s">
        <v>425</v>
      </c>
      <c r="I834" s="420"/>
      <c r="K834" s="57" t="s">
        <v>586</v>
      </c>
      <c r="L834" s="57" t="s">
        <v>144</v>
      </c>
      <c r="S834" s="57">
        <v>0</v>
      </c>
    </row>
    <row r="835" spans="1:19" ht="11.85" customHeight="1" x14ac:dyDescent="0.2">
      <c r="A835" s="57" t="s">
        <v>586</v>
      </c>
      <c r="B835" s="413" t="s">
        <v>426</v>
      </c>
      <c r="C835" s="414"/>
      <c r="D835" s="415"/>
      <c r="E835" s="419" t="s">
        <v>408</v>
      </c>
      <c r="F835" s="420"/>
      <c r="G835" s="64" t="s">
        <v>420</v>
      </c>
      <c r="H835" s="419" t="s">
        <v>427</v>
      </c>
      <c r="I835" s="420"/>
      <c r="K835" s="57" t="s">
        <v>586</v>
      </c>
      <c r="L835" s="57" t="s">
        <v>144</v>
      </c>
      <c r="S835" s="57">
        <v>0</v>
      </c>
    </row>
    <row r="836" spans="1:19" ht="11.85" customHeight="1" x14ac:dyDescent="0.2">
      <c r="A836" s="57" t="s">
        <v>586</v>
      </c>
      <c r="B836" s="424"/>
      <c r="C836" s="425"/>
      <c r="D836" s="426"/>
      <c r="E836" s="419" t="s">
        <v>409</v>
      </c>
      <c r="F836" s="420"/>
      <c r="G836" s="64" t="s">
        <v>417</v>
      </c>
      <c r="H836" s="419" t="s">
        <v>428</v>
      </c>
      <c r="I836" s="420"/>
      <c r="K836" s="57" t="s">
        <v>586</v>
      </c>
      <c r="L836" s="57" t="s">
        <v>144</v>
      </c>
      <c r="S836" s="57">
        <v>0</v>
      </c>
    </row>
    <row r="837" spans="1:19" ht="11.85" customHeight="1" x14ac:dyDescent="0.2">
      <c r="A837" s="57" t="s">
        <v>586</v>
      </c>
      <c r="B837" s="416"/>
      <c r="C837" s="417"/>
      <c r="D837" s="418"/>
      <c r="E837" s="419" t="s">
        <v>410</v>
      </c>
      <c r="F837" s="420"/>
      <c r="G837" s="64" t="s">
        <v>417</v>
      </c>
      <c r="H837" s="419" t="s">
        <v>415</v>
      </c>
      <c r="I837" s="420"/>
      <c r="K837" s="57" t="s">
        <v>586</v>
      </c>
      <c r="L837" s="57" t="s">
        <v>144</v>
      </c>
      <c r="S837" s="57">
        <v>0</v>
      </c>
    </row>
    <row r="838" spans="1:19" ht="11.1" customHeight="1" x14ac:dyDescent="0.2">
      <c r="A838" s="57" t="s">
        <v>586</v>
      </c>
      <c r="B838" s="62"/>
      <c r="C838" s="411" t="s">
        <v>587</v>
      </c>
      <c r="D838" s="412"/>
      <c r="E838" s="412"/>
      <c r="F838" s="412"/>
      <c r="G838" s="412"/>
      <c r="H838" s="412"/>
      <c r="I838" s="411"/>
      <c r="K838" s="57" t="s">
        <v>586</v>
      </c>
      <c r="L838" s="57" t="s">
        <v>144</v>
      </c>
      <c r="S838" s="57">
        <v>0</v>
      </c>
    </row>
    <row r="839" spans="1:19" ht="11.85" customHeight="1" x14ac:dyDescent="0.2">
      <c r="A839" s="57" t="s">
        <v>587</v>
      </c>
      <c r="B839" s="413" t="s">
        <v>412</v>
      </c>
      <c r="C839" s="414"/>
      <c r="D839" s="415"/>
      <c r="E839" s="419" t="s">
        <v>400</v>
      </c>
      <c r="F839" s="420"/>
      <c r="G839" s="64" t="s">
        <v>413</v>
      </c>
      <c r="H839" s="419" t="s">
        <v>414</v>
      </c>
      <c r="I839" s="420"/>
      <c r="K839" s="57" t="s">
        <v>587</v>
      </c>
      <c r="L839" s="57" t="s">
        <v>145</v>
      </c>
      <c r="S839" s="57">
        <v>0</v>
      </c>
    </row>
    <row r="840" spans="1:19" ht="11.85" customHeight="1" x14ac:dyDescent="0.2">
      <c r="A840" s="57" t="s">
        <v>587</v>
      </c>
      <c r="B840" s="416"/>
      <c r="C840" s="417"/>
      <c r="D840" s="418"/>
      <c r="E840" s="419" t="s">
        <v>401</v>
      </c>
      <c r="F840" s="420"/>
      <c r="G840" s="64" t="s">
        <v>413</v>
      </c>
      <c r="H840" s="419" t="s">
        <v>415</v>
      </c>
      <c r="I840" s="420"/>
      <c r="K840" s="57" t="s">
        <v>587</v>
      </c>
      <c r="L840" s="57" t="s">
        <v>145</v>
      </c>
      <c r="S840" s="57">
        <v>0</v>
      </c>
    </row>
    <row r="841" spans="1:19" ht="11.85" customHeight="1" x14ac:dyDescent="0.2">
      <c r="A841" s="57" t="s">
        <v>587</v>
      </c>
      <c r="B841" s="413" t="s">
        <v>416</v>
      </c>
      <c r="C841" s="414"/>
      <c r="D841" s="415"/>
      <c r="E841" s="419" t="s">
        <v>402</v>
      </c>
      <c r="F841" s="420"/>
      <c r="G841" s="64" t="s">
        <v>417</v>
      </c>
      <c r="H841" s="419" t="s">
        <v>418</v>
      </c>
      <c r="I841" s="420"/>
      <c r="K841" s="57" t="s">
        <v>587</v>
      </c>
      <c r="L841" s="57" t="s">
        <v>145</v>
      </c>
      <c r="S841" s="57">
        <v>0</v>
      </c>
    </row>
    <row r="842" spans="1:19" ht="11.1" customHeight="1" x14ac:dyDescent="0.2">
      <c r="A842" s="57" t="s">
        <v>587</v>
      </c>
      <c r="B842" s="424"/>
      <c r="C842" s="425"/>
      <c r="D842" s="426"/>
      <c r="E842" s="419" t="s">
        <v>403</v>
      </c>
      <c r="F842" s="420"/>
      <c r="G842" s="64" t="s">
        <v>417</v>
      </c>
      <c r="H842" s="419" t="s">
        <v>418</v>
      </c>
      <c r="I842" s="420"/>
      <c r="K842" s="57" t="s">
        <v>587</v>
      </c>
      <c r="L842" s="57" t="s">
        <v>145</v>
      </c>
      <c r="S842" s="57">
        <v>0</v>
      </c>
    </row>
    <row r="843" spans="1:19" ht="11.85" customHeight="1" x14ac:dyDescent="0.2">
      <c r="A843" s="57" t="s">
        <v>587</v>
      </c>
      <c r="B843" s="424"/>
      <c r="C843" s="425"/>
      <c r="D843" s="426"/>
      <c r="E843" s="419" t="s">
        <v>404</v>
      </c>
      <c r="F843" s="420"/>
      <c r="G843" s="64" t="s">
        <v>413</v>
      </c>
      <c r="H843" s="419" t="s">
        <v>419</v>
      </c>
      <c r="I843" s="420"/>
      <c r="K843" s="57" t="s">
        <v>587</v>
      </c>
      <c r="L843" s="57" t="s">
        <v>145</v>
      </c>
      <c r="S843" s="57">
        <v>0</v>
      </c>
    </row>
    <row r="844" spans="1:19" ht="11.85" customHeight="1" x14ac:dyDescent="0.2">
      <c r="A844" s="57" t="s">
        <v>587</v>
      </c>
      <c r="B844" s="424"/>
      <c r="C844" s="425"/>
      <c r="D844" s="426"/>
      <c r="E844" s="419" t="s">
        <v>405</v>
      </c>
      <c r="F844" s="420"/>
      <c r="G844" s="64" t="s">
        <v>420</v>
      </c>
      <c r="H844" s="419" t="s">
        <v>421</v>
      </c>
      <c r="I844" s="420"/>
      <c r="K844" s="57" t="s">
        <v>587</v>
      </c>
      <c r="L844" s="57" t="s">
        <v>145</v>
      </c>
      <c r="S844" s="57">
        <v>0</v>
      </c>
    </row>
    <row r="845" spans="1:19" ht="11.85" customHeight="1" x14ac:dyDescent="0.2">
      <c r="A845" s="57" t="s">
        <v>587</v>
      </c>
      <c r="B845" s="424"/>
      <c r="C845" s="425"/>
      <c r="D845" s="426"/>
      <c r="E845" s="419" t="s">
        <v>406</v>
      </c>
      <c r="F845" s="420"/>
      <c r="G845" s="64" t="s">
        <v>422</v>
      </c>
      <c r="H845" s="419" t="s">
        <v>423</v>
      </c>
      <c r="I845" s="420"/>
      <c r="K845" s="57" t="s">
        <v>587</v>
      </c>
      <c r="L845" s="57" t="s">
        <v>145</v>
      </c>
      <c r="S845" s="65">
        <v>48.44</v>
      </c>
    </row>
    <row r="846" spans="1:19" ht="11.1" customHeight="1" x14ac:dyDescent="0.2">
      <c r="A846" s="57" t="s">
        <v>587</v>
      </c>
      <c r="B846" s="416"/>
      <c r="C846" s="417"/>
      <c r="D846" s="418"/>
      <c r="E846" s="419" t="s">
        <v>407</v>
      </c>
      <c r="F846" s="420"/>
      <c r="G846" s="64" t="s">
        <v>424</v>
      </c>
      <c r="H846" s="419" t="s">
        <v>425</v>
      </c>
      <c r="I846" s="420"/>
      <c r="K846" s="57" t="s">
        <v>587</v>
      </c>
      <c r="L846" s="57" t="s">
        <v>145</v>
      </c>
      <c r="S846" s="57">
        <v>0</v>
      </c>
    </row>
    <row r="847" spans="1:19" ht="11.85" customHeight="1" x14ac:dyDescent="0.2">
      <c r="A847" s="57" t="s">
        <v>587</v>
      </c>
      <c r="B847" s="413" t="s">
        <v>426</v>
      </c>
      <c r="C847" s="414"/>
      <c r="D847" s="415"/>
      <c r="E847" s="419" t="s">
        <v>408</v>
      </c>
      <c r="F847" s="420"/>
      <c r="G847" s="64" t="s">
        <v>420</v>
      </c>
      <c r="H847" s="419" t="s">
        <v>427</v>
      </c>
      <c r="I847" s="420"/>
      <c r="K847" s="57" t="s">
        <v>587</v>
      </c>
      <c r="L847" s="57" t="s">
        <v>145</v>
      </c>
      <c r="S847" s="57">
        <v>0</v>
      </c>
    </row>
    <row r="848" spans="1:19" ht="11.85" customHeight="1" x14ac:dyDescent="0.2">
      <c r="A848" s="57" t="s">
        <v>587</v>
      </c>
      <c r="B848" s="424"/>
      <c r="C848" s="425"/>
      <c r="D848" s="426"/>
      <c r="E848" s="419" t="s">
        <v>409</v>
      </c>
      <c r="F848" s="420"/>
      <c r="G848" s="64" t="s">
        <v>417</v>
      </c>
      <c r="H848" s="419" t="s">
        <v>428</v>
      </c>
      <c r="I848" s="420"/>
      <c r="K848" s="57" t="s">
        <v>587</v>
      </c>
      <c r="L848" s="57" t="s">
        <v>145</v>
      </c>
      <c r="S848" s="57">
        <v>0</v>
      </c>
    </row>
    <row r="849" spans="1:19" ht="11.85" customHeight="1" x14ac:dyDescent="0.2">
      <c r="A849" s="57" t="s">
        <v>587</v>
      </c>
      <c r="B849" s="416"/>
      <c r="C849" s="417"/>
      <c r="D849" s="418"/>
      <c r="E849" s="419" t="s">
        <v>410</v>
      </c>
      <c r="F849" s="420"/>
      <c r="G849" s="64" t="s">
        <v>417</v>
      </c>
      <c r="H849" s="419" t="s">
        <v>415</v>
      </c>
      <c r="I849" s="420"/>
      <c r="K849" s="57" t="s">
        <v>587</v>
      </c>
      <c r="L849" s="57" t="s">
        <v>145</v>
      </c>
      <c r="S849" s="57">
        <v>0</v>
      </c>
    </row>
    <row r="850" spans="1:19" ht="11.1" customHeight="1" x14ac:dyDescent="0.2">
      <c r="A850" s="57" t="s">
        <v>587</v>
      </c>
      <c r="B850" s="62"/>
      <c r="C850" s="411" t="s">
        <v>588</v>
      </c>
      <c r="D850" s="412"/>
      <c r="E850" s="412"/>
      <c r="F850" s="412"/>
      <c r="G850" s="412"/>
      <c r="H850" s="412"/>
      <c r="I850" s="411"/>
      <c r="K850" s="57" t="s">
        <v>587</v>
      </c>
      <c r="L850" s="57" t="s">
        <v>145</v>
      </c>
      <c r="S850" s="57">
        <v>0</v>
      </c>
    </row>
    <row r="851" spans="1:19" ht="11.85" customHeight="1" x14ac:dyDescent="0.2">
      <c r="A851" s="57" t="s">
        <v>588</v>
      </c>
      <c r="B851" s="413" t="s">
        <v>412</v>
      </c>
      <c r="C851" s="414"/>
      <c r="D851" s="415"/>
      <c r="E851" s="419" t="s">
        <v>400</v>
      </c>
      <c r="F851" s="420"/>
      <c r="G851" s="64" t="s">
        <v>413</v>
      </c>
      <c r="H851" s="419" t="s">
        <v>414</v>
      </c>
      <c r="I851" s="420"/>
      <c r="K851" s="57" t="s">
        <v>588</v>
      </c>
      <c r="L851" s="57" t="s">
        <v>146</v>
      </c>
      <c r="S851" s="57">
        <v>0</v>
      </c>
    </row>
    <row r="852" spans="1:19" ht="11.85" customHeight="1" x14ac:dyDescent="0.2">
      <c r="A852" s="57" t="s">
        <v>588</v>
      </c>
      <c r="B852" s="416"/>
      <c r="C852" s="417"/>
      <c r="D852" s="418"/>
      <c r="E852" s="419" t="s">
        <v>401</v>
      </c>
      <c r="F852" s="420"/>
      <c r="G852" s="64" t="s">
        <v>413</v>
      </c>
      <c r="H852" s="419" t="s">
        <v>415</v>
      </c>
      <c r="I852" s="420"/>
      <c r="K852" s="57" t="s">
        <v>588</v>
      </c>
      <c r="L852" s="57" t="s">
        <v>146</v>
      </c>
      <c r="S852" s="57">
        <v>0</v>
      </c>
    </row>
    <row r="853" spans="1:19" ht="11.85" customHeight="1" x14ac:dyDescent="0.2">
      <c r="A853" s="57" t="s">
        <v>588</v>
      </c>
      <c r="B853" s="413" t="s">
        <v>416</v>
      </c>
      <c r="C853" s="414"/>
      <c r="D853" s="415"/>
      <c r="E853" s="419" t="s">
        <v>402</v>
      </c>
      <c r="F853" s="420"/>
      <c r="G853" s="64" t="s">
        <v>417</v>
      </c>
      <c r="H853" s="419" t="s">
        <v>437</v>
      </c>
      <c r="I853" s="420"/>
      <c r="K853" s="57" t="s">
        <v>588</v>
      </c>
      <c r="L853" s="57" t="s">
        <v>146</v>
      </c>
      <c r="S853" s="57">
        <v>0</v>
      </c>
    </row>
    <row r="854" spans="1:19" ht="11.1" customHeight="1" x14ac:dyDescent="0.2">
      <c r="A854" s="57" t="s">
        <v>588</v>
      </c>
      <c r="B854" s="424"/>
      <c r="C854" s="425"/>
      <c r="D854" s="426"/>
      <c r="E854" s="419" t="s">
        <v>403</v>
      </c>
      <c r="F854" s="420"/>
      <c r="G854" s="64" t="s">
        <v>417</v>
      </c>
      <c r="H854" s="419" t="s">
        <v>437</v>
      </c>
      <c r="I854" s="420"/>
      <c r="K854" s="57" t="s">
        <v>588</v>
      </c>
      <c r="L854" s="57" t="s">
        <v>146</v>
      </c>
      <c r="S854" s="57">
        <v>0</v>
      </c>
    </row>
    <row r="855" spans="1:19" ht="11.85" customHeight="1" x14ac:dyDescent="0.2">
      <c r="A855" s="57" t="s">
        <v>588</v>
      </c>
      <c r="B855" s="424"/>
      <c r="C855" s="425"/>
      <c r="D855" s="426"/>
      <c r="E855" s="419" t="s">
        <v>404</v>
      </c>
      <c r="F855" s="420"/>
      <c r="G855" s="64" t="s">
        <v>413</v>
      </c>
      <c r="H855" s="419" t="s">
        <v>478</v>
      </c>
      <c r="I855" s="420"/>
      <c r="K855" s="57" t="s">
        <v>588</v>
      </c>
      <c r="L855" s="57" t="s">
        <v>146</v>
      </c>
      <c r="S855" s="57">
        <v>0</v>
      </c>
    </row>
    <row r="856" spans="1:19" ht="11.85" customHeight="1" x14ac:dyDescent="0.2">
      <c r="A856" s="57" t="s">
        <v>588</v>
      </c>
      <c r="B856" s="424"/>
      <c r="C856" s="425"/>
      <c r="D856" s="426"/>
      <c r="E856" s="419" t="s">
        <v>405</v>
      </c>
      <c r="F856" s="420"/>
      <c r="G856" s="64" t="s">
        <v>420</v>
      </c>
      <c r="H856" s="419" t="s">
        <v>439</v>
      </c>
      <c r="I856" s="420"/>
      <c r="K856" s="57" t="s">
        <v>588</v>
      </c>
      <c r="L856" s="57" t="s">
        <v>146</v>
      </c>
      <c r="S856" s="57">
        <v>0</v>
      </c>
    </row>
    <row r="857" spans="1:19" ht="11.85" customHeight="1" x14ac:dyDescent="0.2">
      <c r="A857" s="57" t="s">
        <v>588</v>
      </c>
      <c r="B857" s="424"/>
      <c r="C857" s="425"/>
      <c r="D857" s="426"/>
      <c r="E857" s="419" t="s">
        <v>406</v>
      </c>
      <c r="F857" s="420"/>
      <c r="G857" s="64" t="s">
        <v>422</v>
      </c>
      <c r="H857" s="419" t="s">
        <v>423</v>
      </c>
      <c r="I857" s="420"/>
      <c r="K857" s="57" t="s">
        <v>588</v>
      </c>
      <c r="L857" s="57" t="s">
        <v>146</v>
      </c>
      <c r="S857" s="65">
        <v>48.44</v>
      </c>
    </row>
    <row r="858" spans="1:19" ht="11.1" customHeight="1" x14ac:dyDescent="0.2">
      <c r="A858" s="57" t="s">
        <v>588</v>
      </c>
      <c r="B858" s="416"/>
      <c r="C858" s="417"/>
      <c r="D858" s="418"/>
      <c r="E858" s="419" t="s">
        <v>407</v>
      </c>
      <c r="F858" s="420"/>
      <c r="G858" s="64" t="s">
        <v>424</v>
      </c>
      <c r="H858" s="419" t="s">
        <v>425</v>
      </c>
      <c r="I858" s="420"/>
      <c r="K858" s="57" t="s">
        <v>588</v>
      </c>
      <c r="L858" s="57" t="s">
        <v>146</v>
      </c>
      <c r="S858" s="57">
        <v>0</v>
      </c>
    </row>
    <row r="859" spans="1:19" ht="11.85" customHeight="1" x14ac:dyDescent="0.2">
      <c r="A859" s="57" t="s">
        <v>588</v>
      </c>
      <c r="B859" s="413" t="s">
        <v>426</v>
      </c>
      <c r="C859" s="414"/>
      <c r="D859" s="415"/>
      <c r="E859" s="419" t="s">
        <v>408</v>
      </c>
      <c r="F859" s="420"/>
      <c r="G859" s="64" t="s">
        <v>420</v>
      </c>
      <c r="H859" s="419" t="s">
        <v>427</v>
      </c>
      <c r="I859" s="420"/>
      <c r="K859" s="57" t="s">
        <v>588</v>
      </c>
      <c r="L859" s="57" t="s">
        <v>146</v>
      </c>
      <c r="S859" s="57">
        <v>0</v>
      </c>
    </row>
    <row r="860" spans="1:19" ht="11.85" customHeight="1" x14ac:dyDescent="0.2">
      <c r="A860" s="57" t="s">
        <v>588</v>
      </c>
      <c r="B860" s="424"/>
      <c r="C860" s="425"/>
      <c r="D860" s="426"/>
      <c r="E860" s="419" t="s">
        <v>409</v>
      </c>
      <c r="F860" s="420"/>
      <c r="G860" s="64" t="s">
        <v>417</v>
      </c>
      <c r="H860" s="419" t="s">
        <v>428</v>
      </c>
      <c r="I860" s="420"/>
      <c r="K860" s="57" t="s">
        <v>588</v>
      </c>
      <c r="L860" s="57" t="s">
        <v>146</v>
      </c>
      <c r="S860" s="57">
        <v>0</v>
      </c>
    </row>
    <row r="861" spans="1:19" ht="11.85" customHeight="1" x14ac:dyDescent="0.2">
      <c r="A861" s="57" t="s">
        <v>588</v>
      </c>
      <c r="B861" s="416"/>
      <c r="C861" s="417"/>
      <c r="D861" s="418"/>
      <c r="E861" s="419" t="s">
        <v>410</v>
      </c>
      <c r="F861" s="420"/>
      <c r="G861" s="64" t="s">
        <v>417</v>
      </c>
      <c r="H861" s="419" t="s">
        <v>415</v>
      </c>
      <c r="I861" s="420"/>
      <c r="K861" s="57" t="s">
        <v>588</v>
      </c>
      <c r="L861" s="57" t="s">
        <v>146</v>
      </c>
      <c r="S861" s="57">
        <v>0</v>
      </c>
    </row>
    <row r="862" spans="1:19" ht="11.1" customHeight="1" x14ac:dyDescent="0.2">
      <c r="A862" s="57" t="s">
        <v>588</v>
      </c>
      <c r="B862" s="62"/>
      <c r="C862" s="411" t="s">
        <v>589</v>
      </c>
      <c r="D862" s="412"/>
      <c r="E862" s="412"/>
      <c r="F862" s="412"/>
      <c r="G862" s="412"/>
      <c r="H862" s="412"/>
      <c r="I862" s="411"/>
      <c r="K862" s="57" t="s">
        <v>588</v>
      </c>
      <c r="L862" s="57" t="s">
        <v>146</v>
      </c>
      <c r="S862" s="57">
        <v>0</v>
      </c>
    </row>
    <row r="863" spans="1:19" ht="11.85" customHeight="1" x14ac:dyDescent="0.2">
      <c r="A863" s="57" t="s">
        <v>589</v>
      </c>
      <c r="B863" s="413" t="s">
        <v>416</v>
      </c>
      <c r="C863" s="414"/>
      <c r="D863" s="415"/>
      <c r="E863" s="419" t="s">
        <v>402</v>
      </c>
      <c r="F863" s="420"/>
      <c r="G863" s="64" t="s">
        <v>417</v>
      </c>
      <c r="H863" s="419" t="s">
        <v>437</v>
      </c>
      <c r="I863" s="420"/>
      <c r="K863" s="57" t="s">
        <v>589</v>
      </c>
      <c r="L863" s="57" t="s">
        <v>147</v>
      </c>
      <c r="S863" s="57">
        <v>0</v>
      </c>
    </row>
    <row r="864" spans="1:19" ht="11.85" customHeight="1" x14ac:dyDescent="0.2">
      <c r="A864" s="57" t="s">
        <v>589</v>
      </c>
      <c r="B864" s="424"/>
      <c r="C864" s="425"/>
      <c r="D864" s="426"/>
      <c r="E864" s="419" t="s">
        <v>403</v>
      </c>
      <c r="F864" s="420"/>
      <c r="G864" s="64" t="s">
        <v>417</v>
      </c>
      <c r="H864" s="419" t="s">
        <v>437</v>
      </c>
      <c r="I864" s="420"/>
      <c r="K864" s="57" t="s">
        <v>589</v>
      </c>
      <c r="L864" s="57" t="s">
        <v>147</v>
      </c>
      <c r="S864" s="57">
        <v>0</v>
      </c>
    </row>
    <row r="865" spans="1:19" ht="11.85" customHeight="1" x14ac:dyDescent="0.2">
      <c r="A865" s="57" t="s">
        <v>589</v>
      </c>
      <c r="B865" s="424"/>
      <c r="C865" s="425"/>
      <c r="D865" s="426"/>
      <c r="E865" s="419" t="s">
        <v>404</v>
      </c>
      <c r="F865" s="420"/>
      <c r="G865" s="64" t="s">
        <v>413</v>
      </c>
      <c r="H865" s="419" t="s">
        <v>478</v>
      </c>
      <c r="I865" s="420"/>
      <c r="K865" s="57" t="s">
        <v>589</v>
      </c>
      <c r="L865" s="57" t="s">
        <v>147</v>
      </c>
      <c r="S865" s="57">
        <v>0</v>
      </c>
    </row>
    <row r="866" spans="1:19" ht="11.1" customHeight="1" x14ac:dyDescent="0.2">
      <c r="A866" s="57" t="s">
        <v>589</v>
      </c>
      <c r="B866" s="424"/>
      <c r="C866" s="425"/>
      <c r="D866" s="426"/>
      <c r="E866" s="419" t="s">
        <v>405</v>
      </c>
      <c r="F866" s="420"/>
      <c r="G866" s="64" t="s">
        <v>420</v>
      </c>
      <c r="H866" s="419" t="s">
        <v>439</v>
      </c>
      <c r="I866" s="420"/>
      <c r="K866" s="57" t="s">
        <v>589</v>
      </c>
      <c r="L866" s="57" t="s">
        <v>147</v>
      </c>
      <c r="S866" s="57">
        <v>0</v>
      </c>
    </row>
    <row r="867" spans="1:19" ht="11.85" customHeight="1" x14ac:dyDescent="0.2">
      <c r="A867" s="57" t="s">
        <v>589</v>
      </c>
      <c r="B867" s="424"/>
      <c r="C867" s="425"/>
      <c r="D867" s="426"/>
      <c r="E867" s="419" t="s">
        <v>406</v>
      </c>
      <c r="F867" s="420"/>
      <c r="G867" s="64" t="s">
        <v>422</v>
      </c>
      <c r="H867" s="419" t="s">
        <v>423</v>
      </c>
      <c r="I867" s="420"/>
      <c r="K867" s="57" t="s">
        <v>589</v>
      </c>
      <c r="L867" s="57" t="s">
        <v>147</v>
      </c>
      <c r="S867" s="65">
        <v>48.44</v>
      </c>
    </row>
    <row r="868" spans="1:19" ht="11.85" customHeight="1" x14ac:dyDescent="0.2">
      <c r="A868" s="57" t="s">
        <v>589</v>
      </c>
      <c r="B868" s="416"/>
      <c r="C868" s="417"/>
      <c r="D868" s="418"/>
      <c r="E868" s="419" t="s">
        <v>407</v>
      </c>
      <c r="F868" s="420"/>
      <c r="G868" s="64" t="s">
        <v>424</v>
      </c>
      <c r="H868" s="419" t="s">
        <v>425</v>
      </c>
      <c r="I868" s="420"/>
      <c r="K868" s="57" t="s">
        <v>589</v>
      </c>
      <c r="L868" s="57" t="s">
        <v>147</v>
      </c>
      <c r="S868" s="57">
        <v>0</v>
      </c>
    </row>
    <row r="869" spans="1:19" ht="11.85" customHeight="1" x14ac:dyDescent="0.2">
      <c r="A869" s="57" t="s">
        <v>589</v>
      </c>
      <c r="B869" s="62"/>
      <c r="C869" s="411" t="s">
        <v>590</v>
      </c>
      <c r="D869" s="412"/>
      <c r="E869" s="412"/>
      <c r="F869" s="412"/>
      <c r="G869" s="412"/>
      <c r="H869" s="412"/>
      <c r="I869" s="411"/>
      <c r="K869" s="57" t="s">
        <v>589</v>
      </c>
      <c r="L869" s="57" t="s">
        <v>147</v>
      </c>
      <c r="S869" s="57">
        <v>0</v>
      </c>
    </row>
    <row r="870" spans="1:19" ht="11.1" customHeight="1" x14ac:dyDescent="0.2">
      <c r="A870" s="57" t="s">
        <v>590</v>
      </c>
      <c r="B870" s="413" t="s">
        <v>412</v>
      </c>
      <c r="C870" s="414"/>
      <c r="D870" s="415"/>
      <c r="E870" s="419" t="s">
        <v>400</v>
      </c>
      <c r="F870" s="420"/>
      <c r="G870" s="64" t="s">
        <v>413</v>
      </c>
      <c r="H870" s="419" t="s">
        <v>414</v>
      </c>
      <c r="I870" s="420"/>
      <c r="K870" s="57" t="s">
        <v>590</v>
      </c>
      <c r="L870" s="57" t="s">
        <v>148</v>
      </c>
      <c r="S870" s="57">
        <v>0</v>
      </c>
    </row>
    <row r="871" spans="1:19" ht="11.85" customHeight="1" x14ac:dyDescent="0.2">
      <c r="A871" s="57" t="s">
        <v>590</v>
      </c>
      <c r="B871" s="416"/>
      <c r="C871" s="417"/>
      <c r="D871" s="418"/>
      <c r="E871" s="419" t="s">
        <v>401</v>
      </c>
      <c r="F871" s="420"/>
      <c r="G871" s="64" t="s">
        <v>413</v>
      </c>
      <c r="H871" s="419" t="s">
        <v>415</v>
      </c>
      <c r="I871" s="420"/>
      <c r="K871" s="57" t="s">
        <v>590</v>
      </c>
      <c r="L871" s="57" t="s">
        <v>148</v>
      </c>
      <c r="S871" s="57">
        <v>0</v>
      </c>
    </row>
    <row r="872" spans="1:19" ht="11.85" customHeight="1" x14ac:dyDescent="0.2">
      <c r="A872" s="57" t="s">
        <v>590</v>
      </c>
      <c r="B872" s="413" t="s">
        <v>416</v>
      </c>
      <c r="C872" s="414"/>
      <c r="D872" s="415"/>
      <c r="E872" s="419" t="s">
        <v>402</v>
      </c>
      <c r="F872" s="420"/>
      <c r="G872" s="64" t="s">
        <v>417</v>
      </c>
      <c r="H872" s="419" t="s">
        <v>437</v>
      </c>
      <c r="I872" s="420"/>
      <c r="K872" s="57" t="s">
        <v>590</v>
      </c>
      <c r="L872" s="57" t="s">
        <v>148</v>
      </c>
      <c r="S872" s="57">
        <v>0</v>
      </c>
    </row>
    <row r="873" spans="1:19" ht="11.85" customHeight="1" x14ac:dyDescent="0.2">
      <c r="A873" s="57" t="s">
        <v>590</v>
      </c>
      <c r="B873" s="416"/>
      <c r="C873" s="417"/>
      <c r="D873" s="418"/>
      <c r="E873" s="419" t="s">
        <v>403</v>
      </c>
      <c r="F873" s="420"/>
      <c r="G873" s="64" t="s">
        <v>417</v>
      </c>
      <c r="H873" s="419" t="s">
        <v>437</v>
      </c>
      <c r="I873" s="420"/>
      <c r="K873" s="57" t="s">
        <v>590</v>
      </c>
      <c r="L873" s="57" t="s">
        <v>148</v>
      </c>
      <c r="S873" s="57">
        <v>0</v>
      </c>
    </row>
    <row r="874" spans="1:19" ht="11.85" customHeight="1" x14ac:dyDescent="0.2">
      <c r="A874" s="57" t="s">
        <v>590</v>
      </c>
      <c r="B874" s="413" t="s">
        <v>416</v>
      </c>
      <c r="C874" s="414"/>
      <c r="D874" s="415"/>
      <c r="E874" s="419" t="s">
        <v>404</v>
      </c>
      <c r="F874" s="420"/>
      <c r="G874" s="64" t="s">
        <v>413</v>
      </c>
      <c r="H874" s="419" t="s">
        <v>478</v>
      </c>
      <c r="I874" s="420"/>
      <c r="K874" s="57" t="s">
        <v>590</v>
      </c>
      <c r="L874" s="57" t="s">
        <v>148</v>
      </c>
      <c r="S874" s="57">
        <v>0</v>
      </c>
    </row>
    <row r="875" spans="1:19" ht="11.85" customHeight="1" x14ac:dyDescent="0.2">
      <c r="A875" s="57" t="s">
        <v>590</v>
      </c>
      <c r="B875" s="424"/>
      <c r="C875" s="425"/>
      <c r="D875" s="426"/>
      <c r="E875" s="419" t="s">
        <v>405</v>
      </c>
      <c r="F875" s="420"/>
      <c r="G875" s="64" t="s">
        <v>420</v>
      </c>
      <c r="H875" s="419" t="s">
        <v>439</v>
      </c>
      <c r="I875" s="420"/>
      <c r="K875" s="57" t="s">
        <v>590</v>
      </c>
      <c r="L875" s="57" t="s">
        <v>148</v>
      </c>
      <c r="S875" s="57">
        <v>0</v>
      </c>
    </row>
    <row r="876" spans="1:19" ht="11.85" customHeight="1" x14ac:dyDescent="0.2">
      <c r="A876" s="57" t="s">
        <v>590</v>
      </c>
      <c r="B876" s="424"/>
      <c r="C876" s="425"/>
      <c r="D876" s="426"/>
      <c r="E876" s="419" t="s">
        <v>406</v>
      </c>
      <c r="F876" s="420"/>
      <c r="G876" s="64" t="s">
        <v>422</v>
      </c>
      <c r="H876" s="419" t="s">
        <v>423</v>
      </c>
      <c r="I876" s="420"/>
      <c r="K876" s="57" t="s">
        <v>590</v>
      </c>
      <c r="L876" s="57" t="s">
        <v>148</v>
      </c>
      <c r="S876" s="65">
        <v>48.44</v>
      </c>
    </row>
    <row r="877" spans="1:19" ht="11.1" customHeight="1" x14ac:dyDescent="0.2">
      <c r="A877" s="57" t="s">
        <v>590</v>
      </c>
      <c r="B877" s="416"/>
      <c r="C877" s="417"/>
      <c r="D877" s="418"/>
      <c r="E877" s="419" t="s">
        <v>407</v>
      </c>
      <c r="F877" s="420"/>
      <c r="G877" s="64" t="s">
        <v>424</v>
      </c>
      <c r="H877" s="419" t="s">
        <v>425</v>
      </c>
      <c r="I877" s="420"/>
      <c r="K877" s="57" t="s">
        <v>590</v>
      </c>
      <c r="L877" s="57" t="s">
        <v>148</v>
      </c>
      <c r="S877" s="57">
        <v>0</v>
      </c>
    </row>
    <row r="878" spans="1:19" ht="11.85" customHeight="1" x14ac:dyDescent="0.2">
      <c r="A878" s="57" t="s">
        <v>590</v>
      </c>
      <c r="B878" s="413" t="s">
        <v>426</v>
      </c>
      <c r="C878" s="414"/>
      <c r="D878" s="415"/>
      <c r="E878" s="419" t="s">
        <v>408</v>
      </c>
      <c r="F878" s="420"/>
      <c r="G878" s="64" t="s">
        <v>420</v>
      </c>
      <c r="H878" s="419" t="s">
        <v>427</v>
      </c>
      <c r="I878" s="420"/>
      <c r="K878" s="57" t="s">
        <v>590</v>
      </c>
      <c r="L878" s="57" t="s">
        <v>148</v>
      </c>
      <c r="S878" s="57">
        <v>0</v>
      </c>
    </row>
    <row r="879" spans="1:19" ht="11.85" customHeight="1" x14ac:dyDescent="0.2">
      <c r="A879" s="57" t="s">
        <v>590</v>
      </c>
      <c r="B879" s="424"/>
      <c r="C879" s="425"/>
      <c r="D879" s="426"/>
      <c r="E879" s="419" t="s">
        <v>409</v>
      </c>
      <c r="F879" s="420"/>
      <c r="G879" s="64" t="s">
        <v>417</v>
      </c>
      <c r="H879" s="419" t="s">
        <v>428</v>
      </c>
      <c r="I879" s="420"/>
      <c r="K879" s="57" t="s">
        <v>590</v>
      </c>
      <c r="L879" s="57" t="s">
        <v>148</v>
      </c>
      <c r="S879" s="57">
        <v>0</v>
      </c>
    </row>
    <row r="880" spans="1:19" ht="11.85" customHeight="1" x14ac:dyDescent="0.2">
      <c r="A880" s="57" t="s">
        <v>590</v>
      </c>
      <c r="B880" s="416"/>
      <c r="C880" s="417"/>
      <c r="D880" s="418"/>
      <c r="E880" s="419" t="s">
        <v>410</v>
      </c>
      <c r="F880" s="420"/>
      <c r="G880" s="64" t="s">
        <v>417</v>
      </c>
      <c r="H880" s="419" t="s">
        <v>415</v>
      </c>
      <c r="I880" s="420"/>
      <c r="K880" s="57" t="s">
        <v>590</v>
      </c>
      <c r="L880" s="57" t="s">
        <v>148</v>
      </c>
      <c r="S880" s="57">
        <v>0</v>
      </c>
    </row>
    <row r="881" spans="1:19" ht="11.1" customHeight="1" x14ac:dyDescent="0.2">
      <c r="A881" s="57" t="s">
        <v>590</v>
      </c>
      <c r="B881" s="62"/>
      <c r="C881" s="411" t="s">
        <v>591</v>
      </c>
      <c r="D881" s="412"/>
      <c r="E881" s="412"/>
      <c r="F881" s="412"/>
      <c r="G881" s="412"/>
      <c r="H881" s="412"/>
      <c r="I881" s="411"/>
      <c r="K881" s="57" t="s">
        <v>590</v>
      </c>
      <c r="L881" s="57" t="s">
        <v>148</v>
      </c>
      <c r="S881" s="57">
        <v>0</v>
      </c>
    </row>
    <row r="882" spans="1:19" ht="11.85" customHeight="1" x14ac:dyDescent="0.2">
      <c r="A882" s="57" t="s">
        <v>591</v>
      </c>
      <c r="B882" s="413" t="s">
        <v>412</v>
      </c>
      <c r="C882" s="427"/>
      <c r="D882" s="428"/>
      <c r="E882" s="419" t="s">
        <v>465</v>
      </c>
      <c r="F882" s="420"/>
      <c r="G882" s="64" t="s">
        <v>413</v>
      </c>
      <c r="H882" s="419" t="s">
        <v>415</v>
      </c>
      <c r="I882" s="420"/>
      <c r="K882" s="57" t="s">
        <v>591</v>
      </c>
      <c r="L882" s="57" t="s">
        <v>149</v>
      </c>
      <c r="S882" s="57">
        <v>0</v>
      </c>
    </row>
    <row r="883" spans="1:19" ht="11.85" customHeight="1" x14ac:dyDescent="0.2">
      <c r="A883" s="57" t="s">
        <v>591</v>
      </c>
      <c r="B883" s="413" t="s">
        <v>416</v>
      </c>
      <c r="C883" s="414"/>
      <c r="D883" s="415"/>
      <c r="E883" s="419" t="s">
        <v>402</v>
      </c>
      <c r="F883" s="420"/>
      <c r="G883" s="64" t="s">
        <v>417</v>
      </c>
      <c r="H883" s="419" t="s">
        <v>418</v>
      </c>
      <c r="I883" s="420"/>
      <c r="K883" s="57" t="s">
        <v>591</v>
      </c>
      <c r="L883" s="57" t="s">
        <v>149</v>
      </c>
      <c r="S883" s="57">
        <v>0</v>
      </c>
    </row>
    <row r="884" spans="1:19" ht="11.85" customHeight="1" x14ac:dyDescent="0.2">
      <c r="A884" s="57" t="s">
        <v>591</v>
      </c>
      <c r="B884" s="424"/>
      <c r="C884" s="425"/>
      <c r="D884" s="426"/>
      <c r="E884" s="419" t="s">
        <v>403</v>
      </c>
      <c r="F884" s="420"/>
      <c r="G884" s="64" t="s">
        <v>417</v>
      </c>
      <c r="H884" s="419" t="s">
        <v>418</v>
      </c>
      <c r="I884" s="420"/>
      <c r="K884" s="57" t="s">
        <v>591</v>
      </c>
      <c r="L884" s="57" t="s">
        <v>149</v>
      </c>
      <c r="S884" s="57">
        <v>0</v>
      </c>
    </row>
    <row r="885" spans="1:19" ht="11.1" customHeight="1" x14ac:dyDescent="0.2">
      <c r="A885" s="57" t="s">
        <v>591</v>
      </c>
      <c r="B885" s="424"/>
      <c r="C885" s="425"/>
      <c r="D885" s="426"/>
      <c r="E885" s="419" t="s">
        <v>404</v>
      </c>
      <c r="F885" s="420"/>
      <c r="G885" s="64" t="s">
        <v>413</v>
      </c>
      <c r="H885" s="419" t="s">
        <v>419</v>
      </c>
      <c r="I885" s="420"/>
      <c r="K885" s="57" t="s">
        <v>591</v>
      </c>
      <c r="L885" s="57" t="s">
        <v>149</v>
      </c>
      <c r="S885" s="57">
        <v>0</v>
      </c>
    </row>
    <row r="886" spans="1:19" ht="11.85" customHeight="1" x14ac:dyDescent="0.2">
      <c r="A886" s="57" t="s">
        <v>591</v>
      </c>
      <c r="B886" s="424"/>
      <c r="C886" s="425"/>
      <c r="D886" s="426"/>
      <c r="E886" s="419" t="s">
        <v>405</v>
      </c>
      <c r="F886" s="420"/>
      <c r="G886" s="64" t="s">
        <v>420</v>
      </c>
      <c r="H886" s="419" t="s">
        <v>421</v>
      </c>
      <c r="I886" s="420"/>
      <c r="K886" s="57" t="s">
        <v>591</v>
      </c>
      <c r="L886" s="57" t="s">
        <v>149</v>
      </c>
      <c r="S886" s="57">
        <v>0</v>
      </c>
    </row>
    <row r="887" spans="1:19" ht="11.85" customHeight="1" x14ac:dyDescent="0.2">
      <c r="A887" s="57" t="s">
        <v>591</v>
      </c>
      <c r="B887" s="424"/>
      <c r="C887" s="425"/>
      <c r="D887" s="426"/>
      <c r="E887" s="419" t="s">
        <v>468</v>
      </c>
      <c r="F887" s="420"/>
      <c r="G887" s="64" t="s">
        <v>441</v>
      </c>
      <c r="H887" s="419" t="s">
        <v>423</v>
      </c>
      <c r="I887" s="420"/>
      <c r="K887" s="57" t="s">
        <v>591</v>
      </c>
      <c r="L887" s="57" t="s">
        <v>149</v>
      </c>
      <c r="S887" s="65">
        <v>48.16</v>
      </c>
    </row>
    <row r="888" spans="1:19" ht="11.85" customHeight="1" x14ac:dyDescent="0.2">
      <c r="A888" s="57" t="s">
        <v>591</v>
      </c>
      <c r="B888" s="416"/>
      <c r="C888" s="417"/>
      <c r="D888" s="418"/>
      <c r="E888" s="419" t="s">
        <v>442</v>
      </c>
      <c r="F888" s="420"/>
      <c r="G888" s="64" t="s">
        <v>443</v>
      </c>
      <c r="H888" s="419" t="s">
        <v>425</v>
      </c>
      <c r="I888" s="420"/>
      <c r="K888" s="57" t="s">
        <v>591</v>
      </c>
      <c r="L888" s="57" t="s">
        <v>149</v>
      </c>
      <c r="S888" s="57">
        <v>0</v>
      </c>
    </row>
    <row r="889" spans="1:19" ht="11.1" customHeight="1" x14ac:dyDescent="0.2">
      <c r="A889" s="57" t="s">
        <v>591</v>
      </c>
      <c r="B889" s="413" t="s">
        <v>426</v>
      </c>
      <c r="C889" s="427"/>
      <c r="D889" s="428"/>
      <c r="E889" s="419" t="s">
        <v>469</v>
      </c>
      <c r="F889" s="420"/>
      <c r="G889" s="64" t="s">
        <v>417</v>
      </c>
      <c r="H889" s="419" t="s">
        <v>415</v>
      </c>
      <c r="I889" s="420"/>
      <c r="K889" s="57" t="s">
        <v>591</v>
      </c>
      <c r="L889" s="57" t="s">
        <v>149</v>
      </c>
      <c r="S889" s="57">
        <v>0</v>
      </c>
    </row>
    <row r="890" spans="1:19" ht="11.85" customHeight="1" x14ac:dyDescent="0.2">
      <c r="A890" s="57" t="s">
        <v>591</v>
      </c>
      <c r="B890" s="62"/>
      <c r="C890" s="411" t="s">
        <v>592</v>
      </c>
      <c r="D890" s="412"/>
      <c r="E890" s="412"/>
      <c r="F890" s="412"/>
      <c r="G890" s="412"/>
      <c r="H890" s="412"/>
      <c r="I890" s="411"/>
      <c r="K890" s="57" t="s">
        <v>591</v>
      </c>
      <c r="L890" s="57" t="s">
        <v>149</v>
      </c>
      <c r="S890" s="57">
        <v>0</v>
      </c>
    </row>
    <row r="891" spans="1:19" ht="11.85" customHeight="1" x14ac:dyDescent="0.2">
      <c r="A891" s="57" t="s">
        <v>592</v>
      </c>
      <c r="B891" s="413" t="s">
        <v>412</v>
      </c>
      <c r="C891" s="414"/>
      <c r="D891" s="415"/>
      <c r="E891" s="419" t="s">
        <v>400</v>
      </c>
      <c r="F891" s="420"/>
      <c r="G891" s="64" t="s">
        <v>413</v>
      </c>
      <c r="H891" s="419" t="s">
        <v>414</v>
      </c>
      <c r="I891" s="420"/>
      <c r="K891" s="57" t="s">
        <v>592</v>
      </c>
      <c r="L891" s="57" t="s">
        <v>150</v>
      </c>
      <c r="S891" s="57">
        <v>0</v>
      </c>
    </row>
    <row r="892" spans="1:19" ht="11.85" customHeight="1" x14ac:dyDescent="0.2">
      <c r="A892" s="57" t="s">
        <v>592</v>
      </c>
      <c r="B892" s="416"/>
      <c r="C892" s="417"/>
      <c r="D892" s="418"/>
      <c r="E892" s="419" t="s">
        <v>401</v>
      </c>
      <c r="F892" s="420"/>
      <c r="G892" s="64" t="s">
        <v>413</v>
      </c>
      <c r="H892" s="419" t="s">
        <v>415</v>
      </c>
      <c r="I892" s="420"/>
      <c r="K892" s="57" t="s">
        <v>592</v>
      </c>
      <c r="L892" s="57" t="s">
        <v>150</v>
      </c>
      <c r="S892" s="57">
        <v>0</v>
      </c>
    </row>
    <row r="893" spans="1:19" ht="11.1" customHeight="1" x14ac:dyDescent="0.2">
      <c r="A893" s="57" t="s">
        <v>592</v>
      </c>
      <c r="B893" s="413" t="s">
        <v>416</v>
      </c>
      <c r="C893" s="414"/>
      <c r="D893" s="415"/>
      <c r="E893" s="419" t="s">
        <v>402</v>
      </c>
      <c r="F893" s="420"/>
      <c r="G893" s="64" t="s">
        <v>417</v>
      </c>
      <c r="H893" s="419" t="s">
        <v>457</v>
      </c>
      <c r="I893" s="420"/>
      <c r="K893" s="57" t="s">
        <v>592</v>
      </c>
      <c r="L893" s="57" t="s">
        <v>150</v>
      </c>
      <c r="S893" s="57">
        <v>0</v>
      </c>
    </row>
    <row r="894" spans="1:19" ht="11.85" customHeight="1" x14ac:dyDescent="0.2">
      <c r="A894" s="57" t="s">
        <v>592</v>
      </c>
      <c r="B894" s="424"/>
      <c r="C894" s="425"/>
      <c r="D894" s="426"/>
      <c r="E894" s="419" t="s">
        <v>403</v>
      </c>
      <c r="F894" s="420"/>
      <c r="G894" s="64" t="s">
        <v>417</v>
      </c>
      <c r="H894" s="419" t="s">
        <v>457</v>
      </c>
      <c r="I894" s="420"/>
      <c r="K894" s="57" t="s">
        <v>592</v>
      </c>
      <c r="L894" s="57" t="s">
        <v>150</v>
      </c>
      <c r="S894" s="57">
        <v>0</v>
      </c>
    </row>
    <row r="895" spans="1:19" ht="11.85" customHeight="1" x14ac:dyDescent="0.2">
      <c r="A895" s="57" t="s">
        <v>592</v>
      </c>
      <c r="B895" s="424"/>
      <c r="C895" s="425"/>
      <c r="D895" s="426"/>
      <c r="E895" s="419" t="s">
        <v>404</v>
      </c>
      <c r="F895" s="420"/>
      <c r="G895" s="64" t="s">
        <v>413</v>
      </c>
      <c r="H895" s="419" t="s">
        <v>458</v>
      </c>
      <c r="I895" s="420"/>
      <c r="K895" s="57" t="s">
        <v>592</v>
      </c>
      <c r="L895" s="57" t="s">
        <v>150</v>
      </c>
      <c r="S895" s="57">
        <v>0</v>
      </c>
    </row>
    <row r="896" spans="1:19" ht="11.85" customHeight="1" x14ac:dyDescent="0.2">
      <c r="A896" s="57" t="s">
        <v>592</v>
      </c>
      <c r="B896" s="424"/>
      <c r="C896" s="425"/>
      <c r="D896" s="426"/>
      <c r="E896" s="419" t="s">
        <v>405</v>
      </c>
      <c r="F896" s="420"/>
      <c r="G896" s="64" t="s">
        <v>420</v>
      </c>
      <c r="H896" s="419" t="s">
        <v>459</v>
      </c>
      <c r="I896" s="420"/>
      <c r="K896" s="57" t="s">
        <v>592</v>
      </c>
      <c r="L896" s="57" t="s">
        <v>150</v>
      </c>
      <c r="S896" s="57">
        <v>0</v>
      </c>
    </row>
    <row r="897" spans="1:19" ht="11.1" customHeight="1" x14ac:dyDescent="0.2">
      <c r="A897" s="57" t="s">
        <v>592</v>
      </c>
      <c r="B897" s="424"/>
      <c r="C897" s="425"/>
      <c r="D897" s="426"/>
      <c r="E897" s="419" t="s">
        <v>460</v>
      </c>
      <c r="F897" s="420"/>
      <c r="G897" s="64" t="s">
        <v>461</v>
      </c>
      <c r="H897" s="419" t="s">
        <v>423</v>
      </c>
      <c r="I897" s="420"/>
      <c r="K897" s="57" t="s">
        <v>592</v>
      </c>
      <c r="L897" s="57" t="s">
        <v>150</v>
      </c>
      <c r="S897" s="65">
        <v>33.17</v>
      </c>
    </row>
    <row r="898" spans="1:19" ht="11.85" customHeight="1" x14ac:dyDescent="0.2">
      <c r="A898" s="57" t="s">
        <v>592</v>
      </c>
      <c r="B898" s="416"/>
      <c r="C898" s="417"/>
      <c r="D898" s="418"/>
      <c r="E898" s="419" t="s">
        <v>462</v>
      </c>
      <c r="F898" s="420"/>
      <c r="G898" s="64" t="s">
        <v>424</v>
      </c>
      <c r="H898" s="419" t="s">
        <v>463</v>
      </c>
      <c r="I898" s="420"/>
      <c r="K898" s="57" t="s">
        <v>592</v>
      </c>
      <c r="L898" s="57" t="s">
        <v>150</v>
      </c>
      <c r="S898" s="57">
        <v>0</v>
      </c>
    </row>
    <row r="899" spans="1:19" ht="11.85" customHeight="1" x14ac:dyDescent="0.2">
      <c r="A899" s="57" t="s">
        <v>592</v>
      </c>
      <c r="B899" s="413" t="s">
        <v>426</v>
      </c>
      <c r="C899" s="414"/>
      <c r="D899" s="415"/>
      <c r="E899" s="419" t="s">
        <v>408</v>
      </c>
      <c r="F899" s="420"/>
      <c r="G899" s="64" t="s">
        <v>420</v>
      </c>
      <c r="H899" s="419" t="s">
        <v>427</v>
      </c>
      <c r="I899" s="420"/>
      <c r="K899" s="57" t="s">
        <v>592</v>
      </c>
      <c r="L899" s="57" t="s">
        <v>150</v>
      </c>
      <c r="S899" s="57">
        <v>0</v>
      </c>
    </row>
    <row r="900" spans="1:19" ht="11.85" customHeight="1" x14ac:dyDescent="0.2">
      <c r="A900" s="57" t="s">
        <v>592</v>
      </c>
      <c r="B900" s="424"/>
      <c r="C900" s="425"/>
      <c r="D900" s="426"/>
      <c r="E900" s="419" t="s">
        <v>409</v>
      </c>
      <c r="F900" s="420"/>
      <c r="G900" s="64" t="s">
        <v>417</v>
      </c>
      <c r="H900" s="419" t="s">
        <v>428</v>
      </c>
      <c r="I900" s="420"/>
      <c r="K900" s="57" t="s">
        <v>592</v>
      </c>
      <c r="L900" s="57" t="s">
        <v>150</v>
      </c>
      <c r="S900" s="57">
        <v>0</v>
      </c>
    </row>
    <row r="901" spans="1:19" ht="11.1" customHeight="1" x14ac:dyDescent="0.2">
      <c r="A901" s="57" t="s">
        <v>592</v>
      </c>
      <c r="B901" s="416"/>
      <c r="C901" s="417"/>
      <c r="D901" s="418"/>
      <c r="E901" s="419" t="s">
        <v>410</v>
      </c>
      <c r="F901" s="420"/>
      <c r="G901" s="64" t="s">
        <v>417</v>
      </c>
      <c r="H901" s="419" t="s">
        <v>415</v>
      </c>
      <c r="I901" s="420"/>
      <c r="K901" s="57" t="s">
        <v>592</v>
      </c>
      <c r="L901" s="57" t="s">
        <v>150</v>
      </c>
      <c r="S901" s="57">
        <v>0</v>
      </c>
    </row>
    <row r="902" spans="1:19" ht="11.85" customHeight="1" x14ac:dyDescent="0.2">
      <c r="A902" s="57" t="s">
        <v>592</v>
      </c>
      <c r="B902" s="62"/>
      <c r="C902" s="411" t="s">
        <v>593</v>
      </c>
      <c r="D902" s="412"/>
      <c r="E902" s="412"/>
      <c r="F902" s="412"/>
      <c r="G902" s="412"/>
      <c r="H902" s="412"/>
      <c r="I902" s="411"/>
      <c r="K902" s="57" t="s">
        <v>592</v>
      </c>
      <c r="L902" s="57" t="s">
        <v>150</v>
      </c>
      <c r="S902" s="57">
        <v>0</v>
      </c>
    </row>
    <row r="903" spans="1:19" ht="11.85" customHeight="1" x14ac:dyDescent="0.2">
      <c r="A903" s="57" t="s">
        <v>593</v>
      </c>
      <c r="B903" s="413" t="s">
        <v>412</v>
      </c>
      <c r="C903" s="414"/>
      <c r="D903" s="415"/>
      <c r="E903" s="419" t="s">
        <v>400</v>
      </c>
      <c r="F903" s="420"/>
      <c r="G903" s="64" t="s">
        <v>413</v>
      </c>
      <c r="H903" s="419" t="s">
        <v>414</v>
      </c>
      <c r="I903" s="420"/>
      <c r="K903" s="57" t="s">
        <v>593</v>
      </c>
      <c r="L903" s="57" t="s">
        <v>151</v>
      </c>
      <c r="S903" s="57">
        <v>0</v>
      </c>
    </row>
    <row r="904" spans="1:19" ht="11.85" customHeight="1" x14ac:dyDescent="0.2">
      <c r="A904" s="57" t="s">
        <v>593</v>
      </c>
      <c r="B904" s="416"/>
      <c r="C904" s="417"/>
      <c r="D904" s="418"/>
      <c r="E904" s="419" t="s">
        <v>401</v>
      </c>
      <c r="F904" s="420"/>
      <c r="G904" s="64" t="s">
        <v>413</v>
      </c>
      <c r="H904" s="419" t="s">
        <v>415</v>
      </c>
      <c r="I904" s="420"/>
      <c r="K904" s="57" t="s">
        <v>593</v>
      </c>
      <c r="L904" s="57" t="s">
        <v>151</v>
      </c>
      <c r="S904" s="57">
        <v>0</v>
      </c>
    </row>
    <row r="905" spans="1:19" ht="11.1" customHeight="1" x14ac:dyDescent="0.2">
      <c r="A905" s="57" t="s">
        <v>593</v>
      </c>
      <c r="B905" s="413" t="s">
        <v>416</v>
      </c>
      <c r="C905" s="414"/>
      <c r="D905" s="415"/>
      <c r="E905" s="419" t="s">
        <v>402</v>
      </c>
      <c r="F905" s="420"/>
      <c r="G905" s="64" t="s">
        <v>417</v>
      </c>
      <c r="H905" s="419" t="s">
        <v>418</v>
      </c>
      <c r="I905" s="420"/>
      <c r="K905" s="57" t="s">
        <v>593</v>
      </c>
      <c r="L905" s="57" t="s">
        <v>151</v>
      </c>
      <c r="S905" s="57">
        <v>0</v>
      </c>
    </row>
    <row r="906" spans="1:19" ht="11.85" customHeight="1" x14ac:dyDescent="0.2">
      <c r="A906" s="57" t="s">
        <v>593</v>
      </c>
      <c r="B906" s="424"/>
      <c r="C906" s="425"/>
      <c r="D906" s="426"/>
      <c r="E906" s="419" t="s">
        <v>403</v>
      </c>
      <c r="F906" s="420"/>
      <c r="G906" s="64" t="s">
        <v>417</v>
      </c>
      <c r="H906" s="419" t="s">
        <v>418</v>
      </c>
      <c r="I906" s="420"/>
      <c r="K906" s="57" t="s">
        <v>593</v>
      </c>
      <c r="L906" s="57" t="s">
        <v>151</v>
      </c>
      <c r="S906" s="57">
        <v>0</v>
      </c>
    </row>
    <row r="907" spans="1:19" ht="11.85" customHeight="1" x14ac:dyDescent="0.2">
      <c r="A907" s="57" t="s">
        <v>593</v>
      </c>
      <c r="B907" s="424"/>
      <c r="C907" s="425"/>
      <c r="D907" s="426"/>
      <c r="E907" s="419" t="s">
        <v>404</v>
      </c>
      <c r="F907" s="420"/>
      <c r="G907" s="64" t="s">
        <v>413</v>
      </c>
      <c r="H907" s="419" t="s">
        <v>419</v>
      </c>
      <c r="I907" s="420"/>
      <c r="K907" s="57" t="s">
        <v>593</v>
      </c>
      <c r="L907" s="57" t="s">
        <v>151</v>
      </c>
      <c r="S907" s="57">
        <v>0</v>
      </c>
    </row>
    <row r="908" spans="1:19" ht="11.85" customHeight="1" x14ac:dyDescent="0.2">
      <c r="A908" s="57" t="s">
        <v>593</v>
      </c>
      <c r="B908" s="424"/>
      <c r="C908" s="425"/>
      <c r="D908" s="426"/>
      <c r="E908" s="419" t="s">
        <v>405</v>
      </c>
      <c r="F908" s="420"/>
      <c r="G908" s="64" t="s">
        <v>420</v>
      </c>
      <c r="H908" s="419" t="s">
        <v>421</v>
      </c>
      <c r="I908" s="420"/>
      <c r="K908" s="57" t="s">
        <v>593</v>
      </c>
      <c r="L908" s="57" t="s">
        <v>151</v>
      </c>
      <c r="S908" s="57">
        <v>0</v>
      </c>
    </row>
    <row r="909" spans="1:19" ht="11.1" customHeight="1" x14ac:dyDescent="0.2">
      <c r="A909" s="57" t="s">
        <v>593</v>
      </c>
      <c r="B909" s="424"/>
      <c r="C909" s="425"/>
      <c r="D909" s="426"/>
      <c r="E909" s="419" t="s">
        <v>406</v>
      </c>
      <c r="F909" s="420"/>
      <c r="G909" s="64" t="s">
        <v>422</v>
      </c>
      <c r="H909" s="419" t="s">
        <v>423</v>
      </c>
      <c r="I909" s="420"/>
      <c r="K909" s="57" t="s">
        <v>593</v>
      </c>
      <c r="L909" s="57" t="s">
        <v>151</v>
      </c>
      <c r="S909" s="65">
        <v>48.44</v>
      </c>
    </row>
    <row r="910" spans="1:19" ht="11.85" customHeight="1" x14ac:dyDescent="0.2">
      <c r="A910" s="57" t="s">
        <v>593</v>
      </c>
      <c r="B910" s="416"/>
      <c r="C910" s="417"/>
      <c r="D910" s="418"/>
      <c r="E910" s="419" t="s">
        <v>407</v>
      </c>
      <c r="F910" s="420"/>
      <c r="G910" s="64" t="s">
        <v>424</v>
      </c>
      <c r="H910" s="419" t="s">
        <v>425</v>
      </c>
      <c r="I910" s="420"/>
      <c r="K910" s="57" t="s">
        <v>593</v>
      </c>
      <c r="L910" s="57" t="s">
        <v>151</v>
      </c>
      <c r="S910" s="57">
        <v>0</v>
      </c>
    </row>
    <row r="911" spans="1:19" ht="11.85" customHeight="1" x14ac:dyDescent="0.2">
      <c r="A911" s="57" t="s">
        <v>593</v>
      </c>
      <c r="B911" s="413" t="s">
        <v>426</v>
      </c>
      <c r="C911" s="414"/>
      <c r="D911" s="415"/>
      <c r="E911" s="419" t="s">
        <v>408</v>
      </c>
      <c r="F911" s="420"/>
      <c r="G911" s="64" t="s">
        <v>420</v>
      </c>
      <c r="H911" s="419" t="s">
        <v>427</v>
      </c>
      <c r="I911" s="420"/>
      <c r="K911" s="57" t="s">
        <v>593</v>
      </c>
      <c r="L911" s="57" t="s">
        <v>151</v>
      </c>
      <c r="S911" s="57">
        <v>0</v>
      </c>
    </row>
    <row r="912" spans="1:19" ht="11.85" customHeight="1" x14ac:dyDescent="0.2">
      <c r="A912" s="57" t="s">
        <v>593</v>
      </c>
      <c r="B912" s="424"/>
      <c r="C912" s="425"/>
      <c r="D912" s="426"/>
      <c r="E912" s="419" t="s">
        <v>409</v>
      </c>
      <c r="F912" s="420"/>
      <c r="G912" s="64" t="s">
        <v>417</v>
      </c>
      <c r="H912" s="419" t="s">
        <v>428</v>
      </c>
      <c r="I912" s="420"/>
      <c r="K912" s="57" t="s">
        <v>593</v>
      </c>
      <c r="L912" s="57" t="s">
        <v>151</v>
      </c>
      <c r="S912" s="57">
        <v>0</v>
      </c>
    </row>
    <row r="913" spans="1:19" ht="11.1" customHeight="1" x14ac:dyDescent="0.2">
      <c r="A913" s="57" t="s">
        <v>593</v>
      </c>
      <c r="B913" s="416"/>
      <c r="C913" s="417"/>
      <c r="D913" s="418"/>
      <c r="E913" s="419" t="s">
        <v>410</v>
      </c>
      <c r="F913" s="420"/>
      <c r="G913" s="64" t="s">
        <v>417</v>
      </c>
      <c r="H913" s="419" t="s">
        <v>415</v>
      </c>
      <c r="I913" s="420"/>
      <c r="K913" s="57" t="s">
        <v>593</v>
      </c>
      <c r="L913" s="57" t="s">
        <v>151</v>
      </c>
      <c r="S913" s="57">
        <v>0</v>
      </c>
    </row>
    <row r="914" spans="1:19" ht="11.85" customHeight="1" x14ac:dyDescent="0.2">
      <c r="A914" s="57" t="s">
        <v>593</v>
      </c>
      <c r="B914" s="62"/>
      <c r="C914" s="411" t="s">
        <v>594</v>
      </c>
      <c r="D914" s="412"/>
      <c r="E914" s="412"/>
      <c r="F914" s="412"/>
      <c r="G914" s="412"/>
      <c r="H914" s="412"/>
      <c r="I914" s="411"/>
      <c r="K914" s="57" t="s">
        <v>593</v>
      </c>
      <c r="L914" s="57" t="s">
        <v>151</v>
      </c>
      <c r="S914" s="57">
        <v>0</v>
      </c>
    </row>
    <row r="915" spans="1:19" ht="11.85" customHeight="1" x14ac:dyDescent="0.2">
      <c r="A915" s="57" t="s">
        <v>594</v>
      </c>
      <c r="B915" s="413" t="s">
        <v>412</v>
      </c>
      <c r="C915" s="414"/>
      <c r="D915" s="415"/>
      <c r="E915" s="419" t="s">
        <v>400</v>
      </c>
      <c r="F915" s="420"/>
      <c r="G915" s="64" t="s">
        <v>413</v>
      </c>
      <c r="H915" s="419" t="s">
        <v>414</v>
      </c>
      <c r="I915" s="420"/>
      <c r="K915" s="57" t="s">
        <v>594</v>
      </c>
      <c r="L915" s="57" t="s">
        <v>152</v>
      </c>
      <c r="S915" s="57">
        <v>0</v>
      </c>
    </row>
    <row r="916" spans="1:19" ht="11.85" customHeight="1" x14ac:dyDescent="0.2">
      <c r="A916" s="57" t="s">
        <v>594</v>
      </c>
      <c r="B916" s="416"/>
      <c r="C916" s="417"/>
      <c r="D916" s="418"/>
      <c r="E916" s="419" t="s">
        <v>401</v>
      </c>
      <c r="F916" s="420"/>
      <c r="G916" s="64" t="s">
        <v>413</v>
      </c>
      <c r="H916" s="419" t="s">
        <v>415</v>
      </c>
      <c r="I916" s="420"/>
      <c r="K916" s="57" t="s">
        <v>594</v>
      </c>
      <c r="L916" s="57" t="s">
        <v>152</v>
      </c>
      <c r="S916" s="57">
        <v>0</v>
      </c>
    </row>
    <row r="917" spans="1:19" ht="11.1" customHeight="1" x14ac:dyDescent="0.2">
      <c r="A917" s="57" t="s">
        <v>594</v>
      </c>
      <c r="B917" s="413" t="s">
        <v>416</v>
      </c>
      <c r="C917" s="414"/>
      <c r="D917" s="415"/>
      <c r="E917" s="419" t="s">
        <v>402</v>
      </c>
      <c r="F917" s="420"/>
      <c r="G917" s="64" t="s">
        <v>417</v>
      </c>
      <c r="H917" s="419" t="s">
        <v>418</v>
      </c>
      <c r="I917" s="420"/>
      <c r="K917" s="57" t="s">
        <v>594</v>
      </c>
      <c r="L917" s="57" t="s">
        <v>152</v>
      </c>
      <c r="S917" s="57">
        <v>0</v>
      </c>
    </row>
    <row r="918" spans="1:19" ht="11.85" customHeight="1" x14ac:dyDescent="0.2">
      <c r="A918" s="57" t="s">
        <v>594</v>
      </c>
      <c r="B918" s="424"/>
      <c r="C918" s="425"/>
      <c r="D918" s="426"/>
      <c r="E918" s="419" t="s">
        <v>403</v>
      </c>
      <c r="F918" s="420"/>
      <c r="G918" s="64" t="s">
        <v>417</v>
      </c>
      <c r="H918" s="419" t="s">
        <v>418</v>
      </c>
      <c r="I918" s="420"/>
      <c r="K918" s="57" t="s">
        <v>594</v>
      </c>
      <c r="L918" s="57" t="s">
        <v>152</v>
      </c>
      <c r="S918" s="57">
        <v>0</v>
      </c>
    </row>
    <row r="919" spans="1:19" ht="11.85" customHeight="1" x14ac:dyDescent="0.2">
      <c r="A919" s="57" t="s">
        <v>594</v>
      </c>
      <c r="B919" s="424"/>
      <c r="C919" s="425"/>
      <c r="D919" s="426"/>
      <c r="E919" s="419" t="s">
        <v>404</v>
      </c>
      <c r="F919" s="420"/>
      <c r="G919" s="64" t="s">
        <v>413</v>
      </c>
      <c r="H919" s="419" t="s">
        <v>419</v>
      </c>
      <c r="I919" s="420"/>
      <c r="K919" s="57" t="s">
        <v>594</v>
      </c>
      <c r="L919" s="57" t="s">
        <v>152</v>
      </c>
      <c r="S919" s="57">
        <v>0</v>
      </c>
    </row>
    <row r="920" spans="1:19" ht="11.85" customHeight="1" x14ac:dyDescent="0.2">
      <c r="A920" s="57" t="s">
        <v>594</v>
      </c>
      <c r="B920" s="424"/>
      <c r="C920" s="425"/>
      <c r="D920" s="426"/>
      <c r="E920" s="419" t="s">
        <v>405</v>
      </c>
      <c r="F920" s="420"/>
      <c r="G920" s="64" t="s">
        <v>420</v>
      </c>
      <c r="H920" s="419" t="s">
        <v>421</v>
      </c>
      <c r="I920" s="420"/>
      <c r="K920" s="57" t="s">
        <v>594</v>
      </c>
      <c r="L920" s="57" t="s">
        <v>152</v>
      </c>
      <c r="S920" s="57">
        <v>0</v>
      </c>
    </row>
    <row r="921" spans="1:19" ht="11.1" customHeight="1" x14ac:dyDescent="0.2">
      <c r="A921" s="57" t="s">
        <v>594</v>
      </c>
      <c r="B921" s="424"/>
      <c r="C921" s="425"/>
      <c r="D921" s="426"/>
      <c r="E921" s="419" t="s">
        <v>406</v>
      </c>
      <c r="F921" s="420"/>
      <c r="G921" s="64" t="s">
        <v>422</v>
      </c>
      <c r="H921" s="419" t="s">
        <v>423</v>
      </c>
      <c r="I921" s="420"/>
      <c r="K921" s="57" t="s">
        <v>594</v>
      </c>
      <c r="L921" s="57" t="s">
        <v>152</v>
      </c>
      <c r="S921" s="65">
        <v>48.44</v>
      </c>
    </row>
    <row r="922" spans="1:19" ht="11.85" customHeight="1" x14ac:dyDescent="0.2">
      <c r="A922" s="57" t="s">
        <v>594</v>
      </c>
      <c r="B922" s="416"/>
      <c r="C922" s="417"/>
      <c r="D922" s="418"/>
      <c r="E922" s="419" t="s">
        <v>407</v>
      </c>
      <c r="F922" s="420"/>
      <c r="G922" s="64" t="s">
        <v>424</v>
      </c>
      <c r="H922" s="419" t="s">
        <v>425</v>
      </c>
      <c r="I922" s="420"/>
      <c r="K922" s="57" t="s">
        <v>594</v>
      </c>
      <c r="L922" s="57" t="s">
        <v>152</v>
      </c>
      <c r="S922" s="57">
        <v>0</v>
      </c>
    </row>
    <row r="923" spans="1:19" ht="11.85" customHeight="1" x14ac:dyDescent="0.2">
      <c r="A923" s="57" t="s">
        <v>594</v>
      </c>
      <c r="B923" s="413" t="s">
        <v>426</v>
      </c>
      <c r="C923" s="414"/>
      <c r="D923" s="415"/>
      <c r="E923" s="419" t="s">
        <v>408</v>
      </c>
      <c r="F923" s="420"/>
      <c r="G923" s="64" t="s">
        <v>420</v>
      </c>
      <c r="H923" s="419" t="s">
        <v>427</v>
      </c>
      <c r="I923" s="420"/>
      <c r="K923" s="57" t="s">
        <v>594</v>
      </c>
      <c r="L923" s="57" t="s">
        <v>152</v>
      </c>
      <c r="S923" s="57">
        <v>0</v>
      </c>
    </row>
    <row r="924" spans="1:19" ht="11.85" customHeight="1" x14ac:dyDescent="0.2">
      <c r="A924" s="57" t="s">
        <v>594</v>
      </c>
      <c r="B924" s="424"/>
      <c r="C924" s="425"/>
      <c r="D924" s="426"/>
      <c r="E924" s="419" t="s">
        <v>409</v>
      </c>
      <c r="F924" s="420"/>
      <c r="G924" s="64" t="s">
        <v>417</v>
      </c>
      <c r="H924" s="419" t="s">
        <v>428</v>
      </c>
      <c r="I924" s="420"/>
      <c r="K924" s="57" t="s">
        <v>594</v>
      </c>
      <c r="L924" s="57" t="s">
        <v>152</v>
      </c>
      <c r="S924" s="57">
        <v>0</v>
      </c>
    </row>
    <row r="925" spans="1:19" ht="11.1" customHeight="1" x14ac:dyDescent="0.2">
      <c r="A925" s="57" t="s">
        <v>594</v>
      </c>
      <c r="B925" s="416"/>
      <c r="C925" s="417"/>
      <c r="D925" s="418"/>
      <c r="E925" s="419" t="s">
        <v>410</v>
      </c>
      <c r="F925" s="420"/>
      <c r="G925" s="64" t="s">
        <v>417</v>
      </c>
      <c r="H925" s="419" t="s">
        <v>415</v>
      </c>
      <c r="I925" s="420"/>
      <c r="K925" s="57" t="s">
        <v>594</v>
      </c>
      <c r="L925" s="57" t="s">
        <v>152</v>
      </c>
      <c r="S925" s="57">
        <v>0</v>
      </c>
    </row>
    <row r="926" spans="1:19" ht="11.85" customHeight="1" x14ac:dyDescent="0.2">
      <c r="A926" s="57" t="s">
        <v>594</v>
      </c>
      <c r="B926" s="62"/>
      <c r="C926" s="411" t="s">
        <v>595</v>
      </c>
      <c r="D926" s="412"/>
      <c r="E926" s="412"/>
      <c r="F926" s="412"/>
      <c r="G926" s="412"/>
      <c r="H926" s="412"/>
      <c r="I926" s="411"/>
      <c r="K926" s="57" t="s">
        <v>594</v>
      </c>
      <c r="L926" s="57" t="s">
        <v>152</v>
      </c>
      <c r="S926" s="57">
        <v>0</v>
      </c>
    </row>
    <row r="927" spans="1:19" ht="11.85" customHeight="1" x14ac:dyDescent="0.2">
      <c r="A927" s="57" t="s">
        <v>595</v>
      </c>
      <c r="B927" s="413" t="s">
        <v>416</v>
      </c>
      <c r="C927" s="414"/>
      <c r="D927" s="415"/>
      <c r="E927" s="419" t="s">
        <v>402</v>
      </c>
      <c r="F927" s="420"/>
      <c r="G927" s="64" t="s">
        <v>417</v>
      </c>
      <c r="H927" s="419" t="s">
        <v>457</v>
      </c>
      <c r="I927" s="420"/>
      <c r="K927" s="57" t="s">
        <v>595</v>
      </c>
      <c r="L927" s="57" t="s">
        <v>153</v>
      </c>
      <c r="S927" s="57">
        <v>0</v>
      </c>
    </row>
    <row r="928" spans="1:19" ht="11.85" customHeight="1" x14ac:dyDescent="0.2">
      <c r="A928" s="57" t="s">
        <v>595</v>
      </c>
      <c r="B928" s="424"/>
      <c r="C928" s="425"/>
      <c r="D928" s="426"/>
      <c r="E928" s="419" t="s">
        <v>403</v>
      </c>
      <c r="F928" s="420"/>
      <c r="G928" s="64" t="s">
        <v>417</v>
      </c>
      <c r="H928" s="419" t="s">
        <v>457</v>
      </c>
      <c r="I928" s="420"/>
      <c r="K928" s="57" t="s">
        <v>595</v>
      </c>
      <c r="L928" s="57" t="s">
        <v>153</v>
      </c>
      <c r="S928" s="57">
        <v>0</v>
      </c>
    </row>
    <row r="929" spans="1:19" ht="11.1" customHeight="1" x14ac:dyDescent="0.2">
      <c r="A929" s="57" t="s">
        <v>595</v>
      </c>
      <c r="B929" s="424"/>
      <c r="C929" s="425"/>
      <c r="D929" s="426"/>
      <c r="E929" s="419" t="s">
        <v>404</v>
      </c>
      <c r="F929" s="420"/>
      <c r="G929" s="64" t="s">
        <v>413</v>
      </c>
      <c r="H929" s="419" t="s">
        <v>458</v>
      </c>
      <c r="I929" s="420"/>
      <c r="K929" s="57" t="s">
        <v>595</v>
      </c>
      <c r="L929" s="57" t="s">
        <v>153</v>
      </c>
      <c r="S929" s="57">
        <v>0</v>
      </c>
    </row>
    <row r="930" spans="1:19" ht="11.85" customHeight="1" x14ac:dyDescent="0.2">
      <c r="A930" s="57" t="s">
        <v>595</v>
      </c>
      <c r="B930" s="424"/>
      <c r="C930" s="425"/>
      <c r="D930" s="426"/>
      <c r="E930" s="419" t="s">
        <v>405</v>
      </c>
      <c r="F930" s="420"/>
      <c r="G930" s="64" t="s">
        <v>420</v>
      </c>
      <c r="H930" s="419" t="s">
        <v>459</v>
      </c>
      <c r="I930" s="420"/>
      <c r="K930" s="57" t="s">
        <v>595</v>
      </c>
      <c r="L930" s="57" t="s">
        <v>153</v>
      </c>
      <c r="S930" s="57">
        <v>0</v>
      </c>
    </row>
    <row r="931" spans="1:19" ht="11.85" customHeight="1" x14ac:dyDescent="0.2">
      <c r="A931" s="57" t="s">
        <v>595</v>
      </c>
      <c r="B931" s="424"/>
      <c r="C931" s="425"/>
      <c r="D931" s="426"/>
      <c r="E931" s="419" t="s">
        <v>460</v>
      </c>
      <c r="F931" s="420"/>
      <c r="G931" s="64" t="s">
        <v>461</v>
      </c>
      <c r="H931" s="419" t="s">
        <v>423</v>
      </c>
      <c r="I931" s="420"/>
      <c r="K931" s="57" t="s">
        <v>595</v>
      </c>
      <c r="L931" s="57" t="s">
        <v>153</v>
      </c>
      <c r="S931" s="65">
        <v>33.17</v>
      </c>
    </row>
    <row r="932" spans="1:19" ht="11.85" customHeight="1" x14ac:dyDescent="0.2">
      <c r="A932" s="57" t="s">
        <v>595</v>
      </c>
      <c r="B932" s="416"/>
      <c r="C932" s="417"/>
      <c r="D932" s="418"/>
      <c r="E932" s="419" t="s">
        <v>462</v>
      </c>
      <c r="F932" s="420"/>
      <c r="G932" s="64" t="s">
        <v>424</v>
      </c>
      <c r="H932" s="419" t="s">
        <v>463</v>
      </c>
      <c r="I932" s="420"/>
      <c r="K932" s="57" t="s">
        <v>595</v>
      </c>
      <c r="L932" s="57" t="s">
        <v>153</v>
      </c>
      <c r="S932" s="57">
        <v>0</v>
      </c>
    </row>
    <row r="933" spans="1:19" ht="11.1" customHeight="1" x14ac:dyDescent="0.2">
      <c r="A933" s="57" t="s">
        <v>595</v>
      </c>
      <c r="B933" s="62"/>
      <c r="C933" s="411" t="s">
        <v>596</v>
      </c>
      <c r="D933" s="412"/>
      <c r="E933" s="412"/>
      <c r="F933" s="412"/>
      <c r="G933" s="412"/>
      <c r="H933" s="412"/>
      <c r="I933" s="411"/>
      <c r="K933" s="57" t="s">
        <v>595</v>
      </c>
      <c r="L933" s="57" t="s">
        <v>153</v>
      </c>
      <c r="S933" s="57">
        <v>0</v>
      </c>
    </row>
    <row r="934" spans="1:19" ht="11.85" customHeight="1" x14ac:dyDescent="0.2">
      <c r="A934" s="57" t="s">
        <v>596</v>
      </c>
      <c r="B934" s="413" t="s">
        <v>412</v>
      </c>
      <c r="C934" s="414"/>
      <c r="D934" s="415"/>
      <c r="E934" s="419" t="s">
        <v>400</v>
      </c>
      <c r="F934" s="420"/>
      <c r="G934" s="64" t="s">
        <v>413</v>
      </c>
      <c r="H934" s="419" t="s">
        <v>414</v>
      </c>
      <c r="I934" s="420"/>
      <c r="K934" s="57" t="s">
        <v>596</v>
      </c>
      <c r="L934" s="57" t="s">
        <v>154</v>
      </c>
      <c r="S934" s="57">
        <v>0</v>
      </c>
    </row>
    <row r="935" spans="1:19" ht="11.85" customHeight="1" x14ac:dyDescent="0.2">
      <c r="A935" s="57" t="s">
        <v>596</v>
      </c>
      <c r="B935" s="416"/>
      <c r="C935" s="417"/>
      <c r="D935" s="418"/>
      <c r="E935" s="419" t="s">
        <v>401</v>
      </c>
      <c r="F935" s="420"/>
      <c r="G935" s="64" t="s">
        <v>413</v>
      </c>
      <c r="H935" s="419" t="s">
        <v>415</v>
      </c>
      <c r="I935" s="420"/>
      <c r="K935" s="57" t="s">
        <v>596</v>
      </c>
      <c r="L935" s="57" t="s">
        <v>154</v>
      </c>
      <c r="S935" s="57">
        <v>0</v>
      </c>
    </row>
    <row r="936" spans="1:19" ht="11.85" customHeight="1" x14ac:dyDescent="0.2">
      <c r="A936" s="57" t="s">
        <v>596</v>
      </c>
      <c r="B936" s="413" t="s">
        <v>416</v>
      </c>
      <c r="C936" s="414"/>
      <c r="D936" s="415"/>
      <c r="E936" s="419" t="s">
        <v>402</v>
      </c>
      <c r="F936" s="420"/>
      <c r="G936" s="64" t="s">
        <v>417</v>
      </c>
      <c r="H936" s="419" t="s">
        <v>457</v>
      </c>
      <c r="I936" s="420"/>
      <c r="K936" s="57" t="s">
        <v>596</v>
      </c>
      <c r="L936" s="57" t="s">
        <v>154</v>
      </c>
      <c r="S936" s="57">
        <v>0</v>
      </c>
    </row>
    <row r="937" spans="1:19" ht="11.1" customHeight="1" x14ac:dyDescent="0.2">
      <c r="A937" s="57" t="s">
        <v>596</v>
      </c>
      <c r="B937" s="424"/>
      <c r="C937" s="425"/>
      <c r="D937" s="426"/>
      <c r="E937" s="419" t="s">
        <v>403</v>
      </c>
      <c r="F937" s="420"/>
      <c r="G937" s="64" t="s">
        <v>417</v>
      </c>
      <c r="H937" s="419" t="s">
        <v>457</v>
      </c>
      <c r="I937" s="420"/>
      <c r="K937" s="57" t="s">
        <v>596</v>
      </c>
      <c r="L937" s="57" t="s">
        <v>154</v>
      </c>
      <c r="S937" s="57">
        <v>0</v>
      </c>
    </row>
    <row r="938" spans="1:19" ht="11.85" customHeight="1" x14ac:dyDescent="0.2">
      <c r="A938" s="57" t="s">
        <v>596</v>
      </c>
      <c r="B938" s="424"/>
      <c r="C938" s="425"/>
      <c r="D938" s="426"/>
      <c r="E938" s="419" t="s">
        <v>404</v>
      </c>
      <c r="F938" s="420"/>
      <c r="G938" s="64" t="s">
        <v>413</v>
      </c>
      <c r="H938" s="419" t="s">
        <v>458</v>
      </c>
      <c r="I938" s="420"/>
      <c r="K938" s="57" t="s">
        <v>596</v>
      </c>
      <c r="L938" s="57" t="s">
        <v>154</v>
      </c>
      <c r="S938" s="57">
        <v>0</v>
      </c>
    </row>
    <row r="939" spans="1:19" ht="11.85" customHeight="1" x14ac:dyDescent="0.2">
      <c r="A939" s="57" t="s">
        <v>596</v>
      </c>
      <c r="B939" s="424"/>
      <c r="C939" s="425"/>
      <c r="D939" s="426"/>
      <c r="E939" s="419" t="s">
        <v>405</v>
      </c>
      <c r="F939" s="420"/>
      <c r="G939" s="64" t="s">
        <v>420</v>
      </c>
      <c r="H939" s="419" t="s">
        <v>459</v>
      </c>
      <c r="I939" s="420"/>
      <c r="K939" s="57" t="s">
        <v>596</v>
      </c>
      <c r="L939" s="57" t="s">
        <v>154</v>
      </c>
      <c r="S939" s="57">
        <v>0</v>
      </c>
    </row>
    <row r="940" spans="1:19" ht="11.85" customHeight="1" x14ac:dyDescent="0.2">
      <c r="A940" s="57" t="s">
        <v>596</v>
      </c>
      <c r="B940" s="416"/>
      <c r="C940" s="417"/>
      <c r="D940" s="418"/>
      <c r="E940" s="419" t="s">
        <v>460</v>
      </c>
      <c r="F940" s="420"/>
      <c r="G940" s="64" t="s">
        <v>461</v>
      </c>
      <c r="H940" s="419" t="s">
        <v>423</v>
      </c>
      <c r="I940" s="420"/>
      <c r="K940" s="57" t="s">
        <v>596</v>
      </c>
      <c r="L940" s="57" t="s">
        <v>154</v>
      </c>
      <c r="S940" s="65">
        <v>33.17</v>
      </c>
    </row>
    <row r="941" spans="1:19" ht="11.85" customHeight="1" x14ac:dyDescent="0.2">
      <c r="A941" s="57" t="s">
        <v>596</v>
      </c>
      <c r="B941" s="413" t="s">
        <v>416</v>
      </c>
      <c r="C941" s="427"/>
      <c r="D941" s="428"/>
      <c r="E941" s="419" t="s">
        <v>462</v>
      </c>
      <c r="F941" s="420"/>
      <c r="G941" s="64" t="s">
        <v>424</v>
      </c>
      <c r="H941" s="419" t="s">
        <v>463</v>
      </c>
      <c r="I941" s="420"/>
      <c r="K941" s="57" t="s">
        <v>596</v>
      </c>
      <c r="L941" s="57" t="s">
        <v>154</v>
      </c>
      <c r="S941" s="57">
        <v>0</v>
      </c>
    </row>
    <row r="942" spans="1:19" ht="11.85" customHeight="1" x14ac:dyDescent="0.2">
      <c r="A942" s="57" t="s">
        <v>596</v>
      </c>
      <c r="B942" s="413" t="s">
        <v>426</v>
      </c>
      <c r="C942" s="414"/>
      <c r="D942" s="415"/>
      <c r="E942" s="419" t="s">
        <v>408</v>
      </c>
      <c r="F942" s="420"/>
      <c r="G942" s="64" t="s">
        <v>420</v>
      </c>
      <c r="H942" s="419" t="s">
        <v>427</v>
      </c>
      <c r="I942" s="420"/>
      <c r="K942" s="57" t="s">
        <v>596</v>
      </c>
      <c r="L942" s="57" t="s">
        <v>154</v>
      </c>
      <c r="S942" s="57">
        <v>0</v>
      </c>
    </row>
    <row r="943" spans="1:19" ht="11.85" customHeight="1" x14ac:dyDescent="0.2">
      <c r="A943" s="57" t="s">
        <v>596</v>
      </c>
      <c r="B943" s="424"/>
      <c r="C943" s="425"/>
      <c r="D943" s="426"/>
      <c r="E943" s="419" t="s">
        <v>409</v>
      </c>
      <c r="F943" s="420"/>
      <c r="G943" s="64" t="s">
        <v>417</v>
      </c>
      <c r="H943" s="419" t="s">
        <v>428</v>
      </c>
      <c r="I943" s="420"/>
      <c r="K943" s="57" t="s">
        <v>596</v>
      </c>
      <c r="L943" s="57" t="s">
        <v>154</v>
      </c>
      <c r="S943" s="57">
        <v>0</v>
      </c>
    </row>
    <row r="944" spans="1:19" ht="11.1" customHeight="1" x14ac:dyDescent="0.2">
      <c r="A944" s="57" t="s">
        <v>596</v>
      </c>
      <c r="B944" s="416"/>
      <c r="C944" s="417"/>
      <c r="D944" s="418"/>
      <c r="E944" s="419" t="s">
        <v>410</v>
      </c>
      <c r="F944" s="420"/>
      <c r="G944" s="64" t="s">
        <v>417</v>
      </c>
      <c r="H944" s="419" t="s">
        <v>415</v>
      </c>
      <c r="I944" s="420"/>
      <c r="K944" s="57" t="s">
        <v>596</v>
      </c>
      <c r="L944" s="57" t="s">
        <v>154</v>
      </c>
      <c r="S944" s="57">
        <v>0</v>
      </c>
    </row>
    <row r="945" spans="1:19" ht="11.85" customHeight="1" x14ac:dyDescent="0.2">
      <c r="A945" s="57" t="s">
        <v>596</v>
      </c>
      <c r="B945" s="62"/>
      <c r="C945" s="411" t="s">
        <v>597</v>
      </c>
      <c r="D945" s="412"/>
      <c r="E945" s="412"/>
      <c r="F945" s="412"/>
      <c r="G945" s="412"/>
      <c r="H945" s="412"/>
      <c r="I945" s="411"/>
      <c r="K945" s="57" t="s">
        <v>596</v>
      </c>
      <c r="L945" s="57" t="s">
        <v>154</v>
      </c>
      <c r="S945" s="57">
        <v>0</v>
      </c>
    </row>
    <row r="946" spans="1:19" ht="11.85" customHeight="1" x14ac:dyDescent="0.2">
      <c r="A946" s="57" t="s">
        <v>597</v>
      </c>
      <c r="B946" s="413" t="s">
        <v>416</v>
      </c>
      <c r="C946" s="414"/>
      <c r="D946" s="415"/>
      <c r="E946" s="419" t="s">
        <v>402</v>
      </c>
      <c r="F946" s="420"/>
      <c r="G946" s="64" t="s">
        <v>417</v>
      </c>
      <c r="H946" s="419" t="s">
        <v>457</v>
      </c>
      <c r="I946" s="420"/>
      <c r="K946" s="57" t="s">
        <v>597</v>
      </c>
      <c r="L946" s="57" t="s">
        <v>155</v>
      </c>
      <c r="S946" s="57">
        <v>0</v>
      </c>
    </row>
    <row r="947" spans="1:19" ht="11.85" customHeight="1" x14ac:dyDescent="0.2">
      <c r="A947" s="57" t="s">
        <v>597</v>
      </c>
      <c r="B947" s="424"/>
      <c r="C947" s="425"/>
      <c r="D947" s="426"/>
      <c r="E947" s="419" t="s">
        <v>403</v>
      </c>
      <c r="F947" s="420"/>
      <c r="G947" s="64" t="s">
        <v>417</v>
      </c>
      <c r="H947" s="419" t="s">
        <v>457</v>
      </c>
      <c r="I947" s="420"/>
      <c r="K947" s="57" t="s">
        <v>597</v>
      </c>
      <c r="L947" s="57" t="s">
        <v>155</v>
      </c>
      <c r="S947" s="57">
        <v>0</v>
      </c>
    </row>
    <row r="948" spans="1:19" ht="11.1" customHeight="1" x14ac:dyDescent="0.2">
      <c r="A948" s="57" t="s">
        <v>597</v>
      </c>
      <c r="B948" s="424"/>
      <c r="C948" s="425"/>
      <c r="D948" s="426"/>
      <c r="E948" s="419" t="s">
        <v>404</v>
      </c>
      <c r="F948" s="420"/>
      <c r="G948" s="64" t="s">
        <v>413</v>
      </c>
      <c r="H948" s="419" t="s">
        <v>458</v>
      </c>
      <c r="I948" s="420"/>
      <c r="K948" s="57" t="s">
        <v>597</v>
      </c>
      <c r="L948" s="57" t="s">
        <v>155</v>
      </c>
      <c r="S948" s="57">
        <v>0</v>
      </c>
    </row>
    <row r="949" spans="1:19" ht="11.85" customHeight="1" x14ac:dyDescent="0.2">
      <c r="A949" s="57" t="s">
        <v>597</v>
      </c>
      <c r="B949" s="424"/>
      <c r="C949" s="425"/>
      <c r="D949" s="426"/>
      <c r="E949" s="419" t="s">
        <v>405</v>
      </c>
      <c r="F949" s="420"/>
      <c r="G949" s="64" t="s">
        <v>420</v>
      </c>
      <c r="H949" s="419" t="s">
        <v>459</v>
      </c>
      <c r="I949" s="420"/>
      <c r="K949" s="57" t="s">
        <v>597</v>
      </c>
      <c r="L949" s="57" t="s">
        <v>155</v>
      </c>
      <c r="S949" s="57">
        <v>0</v>
      </c>
    </row>
    <row r="950" spans="1:19" ht="11.85" customHeight="1" x14ac:dyDescent="0.2">
      <c r="A950" s="57" t="s">
        <v>597</v>
      </c>
      <c r="B950" s="424"/>
      <c r="C950" s="425"/>
      <c r="D950" s="426"/>
      <c r="E950" s="419" t="s">
        <v>460</v>
      </c>
      <c r="F950" s="420"/>
      <c r="G950" s="64" t="s">
        <v>461</v>
      </c>
      <c r="H950" s="419" t="s">
        <v>423</v>
      </c>
      <c r="I950" s="420"/>
      <c r="K950" s="57" t="s">
        <v>597</v>
      </c>
      <c r="L950" s="57" t="s">
        <v>155</v>
      </c>
      <c r="S950" s="65">
        <v>33.17</v>
      </c>
    </row>
    <row r="951" spans="1:19" ht="11.85" customHeight="1" x14ac:dyDescent="0.2">
      <c r="A951" s="57" t="s">
        <v>597</v>
      </c>
      <c r="B951" s="416"/>
      <c r="C951" s="417"/>
      <c r="D951" s="418"/>
      <c r="E951" s="419" t="s">
        <v>462</v>
      </c>
      <c r="F951" s="420"/>
      <c r="G951" s="64" t="s">
        <v>424</v>
      </c>
      <c r="H951" s="419" t="s">
        <v>463</v>
      </c>
      <c r="I951" s="420"/>
      <c r="K951" s="57" t="s">
        <v>597</v>
      </c>
      <c r="L951" s="57" t="s">
        <v>155</v>
      </c>
      <c r="S951" s="57">
        <v>0</v>
      </c>
    </row>
    <row r="952" spans="1:19" ht="11.1" customHeight="1" x14ac:dyDescent="0.2">
      <c r="A952" s="57" t="s">
        <v>597</v>
      </c>
      <c r="B952" s="62"/>
      <c r="C952" s="411" t="s">
        <v>598</v>
      </c>
      <c r="D952" s="412"/>
      <c r="E952" s="412"/>
      <c r="F952" s="412"/>
      <c r="G952" s="412"/>
      <c r="H952" s="412"/>
      <c r="I952" s="411"/>
      <c r="K952" s="57" t="s">
        <v>597</v>
      </c>
      <c r="L952" s="57" t="s">
        <v>155</v>
      </c>
      <c r="S952" s="57">
        <v>0</v>
      </c>
    </row>
    <row r="953" spans="1:19" ht="11.85" customHeight="1" x14ac:dyDescent="0.2">
      <c r="A953" s="57" t="s">
        <v>598</v>
      </c>
      <c r="B953" s="413" t="s">
        <v>416</v>
      </c>
      <c r="C953" s="414"/>
      <c r="D953" s="415"/>
      <c r="E953" s="419" t="s">
        <v>402</v>
      </c>
      <c r="F953" s="420"/>
      <c r="G953" s="64" t="s">
        <v>417</v>
      </c>
      <c r="H953" s="419" t="s">
        <v>457</v>
      </c>
      <c r="I953" s="420"/>
      <c r="K953" s="57" t="s">
        <v>598</v>
      </c>
      <c r="L953" s="57" t="s">
        <v>156</v>
      </c>
      <c r="S953" s="57">
        <v>0</v>
      </c>
    </row>
    <row r="954" spans="1:19" ht="11.85" customHeight="1" x14ac:dyDescent="0.2">
      <c r="A954" s="57" t="s">
        <v>598</v>
      </c>
      <c r="B954" s="424"/>
      <c r="C954" s="425"/>
      <c r="D954" s="426"/>
      <c r="E954" s="419" t="s">
        <v>403</v>
      </c>
      <c r="F954" s="420"/>
      <c r="G954" s="64" t="s">
        <v>417</v>
      </c>
      <c r="H954" s="419" t="s">
        <v>457</v>
      </c>
      <c r="I954" s="420"/>
      <c r="K954" s="57" t="s">
        <v>598</v>
      </c>
      <c r="L954" s="57" t="s">
        <v>156</v>
      </c>
      <c r="S954" s="57">
        <v>0</v>
      </c>
    </row>
    <row r="955" spans="1:19" ht="11.85" customHeight="1" x14ac:dyDescent="0.2">
      <c r="A955" s="57" t="s">
        <v>598</v>
      </c>
      <c r="B955" s="424"/>
      <c r="C955" s="425"/>
      <c r="D955" s="426"/>
      <c r="E955" s="419" t="s">
        <v>404</v>
      </c>
      <c r="F955" s="420"/>
      <c r="G955" s="64" t="s">
        <v>413</v>
      </c>
      <c r="H955" s="419" t="s">
        <v>458</v>
      </c>
      <c r="I955" s="420"/>
      <c r="K955" s="57" t="s">
        <v>598</v>
      </c>
      <c r="L955" s="57" t="s">
        <v>156</v>
      </c>
      <c r="S955" s="57">
        <v>0</v>
      </c>
    </row>
    <row r="956" spans="1:19" ht="11.1" customHeight="1" x14ac:dyDescent="0.2">
      <c r="A956" s="57" t="s">
        <v>598</v>
      </c>
      <c r="B956" s="424"/>
      <c r="C956" s="425"/>
      <c r="D956" s="426"/>
      <c r="E956" s="419" t="s">
        <v>405</v>
      </c>
      <c r="F956" s="420"/>
      <c r="G956" s="64" t="s">
        <v>420</v>
      </c>
      <c r="H956" s="419" t="s">
        <v>459</v>
      </c>
      <c r="I956" s="420"/>
      <c r="K956" s="57" t="s">
        <v>598</v>
      </c>
      <c r="L956" s="57" t="s">
        <v>156</v>
      </c>
      <c r="S956" s="57">
        <v>0</v>
      </c>
    </row>
    <row r="957" spans="1:19" ht="11.85" customHeight="1" x14ac:dyDescent="0.2">
      <c r="A957" s="57" t="s">
        <v>598</v>
      </c>
      <c r="B957" s="424"/>
      <c r="C957" s="425"/>
      <c r="D957" s="426"/>
      <c r="E957" s="419" t="s">
        <v>460</v>
      </c>
      <c r="F957" s="420"/>
      <c r="G957" s="64" t="s">
        <v>461</v>
      </c>
      <c r="H957" s="419" t="s">
        <v>423</v>
      </c>
      <c r="I957" s="420"/>
      <c r="K957" s="57" t="s">
        <v>598</v>
      </c>
      <c r="L957" s="57" t="s">
        <v>156</v>
      </c>
      <c r="S957" s="65">
        <v>33.17</v>
      </c>
    </row>
    <row r="958" spans="1:19" ht="11.85" customHeight="1" x14ac:dyDescent="0.2">
      <c r="A958" s="57" t="s">
        <v>598</v>
      </c>
      <c r="B958" s="416"/>
      <c r="C958" s="417"/>
      <c r="D958" s="418"/>
      <c r="E958" s="419" t="s">
        <v>462</v>
      </c>
      <c r="F958" s="420"/>
      <c r="G958" s="64" t="s">
        <v>424</v>
      </c>
      <c r="H958" s="419" t="s">
        <v>463</v>
      </c>
      <c r="I958" s="420"/>
      <c r="K958" s="57" t="s">
        <v>598</v>
      </c>
      <c r="L958" s="57" t="s">
        <v>156</v>
      </c>
      <c r="S958" s="57">
        <v>0</v>
      </c>
    </row>
    <row r="959" spans="1:19" ht="11.85" customHeight="1" x14ac:dyDescent="0.2">
      <c r="A959" s="57" t="s">
        <v>598</v>
      </c>
      <c r="B959" s="62"/>
      <c r="C959" s="411" t="s">
        <v>599</v>
      </c>
      <c r="D959" s="412"/>
      <c r="E959" s="412"/>
      <c r="F959" s="412"/>
      <c r="G959" s="412"/>
      <c r="H959" s="412"/>
      <c r="I959" s="411"/>
      <c r="K959" s="57" t="s">
        <v>598</v>
      </c>
      <c r="L959" s="57" t="s">
        <v>156</v>
      </c>
      <c r="S959" s="57">
        <v>0</v>
      </c>
    </row>
    <row r="960" spans="1:19" ht="11.1" customHeight="1" x14ac:dyDescent="0.2">
      <c r="A960" s="57" t="s">
        <v>599</v>
      </c>
      <c r="B960" s="413" t="s">
        <v>412</v>
      </c>
      <c r="C960" s="414"/>
      <c r="D960" s="415"/>
      <c r="E960" s="419" t="s">
        <v>400</v>
      </c>
      <c r="F960" s="420"/>
      <c r="G960" s="64" t="s">
        <v>413</v>
      </c>
      <c r="H960" s="419" t="s">
        <v>414</v>
      </c>
      <c r="I960" s="420"/>
      <c r="K960" s="57" t="s">
        <v>599</v>
      </c>
      <c r="L960" s="57" t="s">
        <v>157</v>
      </c>
      <c r="S960" s="57">
        <v>0</v>
      </c>
    </row>
    <row r="961" spans="1:19" ht="11.85" customHeight="1" x14ac:dyDescent="0.2">
      <c r="A961" s="57" t="s">
        <v>599</v>
      </c>
      <c r="B961" s="416"/>
      <c r="C961" s="417"/>
      <c r="D961" s="418"/>
      <c r="E961" s="419" t="s">
        <v>401</v>
      </c>
      <c r="F961" s="420"/>
      <c r="G961" s="64" t="s">
        <v>413</v>
      </c>
      <c r="H961" s="419" t="s">
        <v>415</v>
      </c>
      <c r="I961" s="420"/>
      <c r="K961" s="57" t="s">
        <v>599</v>
      </c>
      <c r="L961" s="57" t="s">
        <v>157</v>
      </c>
      <c r="S961" s="57">
        <v>0</v>
      </c>
    </row>
    <row r="962" spans="1:19" ht="11.85" customHeight="1" x14ac:dyDescent="0.2">
      <c r="A962" s="57" t="s">
        <v>599</v>
      </c>
      <c r="B962" s="413" t="s">
        <v>416</v>
      </c>
      <c r="C962" s="414"/>
      <c r="D962" s="415"/>
      <c r="E962" s="419" t="s">
        <v>402</v>
      </c>
      <c r="F962" s="420"/>
      <c r="G962" s="64" t="s">
        <v>417</v>
      </c>
      <c r="H962" s="419" t="s">
        <v>457</v>
      </c>
      <c r="I962" s="420"/>
      <c r="K962" s="57" t="s">
        <v>599</v>
      </c>
      <c r="L962" s="57" t="s">
        <v>157</v>
      </c>
      <c r="S962" s="57">
        <v>0</v>
      </c>
    </row>
    <row r="963" spans="1:19" ht="11.85" customHeight="1" x14ac:dyDescent="0.2">
      <c r="A963" s="57" t="s">
        <v>599</v>
      </c>
      <c r="B963" s="424"/>
      <c r="C963" s="425"/>
      <c r="D963" s="426"/>
      <c r="E963" s="419" t="s">
        <v>403</v>
      </c>
      <c r="F963" s="420"/>
      <c r="G963" s="64" t="s">
        <v>417</v>
      </c>
      <c r="H963" s="419" t="s">
        <v>457</v>
      </c>
      <c r="I963" s="420"/>
      <c r="K963" s="57" t="s">
        <v>599</v>
      </c>
      <c r="L963" s="57" t="s">
        <v>157</v>
      </c>
      <c r="S963" s="57">
        <v>0</v>
      </c>
    </row>
    <row r="964" spans="1:19" ht="11.1" customHeight="1" x14ac:dyDescent="0.2">
      <c r="A964" s="57" t="s">
        <v>599</v>
      </c>
      <c r="B964" s="424"/>
      <c r="C964" s="425"/>
      <c r="D964" s="426"/>
      <c r="E964" s="419" t="s">
        <v>404</v>
      </c>
      <c r="F964" s="420"/>
      <c r="G964" s="64" t="s">
        <v>413</v>
      </c>
      <c r="H964" s="419" t="s">
        <v>458</v>
      </c>
      <c r="I964" s="420"/>
      <c r="K964" s="57" t="s">
        <v>599</v>
      </c>
      <c r="L964" s="57" t="s">
        <v>157</v>
      </c>
      <c r="S964" s="57">
        <v>0</v>
      </c>
    </row>
    <row r="965" spans="1:19" ht="11.85" customHeight="1" x14ac:dyDescent="0.2">
      <c r="A965" s="57" t="s">
        <v>599</v>
      </c>
      <c r="B965" s="424"/>
      <c r="C965" s="425"/>
      <c r="D965" s="426"/>
      <c r="E965" s="419" t="s">
        <v>405</v>
      </c>
      <c r="F965" s="420"/>
      <c r="G965" s="64" t="s">
        <v>420</v>
      </c>
      <c r="H965" s="419" t="s">
        <v>459</v>
      </c>
      <c r="I965" s="420"/>
      <c r="K965" s="57" t="s">
        <v>599</v>
      </c>
      <c r="L965" s="57" t="s">
        <v>157</v>
      </c>
      <c r="S965" s="57">
        <v>0</v>
      </c>
    </row>
    <row r="966" spans="1:19" ht="11.85" customHeight="1" x14ac:dyDescent="0.2">
      <c r="A966" s="57" t="s">
        <v>599</v>
      </c>
      <c r="B966" s="424"/>
      <c r="C966" s="425"/>
      <c r="D966" s="426"/>
      <c r="E966" s="419" t="s">
        <v>460</v>
      </c>
      <c r="F966" s="420"/>
      <c r="G966" s="64" t="s">
        <v>461</v>
      </c>
      <c r="H966" s="419" t="s">
        <v>423</v>
      </c>
      <c r="I966" s="420"/>
      <c r="K966" s="57" t="s">
        <v>599</v>
      </c>
      <c r="L966" s="57" t="s">
        <v>157</v>
      </c>
      <c r="S966" s="65">
        <v>33.17</v>
      </c>
    </row>
    <row r="967" spans="1:19" ht="11.85" customHeight="1" x14ac:dyDescent="0.2">
      <c r="A967" s="57" t="s">
        <v>599</v>
      </c>
      <c r="B967" s="416"/>
      <c r="C967" s="417"/>
      <c r="D967" s="418"/>
      <c r="E967" s="419" t="s">
        <v>462</v>
      </c>
      <c r="F967" s="420"/>
      <c r="G967" s="64" t="s">
        <v>424</v>
      </c>
      <c r="H967" s="419" t="s">
        <v>463</v>
      </c>
      <c r="I967" s="420"/>
      <c r="K967" s="57" t="s">
        <v>599</v>
      </c>
      <c r="L967" s="57" t="s">
        <v>157</v>
      </c>
      <c r="S967" s="57">
        <v>0</v>
      </c>
    </row>
    <row r="968" spans="1:19" ht="11.1" customHeight="1" x14ac:dyDescent="0.2">
      <c r="A968" s="57" t="s">
        <v>599</v>
      </c>
      <c r="B968" s="413" t="s">
        <v>426</v>
      </c>
      <c r="C968" s="414"/>
      <c r="D968" s="415"/>
      <c r="E968" s="419" t="s">
        <v>408</v>
      </c>
      <c r="F968" s="420"/>
      <c r="G968" s="64" t="s">
        <v>420</v>
      </c>
      <c r="H968" s="419" t="s">
        <v>427</v>
      </c>
      <c r="I968" s="420"/>
      <c r="K968" s="57" t="s">
        <v>599</v>
      </c>
      <c r="L968" s="57" t="s">
        <v>157</v>
      </c>
      <c r="S968" s="57">
        <v>0</v>
      </c>
    </row>
    <row r="969" spans="1:19" ht="11.85" customHeight="1" x14ac:dyDescent="0.2">
      <c r="A969" s="57" t="s">
        <v>599</v>
      </c>
      <c r="B969" s="424"/>
      <c r="C969" s="425"/>
      <c r="D969" s="426"/>
      <c r="E969" s="419" t="s">
        <v>409</v>
      </c>
      <c r="F969" s="420"/>
      <c r="G969" s="64" t="s">
        <v>417</v>
      </c>
      <c r="H969" s="419" t="s">
        <v>428</v>
      </c>
      <c r="I969" s="420"/>
      <c r="K969" s="57" t="s">
        <v>599</v>
      </c>
      <c r="L969" s="57" t="s">
        <v>157</v>
      </c>
      <c r="S969" s="57">
        <v>0</v>
      </c>
    </row>
    <row r="970" spans="1:19" ht="11.85" customHeight="1" x14ac:dyDescent="0.2">
      <c r="A970" s="57" t="s">
        <v>599</v>
      </c>
      <c r="B970" s="416"/>
      <c r="C970" s="417"/>
      <c r="D970" s="418"/>
      <c r="E970" s="419" t="s">
        <v>410</v>
      </c>
      <c r="F970" s="420"/>
      <c r="G970" s="64" t="s">
        <v>417</v>
      </c>
      <c r="H970" s="419" t="s">
        <v>415</v>
      </c>
      <c r="I970" s="420"/>
      <c r="K970" s="57" t="s">
        <v>599</v>
      </c>
      <c r="L970" s="57" t="s">
        <v>157</v>
      </c>
      <c r="S970" s="57">
        <v>0</v>
      </c>
    </row>
    <row r="971" spans="1:19" ht="11.85" customHeight="1" x14ac:dyDescent="0.2">
      <c r="A971" s="57" t="s">
        <v>599</v>
      </c>
      <c r="B971" s="62"/>
      <c r="C971" s="411" t="s">
        <v>600</v>
      </c>
      <c r="D971" s="412"/>
      <c r="E971" s="412"/>
      <c r="F971" s="412"/>
      <c r="G971" s="412"/>
      <c r="H971" s="412"/>
      <c r="I971" s="411"/>
      <c r="K971" s="57" t="s">
        <v>599</v>
      </c>
      <c r="L971" s="57" t="s">
        <v>157</v>
      </c>
      <c r="S971" s="57">
        <v>0</v>
      </c>
    </row>
    <row r="972" spans="1:19" ht="11.1" customHeight="1" x14ac:dyDescent="0.2">
      <c r="A972" s="57" t="s">
        <v>600</v>
      </c>
      <c r="B972" s="413" t="s">
        <v>416</v>
      </c>
      <c r="C972" s="414"/>
      <c r="D972" s="415"/>
      <c r="E972" s="419" t="s">
        <v>402</v>
      </c>
      <c r="F972" s="420"/>
      <c r="G972" s="64" t="s">
        <v>417</v>
      </c>
      <c r="H972" s="419" t="s">
        <v>457</v>
      </c>
      <c r="I972" s="420"/>
      <c r="K972" s="57" t="s">
        <v>600</v>
      </c>
      <c r="L972" s="57" t="s">
        <v>158</v>
      </c>
      <c r="S972" s="57">
        <v>0</v>
      </c>
    </row>
    <row r="973" spans="1:19" ht="11.85" customHeight="1" x14ac:dyDescent="0.2">
      <c r="A973" s="57" t="s">
        <v>600</v>
      </c>
      <c r="B973" s="424"/>
      <c r="C973" s="425"/>
      <c r="D973" s="426"/>
      <c r="E973" s="419" t="s">
        <v>403</v>
      </c>
      <c r="F973" s="420"/>
      <c r="G973" s="64" t="s">
        <v>417</v>
      </c>
      <c r="H973" s="419" t="s">
        <v>457</v>
      </c>
      <c r="I973" s="420"/>
      <c r="K973" s="57" t="s">
        <v>600</v>
      </c>
      <c r="L973" s="57" t="s">
        <v>158</v>
      </c>
      <c r="S973" s="57">
        <v>0</v>
      </c>
    </row>
    <row r="974" spans="1:19" ht="11.85" customHeight="1" x14ac:dyDescent="0.2">
      <c r="A974" s="57" t="s">
        <v>600</v>
      </c>
      <c r="B974" s="424"/>
      <c r="C974" s="425"/>
      <c r="D974" s="426"/>
      <c r="E974" s="419" t="s">
        <v>404</v>
      </c>
      <c r="F974" s="420"/>
      <c r="G974" s="64" t="s">
        <v>413</v>
      </c>
      <c r="H974" s="419" t="s">
        <v>458</v>
      </c>
      <c r="I974" s="420"/>
      <c r="K974" s="57" t="s">
        <v>600</v>
      </c>
      <c r="L974" s="57" t="s">
        <v>158</v>
      </c>
      <c r="S974" s="57">
        <v>0</v>
      </c>
    </row>
    <row r="975" spans="1:19" ht="11.85" customHeight="1" x14ac:dyDescent="0.2">
      <c r="A975" s="57" t="s">
        <v>600</v>
      </c>
      <c r="B975" s="424"/>
      <c r="C975" s="425"/>
      <c r="D975" s="426"/>
      <c r="E975" s="419" t="s">
        <v>405</v>
      </c>
      <c r="F975" s="420"/>
      <c r="G975" s="64" t="s">
        <v>420</v>
      </c>
      <c r="H975" s="419" t="s">
        <v>459</v>
      </c>
      <c r="I975" s="420"/>
      <c r="K975" s="57" t="s">
        <v>600</v>
      </c>
      <c r="L975" s="57" t="s">
        <v>158</v>
      </c>
      <c r="S975" s="57">
        <v>0</v>
      </c>
    </row>
    <row r="976" spans="1:19" ht="11.1" customHeight="1" x14ac:dyDescent="0.2">
      <c r="A976" s="57" t="s">
        <v>600</v>
      </c>
      <c r="B976" s="424"/>
      <c r="C976" s="425"/>
      <c r="D976" s="426"/>
      <c r="E976" s="419" t="s">
        <v>460</v>
      </c>
      <c r="F976" s="420"/>
      <c r="G976" s="64" t="s">
        <v>461</v>
      </c>
      <c r="H976" s="419" t="s">
        <v>423</v>
      </c>
      <c r="I976" s="420"/>
      <c r="K976" s="57" t="s">
        <v>600</v>
      </c>
      <c r="L976" s="57" t="s">
        <v>158</v>
      </c>
      <c r="S976" s="65">
        <v>33.17</v>
      </c>
    </row>
    <row r="977" spans="1:19" ht="11.85" customHeight="1" x14ac:dyDescent="0.2">
      <c r="A977" s="57" t="s">
        <v>600</v>
      </c>
      <c r="B977" s="416"/>
      <c r="C977" s="417"/>
      <c r="D977" s="418"/>
      <c r="E977" s="419" t="s">
        <v>462</v>
      </c>
      <c r="F977" s="420"/>
      <c r="G977" s="64" t="s">
        <v>424</v>
      </c>
      <c r="H977" s="419" t="s">
        <v>463</v>
      </c>
      <c r="I977" s="420"/>
      <c r="K977" s="57" t="s">
        <v>600</v>
      </c>
      <c r="L977" s="57" t="s">
        <v>158</v>
      </c>
      <c r="S977" s="57">
        <v>0</v>
      </c>
    </row>
    <row r="978" spans="1:19" ht="11.85" customHeight="1" x14ac:dyDescent="0.2">
      <c r="A978" s="57" t="s">
        <v>600</v>
      </c>
      <c r="B978" s="413" t="s">
        <v>426</v>
      </c>
      <c r="C978" s="414"/>
      <c r="D978" s="415"/>
      <c r="E978" s="419" t="s">
        <v>408</v>
      </c>
      <c r="F978" s="420"/>
      <c r="G978" s="64" t="s">
        <v>420</v>
      </c>
      <c r="H978" s="419" t="s">
        <v>427</v>
      </c>
      <c r="I978" s="420"/>
      <c r="K978" s="57" t="s">
        <v>600</v>
      </c>
      <c r="L978" s="57" t="s">
        <v>158</v>
      </c>
      <c r="S978" s="57">
        <v>0</v>
      </c>
    </row>
    <row r="979" spans="1:19" ht="11.85" customHeight="1" x14ac:dyDescent="0.2">
      <c r="A979" s="57" t="s">
        <v>600</v>
      </c>
      <c r="B979" s="416"/>
      <c r="C979" s="417"/>
      <c r="D979" s="418"/>
      <c r="E979" s="419" t="s">
        <v>409</v>
      </c>
      <c r="F979" s="420"/>
      <c r="G979" s="64" t="s">
        <v>417</v>
      </c>
      <c r="H979" s="419" t="s">
        <v>428</v>
      </c>
      <c r="I979" s="420"/>
      <c r="K979" s="57" t="s">
        <v>600</v>
      </c>
      <c r="L979" s="57" t="s">
        <v>158</v>
      </c>
      <c r="S979" s="57">
        <v>0</v>
      </c>
    </row>
    <row r="980" spans="1:19" ht="11.1" customHeight="1" x14ac:dyDescent="0.2">
      <c r="A980" s="57" t="s">
        <v>600</v>
      </c>
      <c r="B980" s="62"/>
      <c r="C980" s="411" t="s">
        <v>601</v>
      </c>
      <c r="D980" s="412"/>
      <c r="E980" s="412"/>
      <c r="F980" s="412"/>
      <c r="G980" s="412"/>
      <c r="H980" s="412"/>
      <c r="I980" s="411"/>
      <c r="K980" s="57" t="s">
        <v>600</v>
      </c>
      <c r="L980" s="57" t="s">
        <v>158</v>
      </c>
      <c r="S980" s="57">
        <v>0</v>
      </c>
    </row>
    <row r="981" spans="1:19" ht="11.85" customHeight="1" x14ac:dyDescent="0.2">
      <c r="A981" s="57" t="s">
        <v>601</v>
      </c>
      <c r="B981" s="413" t="s">
        <v>416</v>
      </c>
      <c r="C981" s="414"/>
      <c r="D981" s="415"/>
      <c r="E981" s="419" t="s">
        <v>402</v>
      </c>
      <c r="F981" s="420"/>
      <c r="G981" s="64" t="s">
        <v>417</v>
      </c>
      <c r="H981" s="419" t="s">
        <v>457</v>
      </c>
      <c r="I981" s="420"/>
      <c r="K981" s="57" t="s">
        <v>601</v>
      </c>
      <c r="L981" s="57" t="s">
        <v>159</v>
      </c>
      <c r="S981" s="57">
        <v>0</v>
      </c>
    </row>
    <row r="982" spans="1:19" ht="11.85" customHeight="1" x14ac:dyDescent="0.2">
      <c r="A982" s="57" t="s">
        <v>601</v>
      </c>
      <c r="B982" s="424"/>
      <c r="C982" s="425"/>
      <c r="D982" s="426"/>
      <c r="E982" s="419" t="s">
        <v>403</v>
      </c>
      <c r="F982" s="420"/>
      <c r="G982" s="64" t="s">
        <v>417</v>
      </c>
      <c r="H982" s="419" t="s">
        <v>457</v>
      </c>
      <c r="I982" s="420"/>
      <c r="K982" s="57" t="s">
        <v>601</v>
      </c>
      <c r="L982" s="57" t="s">
        <v>159</v>
      </c>
      <c r="S982" s="57">
        <v>0</v>
      </c>
    </row>
    <row r="983" spans="1:19" ht="11.85" customHeight="1" x14ac:dyDescent="0.2">
      <c r="A983" s="57" t="s">
        <v>601</v>
      </c>
      <c r="B983" s="424"/>
      <c r="C983" s="425"/>
      <c r="D983" s="426"/>
      <c r="E983" s="419" t="s">
        <v>404</v>
      </c>
      <c r="F983" s="420"/>
      <c r="G983" s="64" t="s">
        <v>413</v>
      </c>
      <c r="H983" s="419" t="s">
        <v>458</v>
      </c>
      <c r="I983" s="420"/>
      <c r="K983" s="57" t="s">
        <v>601</v>
      </c>
      <c r="L983" s="57" t="s">
        <v>159</v>
      </c>
      <c r="S983" s="57">
        <v>0</v>
      </c>
    </row>
    <row r="984" spans="1:19" ht="11.1" customHeight="1" x14ac:dyDescent="0.2">
      <c r="A984" s="57" t="s">
        <v>601</v>
      </c>
      <c r="B984" s="424"/>
      <c r="C984" s="425"/>
      <c r="D984" s="426"/>
      <c r="E984" s="419" t="s">
        <v>405</v>
      </c>
      <c r="F984" s="420"/>
      <c r="G984" s="64" t="s">
        <v>420</v>
      </c>
      <c r="H984" s="419" t="s">
        <v>459</v>
      </c>
      <c r="I984" s="420"/>
      <c r="K984" s="57" t="s">
        <v>601</v>
      </c>
      <c r="L984" s="57" t="s">
        <v>159</v>
      </c>
      <c r="S984" s="57">
        <v>0</v>
      </c>
    </row>
    <row r="985" spans="1:19" ht="11.85" customHeight="1" x14ac:dyDescent="0.2">
      <c r="A985" s="57" t="s">
        <v>601</v>
      </c>
      <c r="B985" s="424"/>
      <c r="C985" s="425"/>
      <c r="D985" s="426"/>
      <c r="E985" s="419" t="s">
        <v>460</v>
      </c>
      <c r="F985" s="420"/>
      <c r="G985" s="64" t="s">
        <v>461</v>
      </c>
      <c r="H985" s="419" t="s">
        <v>423</v>
      </c>
      <c r="I985" s="420"/>
      <c r="K985" s="57" t="s">
        <v>601</v>
      </c>
      <c r="L985" s="57" t="s">
        <v>159</v>
      </c>
      <c r="S985" s="65">
        <v>33.17</v>
      </c>
    </row>
    <row r="986" spans="1:19" ht="11.85" customHeight="1" x14ac:dyDescent="0.2">
      <c r="A986" s="57" t="s">
        <v>601</v>
      </c>
      <c r="B986" s="416"/>
      <c r="C986" s="417"/>
      <c r="D986" s="418"/>
      <c r="E986" s="419" t="s">
        <v>462</v>
      </c>
      <c r="F986" s="420"/>
      <c r="G986" s="64" t="s">
        <v>424</v>
      </c>
      <c r="H986" s="419" t="s">
        <v>463</v>
      </c>
      <c r="I986" s="420"/>
      <c r="K986" s="57" t="s">
        <v>601</v>
      </c>
      <c r="L986" s="57" t="s">
        <v>159</v>
      </c>
      <c r="S986" s="57">
        <v>0</v>
      </c>
    </row>
    <row r="987" spans="1:19" ht="11.85" customHeight="1" x14ac:dyDescent="0.2">
      <c r="A987" s="57" t="s">
        <v>601</v>
      </c>
      <c r="B987" s="62"/>
      <c r="C987" s="411" t="s">
        <v>602</v>
      </c>
      <c r="D987" s="412"/>
      <c r="E987" s="412"/>
      <c r="F987" s="412"/>
      <c r="G987" s="412"/>
      <c r="H987" s="412"/>
      <c r="I987" s="411"/>
      <c r="K987" s="57" t="s">
        <v>601</v>
      </c>
      <c r="L987" s="57" t="s">
        <v>159</v>
      </c>
      <c r="S987" s="57">
        <v>0</v>
      </c>
    </row>
    <row r="988" spans="1:19" ht="11.1" customHeight="1" x14ac:dyDescent="0.2">
      <c r="A988" s="57" t="s">
        <v>602</v>
      </c>
      <c r="B988" s="413" t="s">
        <v>416</v>
      </c>
      <c r="C988" s="414"/>
      <c r="D988" s="415"/>
      <c r="E988" s="419" t="s">
        <v>402</v>
      </c>
      <c r="F988" s="420"/>
      <c r="G988" s="64" t="s">
        <v>417</v>
      </c>
      <c r="H988" s="419" t="s">
        <v>457</v>
      </c>
      <c r="I988" s="420"/>
      <c r="K988" s="57" t="s">
        <v>602</v>
      </c>
      <c r="L988" s="57" t="s">
        <v>160</v>
      </c>
      <c r="S988" s="57">
        <v>0</v>
      </c>
    </row>
    <row r="989" spans="1:19" ht="11.85" customHeight="1" x14ac:dyDescent="0.2">
      <c r="A989" s="57" t="s">
        <v>602</v>
      </c>
      <c r="B989" s="424"/>
      <c r="C989" s="425"/>
      <c r="D989" s="426"/>
      <c r="E989" s="419" t="s">
        <v>403</v>
      </c>
      <c r="F989" s="420"/>
      <c r="G989" s="64" t="s">
        <v>417</v>
      </c>
      <c r="H989" s="419" t="s">
        <v>457</v>
      </c>
      <c r="I989" s="420"/>
      <c r="K989" s="57" t="s">
        <v>602</v>
      </c>
      <c r="L989" s="57" t="s">
        <v>160</v>
      </c>
      <c r="S989" s="57">
        <v>0</v>
      </c>
    </row>
    <row r="990" spans="1:19" ht="11.85" customHeight="1" x14ac:dyDescent="0.2">
      <c r="A990" s="57" t="s">
        <v>602</v>
      </c>
      <c r="B990" s="424"/>
      <c r="C990" s="425"/>
      <c r="D990" s="426"/>
      <c r="E990" s="419" t="s">
        <v>404</v>
      </c>
      <c r="F990" s="420"/>
      <c r="G990" s="64" t="s">
        <v>413</v>
      </c>
      <c r="H990" s="419" t="s">
        <v>458</v>
      </c>
      <c r="I990" s="420"/>
      <c r="K990" s="57" t="s">
        <v>602</v>
      </c>
      <c r="L990" s="57" t="s">
        <v>160</v>
      </c>
      <c r="S990" s="57">
        <v>0</v>
      </c>
    </row>
    <row r="991" spans="1:19" ht="11.85" customHeight="1" x14ac:dyDescent="0.2">
      <c r="A991" s="57" t="s">
        <v>602</v>
      </c>
      <c r="B991" s="424"/>
      <c r="C991" s="425"/>
      <c r="D991" s="426"/>
      <c r="E991" s="419" t="s">
        <v>405</v>
      </c>
      <c r="F991" s="420"/>
      <c r="G991" s="64" t="s">
        <v>420</v>
      </c>
      <c r="H991" s="419" t="s">
        <v>459</v>
      </c>
      <c r="I991" s="420"/>
      <c r="K991" s="57" t="s">
        <v>602</v>
      </c>
      <c r="L991" s="57" t="s">
        <v>160</v>
      </c>
      <c r="S991" s="57">
        <v>0</v>
      </c>
    </row>
    <row r="992" spans="1:19" ht="11.1" customHeight="1" x14ac:dyDescent="0.2">
      <c r="A992" s="57" t="s">
        <v>602</v>
      </c>
      <c r="B992" s="424"/>
      <c r="C992" s="425"/>
      <c r="D992" s="426"/>
      <c r="E992" s="419" t="s">
        <v>460</v>
      </c>
      <c r="F992" s="420"/>
      <c r="G992" s="64" t="s">
        <v>461</v>
      </c>
      <c r="H992" s="419" t="s">
        <v>423</v>
      </c>
      <c r="I992" s="420"/>
      <c r="K992" s="57" t="s">
        <v>602</v>
      </c>
      <c r="L992" s="57" t="s">
        <v>160</v>
      </c>
      <c r="S992" s="65">
        <v>33.17</v>
      </c>
    </row>
    <row r="993" spans="1:19" ht="11.85" customHeight="1" x14ac:dyDescent="0.2">
      <c r="A993" s="57" t="s">
        <v>602</v>
      </c>
      <c r="B993" s="416"/>
      <c r="C993" s="417"/>
      <c r="D993" s="418"/>
      <c r="E993" s="419" t="s">
        <v>462</v>
      </c>
      <c r="F993" s="420"/>
      <c r="G993" s="64" t="s">
        <v>424</v>
      </c>
      <c r="H993" s="419" t="s">
        <v>463</v>
      </c>
      <c r="I993" s="420"/>
      <c r="K993" s="57" t="s">
        <v>602</v>
      </c>
      <c r="L993" s="57" t="s">
        <v>160</v>
      </c>
      <c r="S993" s="57">
        <v>0</v>
      </c>
    </row>
    <row r="994" spans="1:19" ht="11.85" customHeight="1" x14ac:dyDescent="0.2">
      <c r="A994" s="57" t="s">
        <v>602</v>
      </c>
      <c r="B994" s="62"/>
      <c r="C994" s="411" t="s">
        <v>603</v>
      </c>
      <c r="D994" s="412"/>
      <c r="E994" s="412"/>
      <c r="F994" s="412"/>
      <c r="G994" s="412"/>
      <c r="H994" s="412"/>
      <c r="I994" s="411"/>
      <c r="K994" s="57" t="s">
        <v>602</v>
      </c>
      <c r="L994" s="57" t="s">
        <v>160</v>
      </c>
      <c r="S994" s="57">
        <v>0</v>
      </c>
    </row>
    <row r="995" spans="1:19" ht="11.85" customHeight="1" x14ac:dyDescent="0.2">
      <c r="A995" s="57" t="s">
        <v>603</v>
      </c>
      <c r="B995" s="413" t="s">
        <v>412</v>
      </c>
      <c r="C995" s="414"/>
      <c r="D995" s="415"/>
      <c r="E995" s="419" t="s">
        <v>400</v>
      </c>
      <c r="F995" s="420"/>
      <c r="G995" s="64" t="s">
        <v>413</v>
      </c>
      <c r="H995" s="419" t="s">
        <v>414</v>
      </c>
      <c r="I995" s="420"/>
      <c r="K995" s="57" t="s">
        <v>603</v>
      </c>
      <c r="L995" s="57" t="s">
        <v>161</v>
      </c>
      <c r="S995" s="57">
        <v>0</v>
      </c>
    </row>
    <row r="996" spans="1:19" ht="11.1" customHeight="1" x14ac:dyDescent="0.2">
      <c r="A996" s="57" t="s">
        <v>603</v>
      </c>
      <c r="B996" s="416"/>
      <c r="C996" s="417"/>
      <c r="D996" s="418"/>
      <c r="E996" s="419" t="s">
        <v>401</v>
      </c>
      <c r="F996" s="420"/>
      <c r="G996" s="64" t="s">
        <v>413</v>
      </c>
      <c r="H996" s="419" t="s">
        <v>415</v>
      </c>
      <c r="I996" s="420"/>
      <c r="K996" s="57" t="s">
        <v>603</v>
      </c>
      <c r="L996" s="57" t="s">
        <v>161</v>
      </c>
      <c r="S996" s="57">
        <v>0</v>
      </c>
    </row>
    <row r="997" spans="1:19" ht="11.85" customHeight="1" x14ac:dyDescent="0.2">
      <c r="A997" s="57" t="s">
        <v>603</v>
      </c>
      <c r="B997" s="413" t="s">
        <v>416</v>
      </c>
      <c r="C997" s="414"/>
      <c r="D997" s="415"/>
      <c r="E997" s="419" t="s">
        <v>402</v>
      </c>
      <c r="F997" s="420"/>
      <c r="G997" s="64" t="s">
        <v>417</v>
      </c>
      <c r="H997" s="419" t="s">
        <v>457</v>
      </c>
      <c r="I997" s="420"/>
      <c r="K997" s="57" t="s">
        <v>603</v>
      </c>
      <c r="L997" s="57" t="s">
        <v>161</v>
      </c>
      <c r="S997" s="57">
        <v>0</v>
      </c>
    </row>
    <row r="998" spans="1:19" ht="11.85" customHeight="1" x14ac:dyDescent="0.2">
      <c r="A998" s="57" t="s">
        <v>603</v>
      </c>
      <c r="B998" s="424"/>
      <c r="C998" s="425"/>
      <c r="D998" s="426"/>
      <c r="E998" s="419" t="s">
        <v>403</v>
      </c>
      <c r="F998" s="420"/>
      <c r="G998" s="64" t="s">
        <v>417</v>
      </c>
      <c r="H998" s="419" t="s">
        <v>457</v>
      </c>
      <c r="I998" s="420"/>
      <c r="K998" s="57" t="s">
        <v>603</v>
      </c>
      <c r="L998" s="57" t="s">
        <v>161</v>
      </c>
      <c r="S998" s="57">
        <v>0</v>
      </c>
    </row>
    <row r="999" spans="1:19" ht="11.85" customHeight="1" x14ac:dyDescent="0.2">
      <c r="A999" s="57" t="s">
        <v>603</v>
      </c>
      <c r="B999" s="424"/>
      <c r="C999" s="425"/>
      <c r="D999" s="426"/>
      <c r="E999" s="419" t="s">
        <v>404</v>
      </c>
      <c r="F999" s="420"/>
      <c r="G999" s="64" t="s">
        <v>413</v>
      </c>
      <c r="H999" s="419" t="s">
        <v>458</v>
      </c>
      <c r="I999" s="420"/>
      <c r="K999" s="57" t="s">
        <v>603</v>
      </c>
      <c r="L999" s="57" t="s">
        <v>161</v>
      </c>
      <c r="S999" s="57">
        <v>0</v>
      </c>
    </row>
    <row r="1000" spans="1:19" ht="11.1" customHeight="1" x14ac:dyDescent="0.2">
      <c r="A1000" s="57" t="s">
        <v>603</v>
      </c>
      <c r="B1000" s="424"/>
      <c r="C1000" s="425"/>
      <c r="D1000" s="426"/>
      <c r="E1000" s="419" t="s">
        <v>405</v>
      </c>
      <c r="F1000" s="420"/>
      <c r="G1000" s="64" t="s">
        <v>420</v>
      </c>
      <c r="H1000" s="419" t="s">
        <v>459</v>
      </c>
      <c r="I1000" s="420"/>
      <c r="K1000" s="57" t="s">
        <v>603</v>
      </c>
      <c r="L1000" s="57" t="s">
        <v>161</v>
      </c>
      <c r="S1000" s="57">
        <v>0</v>
      </c>
    </row>
    <row r="1001" spans="1:19" ht="11.85" customHeight="1" x14ac:dyDescent="0.2">
      <c r="A1001" s="57" t="s">
        <v>603</v>
      </c>
      <c r="B1001" s="424"/>
      <c r="C1001" s="425"/>
      <c r="D1001" s="426"/>
      <c r="E1001" s="419" t="s">
        <v>460</v>
      </c>
      <c r="F1001" s="420"/>
      <c r="G1001" s="64" t="s">
        <v>461</v>
      </c>
      <c r="H1001" s="419" t="s">
        <v>423</v>
      </c>
      <c r="I1001" s="420"/>
      <c r="K1001" s="57" t="s">
        <v>603</v>
      </c>
      <c r="L1001" s="57" t="s">
        <v>161</v>
      </c>
      <c r="S1001" s="65">
        <v>33.17</v>
      </c>
    </row>
    <row r="1002" spans="1:19" ht="11.85" customHeight="1" x14ac:dyDescent="0.2">
      <c r="A1002" s="57" t="s">
        <v>603</v>
      </c>
      <c r="B1002" s="416"/>
      <c r="C1002" s="417"/>
      <c r="D1002" s="418"/>
      <c r="E1002" s="419" t="s">
        <v>462</v>
      </c>
      <c r="F1002" s="420"/>
      <c r="G1002" s="64" t="s">
        <v>424</v>
      </c>
      <c r="H1002" s="419" t="s">
        <v>463</v>
      </c>
      <c r="I1002" s="420"/>
      <c r="K1002" s="57" t="s">
        <v>603</v>
      </c>
      <c r="L1002" s="57" t="s">
        <v>161</v>
      </c>
      <c r="S1002" s="57">
        <v>0</v>
      </c>
    </row>
    <row r="1003" spans="1:19" ht="11.85" customHeight="1" x14ac:dyDescent="0.2">
      <c r="A1003" s="57" t="s">
        <v>603</v>
      </c>
      <c r="B1003" s="413" t="s">
        <v>426</v>
      </c>
      <c r="C1003" s="414"/>
      <c r="D1003" s="415"/>
      <c r="E1003" s="419" t="s">
        <v>408</v>
      </c>
      <c r="F1003" s="420"/>
      <c r="G1003" s="64" t="s">
        <v>420</v>
      </c>
      <c r="H1003" s="419" t="s">
        <v>427</v>
      </c>
      <c r="I1003" s="420"/>
      <c r="K1003" s="57" t="s">
        <v>603</v>
      </c>
      <c r="L1003" s="57" t="s">
        <v>161</v>
      </c>
      <c r="S1003" s="57">
        <v>0</v>
      </c>
    </row>
    <row r="1004" spans="1:19" ht="11.1" customHeight="1" x14ac:dyDescent="0.2">
      <c r="A1004" s="57" t="s">
        <v>603</v>
      </c>
      <c r="B1004" s="424"/>
      <c r="C1004" s="425"/>
      <c r="D1004" s="426"/>
      <c r="E1004" s="419" t="s">
        <v>409</v>
      </c>
      <c r="F1004" s="420"/>
      <c r="G1004" s="64" t="s">
        <v>417</v>
      </c>
      <c r="H1004" s="419" t="s">
        <v>428</v>
      </c>
      <c r="I1004" s="420"/>
      <c r="K1004" s="57" t="s">
        <v>603</v>
      </c>
      <c r="L1004" s="57" t="s">
        <v>161</v>
      </c>
      <c r="S1004" s="57">
        <v>0</v>
      </c>
    </row>
    <row r="1005" spans="1:19" ht="11.85" customHeight="1" x14ac:dyDescent="0.2">
      <c r="A1005" s="57" t="s">
        <v>603</v>
      </c>
      <c r="B1005" s="416"/>
      <c r="C1005" s="417"/>
      <c r="D1005" s="418"/>
      <c r="E1005" s="419" t="s">
        <v>410</v>
      </c>
      <c r="F1005" s="420"/>
      <c r="G1005" s="64" t="s">
        <v>417</v>
      </c>
      <c r="H1005" s="419" t="s">
        <v>415</v>
      </c>
      <c r="I1005" s="420"/>
      <c r="K1005" s="57" t="s">
        <v>603</v>
      </c>
      <c r="L1005" s="57" t="s">
        <v>161</v>
      </c>
      <c r="S1005" s="57">
        <v>0</v>
      </c>
    </row>
    <row r="1006" spans="1:19" ht="11.85" customHeight="1" x14ac:dyDescent="0.2">
      <c r="A1006" s="57" t="s">
        <v>603</v>
      </c>
      <c r="B1006" s="62"/>
      <c r="C1006" s="411" t="s">
        <v>604</v>
      </c>
      <c r="D1006" s="412"/>
      <c r="E1006" s="412"/>
      <c r="F1006" s="412"/>
      <c r="G1006" s="412"/>
      <c r="H1006" s="412"/>
      <c r="I1006" s="411"/>
      <c r="K1006" s="57" t="s">
        <v>603</v>
      </c>
      <c r="L1006" s="57" t="s">
        <v>161</v>
      </c>
      <c r="S1006" s="57">
        <v>0</v>
      </c>
    </row>
    <row r="1007" spans="1:19" ht="11.85" customHeight="1" x14ac:dyDescent="0.2">
      <c r="A1007" s="57" t="s">
        <v>604</v>
      </c>
      <c r="B1007" s="413" t="s">
        <v>416</v>
      </c>
      <c r="C1007" s="427"/>
      <c r="D1007" s="428"/>
      <c r="E1007" s="419" t="s">
        <v>402</v>
      </c>
      <c r="F1007" s="420"/>
      <c r="G1007" s="64" t="s">
        <v>417</v>
      </c>
      <c r="H1007" s="419" t="s">
        <v>418</v>
      </c>
      <c r="I1007" s="420"/>
      <c r="K1007" s="57" t="s">
        <v>604</v>
      </c>
      <c r="L1007" s="57" t="s">
        <v>162</v>
      </c>
      <c r="S1007" s="57">
        <v>0</v>
      </c>
    </row>
    <row r="1008" spans="1:19" ht="11.85" customHeight="1" x14ac:dyDescent="0.2">
      <c r="A1008" s="57" t="s">
        <v>604</v>
      </c>
      <c r="B1008" s="413" t="s">
        <v>416</v>
      </c>
      <c r="C1008" s="414"/>
      <c r="D1008" s="415"/>
      <c r="E1008" s="419" t="s">
        <v>403</v>
      </c>
      <c r="F1008" s="420"/>
      <c r="G1008" s="64" t="s">
        <v>417</v>
      </c>
      <c r="H1008" s="419" t="s">
        <v>418</v>
      </c>
      <c r="I1008" s="420"/>
      <c r="K1008" s="57" t="s">
        <v>604</v>
      </c>
      <c r="L1008" s="57" t="s">
        <v>162</v>
      </c>
      <c r="S1008" s="57">
        <v>0</v>
      </c>
    </row>
    <row r="1009" spans="1:19" ht="11.85" customHeight="1" x14ac:dyDescent="0.2">
      <c r="A1009" s="57" t="s">
        <v>604</v>
      </c>
      <c r="B1009" s="424"/>
      <c r="C1009" s="425"/>
      <c r="D1009" s="426"/>
      <c r="E1009" s="419" t="s">
        <v>404</v>
      </c>
      <c r="F1009" s="420"/>
      <c r="G1009" s="64" t="s">
        <v>413</v>
      </c>
      <c r="H1009" s="419" t="s">
        <v>419</v>
      </c>
      <c r="I1009" s="420"/>
      <c r="K1009" s="57" t="s">
        <v>604</v>
      </c>
      <c r="L1009" s="57" t="s">
        <v>162</v>
      </c>
      <c r="S1009" s="57">
        <v>0</v>
      </c>
    </row>
    <row r="1010" spans="1:19" ht="11.85" customHeight="1" x14ac:dyDescent="0.2">
      <c r="A1010" s="57" t="s">
        <v>604</v>
      </c>
      <c r="B1010" s="424"/>
      <c r="C1010" s="425"/>
      <c r="D1010" s="426"/>
      <c r="E1010" s="419" t="s">
        <v>405</v>
      </c>
      <c r="F1010" s="420"/>
      <c r="G1010" s="64" t="s">
        <v>420</v>
      </c>
      <c r="H1010" s="419" t="s">
        <v>421</v>
      </c>
      <c r="I1010" s="420"/>
      <c r="K1010" s="57" t="s">
        <v>604</v>
      </c>
      <c r="L1010" s="57" t="s">
        <v>162</v>
      </c>
      <c r="S1010" s="57">
        <v>0</v>
      </c>
    </row>
    <row r="1011" spans="1:19" ht="11.1" customHeight="1" x14ac:dyDescent="0.2">
      <c r="A1011" s="57" t="s">
        <v>604</v>
      </c>
      <c r="B1011" s="424"/>
      <c r="C1011" s="425"/>
      <c r="D1011" s="426"/>
      <c r="E1011" s="419" t="s">
        <v>406</v>
      </c>
      <c r="F1011" s="420"/>
      <c r="G1011" s="64" t="s">
        <v>422</v>
      </c>
      <c r="H1011" s="419" t="s">
        <v>423</v>
      </c>
      <c r="I1011" s="420"/>
      <c r="K1011" s="57" t="s">
        <v>604</v>
      </c>
      <c r="L1011" s="57" t="s">
        <v>162</v>
      </c>
      <c r="S1011" s="65">
        <v>48.44</v>
      </c>
    </row>
    <row r="1012" spans="1:19" ht="11.85" customHeight="1" x14ac:dyDescent="0.2">
      <c r="A1012" s="57" t="s">
        <v>604</v>
      </c>
      <c r="B1012" s="416"/>
      <c r="C1012" s="417"/>
      <c r="D1012" s="418"/>
      <c r="E1012" s="419" t="s">
        <v>407</v>
      </c>
      <c r="F1012" s="420"/>
      <c r="G1012" s="64" t="s">
        <v>424</v>
      </c>
      <c r="H1012" s="419" t="s">
        <v>425</v>
      </c>
      <c r="I1012" s="420"/>
      <c r="K1012" s="57" t="s">
        <v>604</v>
      </c>
      <c r="L1012" s="57" t="s">
        <v>162</v>
      </c>
      <c r="S1012" s="57">
        <v>0</v>
      </c>
    </row>
    <row r="1013" spans="1:19" ht="11.85" customHeight="1" x14ac:dyDescent="0.2">
      <c r="A1013" s="57" t="s">
        <v>604</v>
      </c>
      <c r="B1013" s="62"/>
      <c r="C1013" s="411" t="s">
        <v>605</v>
      </c>
      <c r="D1013" s="412"/>
      <c r="E1013" s="412"/>
      <c r="F1013" s="412"/>
      <c r="G1013" s="412"/>
      <c r="H1013" s="412"/>
      <c r="I1013" s="411"/>
      <c r="K1013" s="57" t="s">
        <v>604</v>
      </c>
      <c r="L1013" s="57" t="s">
        <v>162</v>
      </c>
      <c r="S1013" s="57">
        <v>0</v>
      </c>
    </row>
    <row r="1014" spans="1:19" ht="11.85" customHeight="1" x14ac:dyDescent="0.2">
      <c r="A1014" s="57" t="s">
        <v>605</v>
      </c>
      <c r="B1014" s="413" t="s">
        <v>416</v>
      </c>
      <c r="C1014" s="414"/>
      <c r="D1014" s="415"/>
      <c r="E1014" s="419" t="s">
        <v>402</v>
      </c>
      <c r="F1014" s="420"/>
      <c r="G1014" s="64" t="s">
        <v>417</v>
      </c>
      <c r="H1014" s="419" t="s">
        <v>418</v>
      </c>
      <c r="I1014" s="420"/>
      <c r="K1014" s="57" t="s">
        <v>605</v>
      </c>
      <c r="L1014" s="57" t="s">
        <v>163</v>
      </c>
      <c r="S1014" s="57">
        <v>0</v>
      </c>
    </row>
    <row r="1015" spans="1:19" ht="11.1" customHeight="1" x14ac:dyDescent="0.2">
      <c r="A1015" s="57" t="s">
        <v>605</v>
      </c>
      <c r="B1015" s="424"/>
      <c r="C1015" s="425"/>
      <c r="D1015" s="426"/>
      <c r="E1015" s="419" t="s">
        <v>403</v>
      </c>
      <c r="F1015" s="420"/>
      <c r="G1015" s="64" t="s">
        <v>417</v>
      </c>
      <c r="H1015" s="419" t="s">
        <v>418</v>
      </c>
      <c r="I1015" s="420"/>
      <c r="K1015" s="57" t="s">
        <v>605</v>
      </c>
      <c r="L1015" s="57" t="s">
        <v>163</v>
      </c>
      <c r="S1015" s="57">
        <v>0</v>
      </c>
    </row>
    <row r="1016" spans="1:19" ht="11.85" customHeight="1" x14ac:dyDescent="0.2">
      <c r="A1016" s="57" t="s">
        <v>605</v>
      </c>
      <c r="B1016" s="424"/>
      <c r="C1016" s="425"/>
      <c r="D1016" s="426"/>
      <c r="E1016" s="419" t="s">
        <v>404</v>
      </c>
      <c r="F1016" s="420"/>
      <c r="G1016" s="64" t="s">
        <v>413</v>
      </c>
      <c r="H1016" s="419" t="s">
        <v>419</v>
      </c>
      <c r="I1016" s="420"/>
      <c r="K1016" s="57" t="s">
        <v>605</v>
      </c>
      <c r="L1016" s="57" t="s">
        <v>163</v>
      </c>
      <c r="S1016" s="57">
        <v>0</v>
      </c>
    </row>
    <row r="1017" spans="1:19" ht="11.85" customHeight="1" x14ac:dyDescent="0.2">
      <c r="A1017" s="57" t="s">
        <v>605</v>
      </c>
      <c r="B1017" s="424"/>
      <c r="C1017" s="425"/>
      <c r="D1017" s="426"/>
      <c r="E1017" s="419" t="s">
        <v>405</v>
      </c>
      <c r="F1017" s="420"/>
      <c r="G1017" s="64" t="s">
        <v>420</v>
      </c>
      <c r="H1017" s="419" t="s">
        <v>421</v>
      </c>
      <c r="I1017" s="420"/>
      <c r="K1017" s="57" t="s">
        <v>605</v>
      </c>
      <c r="L1017" s="57" t="s">
        <v>163</v>
      </c>
      <c r="S1017" s="57">
        <v>0</v>
      </c>
    </row>
    <row r="1018" spans="1:19" ht="11.85" customHeight="1" x14ac:dyDescent="0.2">
      <c r="A1018" s="57" t="s">
        <v>605</v>
      </c>
      <c r="B1018" s="424"/>
      <c r="C1018" s="425"/>
      <c r="D1018" s="426"/>
      <c r="E1018" s="419" t="s">
        <v>406</v>
      </c>
      <c r="F1018" s="420"/>
      <c r="G1018" s="64" t="s">
        <v>422</v>
      </c>
      <c r="H1018" s="419" t="s">
        <v>423</v>
      </c>
      <c r="I1018" s="420"/>
      <c r="K1018" s="57" t="s">
        <v>605</v>
      </c>
      <c r="L1018" s="57" t="s">
        <v>163</v>
      </c>
      <c r="S1018" s="65">
        <v>48.44</v>
      </c>
    </row>
    <row r="1019" spans="1:19" ht="11.1" customHeight="1" x14ac:dyDescent="0.2">
      <c r="A1019" s="57" t="s">
        <v>605</v>
      </c>
      <c r="B1019" s="416"/>
      <c r="C1019" s="417"/>
      <c r="D1019" s="418"/>
      <c r="E1019" s="419" t="s">
        <v>407</v>
      </c>
      <c r="F1019" s="420"/>
      <c r="G1019" s="64" t="s">
        <v>424</v>
      </c>
      <c r="H1019" s="419" t="s">
        <v>425</v>
      </c>
      <c r="I1019" s="420"/>
      <c r="K1019" s="57" t="s">
        <v>605</v>
      </c>
      <c r="L1019" s="57" t="s">
        <v>163</v>
      </c>
      <c r="S1019" s="57">
        <v>0</v>
      </c>
    </row>
    <row r="1020" spans="1:19" ht="11.85" customHeight="1" x14ac:dyDescent="0.2">
      <c r="A1020" s="57" t="s">
        <v>605</v>
      </c>
      <c r="B1020" s="62"/>
      <c r="C1020" s="411" t="s">
        <v>606</v>
      </c>
      <c r="D1020" s="412"/>
      <c r="E1020" s="412"/>
      <c r="F1020" s="412"/>
      <c r="G1020" s="412"/>
      <c r="H1020" s="412"/>
      <c r="I1020" s="411"/>
      <c r="K1020" s="57" t="s">
        <v>605</v>
      </c>
      <c r="L1020" s="57" t="s">
        <v>163</v>
      </c>
      <c r="S1020" s="57">
        <v>0</v>
      </c>
    </row>
    <row r="1021" spans="1:19" ht="11.85" customHeight="1" x14ac:dyDescent="0.2">
      <c r="A1021" s="57" t="s">
        <v>606</v>
      </c>
      <c r="B1021" s="413" t="s">
        <v>412</v>
      </c>
      <c r="C1021" s="414"/>
      <c r="D1021" s="415"/>
      <c r="E1021" s="419" t="s">
        <v>400</v>
      </c>
      <c r="F1021" s="420"/>
      <c r="G1021" s="64" t="s">
        <v>413</v>
      </c>
      <c r="H1021" s="419" t="s">
        <v>414</v>
      </c>
      <c r="I1021" s="420"/>
      <c r="K1021" s="57" t="s">
        <v>606</v>
      </c>
      <c r="L1021" s="57" t="s">
        <v>164</v>
      </c>
      <c r="S1021" s="57">
        <v>0</v>
      </c>
    </row>
    <row r="1022" spans="1:19" ht="11.85" customHeight="1" x14ac:dyDescent="0.2">
      <c r="A1022" s="57" t="s">
        <v>606</v>
      </c>
      <c r="B1022" s="416"/>
      <c r="C1022" s="417"/>
      <c r="D1022" s="418"/>
      <c r="E1022" s="419" t="s">
        <v>401</v>
      </c>
      <c r="F1022" s="420"/>
      <c r="G1022" s="64" t="s">
        <v>413</v>
      </c>
      <c r="H1022" s="419" t="s">
        <v>415</v>
      </c>
      <c r="I1022" s="420"/>
      <c r="K1022" s="57" t="s">
        <v>606</v>
      </c>
      <c r="L1022" s="57" t="s">
        <v>164</v>
      </c>
      <c r="S1022" s="57">
        <v>0</v>
      </c>
    </row>
    <row r="1023" spans="1:19" ht="11.1" customHeight="1" x14ac:dyDescent="0.2">
      <c r="A1023" s="57" t="s">
        <v>606</v>
      </c>
      <c r="B1023" s="413" t="s">
        <v>416</v>
      </c>
      <c r="C1023" s="414"/>
      <c r="D1023" s="415"/>
      <c r="E1023" s="419" t="s">
        <v>402</v>
      </c>
      <c r="F1023" s="420"/>
      <c r="G1023" s="64" t="s">
        <v>417</v>
      </c>
      <c r="H1023" s="419" t="s">
        <v>418</v>
      </c>
      <c r="I1023" s="420"/>
      <c r="K1023" s="57" t="s">
        <v>606</v>
      </c>
      <c r="L1023" s="57" t="s">
        <v>164</v>
      </c>
      <c r="S1023" s="57">
        <v>0</v>
      </c>
    </row>
    <row r="1024" spans="1:19" ht="11.85" customHeight="1" x14ac:dyDescent="0.2">
      <c r="A1024" s="57" t="s">
        <v>606</v>
      </c>
      <c r="B1024" s="424"/>
      <c r="C1024" s="425"/>
      <c r="D1024" s="426"/>
      <c r="E1024" s="419" t="s">
        <v>403</v>
      </c>
      <c r="F1024" s="420"/>
      <c r="G1024" s="64" t="s">
        <v>417</v>
      </c>
      <c r="H1024" s="419" t="s">
        <v>418</v>
      </c>
      <c r="I1024" s="420"/>
      <c r="K1024" s="57" t="s">
        <v>606</v>
      </c>
      <c r="L1024" s="57" t="s">
        <v>164</v>
      </c>
      <c r="S1024" s="57">
        <v>0</v>
      </c>
    </row>
    <row r="1025" spans="1:19" ht="11.85" customHeight="1" x14ac:dyDescent="0.2">
      <c r="A1025" s="57" t="s">
        <v>606</v>
      </c>
      <c r="B1025" s="424"/>
      <c r="C1025" s="425"/>
      <c r="D1025" s="426"/>
      <c r="E1025" s="419" t="s">
        <v>404</v>
      </c>
      <c r="F1025" s="420"/>
      <c r="G1025" s="64" t="s">
        <v>413</v>
      </c>
      <c r="H1025" s="419" t="s">
        <v>419</v>
      </c>
      <c r="I1025" s="420"/>
      <c r="K1025" s="57" t="s">
        <v>606</v>
      </c>
      <c r="L1025" s="57" t="s">
        <v>164</v>
      </c>
      <c r="S1025" s="57">
        <v>0</v>
      </c>
    </row>
    <row r="1026" spans="1:19" ht="11.85" customHeight="1" x14ac:dyDescent="0.2">
      <c r="A1026" s="57" t="s">
        <v>606</v>
      </c>
      <c r="B1026" s="424"/>
      <c r="C1026" s="425"/>
      <c r="D1026" s="426"/>
      <c r="E1026" s="419" t="s">
        <v>405</v>
      </c>
      <c r="F1026" s="420"/>
      <c r="G1026" s="64" t="s">
        <v>420</v>
      </c>
      <c r="H1026" s="419" t="s">
        <v>421</v>
      </c>
      <c r="I1026" s="420"/>
      <c r="K1026" s="57" t="s">
        <v>606</v>
      </c>
      <c r="L1026" s="57" t="s">
        <v>164</v>
      </c>
      <c r="S1026" s="57">
        <v>0</v>
      </c>
    </row>
    <row r="1027" spans="1:19" ht="11.1" customHeight="1" x14ac:dyDescent="0.2">
      <c r="A1027" s="57" t="s">
        <v>606</v>
      </c>
      <c r="B1027" s="424"/>
      <c r="C1027" s="425"/>
      <c r="D1027" s="426"/>
      <c r="E1027" s="419" t="s">
        <v>406</v>
      </c>
      <c r="F1027" s="420"/>
      <c r="G1027" s="64" t="s">
        <v>422</v>
      </c>
      <c r="H1027" s="419" t="s">
        <v>423</v>
      </c>
      <c r="I1027" s="420"/>
      <c r="K1027" s="57" t="s">
        <v>606</v>
      </c>
      <c r="L1027" s="57" t="s">
        <v>164</v>
      </c>
      <c r="S1027" s="65">
        <v>48.44</v>
      </c>
    </row>
    <row r="1028" spans="1:19" ht="11.85" customHeight="1" x14ac:dyDescent="0.2">
      <c r="A1028" s="57" t="s">
        <v>606</v>
      </c>
      <c r="B1028" s="416"/>
      <c r="C1028" s="417"/>
      <c r="D1028" s="418"/>
      <c r="E1028" s="419" t="s">
        <v>407</v>
      </c>
      <c r="F1028" s="420"/>
      <c r="G1028" s="64" t="s">
        <v>424</v>
      </c>
      <c r="H1028" s="419" t="s">
        <v>425</v>
      </c>
      <c r="I1028" s="420"/>
      <c r="K1028" s="57" t="s">
        <v>606</v>
      </c>
      <c r="L1028" s="57" t="s">
        <v>164</v>
      </c>
      <c r="S1028" s="57">
        <v>0</v>
      </c>
    </row>
    <row r="1029" spans="1:19" ht="11.85" customHeight="1" x14ac:dyDescent="0.2">
      <c r="A1029" s="57" t="s">
        <v>606</v>
      </c>
      <c r="B1029" s="413" t="s">
        <v>426</v>
      </c>
      <c r="C1029" s="414"/>
      <c r="D1029" s="415"/>
      <c r="E1029" s="419" t="s">
        <v>408</v>
      </c>
      <c r="F1029" s="420"/>
      <c r="G1029" s="64" t="s">
        <v>420</v>
      </c>
      <c r="H1029" s="419" t="s">
        <v>427</v>
      </c>
      <c r="I1029" s="420"/>
      <c r="K1029" s="57" t="s">
        <v>606</v>
      </c>
      <c r="L1029" s="57" t="s">
        <v>164</v>
      </c>
      <c r="S1029" s="57">
        <v>0</v>
      </c>
    </row>
    <row r="1030" spans="1:19" ht="11.85" customHeight="1" x14ac:dyDescent="0.2">
      <c r="A1030" s="57" t="s">
        <v>606</v>
      </c>
      <c r="B1030" s="424"/>
      <c r="C1030" s="425"/>
      <c r="D1030" s="426"/>
      <c r="E1030" s="419" t="s">
        <v>409</v>
      </c>
      <c r="F1030" s="420"/>
      <c r="G1030" s="64" t="s">
        <v>417</v>
      </c>
      <c r="H1030" s="419" t="s">
        <v>428</v>
      </c>
      <c r="I1030" s="420"/>
      <c r="K1030" s="57" t="s">
        <v>606</v>
      </c>
      <c r="L1030" s="57" t="s">
        <v>164</v>
      </c>
      <c r="S1030" s="57">
        <v>0</v>
      </c>
    </row>
    <row r="1031" spans="1:19" ht="11.1" customHeight="1" x14ac:dyDescent="0.2">
      <c r="A1031" s="57" t="s">
        <v>606</v>
      </c>
      <c r="B1031" s="416"/>
      <c r="C1031" s="417"/>
      <c r="D1031" s="418"/>
      <c r="E1031" s="419" t="s">
        <v>410</v>
      </c>
      <c r="F1031" s="420"/>
      <c r="G1031" s="64" t="s">
        <v>417</v>
      </c>
      <c r="H1031" s="419" t="s">
        <v>415</v>
      </c>
      <c r="I1031" s="420"/>
      <c r="K1031" s="57" t="s">
        <v>606</v>
      </c>
      <c r="L1031" s="57" t="s">
        <v>164</v>
      </c>
      <c r="S1031" s="57">
        <v>0</v>
      </c>
    </row>
    <row r="1032" spans="1:19" ht="11.85" customHeight="1" x14ac:dyDescent="0.2">
      <c r="A1032" s="57" t="s">
        <v>606</v>
      </c>
      <c r="B1032" s="62"/>
      <c r="C1032" s="411" t="s">
        <v>607</v>
      </c>
      <c r="D1032" s="412"/>
      <c r="E1032" s="412"/>
      <c r="F1032" s="412"/>
      <c r="G1032" s="412"/>
      <c r="H1032" s="412"/>
      <c r="I1032" s="411"/>
      <c r="K1032" s="57" t="s">
        <v>606</v>
      </c>
      <c r="L1032" s="57" t="s">
        <v>164</v>
      </c>
      <c r="S1032" s="57">
        <v>0</v>
      </c>
    </row>
    <row r="1033" spans="1:19" ht="11.85" customHeight="1" x14ac:dyDescent="0.2">
      <c r="A1033" s="57" t="s">
        <v>607</v>
      </c>
      <c r="B1033" s="413" t="s">
        <v>412</v>
      </c>
      <c r="C1033" s="414"/>
      <c r="D1033" s="415"/>
      <c r="E1033" s="419" t="s">
        <v>400</v>
      </c>
      <c r="F1033" s="420"/>
      <c r="G1033" s="64" t="s">
        <v>413</v>
      </c>
      <c r="H1033" s="419" t="s">
        <v>414</v>
      </c>
      <c r="I1033" s="420"/>
      <c r="K1033" s="57" t="s">
        <v>607</v>
      </c>
      <c r="L1033" s="57" t="s">
        <v>165</v>
      </c>
      <c r="S1033" s="57">
        <v>0</v>
      </c>
    </row>
    <row r="1034" spans="1:19" ht="11.85" customHeight="1" x14ac:dyDescent="0.2">
      <c r="A1034" s="57" t="s">
        <v>607</v>
      </c>
      <c r="B1034" s="416"/>
      <c r="C1034" s="417"/>
      <c r="D1034" s="418"/>
      <c r="E1034" s="419" t="s">
        <v>401</v>
      </c>
      <c r="F1034" s="420"/>
      <c r="G1034" s="64" t="s">
        <v>413</v>
      </c>
      <c r="H1034" s="419" t="s">
        <v>415</v>
      </c>
      <c r="I1034" s="420"/>
      <c r="K1034" s="57" t="s">
        <v>607</v>
      </c>
      <c r="L1034" s="57" t="s">
        <v>165</v>
      </c>
      <c r="S1034" s="57">
        <v>0</v>
      </c>
    </row>
    <row r="1035" spans="1:19" ht="11.1" customHeight="1" x14ac:dyDescent="0.2">
      <c r="A1035" s="57" t="s">
        <v>607</v>
      </c>
      <c r="B1035" s="413" t="s">
        <v>416</v>
      </c>
      <c r="C1035" s="414"/>
      <c r="D1035" s="415"/>
      <c r="E1035" s="419" t="s">
        <v>402</v>
      </c>
      <c r="F1035" s="420"/>
      <c r="G1035" s="64" t="s">
        <v>417</v>
      </c>
      <c r="H1035" s="419" t="s">
        <v>418</v>
      </c>
      <c r="I1035" s="420"/>
      <c r="K1035" s="57" t="s">
        <v>607</v>
      </c>
      <c r="L1035" s="57" t="s">
        <v>165</v>
      </c>
      <c r="S1035" s="57">
        <v>0</v>
      </c>
    </row>
    <row r="1036" spans="1:19" ht="11.85" customHeight="1" x14ac:dyDescent="0.2">
      <c r="A1036" s="57" t="s">
        <v>607</v>
      </c>
      <c r="B1036" s="424"/>
      <c r="C1036" s="425"/>
      <c r="D1036" s="426"/>
      <c r="E1036" s="419" t="s">
        <v>608</v>
      </c>
      <c r="F1036" s="420"/>
      <c r="G1036" s="64" t="s">
        <v>417</v>
      </c>
      <c r="H1036" s="419" t="s">
        <v>418</v>
      </c>
      <c r="I1036" s="420"/>
      <c r="K1036" s="57" t="s">
        <v>607</v>
      </c>
      <c r="L1036" s="57" t="s">
        <v>165</v>
      </c>
      <c r="S1036" s="57">
        <v>0</v>
      </c>
    </row>
    <row r="1037" spans="1:19" ht="11.85" customHeight="1" x14ac:dyDescent="0.2">
      <c r="A1037" s="57" t="s">
        <v>607</v>
      </c>
      <c r="B1037" s="424"/>
      <c r="C1037" s="425"/>
      <c r="D1037" s="426"/>
      <c r="E1037" s="419" t="s">
        <v>403</v>
      </c>
      <c r="F1037" s="420"/>
      <c r="G1037" s="64" t="s">
        <v>417</v>
      </c>
      <c r="H1037" s="419" t="s">
        <v>418</v>
      </c>
      <c r="I1037" s="420"/>
      <c r="K1037" s="57" t="s">
        <v>607</v>
      </c>
      <c r="L1037" s="57" t="s">
        <v>165</v>
      </c>
      <c r="S1037" s="57">
        <v>0</v>
      </c>
    </row>
    <row r="1038" spans="1:19" ht="11.85" customHeight="1" x14ac:dyDescent="0.2">
      <c r="A1038" s="57" t="s">
        <v>607</v>
      </c>
      <c r="B1038" s="424"/>
      <c r="C1038" s="425"/>
      <c r="D1038" s="426"/>
      <c r="E1038" s="419" t="s">
        <v>404</v>
      </c>
      <c r="F1038" s="420"/>
      <c r="G1038" s="64" t="s">
        <v>413</v>
      </c>
      <c r="H1038" s="419" t="s">
        <v>419</v>
      </c>
      <c r="I1038" s="420"/>
      <c r="K1038" s="57" t="s">
        <v>607</v>
      </c>
      <c r="L1038" s="57" t="s">
        <v>165</v>
      </c>
      <c r="S1038" s="57">
        <v>0</v>
      </c>
    </row>
    <row r="1039" spans="1:19" ht="11.1" customHeight="1" x14ac:dyDescent="0.2">
      <c r="A1039" s="57" t="s">
        <v>607</v>
      </c>
      <c r="B1039" s="424"/>
      <c r="C1039" s="425"/>
      <c r="D1039" s="426"/>
      <c r="E1039" s="419" t="s">
        <v>609</v>
      </c>
      <c r="F1039" s="420"/>
      <c r="G1039" s="64" t="s">
        <v>420</v>
      </c>
      <c r="H1039" s="419" t="s">
        <v>421</v>
      </c>
      <c r="I1039" s="420"/>
      <c r="K1039" s="57" t="s">
        <v>607</v>
      </c>
      <c r="L1039" s="57" t="s">
        <v>165</v>
      </c>
      <c r="S1039" s="57">
        <v>0</v>
      </c>
    </row>
    <row r="1040" spans="1:19" ht="11.85" customHeight="1" x14ac:dyDescent="0.2">
      <c r="A1040" s="57" t="s">
        <v>607</v>
      </c>
      <c r="B1040" s="424"/>
      <c r="C1040" s="425"/>
      <c r="D1040" s="426"/>
      <c r="E1040" s="419" t="s">
        <v>405</v>
      </c>
      <c r="F1040" s="420"/>
      <c r="G1040" s="64" t="s">
        <v>420</v>
      </c>
      <c r="H1040" s="419" t="s">
        <v>421</v>
      </c>
      <c r="I1040" s="420"/>
      <c r="K1040" s="57" t="s">
        <v>607</v>
      </c>
      <c r="L1040" s="57" t="s">
        <v>165</v>
      </c>
      <c r="S1040" s="57">
        <v>0</v>
      </c>
    </row>
    <row r="1041" spans="1:19" ht="11.85" customHeight="1" x14ac:dyDescent="0.2">
      <c r="A1041" s="57" t="s">
        <v>607</v>
      </c>
      <c r="B1041" s="424"/>
      <c r="C1041" s="425"/>
      <c r="D1041" s="426"/>
      <c r="E1041" s="419" t="s">
        <v>406</v>
      </c>
      <c r="F1041" s="420"/>
      <c r="G1041" s="64" t="s">
        <v>422</v>
      </c>
      <c r="H1041" s="419" t="s">
        <v>423</v>
      </c>
      <c r="I1041" s="420"/>
      <c r="K1041" s="57" t="s">
        <v>607</v>
      </c>
      <c r="L1041" s="57" t="s">
        <v>165</v>
      </c>
      <c r="S1041" s="65">
        <v>48.44</v>
      </c>
    </row>
    <row r="1042" spans="1:19" ht="11.85" customHeight="1" x14ac:dyDescent="0.2">
      <c r="A1042" s="57" t="s">
        <v>607</v>
      </c>
      <c r="B1042" s="416"/>
      <c r="C1042" s="417"/>
      <c r="D1042" s="418"/>
      <c r="E1042" s="419" t="s">
        <v>407</v>
      </c>
      <c r="F1042" s="420"/>
      <c r="G1042" s="64" t="s">
        <v>424</v>
      </c>
      <c r="H1042" s="419" t="s">
        <v>425</v>
      </c>
      <c r="I1042" s="420"/>
      <c r="K1042" s="57" t="s">
        <v>607</v>
      </c>
      <c r="L1042" s="57" t="s">
        <v>165</v>
      </c>
      <c r="S1042" s="57">
        <v>0</v>
      </c>
    </row>
    <row r="1043" spans="1:19" ht="11.1" customHeight="1" x14ac:dyDescent="0.2">
      <c r="A1043" s="57" t="s">
        <v>607</v>
      </c>
      <c r="B1043" s="413" t="s">
        <v>426</v>
      </c>
      <c r="C1043" s="414"/>
      <c r="D1043" s="415"/>
      <c r="E1043" s="419" t="s">
        <v>408</v>
      </c>
      <c r="F1043" s="420"/>
      <c r="G1043" s="64" t="s">
        <v>420</v>
      </c>
      <c r="H1043" s="419" t="s">
        <v>427</v>
      </c>
      <c r="I1043" s="420"/>
      <c r="K1043" s="57" t="s">
        <v>607</v>
      </c>
      <c r="L1043" s="57" t="s">
        <v>165</v>
      </c>
      <c r="S1043" s="57">
        <v>0</v>
      </c>
    </row>
    <row r="1044" spans="1:19" ht="11.85" customHeight="1" x14ac:dyDescent="0.2">
      <c r="A1044" s="57" t="s">
        <v>607</v>
      </c>
      <c r="B1044" s="424"/>
      <c r="C1044" s="425"/>
      <c r="D1044" s="426"/>
      <c r="E1044" s="419" t="s">
        <v>409</v>
      </c>
      <c r="F1044" s="420"/>
      <c r="G1044" s="64" t="s">
        <v>417</v>
      </c>
      <c r="H1044" s="419" t="s">
        <v>428</v>
      </c>
      <c r="I1044" s="420"/>
      <c r="K1044" s="57" t="s">
        <v>607</v>
      </c>
      <c r="L1044" s="57" t="s">
        <v>165</v>
      </c>
      <c r="S1044" s="57">
        <v>0</v>
      </c>
    </row>
    <row r="1045" spans="1:19" ht="11.85" customHeight="1" x14ac:dyDescent="0.2">
      <c r="A1045" s="57" t="s">
        <v>607</v>
      </c>
      <c r="B1045" s="416"/>
      <c r="C1045" s="417"/>
      <c r="D1045" s="418"/>
      <c r="E1045" s="419" t="s">
        <v>410</v>
      </c>
      <c r="F1045" s="420"/>
      <c r="G1045" s="64" t="s">
        <v>417</v>
      </c>
      <c r="H1045" s="419" t="s">
        <v>415</v>
      </c>
      <c r="I1045" s="420"/>
      <c r="K1045" s="57" t="s">
        <v>607</v>
      </c>
      <c r="L1045" s="57" t="s">
        <v>165</v>
      </c>
      <c r="S1045" s="57">
        <v>0</v>
      </c>
    </row>
    <row r="1046" spans="1:19" ht="11.85" customHeight="1" x14ac:dyDescent="0.2">
      <c r="A1046" s="57" t="s">
        <v>607</v>
      </c>
      <c r="B1046" s="62"/>
      <c r="C1046" s="411" t="s">
        <v>610</v>
      </c>
      <c r="D1046" s="412"/>
      <c r="E1046" s="412"/>
      <c r="F1046" s="412"/>
      <c r="G1046" s="412"/>
      <c r="H1046" s="412"/>
      <c r="I1046" s="411"/>
      <c r="K1046" s="57" t="s">
        <v>607</v>
      </c>
      <c r="L1046" s="57" t="s">
        <v>165</v>
      </c>
      <c r="S1046" s="57">
        <v>0</v>
      </c>
    </row>
    <row r="1047" spans="1:19" ht="11.1" customHeight="1" x14ac:dyDescent="0.2">
      <c r="A1047" s="57" t="s">
        <v>610</v>
      </c>
      <c r="B1047" s="413" t="s">
        <v>416</v>
      </c>
      <c r="C1047" s="414"/>
      <c r="D1047" s="415"/>
      <c r="E1047" s="419" t="s">
        <v>402</v>
      </c>
      <c r="F1047" s="420"/>
      <c r="G1047" s="64" t="s">
        <v>417</v>
      </c>
      <c r="H1047" s="419" t="s">
        <v>418</v>
      </c>
      <c r="I1047" s="420"/>
      <c r="K1047" s="57" t="s">
        <v>610</v>
      </c>
      <c r="L1047" s="57" t="s">
        <v>166</v>
      </c>
      <c r="S1047" s="57">
        <v>0</v>
      </c>
    </row>
    <row r="1048" spans="1:19" ht="11.85" customHeight="1" x14ac:dyDescent="0.2">
      <c r="A1048" s="57" t="s">
        <v>610</v>
      </c>
      <c r="B1048" s="424"/>
      <c r="C1048" s="425"/>
      <c r="D1048" s="426"/>
      <c r="E1048" s="419" t="s">
        <v>403</v>
      </c>
      <c r="F1048" s="420"/>
      <c r="G1048" s="64" t="s">
        <v>417</v>
      </c>
      <c r="H1048" s="419" t="s">
        <v>418</v>
      </c>
      <c r="I1048" s="420"/>
      <c r="K1048" s="57" t="s">
        <v>610</v>
      </c>
      <c r="L1048" s="57" t="s">
        <v>166</v>
      </c>
      <c r="S1048" s="57">
        <v>0</v>
      </c>
    </row>
    <row r="1049" spans="1:19" ht="11.85" customHeight="1" x14ac:dyDescent="0.2">
      <c r="A1049" s="57" t="s">
        <v>610</v>
      </c>
      <c r="B1049" s="424"/>
      <c r="C1049" s="425"/>
      <c r="D1049" s="426"/>
      <c r="E1049" s="419" t="s">
        <v>404</v>
      </c>
      <c r="F1049" s="420"/>
      <c r="G1049" s="64" t="s">
        <v>413</v>
      </c>
      <c r="H1049" s="419" t="s">
        <v>419</v>
      </c>
      <c r="I1049" s="420"/>
      <c r="K1049" s="57" t="s">
        <v>610</v>
      </c>
      <c r="L1049" s="57" t="s">
        <v>166</v>
      </c>
      <c r="S1049" s="57">
        <v>0</v>
      </c>
    </row>
    <row r="1050" spans="1:19" ht="11.85" customHeight="1" x14ac:dyDescent="0.2">
      <c r="A1050" s="57" t="s">
        <v>610</v>
      </c>
      <c r="B1050" s="424"/>
      <c r="C1050" s="425"/>
      <c r="D1050" s="426"/>
      <c r="E1050" s="419" t="s">
        <v>405</v>
      </c>
      <c r="F1050" s="420"/>
      <c r="G1050" s="64" t="s">
        <v>420</v>
      </c>
      <c r="H1050" s="419" t="s">
        <v>421</v>
      </c>
      <c r="I1050" s="420"/>
      <c r="K1050" s="57" t="s">
        <v>610</v>
      </c>
      <c r="L1050" s="57" t="s">
        <v>166</v>
      </c>
      <c r="S1050" s="57">
        <v>0</v>
      </c>
    </row>
    <row r="1051" spans="1:19" ht="11.1" customHeight="1" x14ac:dyDescent="0.2">
      <c r="A1051" s="57" t="s">
        <v>610</v>
      </c>
      <c r="B1051" s="424"/>
      <c r="C1051" s="425"/>
      <c r="D1051" s="426"/>
      <c r="E1051" s="419" t="s">
        <v>406</v>
      </c>
      <c r="F1051" s="420"/>
      <c r="G1051" s="64" t="s">
        <v>422</v>
      </c>
      <c r="H1051" s="419" t="s">
        <v>423</v>
      </c>
      <c r="I1051" s="420"/>
      <c r="K1051" s="57" t="s">
        <v>610</v>
      </c>
      <c r="L1051" s="57" t="s">
        <v>166</v>
      </c>
      <c r="S1051" s="65">
        <v>48.44</v>
      </c>
    </row>
    <row r="1052" spans="1:19" ht="11.85" customHeight="1" x14ac:dyDescent="0.2">
      <c r="A1052" s="57" t="s">
        <v>610</v>
      </c>
      <c r="B1052" s="416"/>
      <c r="C1052" s="417"/>
      <c r="D1052" s="418"/>
      <c r="E1052" s="419" t="s">
        <v>407</v>
      </c>
      <c r="F1052" s="420"/>
      <c r="G1052" s="64" t="s">
        <v>424</v>
      </c>
      <c r="H1052" s="419" t="s">
        <v>425</v>
      </c>
      <c r="I1052" s="420"/>
      <c r="K1052" s="57" t="s">
        <v>610</v>
      </c>
      <c r="L1052" s="57" t="s">
        <v>166</v>
      </c>
      <c r="S1052" s="57">
        <v>0</v>
      </c>
    </row>
    <row r="1053" spans="1:19" ht="11.85" customHeight="1" x14ac:dyDescent="0.2">
      <c r="A1053" s="57" t="s">
        <v>610</v>
      </c>
      <c r="B1053" s="62"/>
      <c r="C1053" s="411" t="s">
        <v>611</v>
      </c>
      <c r="D1053" s="412"/>
      <c r="E1053" s="412"/>
      <c r="F1053" s="412"/>
      <c r="G1053" s="412"/>
      <c r="H1053" s="412"/>
      <c r="I1053" s="411"/>
      <c r="K1053" s="57" t="s">
        <v>610</v>
      </c>
      <c r="L1053" s="57" t="s">
        <v>166</v>
      </c>
      <c r="S1053" s="57">
        <v>0</v>
      </c>
    </row>
    <row r="1054" spans="1:19" ht="11.85" customHeight="1" x14ac:dyDescent="0.2">
      <c r="A1054" s="57" t="s">
        <v>611</v>
      </c>
      <c r="B1054" s="413" t="s">
        <v>412</v>
      </c>
      <c r="C1054" s="427"/>
      <c r="D1054" s="428"/>
      <c r="E1054" s="419" t="s">
        <v>400</v>
      </c>
      <c r="F1054" s="420"/>
      <c r="G1054" s="64" t="s">
        <v>413</v>
      </c>
      <c r="H1054" s="419" t="s">
        <v>414</v>
      </c>
      <c r="I1054" s="420"/>
      <c r="K1054" s="57" t="s">
        <v>611</v>
      </c>
      <c r="L1054" s="57" t="s">
        <v>898</v>
      </c>
      <c r="S1054" s="57">
        <v>0</v>
      </c>
    </row>
    <row r="1055" spans="1:19" ht="11.1" customHeight="1" x14ac:dyDescent="0.2">
      <c r="A1055" s="57" t="s">
        <v>611</v>
      </c>
      <c r="B1055" s="413" t="s">
        <v>416</v>
      </c>
      <c r="C1055" s="427"/>
      <c r="D1055" s="428"/>
      <c r="E1055" s="419" t="s">
        <v>612</v>
      </c>
      <c r="F1055" s="420"/>
      <c r="G1055" s="64" t="s">
        <v>613</v>
      </c>
      <c r="H1055" s="419" t="s">
        <v>423</v>
      </c>
      <c r="I1055" s="420"/>
      <c r="K1055" s="57" t="s">
        <v>611</v>
      </c>
      <c r="L1055" s="57" t="s">
        <v>898</v>
      </c>
      <c r="S1055" s="65">
        <v>28.98</v>
      </c>
    </row>
    <row r="1056" spans="1:19" ht="11.85" customHeight="1" x14ac:dyDescent="0.2">
      <c r="A1056" s="57" t="s">
        <v>611</v>
      </c>
      <c r="B1056" s="62"/>
      <c r="C1056" s="411" t="s">
        <v>614</v>
      </c>
      <c r="D1056" s="412"/>
      <c r="E1056" s="412"/>
      <c r="F1056" s="412"/>
      <c r="G1056" s="412"/>
      <c r="H1056" s="412"/>
      <c r="I1056" s="411"/>
      <c r="K1056" s="57" t="s">
        <v>611</v>
      </c>
      <c r="L1056" s="57" t="s">
        <v>898</v>
      </c>
      <c r="S1056" s="57">
        <v>0</v>
      </c>
    </row>
    <row r="1057" spans="1:19" ht="11.85" customHeight="1" x14ac:dyDescent="0.2">
      <c r="A1057" s="57" t="s">
        <v>614</v>
      </c>
      <c r="B1057" s="413" t="s">
        <v>412</v>
      </c>
      <c r="C1057" s="414"/>
      <c r="D1057" s="415"/>
      <c r="E1057" s="419" t="s">
        <v>400</v>
      </c>
      <c r="F1057" s="420"/>
      <c r="G1057" s="64" t="s">
        <v>413</v>
      </c>
      <c r="H1057" s="419" t="s">
        <v>414</v>
      </c>
      <c r="I1057" s="420"/>
      <c r="K1057" s="57" t="s">
        <v>614</v>
      </c>
      <c r="L1057" s="57" t="s">
        <v>167</v>
      </c>
      <c r="S1057" s="57">
        <v>0</v>
      </c>
    </row>
    <row r="1058" spans="1:19" ht="11.85" customHeight="1" x14ac:dyDescent="0.2">
      <c r="A1058" s="57" t="s">
        <v>614</v>
      </c>
      <c r="B1058" s="416"/>
      <c r="C1058" s="417"/>
      <c r="D1058" s="418"/>
      <c r="E1058" s="419" t="s">
        <v>401</v>
      </c>
      <c r="F1058" s="420"/>
      <c r="G1058" s="64" t="s">
        <v>413</v>
      </c>
      <c r="H1058" s="419" t="s">
        <v>415</v>
      </c>
      <c r="I1058" s="420"/>
      <c r="K1058" s="57" t="s">
        <v>614</v>
      </c>
      <c r="L1058" s="57" t="s">
        <v>167</v>
      </c>
      <c r="S1058" s="57">
        <v>0</v>
      </c>
    </row>
    <row r="1059" spans="1:19" ht="11.1" customHeight="1" x14ac:dyDescent="0.2">
      <c r="A1059" s="57" t="s">
        <v>614</v>
      </c>
      <c r="B1059" s="413" t="s">
        <v>416</v>
      </c>
      <c r="C1059" s="414"/>
      <c r="D1059" s="415"/>
      <c r="E1059" s="419" t="s">
        <v>402</v>
      </c>
      <c r="F1059" s="420"/>
      <c r="G1059" s="64" t="s">
        <v>417</v>
      </c>
      <c r="H1059" s="419" t="s">
        <v>457</v>
      </c>
      <c r="I1059" s="420"/>
      <c r="K1059" s="57" t="s">
        <v>614</v>
      </c>
      <c r="L1059" s="57" t="s">
        <v>167</v>
      </c>
      <c r="S1059" s="57">
        <v>0</v>
      </c>
    </row>
    <row r="1060" spans="1:19" ht="11.85" customHeight="1" x14ac:dyDescent="0.2">
      <c r="A1060" s="57" t="s">
        <v>614</v>
      </c>
      <c r="B1060" s="424"/>
      <c r="C1060" s="425"/>
      <c r="D1060" s="426"/>
      <c r="E1060" s="419" t="s">
        <v>403</v>
      </c>
      <c r="F1060" s="420"/>
      <c r="G1060" s="64" t="s">
        <v>417</v>
      </c>
      <c r="H1060" s="419" t="s">
        <v>457</v>
      </c>
      <c r="I1060" s="420"/>
      <c r="K1060" s="57" t="s">
        <v>614</v>
      </c>
      <c r="L1060" s="57" t="s">
        <v>167</v>
      </c>
      <c r="S1060" s="57">
        <v>0</v>
      </c>
    </row>
    <row r="1061" spans="1:19" ht="11.85" customHeight="1" x14ac:dyDescent="0.2">
      <c r="A1061" s="57" t="s">
        <v>614</v>
      </c>
      <c r="B1061" s="424"/>
      <c r="C1061" s="425"/>
      <c r="D1061" s="426"/>
      <c r="E1061" s="419" t="s">
        <v>404</v>
      </c>
      <c r="F1061" s="420"/>
      <c r="G1061" s="64" t="s">
        <v>413</v>
      </c>
      <c r="H1061" s="419" t="s">
        <v>458</v>
      </c>
      <c r="I1061" s="420"/>
      <c r="K1061" s="57" t="s">
        <v>614</v>
      </c>
      <c r="L1061" s="57" t="s">
        <v>167</v>
      </c>
      <c r="S1061" s="57">
        <v>0</v>
      </c>
    </row>
    <row r="1062" spans="1:19" ht="11.85" customHeight="1" x14ac:dyDescent="0.2">
      <c r="A1062" s="57" t="s">
        <v>614</v>
      </c>
      <c r="B1062" s="424"/>
      <c r="C1062" s="425"/>
      <c r="D1062" s="426"/>
      <c r="E1062" s="419" t="s">
        <v>405</v>
      </c>
      <c r="F1062" s="420"/>
      <c r="G1062" s="64" t="s">
        <v>420</v>
      </c>
      <c r="H1062" s="419" t="s">
        <v>459</v>
      </c>
      <c r="I1062" s="420"/>
      <c r="K1062" s="57" t="s">
        <v>614</v>
      </c>
      <c r="L1062" s="57" t="s">
        <v>167</v>
      </c>
      <c r="S1062" s="57">
        <v>0</v>
      </c>
    </row>
    <row r="1063" spans="1:19" ht="11.1" customHeight="1" x14ac:dyDescent="0.2">
      <c r="A1063" s="57" t="s">
        <v>614</v>
      </c>
      <c r="B1063" s="424"/>
      <c r="C1063" s="425"/>
      <c r="D1063" s="426"/>
      <c r="E1063" s="419" t="s">
        <v>460</v>
      </c>
      <c r="F1063" s="420"/>
      <c r="G1063" s="64" t="s">
        <v>461</v>
      </c>
      <c r="H1063" s="419" t="s">
        <v>423</v>
      </c>
      <c r="I1063" s="420"/>
      <c r="K1063" s="57" t="s">
        <v>614</v>
      </c>
      <c r="L1063" s="57" t="s">
        <v>167</v>
      </c>
      <c r="S1063" s="65">
        <v>33.17</v>
      </c>
    </row>
    <row r="1064" spans="1:19" ht="11.85" customHeight="1" x14ac:dyDescent="0.2">
      <c r="A1064" s="57" t="s">
        <v>614</v>
      </c>
      <c r="B1064" s="416"/>
      <c r="C1064" s="417"/>
      <c r="D1064" s="418"/>
      <c r="E1064" s="419" t="s">
        <v>462</v>
      </c>
      <c r="F1064" s="420"/>
      <c r="G1064" s="64" t="s">
        <v>424</v>
      </c>
      <c r="H1064" s="419" t="s">
        <v>463</v>
      </c>
      <c r="I1064" s="420"/>
      <c r="K1064" s="57" t="s">
        <v>614</v>
      </c>
      <c r="L1064" s="57" t="s">
        <v>167</v>
      </c>
      <c r="S1064" s="57">
        <v>0</v>
      </c>
    </row>
    <row r="1065" spans="1:19" ht="11.85" customHeight="1" x14ac:dyDescent="0.2">
      <c r="A1065" s="57" t="s">
        <v>614</v>
      </c>
      <c r="B1065" s="413" t="s">
        <v>426</v>
      </c>
      <c r="C1065" s="414"/>
      <c r="D1065" s="415"/>
      <c r="E1065" s="419" t="s">
        <v>408</v>
      </c>
      <c r="F1065" s="420"/>
      <c r="G1065" s="64" t="s">
        <v>420</v>
      </c>
      <c r="H1065" s="419" t="s">
        <v>427</v>
      </c>
      <c r="I1065" s="420"/>
      <c r="K1065" s="57" t="s">
        <v>614</v>
      </c>
      <c r="L1065" s="57" t="s">
        <v>167</v>
      </c>
      <c r="S1065" s="57">
        <v>0</v>
      </c>
    </row>
    <row r="1066" spans="1:19" ht="11.85" customHeight="1" x14ac:dyDescent="0.2">
      <c r="A1066" s="57" t="s">
        <v>614</v>
      </c>
      <c r="B1066" s="424"/>
      <c r="C1066" s="425"/>
      <c r="D1066" s="426"/>
      <c r="E1066" s="419" t="s">
        <v>409</v>
      </c>
      <c r="F1066" s="420"/>
      <c r="G1066" s="64" t="s">
        <v>417</v>
      </c>
      <c r="H1066" s="419" t="s">
        <v>428</v>
      </c>
      <c r="I1066" s="420"/>
      <c r="K1066" s="57" t="s">
        <v>614</v>
      </c>
      <c r="L1066" s="57" t="s">
        <v>167</v>
      </c>
      <c r="S1066" s="57">
        <v>0</v>
      </c>
    </row>
    <row r="1067" spans="1:19" ht="11.1" customHeight="1" x14ac:dyDescent="0.2">
      <c r="A1067" s="57" t="s">
        <v>614</v>
      </c>
      <c r="B1067" s="416"/>
      <c r="C1067" s="417"/>
      <c r="D1067" s="418"/>
      <c r="E1067" s="419" t="s">
        <v>410</v>
      </c>
      <c r="F1067" s="420"/>
      <c r="G1067" s="64" t="s">
        <v>417</v>
      </c>
      <c r="H1067" s="419" t="s">
        <v>415</v>
      </c>
      <c r="I1067" s="420"/>
      <c r="K1067" s="57" t="s">
        <v>614</v>
      </c>
      <c r="L1067" s="57" t="s">
        <v>167</v>
      </c>
      <c r="S1067" s="57">
        <v>0</v>
      </c>
    </row>
    <row r="1068" spans="1:19" ht="11.85" customHeight="1" x14ac:dyDescent="0.2">
      <c r="A1068" s="57" t="s">
        <v>614</v>
      </c>
      <c r="B1068" s="62"/>
      <c r="C1068" s="411" t="s">
        <v>615</v>
      </c>
      <c r="D1068" s="412"/>
      <c r="E1068" s="412"/>
      <c r="F1068" s="412"/>
      <c r="G1068" s="412"/>
      <c r="H1068" s="412"/>
      <c r="I1068" s="411"/>
      <c r="K1068" s="57" t="s">
        <v>614</v>
      </c>
      <c r="L1068" s="57" t="s">
        <v>167</v>
      </c>
      <c r="S1068" s="57">
        <v>0</v>
      </c>
    </row>
    <row r="1069" spans="1:19" ht="11.85" customHeight="1" x14ac:dyDescent="0.2">
      <c r="A1069" s="57" t="s">
        <v>615</v>
      </c>
      <c r="B1069" s="413" t="s">
        <v>412</v>
      </c>
      <c r="C1069" s="414"/>
      <c r="D1069" s="415"/>
      <c r="E1069" s="419" t="s">
        <v>400</v>
      </c>
      <c r="F1069" s="420"/>
      <c r="G1069" s="64" t="s">
        <v>413</v>
      </c>
      <c r="H1069" s="419" t="s">
        <v>414</v>
      </c>
      <c r="I1069" s="420"/>
      <c r="K1069" s="57" t="s">
        <v>615</v>
      </c>
      <c r="L1069" s="57" t="s">
        <v>168</v>
      </c>
      <c r="S1069" s="57">
        <v>0</v>
      </c>
    </row>
    <row r="1070" spans="1:19" ht="11.85" customHeight="1" x14ac:dyDescent="0.2">
      <c r="A1070" s="57" t="s">
        <v>615</v>
      </c>
      <c r="B1070" s="416"/>
      <c r="C1070" s="417"/>
      <c r="D1070" s="418"/>
      <c r="E1070" s="419" t="s">
        <v>401</v>
      </c>
      <c r="F1070" s="420"/>
      <c r="G1070" s="64" t="s">
        <v>413</v>
      </c>
      <c r="H1070" s="419" t="s">
        <v>415</v>
      </c>
      <c r="I1070" s="420"/>
      <c r="K1070" s="57" t="s">
        <v>615</v>
      </c>
      <c r="L1070" s="57" t="s">
        <v>168</v>
      </c>
      <c r="S1070" s="57">
        <v>0</v>
      </c>
    </row>
    <row r="1071" spans="1:19" ht="11.1" customHeight="1" x14ac:dyDescent="0.2">
      <c r="A1071" s="57" t="s">
        <v>615</v>
      </c>
      <c r="B1071" s="413" t="s">
        <v>416</v>
      </c>
      <c r="C1071" s="414"/>
      <c r="D1071" s="415"/>
      <c r="E1071" s="419" t="s">
        <v>402</v>
      </c>
      <c r="F1071" s="420"/>
      <c r="G1071" s="64" t="s">
        <v>417</v>
      </c>
      <c r="H1071" s="419" t="s">
        <v>457</v>
      </c>
      <c r="I1071" s="420"/>
      <c r="K1071" s="57" t="s">
        <v>615</v>
      </c>
      <c r="L1071" s="57" t="s">
        <v>168</v>
      </c>
      <c r="S1071" s="57">
        <v>0</v>
      </c>
    </row>
    <row r="1072" spans="1:19" ht="11.85" customHeight="1" x14ac:dyDescent="0.2">
      <c r="A1072" s="57" t="s">
        <v>615</v>
      </c>
      <c r="B1072" s="424"/>
      <c r="C1072" s="425"/>
      <c r="D1072" s="426"/>
      <c r="E1072" s="419" t="s">
        <v>403</v>
      </c>
      <c r="F1072" s="420"/>
      <c r="G1072" s="64" t="s">
        <v>417</v>
      </c>
      <c r="H1072" s="419" t="s">
        <v>457</v>
      </c>
      <c r="I1072" s="420"/>
      <c r="K1072" s="57" t="s">
        <v>615</v>
      </c>
      <c r="L1072" s="57" t="s">
        <v>168</v>
      </c>
      <c r="S1072" s="57">
        <v>0</v>
      </c>
    </row>
    <row r="1073" spans="1:19" ht="11.85" customHeight="1" x14ac:dyDescent="0.2">
      <c r="A1073" s="57" t="s">
        <v>615</v>
      </c>
      <c r="B1073" s="424"/>
      <c r="C1073" s="425"/>
      <c r="D1073" s="426"/>
      <c r="E1073" s="419" t="s">
        <v>404</v>
      </c>
      <c r="F1073" s="420"/>
      <c r="G1073" s="64" t="s">
        <v>413</v>
      </c>
      <c r="H1073" s="419" t="s">
        <v>458</v>
      </c>
      <c r="I1073" s="420"/>
      <c r="K1073" s="57" t="s">
        <v>615</v>
      </c>
      <c r="L1073" s="57" t="s">
        <v>168</v>
      </c>
      <c r="S1073" s="57">
        <v>0</v>
      </c>
    </row>
    <row r="1074" spans="1:19" ht="11.85" customHeight="1" x14ac:dyDescent="0.2">
      <c r="A1074" s="57" t="s">
        <v>615</v>
      </c>
      <c r="B1074" s="416"/>
      <c r="C1074" s="417"/>
      <c r="D1074" s="418"/>
      <c r="E1074" s="419" t="s">
        <v>405</v>
      </c>
      <c r="F1074" s="420"/>
      <c r="G1074" s="64" t="s">
        <v>420</v>
      </c>
      <c r="H1074" s="419" t="s">
        <v>459</v>
      </c>
      <c r="I1074" s="420"/>
      <c r="K1074" s="57" t="s">
        <v>615</v>
      </c>
      <c r="L1074" s="57" t="s">
        <v>168</v>
      </c>
      <c r="S1074" s="57">
        <v>0</v>
      </c>
    </row>
    <row r="1075" spans="1:19" ht="11.85" customHeight="1" x14ac:dyDescent="0.2">
      <c r="A1075" s="57" t="s">
        <v>615</v>
      </c>
      <c r="B1075" s="413" t="s">
        <v>416</v>
      </c>
      <c r="C1075" s="414"/>
      <c r="D1075" s="415"/>
      <c r="E1075" s="419" t="s">
        <v>460</v>
      </c>
      <c r="F1075" s="420"/>
      <c r="G1075" s="64" t="s">
        <v>461</v>
      </c>
      <c r="H1075" s="419" t="s">
        <v>423</v>
      </c>
      <c r="I1075" s="420"/>
      <c r="K1075" s="57" t="s">
        <v>615</v>
      </c>
      <c r="L1075" s="57" t="s">
        <v>168</v>
      </c>
      <c r="S1075" s="65">
        <v>33.17</v>
      </c>
    </row>
    <row r="1076" spans="1:19" ht="11.85" customHeight="1" x14ac:dyDescent="0.2">
      <c r="A1076" s="57" t="s">
        <v>615</v>
      </c>
      <c r="B1076" s="416"/>
      <c r="C1076" s="417"/>
      <c r="D1076" s="418"/>
      <c r="E1076" s="419" t="s">
        <v>462</v>
      </c>
      <c r="F1076" s="420"/>
      <c r="G1076" s="64" t="s">
        <v>424</v>
      </c>
      <c r="H1076" s="419" t="s">
        <v>463</v>
      </c>
      <c r="I1076" s="420"/>
      <c r="K1076" s="57" t="s">
        <v>615</v>
      </c>
      <c r="L1076" s="57" t="s">
        <v>168</v>
      </c>
      <c r="S1076" s="57">
        <v>0</v>
      </c>
    </row>
    <row r="1077" spans="1:19" ht="11.85" customHeight="1" x14ac:dyDescent="0.2">
      <c r="A1077" s="57" t="s">
        <v>615</v>
      </c>
      <c r="B1077" s="413" t="s">
        <v>426</v>
      </c>
      <c r="C1077" s="414"/>
      <c r="D1077" s="415"/>
      <c r="E1077" s="419" t="s">
        <v>408</v>
      </c>
      <c r="F1077" s="420"/>
      <c r="G1077" s="64" t="s">
        <v>420</v>
      </c>
      <c r="H1077" s="419" t="s">
        <v>427</v>
      </c>
      <c r="I1077" s="420"/>
      <c r="K1077" s="57" t="s">
        <v>615</v>
      </c>
      <c r="L1077" s="57" t="s">
        <v>168</v>
      </c>
      <c r="S1077" s="57">
        <v>0</v>
      </c>
    </row>
    <row r="1078" spans="1:19" ht="11.1" customHeight="1" x14ac:dyDescent="0.2">
      <c r="A1078" s="57" t="s">
        <v>615</v>
      </c>
      <c r="B1078" s="424"/>
      <c r="C1078" s="425"/>
      <c r="D1078" s="426"/>
      <c r="E1078" s="419" t="s">
        <v>409</v>
      </c>
      <c r="F1078" s="420"/>
      <c r="G1078" s="64" t="s">
        <v>417</v>
      </c>
      <c r="H1078" s="419" t="s">
        <v>428</v>
      </c>
      <c r="I1078" s="420"/>
      <c r="K1078" s="57" t="s">
        <v>615</v>
      </c>
      <c r="L1078" s="57" t="s">
        <v>168</v>
      </c>
      <c r="S1078" s="57">
        <v>0</v>
      </c>
    </row>
    <row r="1079" spans="1:19" ht="11.85" customHeight="1" x14ac:dyDescent="0.2">
      <c r="A1079" s="57" t="s">
        <v>615</v>
      </c>
      <c r="B1079" s="416"/>
      <c r="C1079" s="417"/>
      <c r="D1079" s="418"/>
      <c r="E1079" s="419" t="s">
        <v>410</v>
      </c>
      <c r="F1079" s="420"/>
      <c r="G1079" s="64" t="s">
        <v>417</v>
      </c>
      <c r="H1079" s="419" t="s">
        <v>415</v>
      </c>
      <c r="I1079" s="420"/>
      <c r="K1079" s="57" t="s">
        <v>615</v>
      </c>
      <c r="L1079" s="57" t="s">
        <v>168</v>
      </c>
      <c r="S1079" s="57">
        <v>0</v>
      </c>
    </row>
    <row r="1080" spans="1:19" ht="11.85" customHeight="1" x14ac:dyDescent="0.2">
      <c r="A1080" s="57" t="s">
        <v>615</v>
      </c>
      <c r="B1080" s="62"/>
      <c r="C1080" s="411" t="s">
        <v>616</v>
      </c>
      <c r="D1080" s="412"/>
      <c r="E1080" s="412"/>
      <c r="F1080" s="412"/>
      <c r="G1080" s="412"/>
      <c r="H1080" s="412"/>
      <c r="I1080" s="411"/>
      <c r="K1080" s="57" t="s">
        <v>615</v>
      </c>
      <c r="L1080" s="57" t="s">
        <v>168</v>
      </c>
      <c r="S1080" s="57">
        <v>0</v>
      </c>
    </row>
    <row r="1081" spans="1:19" ht="11.85" customHeight="1" x14ac:dyDescent="0.2">
      <c r="A1081" s="57" t="s">
        <v>616</v>
      </c>
      <c r="B1081" s="413" t="s">
        <v>412</v>
      </c>
      <c r="C1081" s="414"/>
      <c r="D1081" s="415"/>
      <c r="E1081" s="419" t="s">
        <v>400</v>
      </c>
      <c r="F1081" s="420"/>
      <c r="G1081" s="64" t="s">
        <v>413</v>
      </c>
      <c r="H1081" s="419" t="s">
        <v>414</v>
      </c>
      <c r="I1081" s="420"/>
      <c r="K1081" s="57" t="s">
        <v>616</v>
      </c>
      <c r="L1081" s="57" t="s">
        <v>169</v>
      </c>
      <c r="S1081" s="57">
        <v>0</v>
      </c>
    </row>
    <row r="1082" spans="1:19" ht="11.1" customHeight="1" x14ac:dyDescent="0.2">
      <c r="A1082" s="57" t="s">
        <v>616</v>
      </c>
      <c r="B1082" s="416"/>
      <c r="C1082" s="417"/>
      <c r="D1082" s="418"/>
      <c r="E1082" s="419" t="s">
        <v>401</v>
      </c>
      <c r="F1082" s="420"/>
      <c r="G1082" s="64" t="s">
        <v>413</v>
      </c>
      <c r="H1082" s="419" t="s">
        <v>415</v>
      </c>
      <c r="I1082" s="420"/>
      <c r="K1082" s="57" t="s">
        <v>616</v>
      </c>
      <c r="L1082" s="57" t="s">
        <v>169</v>
      </c>
      <c r="S1082" s="57">
        <v>0</v>
      </c>
    </row>
    <row r="1083" spans="1:19" ht="11.85" customHeight="1" x14ac:dyDescent="0.2">
      <c r="A1083" s="57" t="s">
        <v>616</v>
      </c>
      <c r="B1083" s="413" t="s">
        <v>416</v>
      </c>
      <c r="C1083" s="414"/>
      <c r="D1083" s="415"/>
      <c r="E1083" s="419" t="s">
        <v>402</v>
      </c>
      <c r="F1083" s="420"/>
      <c r="G1083" s="64" t="s">
        <v>417</v>
      </c>
      <c r="H1083" s="419" t="s">
        <v>457</v>
      </c>
      <c r="I1083" s="420"/>
      <c r="K1083" s="57" t="s">
        <v>616</v>
      </c>
      <c r="L1083" s="57" t="s">
        <v>169</v>
      </c>
      <c r="S1083" s="57">
        <v>0</v>
      </c>
    </row>
    <row r="1084" spans="1:19" ht="11.85" customHeight="1" x14ac:dyDescent="0.2">
      <c r="A1084" s="57" t="s">
        <v>616</v>
      </c>
      <c r="B1084" s="424"/>
      <c r="C1084" s="425"/>
      <c r="D1084" s="426"/>
      <c r="E1084" s="419" t="s">
        <v>403</v>
      </c>
      <c r="F1084" s="420"/>
      <c r="G1084" s="64" t="s">
        <v>417</v>
      </c>
      <c r="H1084" s="419" t="s">
        <v>457</v>
      </c>
      <c r="I1084" s="420"/>
      <c r="K1084" s="57" t="s">
        <v>616</v>
      </c>
      <c r="L1084" s="57" t="s">
        <v>169</v>
      </c>
      <c r="S1084" s="57">
        <v>0</v>
      </c>
    </row>
    <row r="1085" spans="1:19" ht="11.85" customHeight="1" x14ac:dyDescent="0.2">
      <c r="A1085" s="57" t="s">
        <v>616</v>
      </c>
      <c r="B1085" s="424"/>
      <c r="C1085" s="425"/>
      <c r="D1085" s="426"/>
      <c r="E1085" s="419" t="s">
        <v>404</v>
      </c>
      <c r="F1085" s="420"/>
      <c r="G1085" s="64" t="s">
        <v>413</v>
      </c>
      <c r="H1085" s="419" t="s">
        <v>458</v>
      </c>
      <c r="I1085" s="420"/>
      <c r="K1085" s="57" t="s">
        <v>616</v>
      </c>
      <c r="L1085" s="57" t="s">
        <v>169</v>
      </c>
      <c r="S1085" s="57">
        <v>0</v>
      </c>
    </row>
    <row r="1086" spans="1:19" ht="11.1" customHeight="1" x14ac:dyDescent="0.2">
      <c r="A1086" s="57" t="s">
        <v>616</v>
      </c>
      <c r="B1086" s="424"/>
      <c r="C1086" s="425"/>
      <c r="D1086" s="426"/>
      <c r="E1086" s="419" t="s">
        <v>405</v>
      </c>
      <c r="F1086" s="420"/>
      <c r="G1086" s="64" t="s">
        <v>420</v>
      </c>
      <c r="H1086" s="419" t="s">
        <v>459</v>
      </c>
      <c r="I1086" s="420"/>
      <c r="K1086" s="57" t="s">
        <v>616</v>
      </c>
      <c r="L1086" s="57" t="s">
        <v>169</v>
      </c>
      <c r="S1086" s="57">
        <v>0</v>
      </c>
    </row>
    <row r="1087" spans="1:19" ht="11.85" customHeight="1" x14ac:dyDescent="0.2">
      <c r="A1087" s="57" t="s">
        <v>616</v>
      </c>
      <c r="B1087" s="424"/>
      <c r="C1087" s="425"/>
      <c r="D1087" s="426"/>
      <c r="E1087" s="419" t="s">
        <v>460</v>
      </c>
      <c r="F1087" s="420"/>
      <c r="G1087" s="64" t="s">
        <v>461</v>
      </c>
      <c r="H1087" s="419" t="s">
        <v>423</v>
      </c>
      <c r="I1087" s="420"/>
      <c r="K1087" s="57" t="s">
        <v>616</v>
      </c>
      <c r="L1087" s="57" t="s">
        <v>169</v>
      </c>
      <c r="S1087" s="65">
        <v>33.17</v>
      </c>
    </row>
    <row r="1088" spans="1:19" ht="11.85" customHeight="1" x14ac:dyDescent="0.2">
      <c r="A1088" s="57" t="s">
        <v>616</v>
      </c>
      <c r="B1088" s="416"/>
      <c r="C1088" s="417"/>
      <c r="D1088" s="418"/>
      <c r="E1088" s="419" t="s">
        <v>462</v>
      </c>
      <c r="F1088" s="420"/>
      <c r="G1088" s="64" t="s">
        <v>424</v>
      </c>
      <c r="H1088" s="419" t="s">
        <v>463</v>
      </c>
      <c r="I1088" s="420"/>
      <c r="K1088" s="57" t="s">
        <v>616</v>
      </c>
      <c r="L1088" s="57" t="s">
        <v>169</v>
      </c>
      <c r="S1088" s="57">
        <v>0</v>
      </c>
    </row>
    <row r="1089" spans="1:19" ht="11.85" customHeight="1" x14ac:dyDescent="0.2">
      <c r="A1089" s="57" t="s">
        <v>616</v>
      </c>
      <c r="B1089" s="413" t="s">
        <v>426</v>
      </c>
      <c r="C1089" s="414"/>
      <c r="D1089" s="415"/>
      <c r="E1089" s="419" t="s">
        <v>408</v>
      </c>
      <c r="F1089" s="420"/>
      <c r="G1089" s="64" t="s">
        <v>420</v>
      </c>
      <c r="H1089" s="419" t="s">
        <v>427</v>
      </c>
      <c r="I1089" s="420"/>
      <c r="K1089" s="57" t="s">
        <v>616</v>
      </c>
      <c r="L1089" s="57" t="s">
        <v>169</v>
      </c>
      <c r="S1089" s="57">
        <v>0</v>
      </c>
    </row>
    <row r="1090" spans="1:19" ht="11.1" customHeight="1" x14ac:dyDescent="0.2">
      <c r="A1090" s="57" t="s">
        <v>616</v>
      </c>
      <c r="B1090" s="424"/>
      <c r="C1090" s="425"/>
      <c r="D1090" s="426"/>
      <c r="E1090" s="419" t="s">
        <v>409</v>
      </c>
      <c r="F1090" s="420"/>
      <c r="G1090" s="64" t="s">
        <v>417</v>
      </c>
      <c r="H1090" s="419" t="s">
        <v>428</v>
      </c>
      <c r="I1090" s="420"/>
      <c r="K1090" s="57" t="s">
        <v>616</v>
      </c>
      <c r="L1090" s="57" t="s">
        <v>169</v>
      </c>
      <c r="S1090" s="57">
        <v>0</v>
      </c>
    </row>
    <row r="1091" spans="1:19" ht="11.85" customHeight="1" x14ac:dyDescent="0.2">
      <c r="A1091" s="57" t="s">
        <v>616</v>
      </c>
      <c r="B1091" s="416"/>
      <c r="C1091" s="417"/>
      <c r="D1091" s="418"/>
      <c r="E1091" s="419" t="s">
        <v>410</v>
      </c>
      <c r="F1091" s="420"/>
      <c r="G1091" s="64" t="s">
        <v>417</v>
      </c>
      <c r="H1091" s="419" t="s">
        <v>415</v>
      </c>
      <c r="I1091" s="420"/>
      <c r="K1091" s="57" t="s">
        <v>616</v>
      </c>
      <c r="L1091" s="57" t="s">
        <v>169</v>
      </c>
      <c r="S1091" s="57">
        <v>0</v>
      </c>
    </row>
    <row r="1092" spans="1:19" ht="11.85" customHeight="1" x14ac:dyDescent="0.2">
      <c r="A1092" s="57" t="s">
        <v>616</v>
      </c>
      <c r="B1092" s="62"/>
      <c r="C1092" s="411" t="s">
        <v>617</v>
      </c>
      <c r="D1092" s="412"/>
      <c r="E1092" s="412"/>
      <c r="F1092" s="412"/>
      <c r="G1092" s="412"/>
      <c r="H1092" s="412"/>
      <c r="I1092" s="411"/>
      <c r="K1092" s="57" t="s">
        <v>616</v>
      </c>
      <c r="L1092" s="57" t="s">
        <v>169</v>
      </c>
      <c r="S1092" s="57">
        <v>0</v>
      </c>
    </row>
    <row r="1093" spans="1:19" ht="11.85" customHeight="1" x14ac:dyDescent="0.2">
      <c r="A1093" s="57" t="s">
        <v>617</v>
      </c>
      <c r="B1093" s="413" t="s">
        <v>412</v>
      </c>
      <c r="C1093" s="414"/>
      <c r="D1093" s="415"/>
      <c r="E1093" s="419" t="s">
        <v>400</v>
      </c>
      <c r="F1093" s="420"/>
      <c r="G1093" s="64" t="s">
        <v>413</v>
      </c>
      <c r="H1093" s="419" t="s">
        <v>414</v>
      </c>
      <c r="I1093" s="420"/>
      <c r="K1093" s="57" t="s">
        <v>617</v>
      </c>
      <c r="L1093" s="57" t="s">
        <v>170</v>
      </c>
      <c r="S1093" s="57">
        <v>0</v>
      </c>
    </row>
    <row r="1094" spans="1:19" ht="11.1" customHeight="1" x14ac:dyDescent="0.2">
      <c r="A1094" s="57" t="s">
        <v>617</v>
      </c>
      <c r="B1094" s="416"/>
      <c r="C1094" s="417"/>
      <c r="D1094" s="418"/>
      <c r="E1094" s="419" t="s">
        <v>401</v>
      </c>
      <c r="F1094" s="420"/>
      <c r="G1094" s="64" t="s">
        <v>413</v>
      </c>
      <c r="H1094" s="419" t="s">
        <v>415</v>
      </c>
      <c r="I1094" s="420"/>
      <c r="K1094" s="57" t="s">
        <v>617</v>
      </c>
      <c r="L1094" s="57" t="s">
        <v>170</v>
      </c>
      <c r="S1094" s="57">
        <v>0</v>
      </c>
    </row>
    <row r="1095" spans="1:19" ht="11.85" customHeight="1" x14ac:dyDescent="0.2">
      <c r="A1095" s="57" t="s">
        <v>617</v>
      </c>
      <c r="B1095" s="413" t="s">
        <v>416</v>
      </c>
      <c r="C1095" s="414"/>
      <c r="D1095" s="415"/>
      <c r="E1095" s="419" t="s">
        <v>402</v>
      </c>
      <c r="F1095" s="420"/>
      <c r="G1095" s="64" t="s">
        <v>417</v>
      </c>
      <c r="H1095" s="419" t="s">
        <v>457</v>
      </c>
      <c r="I1095" s="420"/>
      <c r="K1095" s="57" t="s">
        <v>617</v>
      </c>
      <c r="L1095" s="57" t="s">
        <v>170</v>
      </c>
      <c r="S1095" s="57">
        <v>0</v>
      </c>
    </row>
    <row r="1096" spans="1:19" ht="11.85" customHeight="1" x14ac:dyDescent="0.2">
      <c r="A1096" s="57" t="s">
        <v>617</v>
      </c>
      <c r="B1096" s="424"/>
      <c r="C1096" s="425"/>
      <c r="D1096" s="426"/>
      <c r="E1096" s="419" t="s">
        <v>403</v>
      </c>
      <c r="F1096" s="420"/>
      <c r="G1096" s="64" t="s">
        <v>417</v>
      </c>
      <c r="H1096" s="419" t="s">
        <v>457</v>
      </c>
      <c r="I1096" s="420"/>
      <c r="K1096" s="57" t="s">
        <v>617</v>
      </c>
      <c r="L1096" s="57" t="s">
        <v>170</v>
      </c>
      <c r="S1096" s="57">
        <v>0</v>
      </c>
    </row>
    <row r="1097" spans="1:19" ht="11.85" customHeight="1" x14ac:dyDescent="0.2">
      <c r="A1097" s="57" t="s">
        <v>617</v>
      </c>
      <c r="B1097" s="424"/>
      <c r="C1097" s="425"/>
      <c r="D1097" s="426"/>
      <c r="E1097" s="419" t="s">
        <v>404</v>
      </c>
      <c r="F1097" s="420"/>
      <c r="G1097" s="64" t="s">
        <v>413</v>
      </c>
      <c r="H1097" s="419" t="s">
        <v>458</v>
      </c>
      <c r="I1097" s="420"/>
      <c r="K1097" s="57" t="s">
        <v>617</v>
      </c>
      <c r="L1097" s="57" t="s">
        <v>170</v>
      </c>
      <c r="S1097" s="57">
        <v>0</v>
      </c>
    </row>
    <row r="1098" spans="1:19" ht="11.1" customHeight="1" x14ac:dyDescent="0.2">
      <c r="A1098" s="57" t="s">
        <v>617</v>
      </c>
      <c r="B1098" s="424"/>
      <c r="C1098" s="425"/>
      <c r="D1098" s="426"/>
      <c r="E1098" s="419" t="s">
        <v>405</v>
      </c>
      <c r="F1098" s="420"/>
      <c r="G1098" s="64" t="s">
        <v>420</v>
      </c>
      <c r="H1098" s="419" t="s">
        <v>459</v>
      </c>
      <c r="I1098" s="420"/>
      <c r="K1098" s="57" t="s">
        <v>617</v>
      </c>
      <c r="L1098" s="57" t="s">
        <v>170</v>
      </c>
      <c r="S1098" s="57">
        <v>0</v>
      </c>
    </row>
    <row r="1099" spans="1:19" ht="11.85" customHeight="1" x14ac:dyDescent="0.2">
      <c r="A1099" s="57" t="s">
        <v>617</v>
      </c>
      <c r="B1099" s="424"/>
      <c r="C1099" s="425"/>
      <c r="D1099" s="426"/>
      <c r="E1099" s="419" t="s">
        <v>460</v>
      </c>
      <c r="F1099" s="420"/>
      <c r="G1099" s="64" t="s">
        <v>461</v>
      </c>
      <c r="H1099" s="419" t="s">
        <v>423</v>
      </c>
      <c r="I1099" s="420"/>
      <c r="K1099" s="57" t="s">
        <v>617</v>
      </c>
      <c r="L1099" s="57" t="s">
        <v>170</v>
      </c>
      <c r="S1099" s="65">
        <v>33.17</v>
      </c>
    </row>
    <row r="1100" spans="1:19" ht="11.85" customHeight="1" x14ac:dyDescent="0.2">
      <c r="A1100" s="57" t="s">
        <v>617</v>
      </c>
      <c r="B1100" s="416"/>
      <c r="C1100" s="417"/>
      <c r="D1100" s="418"/>
      <c r="E1100" s="419" t="s">
        <v>462</v>
      </c>
      <c r="F1100" s="420"/>
      <c r="G1100" s="64" t="s">
        <v>424</v>
      </c>
      <c r="H1100" s="419" t="s">
        <v>463</v>
      </c>
      <c r="I1100" s="420"/>
      <c r="K1100" s="57" t="s">
        <v>617</v>
      </c>
      <c r="L1100" s="57" t="s">
        <v>170</v>
      </c>
      <c r="S1100" s="57">
        <v>0</v>
      </c>
    </row>
    <row r="1101" spans="1:19" ht="11.85" customHeight="1" x14ac:dyDescent="0.2">
      <c r="A1101" s="57" t="s">
        <v>617</v>
      </c>
      <c r="B1101" s="413" t="s">
        <v>426</v>
      </c>
      <c r="C1101" s="414"/>
      <c r="D1101" s="415"/>
      <c r="E1101" s="419" t="s">
        <v>408</v>
      </c>
      <c r="F1101" s="420"/>
      <c r="G1101" s="64" t="s">
        <v>420</v>
      </c>
      <c r="H1101" s="419" t="s">
        <v>427</v>
      </c>
      <c r="I1101" s="420"/>
      <c r="K1101" s="57" t="s">
        <v>617</v>
      </c>
      <c r="L1101" s="57" t="s">
        <v>170</v>
      </c>
      <c r="S1101" s="57">
        <v>0</v>
      </c>
    </row>
    <row r="1102" spans="1:19" ht="11.1" customHeight="1" x14ac:dyDescent="0.2">
      <c r="A1102" s="57" t="s">
        <v>617</v>
      </c>
      <c r="B1102" s="424"/>
      <c r="C1102" s="425"/>
      <c r="D1102" s="426"/>
      <c r="E1102" s="419" t="s">
        <v>409</v>
      </c>
      <c r="F1102" s="420"/>
      <c r="G1102" s="64" t="s">
        <v>417</v>
      </c>
      <c r="H1102" s="419" t="s">
        <v>428</v>
      </c>
      <c r="I1102" s="420"/>
      <c r="K1102" s="57" t="s">
        <v>617</v>
      </c>
      <c r="L1102" s="57" t="s">
        <v>170</v>
      </c>
      <c r="S1102" s="57">
        <v>0</v>
      </c>
    </row>
    <row r="1103" spans="1:19" ht="11.85" customHeight="1" x14ac:dyDescent="0.2">
      <c r="A1103" s="57" t="s">
        <v>617</v>
      </c>
      <c r="B1103" s="416"/>
      <c r="C1103" s="417"/>
      <c r="D1103" s="418"/>
      <c r="E1103" s="419" t="s">
        <v>410</v>
      </c>
      <c r="F1103" s="420"/>
      <c r="G1103" s="64" t="s">
        <v>417</v>
      </c>
      <c r="H1103" s="419" t="s">
        <v>415</v>
      </c>
      <c r="I1103" s="420"/>
      <c r="K1103" s="57" t="s">
        <v>617</v>
      </c>
      <c r="L1103" s="57" t="s">
        <v>170</v>
      </c>
      <c r="S1103" s="57">
        <v>0</v>
      </c>
    </row>
    <row r="1104" spans="1:19" ht="11.85" customHeight="1" x14ac:dyDescent="0.2">
      <c r="A1104" s="57" t="s">
        <v>617</v>
      </c>
      <c r="B1104" s="62"/>
      <c r="C1104" s="411" t="s">
        <v>618</v>
      </c>
      <c r="D1104" s="412"/>
      <c r="E1104" s="412"/>
      <c r="F1104" s="412"/>
      <c r="G1104" s="412"/>
      <c r="H1104" s="412"/>
      <c r="I1104" s="411"/>
      <c r="K1104" s="57" t="s">
        <v>617</v>
      </c>
      <c r="L1104" s="57" t="s">
        <v>170</v>
      </c>
      <c r="S1104" s="57">
        <v>0</v>
      </c>
    </row>
    <row r="1105" spans="1:19" ht="11.85" customHeight="1" x14ac:dyDescent="0.2">
      <c r="A1105" s="57" t="s">
        <v>618</v>
      </c>
      <c r="B1105" s="413" t="s">
        <v>412</v>
      </c>
      <c r="C1105" s="414"/>
      <c r="D1105" s="415"/>
      <c r="E1105" s="419" t="s">
        <v>449</v>
      </c>
      <c r="F1105" s="420"/>
      <c r="G1105" s="64" t="s">
        <v>413</v>
      </c>
      <c r="H1105" s="419" t="s">
        <v>414</v>
      </c>
      <c r="I1105" s="420"/>
      <c r="K1105" s="57" t="s">
        <v>618</v>
      </c>
      <c r="L1105" s="57" t="s">
        <v>171</v>
      </c>
      <c r="S1105" s="57">
        <v>0</v>
      </c>
    </row>
    <row r="1106" spans="1:19" ht="11.1" customHeight="1" x14ac:dyDescent="0.2">
      <c r="A1106" s="57" t="s">
        <v>618</v>
      </c>
      <c r="B1106" s="424"/>
      <c r="C1106" s="425"/>
      <c r="D1106" s="426"/>
      <c r="E1106" s="419" t="s">
        <v>400</v>
      </c>
      <c r="F1106" s="420"/>
      <c r="G1106" s="64" t="s">
        <v>413</v>
      </c>
      <c r="H1106" s="419" t="s">
        <v>414</v>
      </c>
      <c r="I1106" s="420"/>
      <c r="K1106" s="57" t="s">
        <v>618</v>
      </c>
      <c r="L1106" s="57" t="s">
        <v>171</v>
      </c>
      <c r="S1106" s="57">
        <v>0</v>
      </c>
    </row>
    <row r="1107" spans="1:19" ht="11.85" customHeight="1" x14ac:dyDescent="0.2">
      <c r="A1107" s="57" t="s">
        <v>618</v>
      </c>
      <c r="B1107" s="424"/>
      <c r="C1107" s="425"/>
      <c r="D1107" s="426"/>
      <c r="E1107" s="419" t="s">
        <v>450</v>
      </c>
      <c r="F1107" s="420"/>
      <c r="G1107" s="64" t="s">
        <v>413</v>
      </c>
      <c r="H1107" s="419" t="s">
        <v>415</v>
      </c>
      <c r="I1107" s="420"/>
      <c r="K1107" s="57" t="s">
        <v>618</v>
      </c>
      <c r="L1107" s="57" t="s">
        <v>171</v>
      </c>
      <c r="S1107" s="57">
        <v>0</v>
      </c>
    </row>
    <row r="1108" spans="1:19" ht="11.85" customHeight="1" x14ac:dyDescent="0.2">
      <c r="A1108" s="57" t="s">
        <v>618</v>
      </c>
      <c r="B1108" s="416"/>
      <c r="C1108" s="417"/>
      <c r="D1108" s="418"/>
      <c r="E1108" s="419" t="s">
        <v>401</v>
      </c>
      <c r="F1108" s="420"/>
      <c r="G1108" s="64" t="s">
        <v>413</v>
      </c>
      <c r="H1108" s="419" t="s">
        <v>415</v>
      </c>
      <c r="I1108" s="420"/>
      <c r="K1108" s="57" t="s">
        <v>618</v>
      </c>
      <c r="L1108" s="57" t="s">
        <v>171</v>
      </c>
      <c r="S1108" s="57">
        <v>0</v>
      </c>
    </row>
    <row r="1109" spans="1:19" ht="11.85" customHeight="1" x14ac:dyDescent="0.2">
      <c r="A1109" s="57" t="s">
        <v>618</v>
      </c>
      <c r="B1109" s="413" t="s">
        <v>416</v>
      </c>
      <c r="C1109" s="414"/>
      <c r="D1109" s="415"/>
      <c r="E1109" s="419" t="s">
        <v>402</v>
      </c>
      <c r="F1109" s="420"/>
      <c r="G1109" s="64" t="s">
        <v>417</v>
      </c>
      <c r="H1109" s="419" t="s">
        <v>457</v>
      </c>
      <c r="I1109" s="420"/>
      <c r="K1109" s="57" t="s">
        <v>618</v>
      </c>
      <c r="L1109" s="57" t="s">
        <v>171</v>
      </c>
      <c r="S1109" s="57">
        <v>0</v>
      </c>
    </row>
    <row r="1110" spans="1:19" ht="11.1" customHeight="1" x14ac:dyDescent="0.2">
      <c r="A1110" s="57" t="s">
        <v>618</v>
      </c>
      <c r="B1110" s="424"/>
      <c r="C1110" s="425"/>
      <c r="D1110" s="426"/>
      <c r="E1110" s="419" t="s">
        <v>403</v>
      </c>
      <c r="F1110" s="420"/>
      <c r="G1110" s="64" t="s">
        <v>417</v>
      </c>
      <c r="H1110" s="419" t="s">
        <v>457</v>
      </c>
      <c r="I1110" s="420"/>
      <c r="K1110" s="57" t="s">
        <v>618</v>
      </c>
      <c r="L1110" s="57" t="s">
        <v>171</v>
      </c>
      <c r="S1110" s="57">
        <v>0</v>
      </c>
    </row>
    <row r="1111" spans="1:19" ht="11.85" customHeight="1" x14ac:dyDescent="0.2">
      <c r="A1111" s="57" t="s">
        <v>618</v>
      </c>
      <c r="B1111" s="424"/>
      <c r="C1111" s="425"/>
      <c r="D1111" s="426"/>
      <c r="E1111" s="419" t="s">
        <v>404</v>
      </c>
      <c r="F1111" s="420"/>
      <c r="G1111" s="64" t="s">
        <v>413</v>
      </c>
      <c r="H1111" s="419" t="s">
        <v>458</v>
      </c>
      <c r="I1111" s="420"/>
      <c r="K1111" s="57" t="s">
        <v>618</v>
      </c>
      <c r="L1111" s="57" t="s">
        <v>171</v>
      </c>
      <c r="S1111" s="57">
        <v>0</v>
      </c>
    </row>
    <row r="1112" spans="1:19" ht="11.85" customHeight="1" x14ac:dyDescent="0.2">
      <c r="A1112" s="57" t="s">
        <v>618</v>
      </c>
      <c r="B1112" s="424"/>
      <c r="C1112" s="425"/>
      <c r="D1112" s="426"/>
      <c r="E1112" s="419" t="s">
        <v>405</v>
      </c>
      <c r="F1112" s="420"/>
      <c r="G1112" s="64" t="s">
        <v>420</v>
      </c>
      <c r="H1112" s="419" t="s">
        <v>459</v>
      </c>
      <c r="I1112" s="420"/>
      <c r="K1112" s="57" t="s">
        <v>618</v>
      </c>
      <c r="L1112" s="57" t="s">
        <v>171</v>
      </c>
      <c r="S1112" s="57">
        <v>0</v>
      </c>
    </row>
    <row r="1113" spans="1:19" ht="11.85" customHeight="1" x14ac:dyDescent="0.2">
      <c r="A1113" s="57" t="s">
        <v>618</v>
      </c>
      <c r="B1113" s="424"/>
      <c r="C1113" s="425"/>
      <c r="D1113" s="426"/>
      <c r="E1113" s="419" t="s">
        <v>460</v>
      </c>
      <c r="F1113" s="420"/>
      <c r="G1113" s="64" t="s">
        <v>461</v>
      </c>
      <c r="H1113" s="419" t="s">
        <v>423</v>
      </c>
      <c r="I1113" s="420"/>
      <c r="K1113" s="57" t="s">
        <v>618</v>
      </c>
      <c r="L1113" s="57" t="s">
        <v>171</v>
      </c>
      <c r="S1113" s="65">
        <v>33.17</v>
      </c>
    </row>
    <row r="1114" spans="1:19" ht="11.1" customHeight="1" x14ac:dyDescent="0.2">
      <c r="A1114" s="57" t="s">
        <v>618</v>
      </c>
      <c r="B1114" s="416"/>
      <c r="C1114" s="417"/>
      <c r="D1114" s="418"/>
      <c r="E1114" s="419" t="s">
        <v>462</v>
      </c>
      <c r="F1114" s="420"/>
      <c r="G1114" s="64" t="s">
        <v>424</v>
      </c>
      <c r="H1114" s="419" t="s">
        <v>463</v>
      </c>
      <c r="I1114" s="420"/>
      <c r="K1114" s="57" t="s">
        <v>618</v>
      </c>
      <c r="L1114" s="57" t="s">
        <v>171</v>
      </c>
      <c r="S1114" s="57">
        <v>0</v>
      </c>
    </row>
    <row r="1115" spans="1:19" ht="11.85" customHeight="1" x14ac:dyDescent="0.2">
      <c r="A1115" s="57" t="s">
        <v>618</v>
      </c>
      <c r="B1115" s="413" t="s">
        <v>426</v>
      </c>
      <c r="C1115" s="414"/>
      <c r="D1115" s="415"/>
      <c r="E1115" s="419" t="s">
        <v>451</v>
      </c>
      <c r="F1115" s="420"/>
      <c r="G1115" s="64" t="s">
        <v>420</v>
      </c>
      <c r="H1115" s="419" t="s">
        <v>427</v>
      </c>
      <c r="I1115" s="420"/>
      <c r="K1115" s="57" t="s">
        <v>618</v>
      </c>
      <c r="L1115" s="57" t="s">
        <v>171</v>
      </c>
      <c r="S1115" s="57">
        <v>0</v>
      </c>
    </row>
    <row r="1116" spans="1:19" ht="11.85" customHeight="1" x14ac:dyDescent="0.2">
      <c r="A1116" s="57" t="s">
        <v>618</v>
      </c>
      <c r="B1116" s="424"/>
      <c r="C1116" s="425"/>
      <c r="D1116" s="426"/>
      <c r="E1116" s="419" t="s">
        <v>408</v>
      </c>
      <c r="F1116" s="420"/>
      <c r="G1116" s="64" t="s">
        <v>420</v>
      </c>
      <c r="H1116" s="419" t="s">
        <v>427</v>
      </c>
      <c r="I1116" s="420"/>
      <c r="K1116" s="57" t="s">
        <v>618</v>
      </c>
      <c r="L1116" s="57" t="s">
        <v>171</v>
      </c>
      <c r="S1116" s="57">
        <v>0</v>
      </c>
    </row>
    <row r="1117" spans="1:19" ht="11.85" customHeight="1" x14ac:dyDescent="0.2">
      <c r="A1117" s="57" t="s">
        <v>618</v>
      </c>
      <c r="B1117" s="424"/>
      <c r="C1117" s="425"/>
      <c r="D1117" s="426"/>
      <c r="E1117" s="419" t="s">
        <v>452</v>
      </c>
      <c r="F1117" s="420"/>
      <c r="G1117" s="64" t="s">
        <v>417</v>
      </c>
      <c r="H1117" s="419" t="s">
        <v>428</v>
      </c>
      <c r="I1117" s="420"/>
      <c r="K1117" s="57" t="s">
        <v>618</v>
      </c>
      <c r="L1117" s="57" t="s">
        <v>171</v>
      </c>
      <c r="S1117" s="57">
        <v>0</v>
      </c>
    </row>
    <row r="1118" spans="1:19" ht="11.1" customHeight="1" x14ac:dyDescent="0.2">
      <c r="A1118" s="57" t="s">
        <v>618</v>
      </c>
      <c r="B1118" s="424"/>
      <c r="C1118" s="425"/>
      <c r="D1118" s="426"/>
      <c r="E1118" s="419" t="s">
        <v>409</v>
      </c>
      <c r="F1118" s="420"/>
      <c r="G1118" s="64" t="s">
        <v>417</v>
      </c>
      <c r="H1118" s="419" t="s">
        <v>428</v>
      </c>
      <c r="I1118" s="420"/>
      <c r="K1118" s="57" t="s">
        <v>618</v>
      </c>
      <c r="L1118" s="57" t="s">
        <v>171</v>
      </c>
      <c r="S1118" s="57">
        <v>0</v>
      </c>
    </row>
    <row r="1119" spans="1:19" ht="11.85" customHeight="1" x14ac:dyDescent="0.2">
      <c r="A1119" s="57" t="s">
        <v>618</v>
      </c>
      <c r="B1119" s="424"/>
      <c r="C1119" s="425"/>
      <c r="D1119" s="426"/>
      <c r="E1119" s="419" t="s">
        <v>453</v>
      </c>
      <c r="F1119" s="420"/>
      <c r="G1119" s="64" t="s">
        <v>417</v>
      </c>
      <c r="H1119" s="419" t="s">
        <v>415</v>
      </c>
      <c r="I1119" s="420"/>
      <c r="K1119" s="57" t="s">
        <v>618</v>
      </c>
      <c r="L1119" s="57" t="s">
        <v>171</v>
      </c>
      <c r="S1119" s="57">
        <v>0</v>
      </c>
    </row>
    <row r="1120" spans="1:19" ht="11.85" customHeight="1" x14ac:dyDescent="0.2">
      <c r="A1120" s="57" t="s">
        <v>618</v>
      </c>
      <c r="B1120" s="416"/>
      <c r="C1120" s="417"/>
      <c r="D1120" s="418"/>
      <c r="E1120" s="419" t="s">
        <v>410</v>
      </c>
      <c r="F1120" s="420"/>
      <c r="G1120" s="64" t="s">
        <v>417</v>
      </c>
      <c r="H1120" s="419" t="s">
        <v>415</v>
      </c>
      <c r="I1120" s="420"/>
      <c r="K1120" s="57" t="s">
        <v>618</v>
      </c>
      <c r="L1120" s="57" t="s">
        <v>171</v>
      </c>
      <c r="S1120" s="57">
        <v>0</v>
      </c>
    </row>
    <row r="1121" spans="1:19" ht="11.85" customHeight="1" x14ac:dyDescent="0.2">
      <c r="A1121" s="57" t="s">
        <v>618</v>
      </c>
      <c r="B1121" s="62"/>
      <c r="C1121" s="411" t="s">
        <v>619</v>
      </c>
      <c r="D1121" s="412"/>
      <c r="E1121" s="412"/>
      <c r="F1121" s="412"/>
      <c r="G1121" s="412"/>
      <c r="H1121" s="412"/>
      <c r="I1121" s="411"/>
      <c r="K1121" s="57" t="s">
        <v>618</v>
      </c>
      <c r="L1121" s="57" t="s">
        <v>171</v>
      </c>
      <c r="S1121" s="57">
        <v>0</v>
      </c>
    </row>
    <row r="1122" spans="1:19" ht="11.1" customHeight="1" x14ac:dyDescent="0.2">
      <c r="A1122" s="57" t="s">
        <v>619</v>
      </c>
      <c r="B1122" s="413" t="s">
        <v>412</v>
      </c>
      <c r="C1122" s="414"/>
      <c r="D1122" s="415"/>
      <c r="E1122" s="419" t="s">
        <v>400</v>
      </c>
      <c r="F1122" s="420"/>
      <c r="G1122" s="64" t="s">
        <v>413</v>
      </c>
      <c r="H1122" s="419" t="s">
        <v>414</v>
      </c>
      <c r="I1122" s="420"/>
      <c r="K1122" s="57" t="s">
        <v>619</v>
      </c>
      <c r="L1122" s="57" t="s">
        <v>172</v>
      </c>
      <c r="S1122" s="57">
        <v>0</v>
      </c>
    </row>
    <row r="1123" spans="1:19" ht="11.85" customHeight="1" x14ac:dyDescent="0.2">
      <c r="A1123" s="57" t="s">
        <v>619</v>
      </c>
      <c r="B1123" s="416"/>
      <c r="C1123" s="417"/>
      <c r="D1123" s="418"/>
      <c r="E1123" s="419" t="s">
        <v>401</v>
      </c>
      <c r="F1123" s="420"/>
      <c r="G1123" s="64" t="s">
        <v>413</v>
      </c>
      <c r="H1123" s="419" t="s">
        <v>415</v>
      </c>
      <c r="I1123" s="420"/>
      <c r="K1123" s="57" t="s">
        <v>619</v>
      </c>
      <c r="L1123" s="57" t="s">
        <v>172</v>
      </c>
      <c r="S1123" s="57">
        <v>0</v>
      </c>
    </row>
    <row r="1124" spans="1:19" ht="11.85" customHeight="1" x14ac:dyDescent="0.2">
      <c r="A1124" s="57" t="s">
        <v>619</v>
      </c>
      <c r="B1124" s="413" t="s">
        <v>416</v>
      </c>
      <c r="C1124" s="414"/>
      <c r="D1124" s="415"/>
      <c r="E1124" s="419" t="s">
        <v>402</v>
      </c>
      <c r="F1124" s="420"/>
      <c r="G1124" s="64" t="s">
        <v>417</v>
      </c>
      <c r="H1124" s="419" t="s">
        <v>457</v>
      </c>
      <c r="I1124" s="420"/>
      <c r="K1124" s="57" t="s">
        <v>619</v>
      </c>
      <c r="L1124" s="57" t="s">
        <v>172</v>
      </c>
      <c r="S1124" s="57">
        <v>0</v>
      </c>
    </row>
    <row r="1125" spans="1:19" ht="11.85" customHeight="1" x14ac:dyDescent="0.2">
      <c r="A1125" s="57" t="s">
        <v>619</v>
      </c>
      <c r="B1125" s="424"/>
      <c r="C1125" s="425"/>
      <c r="D1125" s="426"/>
      <c r="E1125" s="419" t="s">
        <v>403</v>
      </c>
      <c r="F1125" s="420"/>
      <c r="G1125" s="64" t="s">
        <v>417</v>
      </c>
      <c r="H1125" s="419" t="s">
        <v>457</v>
      </c>
      <c r="I1125" s="420"/>
      <c r="K1125" s="57" t="s">
        <v>619</v>
      </c>
      <c r="L1125" s="57" t="s">
        <v>172</v>
      </c>
      <c r="S1125" s="57">
        <v>0</v>
      </c>
    </row>
    <row r="1126" spans="1:19" ht="11.1" customHeight="1" x14ac:dyDescent="0.2">
      <c r="A1126" s="57" t="s">
        <v>619</v>
      </c>
      <c r="B1126" s="424"/>
      <c r="C1126" s="425"/>
      <c r="D1126" s="426"/>
      <c r="E1126" s="419" t="s">
        <v>404</v>
      </c>
      <c r="F1126" s="420"/>
      <c r="G1126" s="64" t="s">
        <v>413</v>
      </c>
      <c r="H1126" s="419" t="s">
        <v>458</v>
      </c>
      <c r="I1126" s="420"/>
      <c r="K1126" s="57" t="s">
        <v>619</v>
      </c>
      <c r="L1126" s="57" t="s">
        <v>172</v>
      </c>
      <c r="S1126" s="57">
        <v>0</v>
      </c>
    </row>
    <row r="1127" spans="1:19" ht="11.85" customHeight="1" x14ac:dyDescent="0.2">
      <c r="A1127" s="57" t="s">
        <v>619</v>
      </c>
      <c r="B1127" s="424"/>
      <c r="C1127" s="425"/>
      <c r="D1127" s="426"/>
      <c r="E1127" s="419" t="s">
        <v>405</v>
      </c>
      <c r="F1127" s="420"/>
      <c r="G1127" s="64" t="s">
        <v>420</v>
      </c>
      <c r="H1127" s="419" t="s">
        <v>459</v>
      </c>
      <c r="I1127" s="420"/>
      <c r="K1127" s="57" t="s">
        <v>619</v>
      </c>
      <c r="L1127" s="57" t="s">
        <v>172</v>
      </c>
      <c r="S1127" s="57">
        <v>0</v>
      </c>
    </row>
    <row r="1128" spans="1:19" ht="11.85" customHeight="1" x14ac:dyDescent="0.2">
      <c r="A1128" s="57" t="s">
        <v>619</v>
      </c>
      <c r="B1128" s="424"/>
      <c r="C1128" s="425"/>
      <c r="D1128" s="426"/>
      <c r="E1128" s="419" t="s">
        <v>460</v>
      </c>
      <c r="F1128" s="420"/>
      <c r="G1128" s="64" t="s">
        <v>461</v>
      </c>
      <c r="H1128" s="419" t="s">
        <v>423</v>
      </c>
      <c r="I1128" s="420"/>
      <c r="K1128" s="57" t="s">
        <v>619</v>
      </c>
      <c r="L1128" s="57" t="s">
        <v>172</v>
      </c>
      <c r="S1128" s="65">
        <v>33.17</v>
      </c>
    </row>
    <row r="1129" spans="1:19" ht="11.85" customHeight="1" x14ac:dyDescent="0.2">
      <c r="A1129" s="57" t="s">
        <v>619</v>
      </c>
      <c r="B1129" s="416"/>
      <c r="C1129" s="417"/>
      <c r="D1129" s="418"/>
      <c r="E1129" s="419" t="s">
        <v>462</v>
      </c>
      <c r="F1129" s="420"/>
      <c r="G1129" s="64" t="s">
        <v>424</v>
      </c>
      <c r="H1129" s="419" t="s">
        <v>463</v>
      </c>
      <c r="I1129" s="420"/>
      <c r="K1129" s="57" t="s">
        <v>619</v>
      </c>
      <c r="L1129" s="57" t="s">
        <v>172</v>
      </c>
      <c r="S1129" s="57">
        <v>0</v>
      </c>
    </row>
    <row r="1130" spans="1:19" ht="11.1" customHeight="1" x14ac:dyDescent="0.2">
      <c r="A1130" s="57" t="s">
        <v>619</v>
      </c>
      <c r="B1130" s="413" t="s">
        <v>426</v>
      </c>
      <c r="C1130" s="414"/>
      <c r="D1130" s="415"/>
      <c r="E1130" s="419" t="s">
        <v>408</v>
      </c>
      <c r="F1130" s="420"/>
      <c r="G1130" s="64" t="s">
        <v>420</v>
      </c>
      <c r="H1130" s="419" t="s">
        <v>427</v>
      </c>
      <c r="I1130" s="420"/>
      <c r="K1130" s="57" t="s">
        <v>619</v>
      </c>
      <c r="L1130" s="57" t="s">
        <v>172</v>
      </c>
      <c r="S1130" s="57">
        <v>0</v>
      </c>
    </row>
    <row r="1131" spans="1:19" ht="11.85" customHeight="1" x14ac:dyDescent="0.2">
      <c r="A1131" s="57" t="s">
        <v>619</v>
      </c>
      <c r="B1131" s="424"/>
      <c r="C1131" s="425"/>
      <c r="D1131" s="426"/>
      <c r="E1131" s="419" t="s">
        <v>409</v>
      </c>
      <c r="F1131" s="420"/>
      <c r="G1131" s="64" t="s">
        <v>417</v>
      </c>
      <c r="H1131" s="419" t="s">
        <v>428</v>
      </c>
      <c r="I1131" s="420"/>
      <c r="K1131" s="57" t="s">
        <v>619</v>
      </c>
      <c r="L1131" s="57" t="s">
        <v>172</v>
      </c>
      <c r="S1131" s="57">
        <v>0</v>
      </c>
    </row>
    <row r="1132" spans="1:19" ht="11.85" customHeight="1" x14ac:dyDescent="0.2">
      <c r="A1132" s="57" t="s">
        <v>619</v>
      </c>
      <c r="B1132" s="416"/>
      <c r="C1132" s="417"/>
      <c r="D1132" s="418"/>
      <c r="E1132" s="419" t="s">
        <v>410</v>
      </c>
      <c r="F1132" s="420"/>
      <c r="G1132" s="64" t="s">
        <v>417</v>
      </c>
      <c r="H1132" s="419" t="s">
        <v>415</v>
      </c>
      <c r="I1132" s="420"/>
      <c r="K1132" s="57" t="s">
        <v>619</v>
      </c>
      <c r="L1132" s="57" t="s">
        <v>172</v>
      </c>
      <c r="S1132" s="57">
        <v>0</v>
      </c>
    </row>
    <row r="1133" spans="1:19" ht="11.85" customHeight="1" x14ac:dyDescent="0.2">
      <c r="A1133" s="57" t="s">
        <v>619</v>
      </c>
      <c r="B1133" s="62"/>
      <c r="C1133" s="411" t="s">
        <v>620</v>
      </c>
      <c r="D1133" s="412"/>
      <c r="E1133" s="412"/>
      <c r="F1133" s="412"/>
      <c r="G1133" s="412"/>
      <c r="H1133" s="412"/>
      <c r="I1133" s="411"/>
      <c r="K1133" s="57" t="s">
        <v>619</v>
      </c>
      <c r="L1133" s="57" t="s">
        <v>172</v>
      </c>
      <c r="S1133" s="57">
        <v>0</v>
      </c>
    </row>
    <row r="1134" spans="1:19" ht="11.1" customHeight="1" x14ac:dyDescent="0.2">
      <c r="A1134" s="57" t="s">
        <v>620</v>
      </c>
      <c r="B1134" s="413" t="s">
        <v>416</v>
      </c>
      <c r="C1134" s="414"/>
      <c r="D1134" s="415"/>
      <c r="E1134" s="419" t="s">
        <v>402</v>
      </c>
      <c r="F1134" s="420"/>
      <c r="G1134" s="64" t="s">
        <v>417</v>
      </c>
      <c r="H1134" s="419" t="s">
        <v>457</v>
      </c>
      <c r="I1134" s="420"/>
      <c r="K1134" s="57" t="s">
        <v>620</v>
      </c>
      <c r="L1134" s="57" t="s">
        <v>173</v>
      </c>
      <c r="S1134" s="57">
        <v>0</v>
      </c>
    </row>
    <row r="1135" spans="1:19" ht="11.85" customHeight="1" x14ac:dyDescent="0.2">
      <c r="A1135" s="57" t="s">
        <v>620</v>
      </c>
      <c r="B1135" s="424"/>
      <c r="C1135" s="425"/>
      <c r="D1135" s="426"/>
      <c r="E1135" s="419" t="s">
        <v>403</v>
      </c>
      <c r="F1135" s="420"/>
      <c r="G1135" s="64" t="s">
        <v>417</v>
      </c>
      <c r="H1135" s="419" t="s">
        <v>457</v>
      </c>
      <c r="I1135" s="420"/>
      <c r="K1135" s="57" t="s">
        <v>620</v>
      </c>
      <c r="L1135" s="57" t="s">
        <v>173</v>
      </c>
      <c r="S1135" s="57">
        <v>0</v>
      </c>
    </row>
    <row r="1136" spans="1:19" ht="11.85" customHeight="1" x14ac:dyDescent="0.2">
      <c r="A1136" s="57" t="s">
        <v>620</v>
      </c>
      <c r="B1136" s="424"/>
      <c r="C1136" s="425"/>
      <c r="D1136" s="426"/>
      <c r="E1136" s="419" t="s">
        <v>404</v>
      </c>
      <c r="F1136" s="420"/>
      <c r="G1136" s="64" t="s">
        <v>413</v>
      </c>
      <c r="H1136" s="419" t="s">
        <v>458</v>
      </c>
      <c r="I1136" s="420"/>
      <c r="K1136" s="57" t="s">
        <v>620</v>
      </c>
      <c r="L1136" s="57" t="s">
        <v>173</v>
      </c>
      <c r="S1136" s="57">
        <v>0</v>
      </c>
    </row>
    <row r="1137" spans="1:19" ht="11.85" customHeight="1" x14ac:dyDescent="0.2">
      <c r="A1137" s="57" t="s">
        <v>620</v>
      </c>
      <c r="B1137" s="424"/>
      <c r="C1137" s="425"/>
      <c r="D1137" s="426"/>
      <c r="E1137" s="419" t="s">
        <v>405</v>
      </c>
      <c r="F1137" s="420"/>
      <c r="G1137" s="64" t="s">
        <v>420</v>
      </c>
      <c r="H1137" s="419" t="s">
        <v>459</v>
      </c>
      <c r="I1137" s="420"/>
      <c r="K1137" s="57" t="s">
        <v>620</v>
      </c>
      <c r="L1137" s="57" t="s">
        <v>173</v>
      </c>
      <c r="S1137" s="57">
        <v>0</v>
      </c>
    </row>
    <row r="1138" spans="1:19" ht="11.1" customHeight="1" x14ac:dyDescent="0.2">
      <c r="A1138" s="57" t="s">
        <v>620</v>
      </c>
      <c r="B1138" s="424"/>
      <c r="C1138" s="425"/>
      <c r="D1138" s="426"/>
      <c r="E1138" s="419" t="s">
        <v>460</v>
      </c>
      <c r="F1138" s="420"/>
      <c r="G1138" s="64" t="s">
        <v>461</v>
      </c>
      <c r="H1138" s="419" t="s">
        <v>423</v>
      </c>
      <c r="I1138" s="420"/>
      <c r="K1138" s="57" t="s">
        <v>620</v>
      </c>
      <c r="L1138" s="57" t="s">
        <v>173</v>
      </c>
      <c r="S1138" s="65">
        <v>33.17</v>
      </c>
    </row>
    <row r="1139" spans="1:19" ht="11.85" customHeight="1" x14ac:dyDescent="0.2">
      <c r="A1139" s="57" t="s">
        <v>620</v>
      </c>
      <c r="B1139" s="416"/>
      <c r="C1139" s="417"/>
      <c r="D1139" s="418"/>
      <c r="E1139" s="419" t="s">
        <v>462</v>
      </c>
      <c r="F1139" s="420"/>
      <c r="G1139" s="64" t="s">
        <v>424</v>
      </c>
      <c r="H1139" s="419" t="s">
        <v>463</v>
      </c>
      <c r="I1139" s="420"/>
      <c r="K1139" s="57" t="s">
        <v>620</v>
      </c>
      <c r="L1139" s="57" t="s">
        <v>173</v>
      </c>
      <c r="S1139" s="57">
        <v>0</v>
      </c>
    </row>
    <row r="1140" spans="1:19" ht="11.85" customHeight="1" x14ac:dyDescent="0.2">
      <c r="A1140" s="57" t="s">
        <v>620</v>
      </c>
      <c r="B1140" s="62"/>
      <c r="C1140" s="411" t="s">
        <v>621</v>
      </c>
      <c r="D1140" s="412"/>
      <c r="E1140" s="412"/>
      <c r="F1140" s="412"/>
      <c r="G1140" s="412"/>
      <c r="H1140" s="412"/>
      <c r="I1140" s="411"/>
      <c r="K1140" s="57" t="s">
        <v>620</v>
      </c>
      <c r="L1140" s="57" t="s">
        <v>173</v>
      </c>
      <c r="S1140" s="57">
        <v>0</v>
      </c>
    </row>
    <row r="1141" spans="1:19" ht="11.85" customHeight="1" x14ac:dyDescent="0.2">
      <c r="A1141" s="57" t="s">
        <v>621</v>
      </c>
      <c r="B1141" s="413" t="s">
        <v>416</v>
      </c>
      <c r="C1141" s="427"/>
      <c r="D1141" s="428"/>
      <c r="E1141" s="419" t="s">
        <v>402</v>
      </c>
      <c r="F1141" s="420"/>
      <c r="G1141" s="64" t="s">
        <v>417</v>
      </c>
      <c r="H1141" s="419" t="s">
        <v>437</v>
      </c>
      <c r="I1141" s="420"/>
      <c r="K1141" s="57" t="s">
        <v>621</v>
      </c>
      <c r="L1141" s="57" t="s">
        <v>174</v>
      </c>
      <c r="S1141" s="57">
        <v>0</v>
      </c>
    </row>
    <row r="1142" spans="1:19" ht="11.85" customHeight="1" x14ac:dyDescent="0.2">
      <c r="A1142" s="57" t="s">
        <v>621</v>
      </c>
      <c r="B1142" s="413" t="s">
        <v>416</v>
      </c>
      <c r="C1142" s="414"/>
      <c r="D1142" s="415"/>
      <c r="E1142" s="419" t="s">
        <v>403</v>
      </c>
      <c r="F1142" s="420"/>
      <c r="G1142" s="64" t="s">
        <v>417</v>
      </c>
      <c r="H1142" s="419" t="s">
        <v>437</v>
      </c>
      <c r="I1142" s="420"/>
      <c r="K1142" s="57" t="s">
        <v>621</v>
      </c>
      <c r="L1142" s="57" t="s">
        <v>174</v>
      </c>
      <c r="S1142" s="57">
        <v>0</v>
      </c>
    </row>
    <row r="1143" spans="1:19" ht="11.85" customHeight="1" x14ac:dyDescent="0.2">
      <c r="A1143" s="57" t="s">
        <v>621</v>
      </c>
      <c r="B1143" s="424"/>
      <c r="C1143" s="425"/>
      <c r="D1143" s="426"/>
      <c r="E1143" s="419" t="s">
        <v>404</v>
      </c>
      <c r="F1143" s="420"/>
      <c r="G1143" s="64" t="s">
        <v>413</v>
      </c>
      <c r="H1143" s="419" t="s">
        <v>478</v>
      </c>
      <c r="I1143" s="420"/>
      <c r="K1143" s="57" t="s">
        <v>621</v>
      </c>
      <c r="L1143" s="57" t="s">
        <v>174</v>
      </c>
      <c r="S1143" s="57">
        <v>0</v>
      </c>
    </row>
    <row r="1144" spans="1:19" ht="11.85" customHeight="1" x14ac:dyDescent="0.2">
      <c r="A1144" s="57" t="s">
        <v>621</v>
      </c>
      <c r="B1144" s="424"/>
      <c r="C1144" s="425"/>
      <c r="D1144" s="426"/>
      <c r="E1144" s="419" t="s">
        <v>405</v>
      </c>
      <c r="F1144" s="420"/>
      <c r="G1144" s="64" t="s">
        <v>420</v>
      </c>
      <c r="H1144" s="419" t="s">
        <v>439</v>
      </c>
      <c r="I1144" s="420"/>
      <c r="K1144" s="57" t="s">
        <v>621</v>
      </c>
      <c r="L1144" s="57" t="s">
        <v>174</v>
      </c>
      <c r="S1144" s="57">
        <v>0</v>
      </c>
    </row>
    <row r="1145" spans="1:19" ht="11.1" customHeight="1" x14ac:dyDescent="0.2">
      <c r="A1145" s="57" t="s">
        <v>621</v>
      </c>
      <c r="B1145" s="424"/>
      <c r="C1145" s="425"/>
      <c r="D1145" s="426"/>
      <c r="E1145" s="419" t="s">
        <v>440</v>
      </c>
      <c r="F1145" s="420"/>
      <c r="G1145" s="64" t="s">
        <v>441</v>
      </c>
      <c r="H1145" s="419" t="s">
        <v>423</v>
      </c>
      <c r="I1145" s="420"/>
      <c r="K1145" s="57" t="s">
        <v>621</v>
      </c>
      <c r="L1145" s="57" t="s">
        <v>174</v>
      </c>
      <c r="S1145" s="65">
        <v>48.16</v>
      </c>
    </row>
    <row r="1146" spans="1:19" ht="11.85" customHeight="1" x14ac:dyDescent="0.2">
      <c r="A1146" s="57" t="s">
        <v>621</v>
      </c>
      <c r="B1146" s="416"/>
      <c r="C1146" s="417"/>
      <c r="D1146" s="418"/>
      <c r="E1146" s="419" t="s">
        <v>442</v>
      </c>
      <c r="F1146" s="420"/>
      <c r="G1146" s="64" t="s">
        <v>443</v>
      </c>
      <c r="H1146" s="419" t="s">
        <v>425</v>
      </c>
      <c r="I1146" s="420"/>
      <c r="K1146" s="57" t="s">
        <v>621</v>
      </c>
      <c r="L1146" s="57" t="s">
        <v>174</v>
      </c>
      <c r="S1146" s="57">
        <v>0</v>
      </c>
    </row>
    <row r="1147" spans="1:19" ht="11.85" customHeight="1" x14ac:dyDescent="0.2">
      <c r="A1147" s="57" t="s">
        <v>621</v>
      </c>
      <c r="B1147" s="413" t="s">
        <v>426</v>
      </c>
      <c r="C1147" s="414"/>
      <c r="D1147" s="415"/>
      <c r="E1147" s="419" t="s">
        <v>408</v>
      </c>
      <c r="F1147" s="420"/>
      <c r="G1147" s="64" t="s">
        <v>420</v>
      </c>
      <c r="H1147" s="419" t="s">
        <v>427</v>
      </c>
      <c r="I1147" s="420"/>
      <c r="K1147" s="57" t="s">
        <v>621</v>
      </c>
      <c r="L1147" s="57" t="s">
        <v>174</v>
      </c>
      <c r="S1147" s="57">
        <v>0</v>
      </c>
    </row>
    <row r="1148" spans="1:19" ht="11.85" customHeight="1" x14ac:dyDescent="0.2">
      <c r="A1148" s="57" t="s">
        <v>621</v>
      </c>
      <c r="B1148" s="416"/>
      <c r="C1148" s="417"/>
      <c r="D1148" s="418"/>
      <c r="E1148" s="419" t="s">
        <v>409</v>
      </c>
      <c r="F1148" s="420"/>
      <c r="G1148" s="64" t="s">
        <v>417</v>
      </c>
      <c r="H1148" s="419" t="s">
        <v>428</v>
      </c>
      <c r="I1148" s="420"/>
      <c r="K1148" s="57" t="s">
        <v>621</v>
      </c>
      <c r="L1148" s="57" t="s">
        <v>174</v>
      </c>
      <c r="S1148" s="57">
        <v>0</v>
      </c>
    </row>
    <row r="1149" spans="1:19" ht="11.1" customHeight="1" x14ac:dyDescent="0.2">
      <c r="A1149" s="57" t="s">
        <v>621</v>
      </c>
      <c r="B1149" s="62"/>
      <c r="C1149" s="411" t="s">
        <v>622</v>
      </c>
      <c r="D1149" s="412"/>
      <c r="E1149" s="412"/>
      <c r="F1149" s="412"/>
      <c r="G1149" s="412"/>
      <c r="H1149" s="412"/>
      <c r="I1149" s="411"/>
      <c r="K1149" s="57" t="s">
        <v>621</v>
      </c>
      <c r="L1149" s="57" t="s">
        <v>174</v>
      </c>
      <c r="S1149" s="57">
        <v>0</v>
      </c>
    </row>
    <row r="1150" spans="1:19" ht="11.85" customHeight="1" x14ac:dyDescent="0.2">
      <c r="A1150" s="57" t="s">
        <v>622</v>
      </c>
      <c r="B1150" s="413" t="s">
        <v>412</v>
      </c>
      <c r="C1150" s="414"/>
      <c r="D1150" s="415"/>
      <c r="E1150" s="419" t="s">
        <v>400</v>
      </c>
      <c r="F1150" s="420"/>
      <c r="G1150" s="64" t="s">
        <v>413</v>
      </c>
      <c r="H1150" s="419" t="s">
        <v>414</v>
      </c>
      <c r="I1150" s="420"/>
      <c r="K1150" s="57" t="s">
        <v>622</v>
      </c>
      <c r="L1150" s="57" t="s">
        <v>223</v>
      </c>
      <c r="S1150" s="57">
        <v>0</v>
      </c>
    </row>
    <row r="1151" spans="1:19" ht="11.85" customHeight="1" x14ac:dyDescent="0.2">
      <c r="A1151" s="57" t="s">
        <v>622</v>
      </c>
      <c r="B1151" s="416"/>
      <c r="C1151" s="417"/>
      <c r="D1151" s="418"/>
      <c r="E1151" s="419" t="s">
        <v>401</v>
      </c>
      <c r="F1151" s="420"/>
      <c r="G1151" s="64" t="s">
        <v>413</v>
      </c>
      <c r="H1151" s="419" t="s">
        <v>415</v>
      </c>
      <c r="I1151" s="420"/>
      <c r="K1151" s="57" t="s">
        <v>622</v>
      </c>
      <c r="L1151" s="57" t="s">
        <v>223</v>
      </c>
      <c r="S1151" s="57">
        <v>0</v>
      </c>
    </row>
    <row r="1152" spans="1:19" ht="11.85" customHeight="1" x14ac:dyDescent="0.2">
      <c r="A1152" s="57" t="s">
        <v>622</v>
      </c>
      <c r="B1152" s="413" t="s">
        <v>416</v>
      </c>
      <c r="C1152" s="414"/>
      <c r="D1152" s="415"/>
      <c r="E1152" s="419" t="s">
        <v>402</v>
      </c>
      <c r="F1152" s="420"/>
      <c r="G1152" s="64" t="s">
        <v>417</v>
      </c>
      <c r="H1152" s="419" t="s">
        <v>437</v>
      </c>
      <c r="I1152" s="420"/>
      <c r="K1152" s="57" t="s">
        <v>622</v>
      </c>
      <c r="L1152" s="57" t="s">
        <v>223</v>
      </c>
      <c r="S1152" s="57">
        <v>0</v>
      </c>
    </row>
    <row r="1153" spans="1:19" ht="11.1" customHeight="1" x14ac:dyDescent="0.2">
      <c r="A1153" s="57" t="s">
        <v>622</v>
      </c>
      <c r="B1153" s="424"/>
      <c r="C1153" s="425"/>
      <c r="D1153" s="426"/>
      <c r="E1153" s="419" t="s">
        <v>403</v>
      </c>
      <c r="F1153" s="420"/>
      <c r="G1153" s="64" t="s">
        <v>417</v>
      </c>
      <c r="H1153" s="419" t="s">
        <v>437</v>
      </c>
      <c r="I1153" s="420"/>
      <c r="K1153" s="57" t="s">
        <v>622</v>
      </c>
      <c r="L1153" s="57" t="s">
        <v>223</v>
      </c>
      <c r="S1153" s="57">
        <v>0</v>
      </c>
    </row>
    <row r="1154" spans="1:19" ht="11.85" customHeight="1" x14ac:dyDescent="0.2">
      <c r="A1154" s="57" t="s">
        <v>622</v>
      </c>
      <c r="B1154" s="424"/>
      <c r="C1154" s="425"/>
      <c r="D1154" s="426"/>
      <c r="E1154" s="419" t="s">
        <v>404</v>
      </c>
      <c r="F1154" s="420"/>
      <c r="G1154" s="64" t="s">
        <v>413</v>
      </c>
      <c r="H1154" s="419" t="s">
        <v>478</v>
      </c>
      <c r="I1154" s="420"/>
      <c r="K1154" s="57" t="s">
        <v>622</v>
      </c>
      <c r="L1154" s="57" t="s">
        <v>223</v>
      </c>
      <c r="S1154" s="57">
        <v>0</v>
      </c>
    </row>
    <row r="1155" spans="1:19" ht="11.85" customHeight="1" x14ac:dyDescent="0.2">
      <c r="A1155" s="57" t="s">
        <v>622</v>
      </c>
      <c r="B1155" s="424"/>
      <c r="C1155" s="425"/>
      <c r="D1155" s="426"/>
      <c r="E1155" s="419" t="s">
        <v>405</v>
      </c>
      <c r="F1155" s="420"/>
      <c r="G1155" s="64" t="s">
        <v>420</v>
      </c>
      <c r="H1155" s="419" t="s">
        <v>439</v>
      </c>
      <c r="I1155" s="420"/>
      <c r="K1155" s="57" t="s">
        <v>622</v>
      </c>
      <c r="L1155" s="57" t="s">
        <v>223</v>
      </c>
      <c r="S1155" s="57">
        <v>0</v>
      </c>
    </row>
    <row r="1156" spans="1:19" ht="11.85" customHeight="1" x14ac:dyDescent="0.2">
      <c r="A1156" s="57" t="s">
        <v>622</v>
      </c>
      <c r="B1156" s="424"/>
      <c r="C1156" s="425"/>
      <c r="D1156" s="426"/>
      <c r="E1156" s="419" t="s">
        <v>406</v>
      </c>
      <c r="F1156" s="420"/>
      <c r="G1156" s="64" t="s">
        <v>422</v>
      </c>
      <c r="H1156" s="419" t="s">
        <v>423</v>
      </c>
      <c r="I1156" s="420"/>
      <c r="K1156" s="57" t="s">
        <v>622</v>
      </c>
      <c r="L1156" s="57" t="s">
        <v>223</v>
      </c>
      <c r="S1156" s="65">
        <v>48.44</v>
      </c>
    </row>
    <row r="1157" spans="1:19" ht="11.1" customHeight="1" x14ac:dyDescent="0.2">
      <c r="A1157" s="57" t="s">
        <v>622</v>
      </c>
      <c r="B1157" s="416"/>
      <c r="C1157" s="417"/>
      <c r="D1157" s="418"/>
      <c r="E1157" s="419" t="s">
        <v>407</v>
      </c>
      <c r="F1157" s="420"/>
      <c r="G1157" s="64" t="s">
        <v>424</v>
      </c>
      <c r="H1157" s="419" t="s">
        <v>425</v>
      </c>
      <c r="I1157" s="420"/>
      <c r="K1157" s="57" t="s">
        <v>622</v>
      </c>
      <c r="L1157" s="57" t="s">
        <v>223</v>
      </c>
      <c r="S1157" s="57">
        <v>0</v>
      </c>
    </row>
    <row r="1158" spans="1:19" ht="11.85" customHeight="1" x14ac:dyDescent="0.2">
      <c r="A1158" s="57" t="s">
        <v>622</v>
      </c>
      <c r="B1158" s="413" t="s">
        <v>426</v>
      </c>
      <c r="C1158" s="414"/>
      <c r="D1158" s="415"/>
      <c r="E1158" s="419" t="s">
        <v>408</v>
      </c>
      <c r="F1158" s="420"/>
      <c r="G1158" s="64" t="s">
        <v>420</v>
      </c>
      <c r="H1158" s="419" t="s">
        <v>427</v>
      </c>
      <c r="I1158" s="420"/>
      <c r="K1158" s="57" t="s">
        <v>622</v>
      </c>
      <c r="L1158" s="57" t="s">
        <v>223</v>
      </c>
      <c r="S1158" s="57">
        <v>0</v>
      </c>
    </row>
    <row r="1159" spans="1:19" ht="11.85" customHeight="1" x14ac:dyDescent="0.2">
      <c r="A1159" s="57" t="s">
        <v>622</v>
      </c>
      <c r="B1159" s="424"/>
      <c r="C1159" s="425"/>
      <c r="D1159" s="426"/>
      <c r="E1159" s="419" t="s">
        <v>409</v>
      </c>
      <c r="F1159" s="420"/>
      <c r="G1159" s="64" t="s">
        <v>417</v>
      </c>
      <c r="H1159" s="419" t="s">
        <v>428</v>
      </c>
      <c r="I1159" s="420"/>
      <c r="K1159" s="57" t="s">
        <v>622</v>
      </c>
      <c r="L1159" s="57" t="s">
        <v>223</v>
      </c>
      <c r="S1159" s="57">
        <v>0</v>
      </c>
    </row>
    <row r="1160" spans="1:19" ht="11.85" customHeight="1" x14ac:dyDescent="0.2">
      <c r="A1160" s="57" t="s">
        <v>622</v>
      </c>
      <c r="B1160" s="416"/>
      <c r="C1160" s="417"/>
      <c r="D1160" s="418"/>
      <c r="E1160" s="419" t="s">
        <v>410</v>
      </c>
      <c r="F1160" s="420"/>
      <c r="G1160" s="64" t="s">
        <v>417</v>
      </c>
      <c r="H1160" s="419" t="s">
        <v>415</v>
      </c>
      <c r="I1160" s="420"/>
      <c r="K1160" s="57" t="s">
        <v>622</v>
      </c>
      <c r="L1160" s="57" t="s">
        <v>223</v>
      </c>
      <c r="S1160" s="57">
        <v>0</v>
      </c>
    </row>
    <row r="1161" spans="1:19" ht="11.1" customHeight="1" x14ac:dyDescent="0.2">
      <c r="A1161" s="57" t="s">
        <v>622</v>
      </c>
      <c r="B1161" s="62"/>
      <c r="C1161" s="411" t="s">
        <v>623</v>
      </c>
      <c r="D1161" s="412"/>
      <c r="E1161" s="412"/>
      <c r="F1161" s="412"/>
      <c r="G1161" s="412"/>
      <c r="H1161" s="412"/>
      <c r="I1161" s="411"/>
      <c r="K1161" s="57" t="s">
        <v>622</v>
      </c>
      <c r="L1161" s="57" t="s">
        <v>223</v>
      </c>
      <c r="S1161" s="57">
        <v>0</v>
      </c>
    </row>
    <row r="1162" spans="1:19" ht="11.85" customHeight="1" x14ac:dyDescent="0.2">
      <c r="A1162" s="57" t="s">
        <v>623</v>
      </c>
      <c r="B1162" s="413" t="s">
        <v>416</v>
      </c>
      <c r="C1162" s="414"/>
      <c r="D1162" s="415"/>
      <c r="E1162" s="419" t="s">
        <v>402</v>
      </c>
      <c r="F1162" s="420"/>
      <c r="G1162" s="64" t="s">
        <v>417</v>
      </c>
      <c r="H1162" s="419" t="s">
        <v>437</v>
      </c>
      <c r="I1162" s="420"/>
      <c r="K1162" s="57" t="s">
        <v>623</v>
      </c>
      <c r="L1162" s="57" t="s">
        <v>224</v>
      </c>
      <c r="S1162" s="57">
        <v>0</v>
      </c>
    </row>
    <row r="1163" spans="1:19" ht="11.85" customHeight="1" x14ac:dyDescent="0.2">
      <c r="A1163" s="57" t="s">
        <v>623</v>
      </c>
      <c r="B1163" s="424"/>
      <c r="C1163" s="425"/>
      <c r="D1163" s="426"/>
      <c r="E1163" s="419" t="s">
        <v>403</v>
      </c>
      <c r="F1163" s="420"/>
      <c r="G1163" s="64" t="s">
        <v>417</v>
      </c>
      <c r="H1163" s="419" t="s">
        <v>437</v>
      </c>
      <c r="I1163" s="420"/>
      <c r="K1163" s="57" t="s">
        <v>623</v>
      </c>
      <c r="L1163" s="57" t="s">
        <v>224</v>
      </c>
      <c r="S1163" s="57">
        <v>0</v>
      </c>
    </row>
    <row r="1164" spans="1:19" ht="11.85" customHeight="1" x14ac:dyDescent="0.2">
      <c r="A1164" s="57" t="s">
        <v>623</v>
      </c>
      <c r="B1164" s="424"/>
      <c r="C1164" s="425"/>
      <c r="D1164" s="426"/>
      <c r="E1164" s="419" t="s">
        <v>404</v>
      </c>
      <c r="F1164" s="420"/>
      <c r="G1164" s="64" t="s">
        <v>413</v>
      </c>
      <c r="H1164" s="419" t="s">
        <v>478</v>
      </c>
      <c r="I1164" s="420"/>
      <c r="K1164" s="57" t="s">
        <v>623</v>
      </c>
      <c r="L1164" s="57" t="s">
        <v>224</v>
      </c>
      <c r="S1164" s="57">
        <v>0</v>
      </c>
    </row>
    <row r="1165" spans="1:19" ht="11.1" customHeight="1" x14ac:dyDescent="0.2">
      <c r="A1165" s="57" t="s">
        <v>623</v>
      </c>
      <c r="B1165" s="424"/>
      <c r="C1165" s="425"/>
      <c r="D1165" s="426"/>
      <c r="E1165" s="419" t="s">
        <v>405</v>
      </c>
      <c r="F1165" s="420"/>
      <c r="G1165" s="64" t="s">
        <v>420</v>
      </c>
      <c r="H1165" s="419" t="s">
        <v>439</v>
      </c>
      <c r="I1165" s="420"/>
      <c r="K1165" s="57" t="s">
        <v>623</v>
      </c>
      <c r="L1165" s="57" t="s">
        <v>224</v>
      </c>
      <c r="S1165" s="57">
        <v>0</v>
      </c>
    </row>
    <row r="1166" spans="1:19" ht="11.85" customHeight="1" x14ac:dyDescent="0.2">
      <c r="A1166" s="57" t="s">
        <v>623</v>
      </c>
      <c r="B1166" s="424"/>
      <c r="C1166" s="425"/>
      <c r="D1166" s="426"/>
      <c r="E1166" s="419" t="s">
        <v>406</v>
      </c>
      <c r="F1166" s="420"/>
      <c r="G1166" s="64" t="s">
        <v>422</v>
      </c>
      <c r="H1166" s="419" t="s">
        <v>423</v>
      </c>
      <c r="I1166" s="420"/>
      <c r="K1166" s="57" t="s">
        <v>623</v>
      </c>
      <c r="L1166" s="57" t="s">
        <v>224</v>
      </c>
      <c r="S1166" s="65">
        <v>48.44</v>
      </c>
    </row>
    <row r="1167" spans="1:19" ht="11.85" customHeight="1" x14ac:dyDescent="0.2">
      <c r="A1167" s="57" t="s">
        <v>623</v>
      </c>
      <c r="B1167" s="416"/>
      <c r="C1167" s="417"/>
      <c r="D1167" s="418"/>
      <c r="E1167" s="419" t="s">
        <v>407</v>
      </c>
      <c r="F1167" s="420"/>
      <c r="G1167" s="64" t="s">
        <v>424</v>
      </c>
      <c r="H1167" s="419" t="s">
        <v>425</v>
      </c>
      <c r="I1167" s="420"/>
      <c r="K1167" s="57" t="s">
        <v>623</v>
      </c>
      <c r="L1167" s="57" t="s">
        <v>224</v>
      </c>
      <c r="S1167" s="57">
        <v>0</v>
      </c>
    </row>
    <row r="1168" spans="1:19" ht="11.85" customHeight="1" x14ac:dyDescent="0.2">
      <c r="A1168" s="57" t="s">
        <v>623</v>
      </c>
      <c r="B1168" s="62"/>
      <c r="C1168" s="411" t="s">
        <v>624</v>
      </c>
      <c r="D1168" s="412"/>
      <c r="E1168" s="412"/>
      <c r="F1168" s="412"/>
      <c r="G1168" s="412"/>
      <c r="H1168" s="412"/>
      <c r="I1168" s="411"/>
      <c r="K1168" s="57" t="s">
        <v>623</v>
      </c>
      <c r="L1168" s="57" t="s">
        <v>224</v>
      </c>
      <c r="S1168" s="57">
        <v>0</v>
      </c>
    </row>
    <row r="1169" spans="1:19" ht="11.1" customHeight="1" x14ac:dyDescent="0.2">
      <c r="A1169" s="57" t="s">
        <v>624</v>
      </c>
      <c r="B1169" s="413" t="s">
        <v>471</v>
      </c>
      <c r="C1169" s="427"/>
      <c r="D1169" s="428"/>
      <c r="E1169" s="419" t="s">
        <v>502</v>
      </c>
      <c r="F1169" s="420"/>
      <c r="G1169" s="64" t="s">
        <v>503</v>
      </c>
      <c r="H1169" s="419" t="s">
        <v>423</v>
      </c>
      <c r="I1169" s="420"/>
      <c r="K1169" s="57" t="s">
        <v>624</v>
      </c>
      <c r="L1169" s="57" t="s">
        <v>899</v>
      </c>
      <c r="S1169" s="57">
        <v>0</v>
      </c>
    </row>
    <row r="1170" spans="1:19" ht="11.85" customHeight="1" x14ac:dyDescent="0.2">
      <c r="A1170" s="57" t="s">
        <v>624</v>
      </c>
      <c r="B1170" s="62"/>
      <c r="C1170" s="411" t="s">
        <v>625</v>
      </c>
      <c r="D1170" s="412"/>
      <c r="E1170" s="412"/>
      <c r="F1170" s="412"/>
      <c r="G1170" s="412"/>
      <c r="H1170" s="412"/>
      <c r="I1170" s="411"/>
      <c r="K1170" s="57" t="s">
        <v>624</v>
      </c>
      <c r="L1170" s="57" t="s">
        <v>899</v>
      </c>
      <c r="S1170" s="57">
        <v>0</v>
      </c>
    </row>
    <row r="1171" spans="1:19" ht="11.85" customHeight="1" x14ac:dyDescent="0.2">
      <c r="A1171" s="57" t="s">
        <v>625</v>
      </c>
      <c r="B1171" s="413" t="s">
        <v>416</v>
      </c>
      <c r="C1171" s="414"/>
      <c r="D1171" s="415"/>
      <c r="E1171" s="419" t="s">
        <v>402</v>
      </c>
      <c r="F1171" s="420"/>
      <c r="G1171" s="64" t="s">
        <v>417</v>
      </c>
      <c r="H1171" s="419" t="s">
        <v>457</v>
      </c>
      <c r="I1171" s="420"/>
      <c r="K1171" s="57" t="s">
        <v>625</v>
      </c>
      <c r="L1171" s="57" t="s">
        <v>221</v>
      </c>
      <c r="S1171" s="57">
        <v>0</v>
      </c>
    </row>
    <row r="1172" spans="1:19" ht="11.85" customHeight="1" x14ac:dyDescent="0.2">
      <c r="A1172" s="57" t="s">
        <v>625</v>
      </c>
      <c r="B1172" s="424"/>
      <c r="C1172" s="425"/>
      <c r="D1172" s="426"/>
      <c r="E1172" s="419" t="s">
        <v>403</v>
      </c>
      <c r="F1172" s="420"/>
      <c r="G1172" s="64" t="s">
        <v>417</v>
      </c>
      <c r="H1172" s="419" t="s">
        <v>457</v>
      </c>
      <c r="I1172" s="420"/>
      <c r="K1172" s="57" t="s">
        <v>625</v>
      </c>
      <c r="L1172" s="57" t="s">
        <v>221</v>
      </c>
      <c r="S1172" s="57">
        <v>0</v>
      </c>
    </row>
    <row r="1173" spans="1:19" ht="11.1" customHeight="1" x14ac:dyDescent="0.2">
      <c r="A1173" s="57" t="s">
        <v>625</v>
      </c>
      <c r="B1173" s="424"/>
      <c r="C1173" s="425"/>
      <c r="D1173" s="426"/>
      <c r="E1173" s="419" t="s">
        <v>404</v>
      </c>
      <c r="F1173" s="420"/>
      <c r="G1173" s="64" t="s">
        <v>413</v>
      </c>
      <c r="H1173" s="419" t="s">
        <v>458</v>
      </c>
      <c r="I1173" s="420"/>
      <c r="K1173" s="57" t="s">
        <v>625</v>
      </c>
      <c r="L1173" s="57" t="s">
        <v>221</v>
      </c>
      <c r="S1173" s="57">
        <v>0</v>
      </c>
    </row>
    <row r="1174" spans="1:19" ht="11.85" customHeight="1" x14ac:dyDescent="0.2">
      <c r="A1174" s="57" t="s">
        <v>625</v>
      </c>
      <c r="B1174" s="424"/>
      <c r="C1174" s="425"/>
      <c r="D1174" s="426"/>
      <c r="E1174" s="419" t="s">
        <v>405</v>
      </c>
      <c r="F1174" s="420"/>
      <c r="G1174" s="64" t="s">
        <v>420</v>
      </c>
      <c r="H1174" s="419" t="s">
        <v>459</v>
      </c>
      <c r="I1174" s="420"/>
      <c r="K1174" s="57" t="s">
        <v>625</v>
      </c>
      <c r="L1174" s="57" t="s">
        <v>221</v>
      </c>
      <c r="S1174" s="57">
        <v>0</v>
      </c>
    </row>
    <row r="1175" spans="1:19" ht="11.85" customHeight="1" x14ac:dyDescent="0.2">
      <c r="A1175" s="57" t="s">
        <v>625</v>
      </c>
      <c r="B1175" s="424"/>
      <c r="C1175" s="425"/>
      <c r="D1175" s="426"/>
      <c r="E1175" s="419" t="s">
        <v>626</v>
      </c>
      <c r="F1175" s="420"/>
      <c r="G1175" s="64" t="s">
        <v>627</v>
      </c>
      <c r="H1175" s="419" t="s">
        <v>423</v>
      </c>
      <c r="I1175" s="420"/>
      <c r="K1175" s="57" t="s">
        <v>625</v>
      </c>
      <c r="L1175" s="57" t="s">
        <v>221</v>
      </c>
      <c r="S1175" s="65">
        <v>33.04</v>
      </c>
    </row>
    <row r="1176" spans="1:19" ht="11.85" customHeight="1" x14ac:dyDescent="0.2">
      <c r="A1176" s="57" t="s">
        <v>625</v>
      </c>
      <c r="B1176" s="416"/>
      <c r="C1176" s="417"/>
      <c r="D1176" s="418"/>
      <c r="E1176" s="419" t="s">
        <v>628</v>
      </c>
      <c r="F1176" s="420"/>
      <c r="G1176" s="64" t="s">
        <v>443</v>
      </c>
      <c r="H1176" s="419" t="s">
        <v>463</v>
      </c>
      <c r="I1176" s="420"/>
      <c r="K1176" s="57" t="s">
        <v>625</v>
      </c>
      <c r="L1176" s="57" t="s">
        <v>221</v>
      </c>
      <c r="S1176" s="57">
        <v>0</v>
      </c>
    </row>
    <row r="1177" spans="1:19" ht="11.1" customHeight="1" x14ac:dyDescent="0.2">
      <c r="A1177" s="57" t="s">
        <v>625</v>
      </c>
      <c r="B1177" s="62"/>
      <c r="C1177" s="411" t="s">
        <v>629</v>
      </c>
      <c r="D1177" s="412"/>
      <c r="E1177" s="412"/>
      <c r="F1177" s="412"/>
      <c r="G1177" s="412"/>
      <c r="H1177" s="412"/>
      <c r="I1177" s="411"/>
      <c r="K1177" s="57" t="s">
        <v>625</v>
      </c>
      <c r="L1177" s="57" t="s">
        <v>221</v>
      </c>
      <c r="S1177" s="57">
        <v>0</v>
      </c>
    </row>
    <row r="1178" spans="1:19" ht="11.85" customHeight="1" x14ac:dyDescent="0.2">
      <c r="A1178" s="57" t="s">
        <v>629</v>
      </c>
      <c r="B1178" s="413" t="s">
        <v>416</v>
      </c>
      <c r="C1178" s="414"/>
      <c r="D1178" s="415"/>
      <c r="E1178" s="419" t="s">
        <v>402</v>
      </c>
      <c r="F1178" s="420"/>
      <c r="G1178" s="64" t="s">
        <v>417</v>
      </c>
      <c r="H1178" s="419" t="s">
        <v>457</v>
      </c>
      <c r="I1178" s="420"/>
      <c r="K1178" s="57" t="s">
        <v>629</v>
      </c>
      <c r="L1178" s="57" t="s">
        <v>222</v>
      </c>
      <c r="S1178" s="57">
        <v>0</v>
      </c>
    </row>
    <row r="1179" spans="1:19" ht="11.85" customHeight="1" x14ac:dyDescent="0.2">
      <c r="A1179" s="57" t="s">
        <v>629</v>
      </c>
      <c r="B1179" s="424"/>
      <c r="C1179" s="425"/>
      <c r="D1179" s="426"/>
      <c r="E1179" s="419" t="s">
        <v>403</v>
      </c>
      <c r="F1179" s="420"/>
      <c r="G1179" s="64" t="s">
        <v>417</v>
      </c>
      <c r="H1179" s="419" t="s">
        <v>457</v>
      </c>
      <c r="I1179" s="420"/>
      <c r="K1179" s="57" t="s">
        <v>629</v>
      </c>
      <c r="L1179" s="57" t="s">
        <v>222</v>
      </c>
      <c r="S1179" s="57">
        <v>0</v>
      </c>
    </row>
    <row r="1180" spans="1:19" ht="11.85" customHeight="1" x14ac:dyDescent="0.2">
      <c r="A1180" s="57" t="s">
        <v>629</v>
      </c>
      <c r="B1180" s="424"/>
      <c r="C1180" s="425"/>
      <c r="D1180" s="426"/>
      <c r="E1180" s="419" t="s">
        <v>404</v>
      </c>
      <c r="F1180" s="420"/>
      <c r="G1180" s="64" t="s">
        <v>413</v>
      </c>
      <c r="H1180" s="419" t="s">
        <v>458</v>
      </c>
      <c r="I1180" s="420"/>
      <c r="K1180" s="57" t="s">
        <v>629</v>
      </c>
      <c r="L1180" s="57" t="s">
        <v>222</v>
      </c>
      <c r="S1180" s="57">
        <v>0</v>
      </c>
    </row>
    <row r="1181" spans="1:19" ht="11.1" customHeight="1" x14ac:dyDescent="0.2">
      <c r="A1181" s="57" t="s">
        <v>629</v>
      </c>
      <c r="B1181" s="424"/>
      <c r="C1181" s="425"/>
      <c r="D1181" s="426"/>
      <c r="E1181" s="419" t="s">
        <v>405</v>
      </c>
      <c r="F1181" s="420"/>
      <c r="G1181" s="64" t="s">
        <v>420</v>
      </c>
      <c r="H1181" s="419" t="s">
        <v>459</v>
      </c>
      <c r="I1181" s="420"/>
      <c r="K1181" s="57" t="s">
        <v>629</v>
      </c>
      <c r="L1181" s="57" t="s">
        <v>222</v>
      </c>
      <c r="S1181" s="57">
        <v>0</v>
      </c>
    </row>
    <row r="1182" spans="1:19" ht="11.85" customHeight="1" x14ac:dyDescent="0.2">
      <c r="A1182" s="57" t="s">
        <v>629</v>
      </c>
      <c r="B1182" s="424"/>
      <c r="C1182" s="425"/>
      <c r="D1182" s="426"/>
      <c r="E1182" s="419" t="s">
        <v>626</v>
      </c>
      <c r="F1182" s="420"/>
      <c r="G1182" s="64" t="s">
        <v>627</v>
      </c>
      <c r="H1182" s="419" t="s">
        <v>423</v>
      </c>
      <c r="I1182" s="420"/>
      <c r="K1182" s="57" t="s">
        <v>629</v>
      </c>
      <c r="L1182" s="57" t="s">
        <v>222</v>
      </c>
      <c r="S1182" s="65">
        <v>33.04</v>
      </c>
    </row>
    <row r="1183" spans="1:19" ht="11.85" customHeight="1" x14ac:dyDescent="0.2">
      <c r="A1183" s="57" t="s">
        <v>629</v>
      </c>
      <c r="B1183" s="416"/>
      <c r="C1183" s="417"/>
      <c r="D1183" s="418"/>
      <c r="E1183" s="419" t="s">
        <v>628</v>
      </c>
      <c r="F1183" s="420"/>
      <c r="G1183" s="64" t="s">
        <v>443</v>
      </c>
      <c r="H1183" s="419" t="s">
        <v>463</v>
      </c>
      <c r="I1183" s="420"/>
      <c r="K1183" s="57" t="s">
        <v>629</v>
      </c>
      <c r="L1183" s="57" t="s">
        <v>222</v>
      </c>
      <c r="S1183" s="57">
        <v>0</v>
      </c>
    </row>
    <row r="1184" spans="1:19" ht="11.85" customHeight="1" x14ac:dyDescent="0.2">
      <c r="A1184" s="57" t="s">
        <v>629</v>
      </c>
      <c r="B1184" s="62"/>
      <c r="C1184" s="411" t="s">
        <v>630</v>
      </c>
      <c r="D1184" s="412"/>
      <c r="E1184" s="412"/>
      <c r="F1184" s="412"/>
      <c r="G1184" s="412"/>
      <c r="H1184" s="412"/>
      <c r="I1184" s="411"/>
      <c r="K1184" s="57" t="s">
        <v>629</v>
      </c>
      <c r="L1184" s="57" t="s">
        <v>222</v>
      </c>
      <c r="S1184" s="57">
        <v>0</v>
      </c>
    </row>
    <row r="1185" spans="1:19" ht="11.1" customHeight="1" x14ac:dyDescent="0.2">
      <c r="A1185" s="57" t="s">
        <v>630</v>
      </c>
      <c r="B1185" s="413" t="s">
        <v>412</v>
      </c>
      <c r="C1185" s="414"/>
      <c r="D1185" s="415"/>
      <c r="E1185" s="419" t="s">
        <v>400</v>
      </c>
      <c r="F1185" s="420"/>
      <c r="G1185" s="64" t="s">
        <v>413</v>
      </c>
      <c r="H1185" s="419" t="s">
        <v>414</v>
      </c>
      <c r="I1185" s="420"/>
      <c r="K1185" s="57" t="s">
        <v>630</v>
      </c>
      <c r="L1185" s="57" t="s">
        <v>225</v>
      </c>
      <c r="S1185" s="57">
        <v>0</v>
      </c>
    </row>
    <row r="1186" spans="1:19" ht="11.85" customHeight="1" x14ac:dyDescent="0.2">
      <c r="A1186" s="57" t="s">
        <v>630</v>
      </c>
      <c r="B1186" s="416"/>
      <c r="C1186" s="417"/>
      <c r="D1186" s="418"/>
      <c r="E1186" s="419" t="s">
        <v>401</v>
      </c>
      <c r="F1186" s="420"/>
      <c r="G1186" s="64" t="s">
        <v>413</v>
      </c>
      <c r="H1186" s="419" t="s">
        <v>415</v>
      </c>
      <c r="I1186" s="420"/>
      <c r="K1186" s="57" t="s">
        <v>630</v>
      </c>
      <c r="L1186" s="57" t="s">
        <v>225</v>
      </c>
      <c r="S1186" s="57">
        <v>0</v>
      </c>
    </row>
    <row r="1187" spans="1:19" ht="11.85" customHeight="1" x14ac:dyDescent="0.2">
      <c r="A1187" s="57" t="s">
        <v>630</v>
      </c>
      <c r="B1187" s="413" t="s">
        <v>416</v>
      </c>
      <c r="C1187" s="414"/>
      <c r="D1187" s="415"/>
      <c r="E1187" s="419" t="s">
        <v>402</v>
      </c>
      <c r="F1187" s="420"/>
      <c r="G1187" s="64" t="s">
        <v>417</v>
      </c>
      <c r="H1187" s="419" t="s">
        <v>466</v>
      </c>
      <c r="I1187" s="420"/>
      <c r="K1187" s="57" t="s">
        <v>630</v>
      </c>
      <c r="L1187" s="57" t="s">
        <v>225</v>
      </c>
      <c r="S1187" s="57">
        <v>0</v>
      </c>
    </row>
    <row r="1188" spans="1:19" ht="11.85" customHeight="1" x14ac:dyDescent="0.2">
      <c r="A1188" s="57" t="s">
        <v>630</v>
      </c>
      <c r="B1188" s="424"/>
      <c r="C1188" s="425"/>
      <c r="D1188" s="426"/>
      <c r="E1188" s="419" t="s">
        <v>403</v>
      </c>
      <c r="F1188" s="420"/>
      <c r="G1188" s="64" t="s">
        <v>417</v>
      </c>
      <c r="H1188" s="419" t="s">
        <v>466</v>
      </c>
      <c r="I1188" s="420"/>
      <c r="K1188" s="57" t="s">
        <v>630</v>
      </c>
      <c r="L1188" s="57" t="s">
        <v>225</v>
      </c>
      <c r="S1188" s="57">
        <v>0</v>
      </c>
    </row>
    <row r="1189" spans="1:19" ht="11.1" customHeight="1" x14ac:dyDescent="0.2">
      <c r="A1189" s="57" t="s">
        <v>630</v>
      </c>
      <c r="B1189" s="424"/>
      <c r="C1189" s="425"/>
      <c r="D1189" s="426"/>
      <c r="E1189" s="419" t="s">
        <v>404</v>
      </c>
      <c r="F1189" s="420"/>
      <c r="G1189" s="64" t="s">
        <v>413</v>
      </c>
      <c r="H1189" s="419" t="s">
        <v>467</v>
      </c>
      <c r="I1189" s="420"/>
      <c r="K1189" s="57" t="s">
        <v>630</v>
      </c>
      <c r="L1189" s="57" t="s">
        <v>225</v>
      </c>
      <c r="S1189" s="57">
        <v>0</v>
      </c>
    </row>
    <row r="1190" spans="1:19" ht="11.85" customHeight="1" x14ac:dyDescent="0.2">
      <c r="A1190" s="57" t="s">
        <v>630</v>
      </c>
      <c r="B1190" s="424"/>
      <c r="C1190" s="425"/>
      <c r="D1190" s="426"/>
      <c r="E1190" s="419" t="s">
        <v>405</v>
      </c>
      <c r="F1190" s="420"/>
      <c r="G1190" s="64" t="s">
        <v>420</v>
      </c>
      <c r="H1190" s="419" t="s">
        <v>418</v>
      </c>
      <c r="I1190" s="420"/>
      <c r="K1190" s="57" t="s">
        <v>630</v>
      </c>
      <c r="L1190" s="57" t="s">
        <v>225</v>
      </c>
      <c r="S1190" s="57">
        <v>0</v>
      </c>
    </row>
    <row r="1191" spans="1:19" ht="11.85" customHeight="1" x14ac:dyDescent="0.2">
      <c r="A1191" s="57" t="s">
        <v>630</v>
      </c>
      <c r="B1191" s="424"/>
      <c r="C1191" s="425"/>
      <c r="D1191" s="426"/>
      <c r="E1191" s="419" t="s">
        <v>440</v>
      </c>
      <c r="F1191" s="420"/>
      <c r="G1191" s="64" t="s">
        <v>441</v>
      </c>
      <c r="H1191" s="419" t="s">
        <v>423</v>
      </c>
      <c r="I1191" s="420"/>
      <c r="K1191" s="57" t="s">
        <v>630</v>
      </c>
      <c r="L1191" s="57" t="s">
        <v>225</v>
      </c>
      <c r="S1191" s="65">
        <v>48.16</v>
      </c>
    </row>
    <row r="1192" spans="1:19" ht="11.85" customHeight="1" x14ac:dyDescent="0.2">
      <c r="A1192" s="57" t="s">
        <v>630</v>
      </c>
      <c r="B1192" s="416"/>
      <c r="C1192" s="417"/>
      <c r="D1192" s="418"/>
      <c r="E1192" s="419" t="s">
        <v>442</v>
      </c>
      <c r="F1192" s="420"/>
      <c r="G1192" s="64" t="s">
        <v>443</v>
      </c>
      <c r="H1192" s="419" t="s">
        <v>425</v>
      </c>
      <c r="I1192" s="420"/>
      <c r="K1192" s="57" t="s">
        <v>630</v>
      </c>
      <c r="L1192" s="57" t="s">
        <v>225</v>
      </c>
      <c r="S1192" s="57">
        <v>0</v>
      </c>
    </row>
    <row r="1193" spans="1:19" ht="11.1" customHeight="1" x14ac:dyDescent="0.2">
      <c r="A1193" s="57" t="s">
        <v>630</v>
      </c>
      <c r="B1193" s="413" t="s">
        <v>426</v>
      </c>
      <c r="C1193" s="414"/>
      <c r="D1193" s="415"/>
      <c r="E1193" s="419" t="s">
        <v>408</v>
      </c>
      <c r="F1193" s="420"/>
      <c r="G1193" s="64" t="s">
        <v>420</v>
      </c>
      <c r="H1193" s="419" t="s">
        <v>427</v>
      </c>
      <c r="I1193" s="420"/>
      <c r="K1193" s="57" t="s">
        <v>630</v>
      </c>
      <c r="L1193" s="57" t="s">
        <v>225</v>
      </c>
      <c r="S1193" s="57">
        <v>0</v>
      </c>
    </row>
    <row r="1194" spans="1:19" ht="11.85" customHeight="1" x14ac:dyDescent="0.2">
      <c r="A1194" s="57" t="s">
        <v>630</v>
      </c>
      <c r="B1194" s="424"/>
      <c r="C1194" s="425"/>
      <c r="D1194" s="426"/>
      <c r="E1194" s="419" t="s">
        <v>409</v>
      </c>
      <c r="F1194" s="420"/>
      <c r="G1194" s="64" t="s">
        <v>417</v>
      </c>
      <c r="H1194" s="419" t="s">
        <v>428</v>
      </c>
      <c r="I1194" s="420"/>
      <c r="K1194" s="57" t="s">
        <v>630</v>
      </c>
      <c r="L1194" s="57" t="s">
        <v>225</v>
      </c>
      <c r="S1194" s="57">
        <v>0</v>
      </c>
    </row>
    <row r="1195" spans="1:19" ht="11.85" customHeight="1" x14ac:dyDescent="0.2">
      <c r="A1195" s="57" t="s">
        <v>630</v>
      </c>
      <c r="B1195" s="416"/>
      <c r="C1195" s="417"/>
      <c r="D1195" s="418"/>
      <c r="E1195" s="419" t="s">
        <v>410</v>
      </c>
      <c r="F1195" s="420"/>
      <c r="G1195" s="64" t="s">
        <v>417</v>
      </c>
      <c r="H1195" s="419" t="s">
        <v>415</v>
      </c>
      <c r="I1195" s="420"/>
      <c r="K1195" s="57" t="s">
        <v>630</v>
      </c>
      <c r="L1195" s="57" t="s">
        <v>225</v>
      </c>
      <c r="S1195" s="57">
        <v>0</v>
      </c>
    </row>
    <row r="1196" spans="1:19" ht="11.85" customHeight="1" x14ac:dyDescent="0.2">
      <c r="A1196" s="57" t="s">
        <v>630</v>
      </c>
      <c r="B1196" s="62"/>
      <c r="C1196" s="411" t="s">
        <v>631</v>
      </c>
      <c r="D1196" s="412"/>
      <c r="E1196" s="412"/>
      <c r="F1196" s="412"/>
      <c r="G1196" s="412"/>
      <c r="H1196" s="412"/>
      <c r="I1196" s="411"/>
      <c r="K1196" s="57" t="s">
        <v>630</v>
      </c>
      <c r="L1196" s="57" t="s">
        <v>225</v>
      </c>
      <c r="S1196" s="57">
        <v>0</v>
      </c>
    </row>
    <row r="1197" spans="1:19" ht="11.1" customHeight="1" x14ac:dyDescent="0.2">
      <c r="A1197" s="57" t="s">
        <v>631</v>
      </c>
      <c r="B1197" s="413" t="s">
        <v>416</v>
      </c>
      <c r="C1197" s="414"/>
      <c r="D1197" s="415"/>
      <c r="E1197" s="419" t="s">
        <v>402</v>
      </c>
      <c r="F1197" s="420"/>
      <c r="G1197" s="64" t="s">
        <v>417</v>
      </c>
      <c r="H1197" s="419" t="s">
        <v>437</v>
      </c>
      <c r="I1197" s="420"/>
      <c r="K1197" s="57" t="s">
        <v>631</v>
      </c>
      <c r="L1197" s="57" t="s">
        <v>226</v>
      </c>
      <c r="S1197" s="57">
        <v>0</v>
      </c>
    </row>
    <row r="1198" spans="1:19" ht="11.85" customHeight="1" x14ac:dyDescent="0.2">
      <c r="A1198" s="57" t="s">
        <v>631</v>
      </c>
      <c r="B1198" s="424"/>
      <c r="C1198" s="425"/>
      <c r="D1198" s="426"/>
      <c r="E1198" s="419" t="s">
        <v>403</v>
      </c>
      <c r="F1198" s="420"/>
      <c r="G1198" s="64" t="s">
        <v>417</v>
      </c>
      <c r="H1198" s="419" t="s">
        <v>437</v>
      </c>
      <c r="I1198" s="420"/>
      <c r="K1198" s="57" t="s">
        <v>631</v>
      </c>
      <c r="L1198" s="57" t="s">
        <v>226</v>
      </c>
      <c r="S1198" s="57">
        <v>0</v>
      </c>
    </row>
    <row r="1199" spans="1:19" ht="11.85" customHeight="1" x14ac:dyDescent="0.2">
      <c r="A1199" s="57" t="s">
        <v>631</v>
      </c>
      <c r="B1199" s="424"/>
      <c r="C1199" s="425"/>
      <c r="D1199" s="426"/>
      <c r="E1199" s="419" t="s">
        <v>404</v>
      </c>
      <c r="F1199" s="420"/>
      <c r="G1199" s="64" t="s">
        <v>413</v>
      </c>
      <c r="H1199" s="419" t="s">
        <v>478</v>
      </c>
      <c r="I1199" s="420"/>
      <c r="K1199" s="57" t="s">
        <v>631</v>
      </c>
      <c r="L1199" s="57" t="s">
        <v>226</v>
      </c>
      <c r="S1199" s="57">
        <v>0</v>
      </c>
    </row>
    <row r="1200" spans="1:19" ht="11.85" customHeight="1" x14ac:dyDescent="0.2">
      <c r="A1200" s="57" t="s">
        <v>631</v>
      </c>
      <c r="B1200" s="424"/>
      <c r="C1200" s="425"/>
      <c r="D1200" s="426"/>
      <c r="E1200" s="419" t="s">
        <v>405</v>
      </c>
      <c r="F1200" s="420"/>
      <c r="G1200" s="64" t="s">
        <v>420</v>
      </c>
      <c r="H1200" s="419" t="s">
        <v>439</v>
      </c>
      <c r="I1200" s="420"/>
      <c r="K1200" s="57" t="s">
        <v>631</v>
      </c>
      <c r="L1200" s="57" t="s">
        <v>226</v>
      </c>
      <c r="S1200" s="57">
        <v>0</v>
      </c>
    </row>
    <row r="1201" spans="1:19" ht="11.1" customHeight="1" x14ac:dyDescent="0.2">
      <c r="A1201" s="57" t="s">
        <v>631</v>
      </c>
      <c r="B1201" s="424"/>
      <c r="C1201" s="425"/>
      <c r="D1201" s="426"/>
      <c r="E1201" s="419" t="s">
        <v>440</v>
      </c>
      <c r="F1201" s="420"/>
      <c r="G1201" s="64" t="s">
        <v>441</v>
      </c>
      <c r="H1201" s="419" t="s">
        <v>423</v>
      </c>
      <c r="I1201" s="420"/>
      <c r="K1201" s="57" t="s">
        <v>631</v>
      </c>
      <c r="L1201" s="57" t="s">
        <v>226</v>
      </c>
      <c r="S1201" s="65">
        <v>48.16</v>
      </c>
    </row>
    <row r="1202" spans="1:19" ht="11.85" customHeight="1" x14ac:dyDescent="0.2">
      <c r="A1202" s="57" t="s">
        <v>631</v>
      </c>
      <c r="B1202" s="416"/>
      <c r="C1202" s="417"/>
      <c r="D1202" s="418"/>
      <c r="E1202" s="419" t="s">
        <v>442</v>
      </c>
      <c r="F1202" s="420"/>
      <c r="G1202" s="64" t="s">
        <v>443</v>
      </c>
      <c r="H1202" s="419" t="s">
        <v>425</v>
      </c>
      <c r="I1202" s="420"/>
      <c r="K1202" s="57" t="s">
        <v>631</v>
      </c>
      <c r="L1202" s="57" t="s">
        <v>226</v>
      </c>
      <c r="S1202" s="57">
        <v>0</v>
      </c>
    </row>
    <row r="1203" spans="1:19" ht="11.85" customHeight="1" x14ac:dyDescent="0.2">
      <c r="A1203" s="57" t="s">
        <v>631</v>
      </c>
      <c r="B1203" s="62"/>
      <c r="C1203" s="411" t="s">
        <v>632</v>
      </c>
      <c r="D1203" s="412"/>
      <c r="E1203" s="412"/>
      <c r="F1203" s="412"/>
      <c r="G1203" s="412"/>
      <c r="H1203" s="412"/>
      <c r="I1203" s="411"/>
      <c r="K1203" s="57" t="s">
        <v>631</v>
      </c>
      <c r="L1203" s="57" t="s">
        <v>226</v>
      </c>
      <c r="S1203" s="57">
        <v>0</v>
      </c>
    </row>
    <row r="1204" spans="1:19" ht="11.85" customHeight="1" x14ac:dyDescent="0.2">
      <c r="A1204" s="57" t="s">
        <v>632</v>
      </c>
      <c r="B1204" s="413" t="s">
        <v>416</v>
      </c>
      <c r="C1204" s="414"/>
      <c r="D1204" s="415"/>
      <c r="E1204" s="419" t="s">
        <v>402</v>
      </c>
      <c r="F1204" s="420"/>
      <c r="G1204" s="64" t="s">
        <v>417</v>
      </c>
      <c r="H1204" s="419" t="s">
        <v>437</v>
      </c>
      <c r="I1204" s="420"/>
      <c r="K1204" s="57" t="s">
        <v>632</v>
      </c>
      <c r="L1204" s="57" t="s">
        <v>227</v>
      </c>
      <c r="S1204" s="57">
        <v>0</v>
      </c>
    </row>
    <row r="1205" spans="1:19" ht="11.1" customHeight="1" x14ac:dyDescent="0.2">
      <c r="A1205" s="57" t="s">
        <v>632</v>
      </c>
      <c r="B1205" s="424"/>
      <c r="C1205" s="425"/>
      <c r="D1205" s="426"/>
      <c r="E1205" s="419" t="s">
        <v>403</v>
      </c>
      <c r="F1205" s="420"/>
      <c r="G1205" s="64" t="s">
        <v>417</v>
      </c>
      <c r="H1205" s="419" t="s">
        <v>437</v>
      </c>
      <c r="I1205" s="420"/>
      <c r="K1205" s="57" t="s">
        <v>632</v>
      </c>
      <c r="L1205" s="57" t="s">
        <v>227</v>
      </c>
      <c r="S1205" s="57">
        <v>0</v>
      </c>
    </row>
    <row r="1206" spans="1:19" ht="11.85" customHeight="1" x14ac:dyDescent="0.2">
      <c r="A1206" s="57" t="s">
        <v>632</v>
      </c>
      <c r="B1206" s="424"/>
      <c r="C1206" s="425"/>
      <c r="D1206" s="426"/>
      <c r="E1206" s="419" t="s">
        <v>404</v>
      </c>
      <c r="F1206" s="420"/>
      <c r="G1206" s="64" t="s">
        <v>413</v>
      </c>
      <c r="H1206" s="419" t="s">
        <v>478</v>
      </c>
      <c r="I1206" s="420"/>
      <c r="K1206" s="57" t="s">
        <v>632</v>
      </c>
      <c r="L1206" s="57" t="s">
        <v>227</v>
      </c>
      <c r="S1206" s="57">
        <v>0</v>
      </c>
    </row>
    <row r="1207" spans="1:19" ht="11.85" customHeight="1" x14ac:dyDescent="0.2">
      <c r="A1207" s="57" t="s">
        <v>632</v>
      </c>
      <c r="B1207" s="424"/>
      <c r="C1207" s="425"/>
      <c r="D1207" s="426"/>
      <c r="E1207" s="419" t="s">
        <v>405</v>
      </c>
      <c r="F1207" s="420"/>
      <c r="G1207" s="64" t="s">
        <v>420</v>
      </c>
      <c r="H1207" s="419" t="s">
        <v>439</v>
      </c>
      <c r="I1207" s="420"/>
      <c r="K1207" s="57" t="s">
        <v>632</v>
      </c>
      <c r="L1207" s="57" t="s">
        <v>227</v>
      </c>
      <c r="S1207" s="57">
        <v>0</v>
      </c>
    </row>
    <row r="1208" spans="1:19" ht="11.85" customHeight="1" x14ac:dyDescent="0.2">
      <c r="A1208" s="57" t="s">
        <v>632</v>
      </c>
      <c r="B1208" s="416"/>
      <c r="C1208" s="417"/>
      <c r="D1208" s="418"/>
      <c r="E1208" s="419" t="s">
        <v>440</v>
      </c>
      <c r="F1208" s="420"/>
      <c r="G1208" s="64" t="s">
        <v>441</v>
      </c>
      <c r="H1208" s="419" t="s">
        <v>423</v>
      </c>
      <c r="I1208" s="420"/>
      <c r="K1208" s="57" t="s">
        <v>632</v>
      </c>
      <c r="L1208" s="57" t="s">
        <v>227</v>
      </c>
      <c r="S1208" s="65">
        <v>48.16</v>
      </c>
    </row>
    <row r="1209" spans="1:19" ht="11.85" customHeight="1" x14ac:dyDescent="0.2">
      <c r="A1209" s="57" t="s">
        <v>632</v>
      </c>
      <c r="B1209" s="413" t="s">
        <v>416</v>
      </c>
      <c r="C1209" s="427"/>
      <c r="D1209" s="428"/>
      <c r="E1209" s="419" t="s">
        <v>442</v>
      </c>
      <c r="F1209" s="420"/>
      <c r="G1209" s="64" t="s">
        <v>443</v>
      </c>
      <c r="H1209" s="419" t="s">
        <v>425</v>
      </c>
      <c r="I1209" s="420"/>
      <c r="K1209" s="57" t="s">
        <v>632</v>
      </c>
      <c r="L1209" s="57" t="s">
        <v>227</v>
      </c>
      <c r="S1209" s="57">
        <v>0</v>
      </c>
    </row>
    <row r="1210" spans="1:19" ht="11.85" customHeight="1" x14ac:dyDescent="0.2">
      <c r="A1210" s="57" t="s">
        <v>632</v>
      </c>
      <c r="B1210" s="62"/>
      <c r="C1210" s="411" t="s">
        <v>633</v>
      </c>
      <c r="D1210" s="412"/>
      <c r="E1210" s="412"/>
      <c r="F1210" s="412"/>
      <c r="G1210" s="412"/>
      <c r="H1210" s="412"/>
      <c r="I1210" s="411"/>
      <c r="K1210" s="57" t="s">
        <v>632</v>
      </c>
      <c r="L1210" s="57" t="s">
        <v>227</v>
      </c>
      <c r="S1210" s="57">
        <v>0</v>
      </c>
    </row>
    <row r="1211" spans="1:19" ht="11.85" customHeight="1" x14ac:dyDescent="0.2">
      <c r="A1211" s="57" t="s">
        <v>633</v>
      </c>
      <c r="B1211" s="413" t="s">
        <v>416</v>
      </c>
      <c r="C1211" s="414"/>
      <c r="D1211" s="415"/>
      <c r="E1211" s="419" t="s">
        <v>402</v>
      </c>
      <c r="F1211" s="420"/>
      <c r="G1211" s="64" t="s">
        <v>417</v>
      </c>
      <c r="H1211" s="419" t="s">
        <v>437</v>
      </c>
      <c r="I1211" s="420"/>
      <c r="K1211" s="57" t="s">
        <v>633</v>
      </c>
      <c r="L1211" s="57" t="s">
        <v>228</v>
      </c>
      <c r="S1211" s="57">
        <v>0</v>
      </c>
    </row>
    <row r="1212" spans="1:19" ht="11.1" customHeight="1" x14ac:dyDescent="0.2">
      <c r="A1212" s="57" t="s">
        <v>633</v>
      </c>
      <c r="B1212" s="424"/>
      <c r="C1212" s="425"/>
      <c r="D1212" s="426"/>
      <c r="E1212" s="419" t="s">
        <v>403</v>
      </c>
      <c r="F1212" s="420"/>
      <c r="G1212" s="64" t="s">
        <v>417</v>
      </c>
      <c r="H1212" s="419" t="s">
        <v>437</v>
      </c>
      <c r="I1212" s="420"/>
      <c r="K1212" s="57" t="s">
        <v>633</v>
      </c>
      <c r="L1212" s="57" t="s">
        <v>228</v>
      </c>
      <c r="S1212" s="57">
        <v>0</v>
      </c>
    </row>
    <row r="1213" spans="1:19" ht="11.85" customHeight="1" x14ac:dyDescent="0.2">
      <c r="A1213" s="57" t="s">
        <v>633</v>
      </c>
      <c r="B1213" s="424"/>
      <c r="C1213" s="425"/>
      <c r="D1213" s="426"/>
      <c r="E1213" s="419" t="s">
        <v>404</v>
      </c>
      <c r="F1213" s="420"/>
      <c r="G1213" s="64" t="s">
        <v>413</v>
      </c>
      <c r="H1213" s="419" t="s">
        <v>478</v>
      </c>
      <c r="I1213" s="420"/>
      <c r="K1213" s="57" t="s">
        <v>633</v>
      </c>
      <c r="L1213" s="57" t="s">
        <v>228</v>
      </c>
      <c r="S1213" s="57">
        <v>0</v>
      </c>
    </row>
    <row r="1214" spans="1:19" ht="11.85" customHeight="1" x14ac:dyDescent="0.2">
      <c r="A1214" s="57" t="s">
        <v>633</v>
      </c>
      <c r="B1214" s="424"/>
      <c r="C1214" s="425"/>
      <c r="D1214" s="426"/>
      <c r="E1214" s="419" t="s">
        <v>405</v>
      </c>
      <c r="F1214" s="420"/>
      <c r="G1214" s="64" t="s">
        <v>420</v>
      </c>
      <c r="H1214" s="419" t="s">
        <v>439</v>
      </c>
      <c r="I1214" s="420"/>
      <c r="K1214" s="57" t="s">
        <v>633</v>
      </c>
      <c r="L1214" s="57" t="s">
        <v>228</v>
      </c>
      <c r="S1214" s="57">
        <v>0</v>
      </c>
    </row>
    <row r="1215" spans="1:19" ht="11.85" customHeight="1" x14ac:dyDescent="0.2">
      <c r="A1215" s="57" t="s">
        <v>633</v>
      </c>
      <c r="B1215" s="424"/>
      <c r="C1215" s="425"/>
      <c r="D1215" s="426"/>
      <c r="E1215" s="419" t="s">
        <v>440</v>
      </c>
      <c r="F1215" s="420"/>
      <c r="G1215" s="64" t="s">
        <v>441</v>
      </c>
      <c r="H1215" s="419" t="s">
        <v>423</v>
      </c>
      <c r="I1215" s="420"/>
      <c r="K1215" s="57" t="s">
        <v>633</v>
      </c>
      <c r="L1215" s="57" t="s">
        <v>228</v>
      </c>
      <c r="S1215" s="65">
        <v>48.16</v>
      </c>
    </row>
    <row r="1216" spans="1:19" ht="11.1" customHeight="1" x14ac:dyDescent="0.2">
      <c r="A1216" s="57" t="s">
        <v>633</v>
      </c>
      <c r="B1216" s="416"/>
      <c r="C1216" s="417"/>
      <c r="D1216" s="418"/>
      <c r="E1216" s="419" t="s">
        <v>442</v>
      </c>
      <c r="F1216" s="420"/>
      <c r="G1216" s="64" t="s">
        <v>443</v>
      </c>
      <c r="H1216" s="419" t="s">
        <v>425</v>
      </c>
      <c r="I1216" s="420"/>
      <c r="K1216" s="57" t="s">
        <v>633</v>
      </c>
      <c r="L1216" s="57" t="s">
        <v>228</v>
      </c>
      <c r="S1216" s="57">
        <v>0</v>
      </c>
    </row>
    <row r="1217" spans="1:19" ht="11.85" customHeight="1" x14ac:dyDescent="0.2">
      <c r="A1217" s="57" t="s">
        <v>633</v>
      </c>
      <c r="B1217" s="62"/>
      <c r="C1217" s="411" t="s">
        <v>634</v>
      </c>
      <c r="D1217" s="412"/>
      <c r="E1217" s="412"/>
      <c r="F1217" s="412"/>
      <c r="G1217" s="412"/>
      <c r="H1217" s="412"/>
      <c r="I1217" s="411"/>
      <c r="K1217" s="57" t="s">
        <v>633</v>
      </c>
      <c r="L1217" s="57" t="s">
        <v>228</v>
      </c>
      <c r="S1217" s="57">
        <v>0</v>
      </c>
    </row>
    <row r="1218" spans="1:19" ht="11.85" customHeight="1" x14ac:dyDescent="0.2">
      <c r="A1218" s="57" t="s">
        <v>634</v>
      </c>
      <c r="B1218" s="413" t="s">
        <v>416</v>
      </c>
      <c r="C1218" s="414"/>
      <c r="D1218" s="415"/>
      <c r="E1218" s="419" t="s">
        <v>402</v>
      </c>
      <c r="F1218" s="420"/>
      <c r="G1218" s="64" t="s">
        <v>417</v>
      </c>
      <c r="H1218" s="419" t="s">
        <v>437</v>
      </c>
      <c r="I1218" s="420"/>
      <c r="K1218" s="57" t="s">
        <v>634</v>
      </c>
      <c r="L1218" s="57" t="s">
        <v>229</v>
      </c>
      <c r="S1218" s="57">
        <v>0</v>
      </c>
    </row>
    <row r="1219" spans="1:19" ht="11.85" customHeight="1" x14ac:dyDescent="0.2">
      <c r="A1219" s="57" t="s">
        <v>634</v>
      </c>
      <c r="B1219" s="424"/>
      <c r="C1219" s="425"/>
      <c r="D1219" s="426"/>
      <c r="E1219" s="419" t="s">
        <v>403</v>
      </c>
      <c r="F1219" s="420"/>
      <c r="G1219" s="64" t="s">
        <v>417</v>
      </c>
      <c r="H1219" s="419" t="s">
        <v>437</v>
      </c>
      <c r="I1219" s="420"/>
      <c r="K1219" s="57" t="s">
        <v>634</v>
      </c>
      <c r="L1219" s="57" t="s">
        <v>229</v>
      </c>
      <c r="S1219" s="57">
        <v>0</v>
      </c>
    </row>
    <row r="1220" spans="1:19" ht="11.1" customHeight="1" x14ac:dyDescent="0.2">
      <c r="A1220" s="57" t="s">
        <v>634</v>
      </c>
      <c r="B1220" s="424"/>
      <c r="C1220" s="425"/>
      <c r="D1220" s="426"/>
      <c r="E1220" s="419" t="s">
        <v>404</v>
      </c>
      <c r="F1220" s="420"/>
      <c r="G1220" s="64" t="s">
        <v>413</v>
      </c>
      <c r="H1220" s="419" t="s">
        <v>478</v>
      </c>
      <c r="I1220" s="420"/>
      <c r="K1220" s="57" t="s">
        <v>634</v>
      </c>
      <c r="L1220" s="57" t="s">
        <v>229</v>
      </c>
      <c r="S1220" s="57">
        <v>0</v>
      </c>
    </row>
    <row r="1221" spans="1:19" ht="11.85" customHeight="1" x14ac:dyDescent="0.2">
      <c r="A1221" s="57" t="s">
        <v>634</v>
      </c>
      <c r="B1221" s="424"/>
      <c r="C1221" s="425"/>
      <c r="D1221" s="426"/>
      <c r="E1221" s="419" t="s">
        <v>405</v>
      </c>
      <c r="F1221" s="420"/>
      <c r="G1221" s="64" t="s">
        <v>420</v>
      </c>
      <c r="H1221" s="419" t="s">
        <v>439</v>
      </c>
      <c r="I1221" s="420"/>
      <c r="K1221" s="57" t="s">
        <v>634</v>
      </c>
      <c r="L1221" s="57" t="s">
        <v>229</v>
      </c>
      <c r="S1221" s="57">
        <v>0</v>
      </c>
    </row>
    <row r="1222" spans="1:19" ht="11.85" customHeight="1" x14ac:dyDescent="0.2">
      <c r="A1222" s="57" t="s">
        <v>634</v>
      </c>
      <c r="B1222" s="424"/>
      <c r="C1222" s="425"/>
      <c r="D1222" s="426"/>
      <c r="E1222" s="419" t="s">
        <v>440</v>
      </c>
      <c r="F1222" s="420"/>
      <c r="G1222" s="64" t="s">
        <v>441</v>
      </c>
      <c r="H1222" s="419" t="s">
        <v>423</v>
      </c>
      <c r="I1222" s="420"/>
      <c r="K1222" s="57" t="s">
        <v>634</v>
      </c>
      <c r="L1222" s="57" t="s">
        <v>229</v>
      </c>
      <c r="S1222" s="65">
        <v>48.16</v>
      </c>
    </row>
    <row r="1223" spans="1:19" ht="11.85" customHeight="1" x14ac:dyDescent="0.2">
      <c r="A1223" s="57" t="s">
        <v>634</v>
      </c>
      <c r="B1223" s="416"/>
      <c r="C1223" s="417"/>
      <c r="D1223" s="418"/>
      <c r="E1223" s="419" t="s">
        <v>442</v>
      </c>
      <c r="F1223" s="420"/>
      <c r="G1223" s="64" t="s">
        <v>443</v>
      </c>
      <c r="H1223" s="419" t="s">
        <v>425</v>
      </c>
      <c r="I1223" s="420"/>
      <c r="K1223" s="57" t="s">
        <v>634</v>
      </c>
      <c r="L1223" s="57" t="s">
        <v>229</v>
      </c>
      <c r="S1223" s="57">
        <v>0</v>
      </c>
    </row>
    <row r="1224" spans="1:19" ht="11.1" customHeight="1" x14ac:dyDescent="0.2">
      <c r="A1224" s="57" t="s">
        <v>634</v>
      </c>
      <c r="B1224" s="62"/>
      <c r="C1224" s="411" t="s">
        <v>635</v>
      </c>
      <c r="D1224" s="412"/>
      <c r="E1224" s="412"/>
      <c r="F1224" s="412"/>
      <c r="G1224" s="412"/>
      <c r="H1224" s="412"/>
      <c r="I1224" s="411"/>
      <c r="K1224" s="57" t="s">
        <v>634</v>
      </c>
      <c r="L1224" s="57" t="s">
        <v>229</v>
      </c>
      <c r="S1224" s="57">
        <v>0</v>
      </c>
    </row>
    <row r="1225" spans="1:19" ht="11.85" customHeight="1" x14ac:dyDescent="0.2">
      <c r="A1225" s="57" t="s">
        <v>635</v>
      </c>
      <c r="B1225" s="413" t="s">
        <v>412</v>
      </c>
      <c r="C1225" s="414"/>
      <c r="D1225" s="415"/>
      <c r="E1225" s="419" t="s">
        <v>400</v>
      </c>
      <c r="F1225" s="420"/>
      <c r="G1225" s="64" t="s">
        <v>413</v>
      </c>
      <c r="H1225" s="419" t="s">
        <v>414</v>
      </c>
      <c r="I1225" s="420"/>
      <c r="K1225" s="57" t="s">
        <v>635</v>
      </c>
      <c r="L1225" s="57" t="s">
        <v>230</v>
      </c>
      <c r="S1225" s="57">
        <v>0</v>
      </c>
    </row>
    <row r="1226" spans="1:19" ht="11.85" customHeight="1" x14ac:dyDescent="0.2">
      <c r="A1226" s="57" t="s">
        <v>635</v>
      </c>
      <c r="B1226" s="416"/>
      <c r="C1226" s="417"/>
      <c r="D1226" s="418"/>
      <c r="E1226" s="419" t="s">
        <v>401</v>
      </c>
      <c r="F1226" s="420"/>
      <c r="G1226" s="64" t="s">
        <v>413</v>
      </c>
      <c r="H1226" s="419" t="s">
        <v>415</v>
      </c>
      <c r="I1226" s="420"/>
      <c r="K1226" s="57" t="s">
        <v>635</v>
      </c>
      <c r="L1226" s="57" t="s">
        <v>230</v>
      </c>
      <c r="S1226" s="57">
        <v>0</v>
      </c>
    </row>
    <row r="1227" spans="1:19" ht="11.85" customHeight="1" x14ac:dyDescent="0.2">
      <c r="A1227" s="57" t="s">
        <v>635</v>
      </c>
      <c r="B1227" s="413" t="s">
        <v>416</v>
      </c>
      <c r="C1227" s="414"/>
      <c r="D1227" s="415"/>
      <c r="E1227" s="419" t="s">
        <v>402</v>
      </c>
      <c r="F1227" s="420"/>
      <c r="G1227" s="64" t="s">
        <v>417</v>
      </c>
      <c r="H1227" s="419" t="s">
        <v>437</v>
      </c>
      <c r="I1227" s="420"/>
      <c r="K1227" s="57" t="s">
        <v>635</v>
      </c>
      <c r="L1227" s="57" t="s">
        <v>230</v>
      </c>
      <c r="S1227" s="57">
        <v>0</v>
      </c>
    </row>
    <row r="1228" spans="1:19" ht="11.1" customHeight="1" x14ac:dyDescent="0.2">
      <c r="A1228" s="57" t="s">
        <v>635</v>
      </c>
      <c r="B1228" s="424"/>
      <c r="C1228" s="425"/>
      <c r="D1228" s="426"/>
      <c r="E1228" s="419" t="s">
        <v>403</v>
      </c>
      <c r="F1228" s="420"/>
      <c r="G1228" s="64" t="s">
        <v>417</v>
      </c>
      <c r="H1228" s="419" t="s">
        <v>437</v>
      </c>
      <c r="I1228" s="420"/>
      <c r="K1228" s="57" t="s">
        <v>635</v>
      </c>
      <c r="L1228" s="57" t="s">
        <v>230</v>
      </c>
      <c r="S1228" s="57">
        <v>0</v>
      </c>
    </row>
    <row r="1229" spans="1:19" ht="11.85" customHeight="1" x14ac:dyDescent="0.2">
      <c r="A1229" s="57" t="s">
        <v>635</v>
      </c>
      <c r="B1229" s="424"/>
      <c r="C1229" s="425"/>
      <c r="D1229" s="426"/>
      <c r="E1229" s="419" t="s">
        <v>404</v>
      </c>
      <c r="F1229" s="420"/>
      <c r="G1229" s="64" t="s">
        <v>413</v>
      </c>
      <c r="H1229" s="419" t="s">
        <v>478</v>
      </c>
      <c r="I1229" s="420"/>
      <c r="K1229" s="57" t="s">
        <v>635</v>
      </c>
      <c r="L1229" s="57" t="s">
        <v>230</v>
      </c>
      <c r="S1229" s="57">
        <v>0</v>
      </c>
    </row>
    <row r="1230" spans="1:19" ht="11.85" customHeight="1" x14ac:dyDescent="0.2">
      <c r="A1230" s="57" t="s">
        <v>635</v>
      </c>
      <c r="B1230" s="424"/>
      <c r="C1230" s="425"/>
      <c r="D1230" s="426"/>
      <c r="E1230" s="419" t="s">
        <v>405</v>
      </c>
      <c r="F1230" s="420"/>
      <c r="G1230" s="64" t="s">
        <v>420</v>
      </c>
      <c r="H1230" s="419" t="s">
        <v>439</v>
      </c>
      <c r="I1230" s="420"/>
      <c r="K1230" s="57" t="s">
        <v>635</v>
      </c>
      <c r="L1230" s="57" t="s">
        <v>230</v>
      </c>
      <c r="S1230" s="57">
        <v>0</v>
      </c>
    </row>
    <row r="1231" spans="1:19" ht="11.85" customHeight="1" x14ac:dyDescent="0.2">
      <c r="A1231" s="57" t="s">
        <v>635</v>
      </c>
      <c r="B1231" s="424"/>
      <c r="C1231" s="425"/>
      <c r="D1231" s="426"/>
      <c r="E1231" s="419" t="s">
        <v>440</v>
      </c>
      <c r="F1231" s="420"/>
      <c r="G1231" s="64" t="s">
        <v>441</v>
      </c>
      <c r="H1231" s="419" t="s">
        <v>423</v>
      </c>
      <c r="I1231" s="420"/>
      <c r="K1231" s="57" t="s">
        <v>635</v>
      </c>
      <c r="L1231" s="57" t="s">
        <v>230</v>
      </c>
      <c r="S1231" s="65">
        <v>48.16</v>
      </c>
    </row>
    <row r="1232" spans="1:19" ht="11.1" customHeight="1" x14ac:dyDescent="0.2">
      <c r="A1232" s="57" t="s">
        <v>635</v>
      </c>
      <c r="B1232" s="416"/>
      <c r="C1232" s="417"/>
      <c r="D1232" s="418"/>
      <c r="E1232" s="419" t="s">
        <v>442</v>
      </c>
      <c r="F1232" s="420"/>
      <c r="G1232" s="64" t="s">
        <v>443</v>
      </c>
      <c r="H1232" s="419" t="s">
        <v>425</v>
      </c>
      <c r="I1232" s="420"/>
      <c r="K1232" s="57" t="s">
        <v>635</v>
      </c>
      <c r="L1232" s="57" t="s">
        <v>230</v>
      </c>
      <c r="S1232" s="57">
        <v>0</v>
      </c>
    </row>
    <row r="1233" spans="1:19" ht="11.85" customHeight="1" x14ac:dyDescent="0.2">
      <c r="A1233" s="57" t="s">
        <v>635</v>
      </c>
      <c r="B1233" s="413" t="s">
        <v>426</v>
      </c>
      <c r="C1233" s="414"/>
      <c r="D1233" s="415"/>
      <c r="E1233" s="419" t="s">
        <v>408</v>
      </c>
      <c r="F1233" s="420"/>
      <c r="G1233" s="64" t="s">
        <v>420</v>
      </c>
      <c r="H1233" s="419" t="s">
        <v>427</v>
      </c>
      <c r="I1233" s="420"/>
      <c r="K1233" s="57" t="s">
        <v>635</v>
      </c>
      <c r="L1233" s="57" t="s">
        <v>230</v>
      </c>
      <c r="S1233" s="57">
        <v>0</v>
      </c>
    </row>
    <row r="1234" spans="1:19" ht="11.85" customHeight="1" x14ac:dyDescent="0.2">
      <c r="A1234" s="57" t="s">
        <v>635</v>
      </c>
      <c r="B1234" s="424"/>
      <c r="C1234" s="425"/>
      <c r="D1234" s="426"/>
      <c r="E1234" s="419" t="s">
        <v>409</v>
      </c>
      <c r="F1234" s="420"/>
      <c r="G1234" s="64" t="s">
        <v>417</v>
      </c>
      <c r="H1234" s="419" t="s">
        <v>428</v>
      </c>
      <c r="I1234" s="420"/>
      <c r="K1234" s="57" t="s">
        <v>635</v>
      </c>
      <c r="L1234" s="57" t="s">
        <v>230</v>
      </c>
      <c r="S1234" s="57">
        <v>0</v>
      </c>
    </row>
    <row r="1235" spans="1:19" ht="11.85" customHeight="1" x14ac:dyDescent="0.2">
      <c r="A1235" s="57" t="s">
        <v>635</v>
      </c>
      <c r="B1235" s="416"/>
      <c r="C1235" s="417"/>
      <c r="D1235" s="418"/>
      <c r="E1235" s="419" t="s">
        <v>410</v>
      </c>
      <c r="F1235" s="420"/>
      <c r="G1235" s="64" t="s">
        <v>417</v>
      </c>
      <c r="H1235" s="419" t="s">
        <v>415</v>
      </c>
      <c r="I1235" s="420"/>
      <c r="K1235" s="57" t="s">
        <v>635</v>
      </c>
      <c r="L1235" s="57" t="s">
        <v>230</v>
      </c>
      <c r="S1235" s="57">
        <v>0</v>
      </c>
    </row>
    <row r="1236" spans="1:19" ht="11.1" customHeight="1" x14ac:dyDescent="0.2">
      <c r="A1236" s="57" t="s">
        <v>635</v>
      </c>
      <c r="B1236" s="62"/>
      <c r="C1236" s="411" t="s">
        <v>636</v>
      </c>
      <c r="D1236" s="412"/>
      <c r="E1236" s="412"/>
      <c r="F1236" s="412"/>
      <c r="G1236" s="412"/>
      <c r="H1236" s="412"/>
      <c r="I1236" s="411"/>
      <c r="K1236" s="57" t="s">
        <v>635</v>
      </c>
      <c r="L1236" s="57" t="s">
        <v>230</v>
      </c>
      <c r="S1236" s="57">
        <v>0</v>
      </c>
    </row>
    <row r="1237" spans="1:19" ht="11.85" customHeight="1" x14ac:dyDescent="0.2">
      <c r="A1237" s="57" t="s">
        <v>636</v>
      </c>
      <c r="B1237" s="413" t="s">
        <v>412</v>
      </c>
      <c r="C1237" s="414"/>
      <c r="D1237" s="415"/>
      <c r="E1237" s="419" t="s">
        <v>400</v>
      </c>
      <c r="F1237" s="420"/>
      <c r="G1237" s="64" t="s">
        <v>413</v>
      </c>
      <c r="H1237" s="419" t="s">
        <v>414</v>
      </c>
      <c r="I1237" s="420"/>
      <c r="K1237" s="57" t="s">
        <v>636</v>
      </c>
      <c r="L1237" s="57" t="s">
        <v>231</v>
      </c>
      <c r="S1237" s="57">
        <v>0</v>
      </c>
    </row>
    <row r="1238" spans="1:19" ht="11.85" customHeight="1" x14ac:dyDescent="0.2">
      <c r="A1238" s="57" t="s">
        <v>636</v>
      </c>
      <c r="B1238" s="416"/>
      <c r="C1238" s="417"/>
      <c r="D1238" s="418"/>
      <c r="E1238" s="419" t="s">
        <v>401</v>
      </c>
      <c r="F1238" s="420"/>
      <c r="G1238" s="64" t="s">
        <v>413</v>
      </c>
      <c r="H1238" s="419" t="s">
        <v>415</v>
      </c>
      <c r="I1238" s="420"/>
      <c r="K1238" s="57" t="s">
        <v>636</v>
      </c>
      <c r="L1238" s="57" t="s">
        <v>231</v>
      </c>
      <c r="S1238" s="57">
        <v>0</v>
      </c>
    </row>
    <row r="1239" spans="1:19" ht="11.85" customHeight="1" x14ac:dyDescent="0.2">
      <c r="A1239" s="57" t="s">
        <v>636</v>
      </c>
      <c r="B1239" s="413" t="s">
        <v>416</v>
      </c>
      <c r="C1239" s="414"/>
      <c r="D1239" s="415"/>
      <c r="E1239" s="419" t="s">
        <v>402</v>
      </c>
      <c r="F1239" s="420"/>
      <c r="G1239" s="64" t="s">
        <v>417</v>
      </c>
      <c r="H1239" s="419" t="s">
        <v>437</v>
      </c>
      <c r="I1239" s="420"/>
      <c r="K1239" s="57" t="s">
        <v>636</v>
      </c>
      <c r="L1239" s="57" t="s">
        <v>231</v>
      </c>
      <c r="S1239" s="57">
        <v>0</v>
      </c>
    </row>
    <row r="1240" spans="1:19" ht="11.1" customHeight="1" x14ac:dyDescent="0.2">
      <c r="A1240" s="57" t="s">
        <v>636</v>
      </c>
      <c r="B1240" s="424"/>
      <c r="C1240" s="425"/>
      <c r="D1240" s="426"/>
      <c r="E1240" s="419" t="s">
        <v>403</v>
      </c>
      <c r="F1240" s="420"/>
      <c r="G1240" s="64" t="s">
        <v>417</v>
      </c>
      <c r="H1240" s="419" t="s">
        <v>437</v>
      </c>
      <c r="I1240" s="420"/>
      <c r="K1240" s="57" t="s">
        <v>636</v>
      </c>
      <c r="L1240" s="57" t="s">
        <v>231</v>
      </c>
      <c r="S1240" s="57">
        <v>0</v>
      </c>
    </row>
    <row r="1241" spans="1:19" ht="11.85" customHeight="1" x14ac:dyDescent="0.2">
      <c r="A1241" s="57" t="s">
        <v>636</v>
      </c>
      <c r="B1241" s="424"/>
      <c r="C1241" s="425"/>
      <c r="D1241" s="426"/>
      <c r="E1241" s="419" t="s">
        <v>404</v>
      </c>
      <c r="F1241" s="420"/>
      <c r="G1241" s="64" t="s">
        <v>413</v>
      </c>
      <c r="H1241" s="419" t="s">
        <v>478</v>
      </c>
      <c r="I1241" s="420"/>
      <c r="K1241" s="57" t="s">
        <v>636</v>
      </c>
      <c r="L1241" s="57" t="s">
        <v>231</v>
      </c>
      <c r="S1241" s="57">
        <v>0</v>
      </c>
    </row>
    <row r="1242" spans="1:19" ht="11.85" customHeight="1" x14ac:dyDescent="0.2">
      <c r="A1242" s="57" t="s">
        <v>636</v>
      </c>
      <c r="B1242" s="424"/>
      <c r="C1242" s="425"/>
      <c r="D1242" s="426"/>
      <c r="E1242" s="419" t="s">
        <v>405</v>
      </c>
      <c r="F1242" s="420"/>
      <c r="G1242" s="64" t="s">
        <v>420</v>
      </c>
      <c r="H1242" s="419" t="s">
        <v>439</v>
      </c>
      <c r="I1242" s="420"/>
      <c r="K1242" s="57" t="s">
        <v>636</v>
      </c>
      <c r="L1242" s="57" t="s">
        <v>231</v>
      </c>
      <c r="S1242" s="57">
        <v>0</v>
      </c>
    </row>
    <row r="1243" spans="1:19" ht="11.85" customHeight="1" x14ac:dyDescent="0.2">
      <c r="A1243" s="57" t="s">
        <v>636</v>
      </c>
      <c r="B1243" s="424"/>
      <c r="C1243" s="425"/>
      <c r="D1243" s="426"/>
      <c r="E1243" s="419" t="s">
        <v>440</v>
      </c>
      <c r="F1243" s="420"/>
      <c r="G1243" s="64" t="s">
        <v>441</v>
      </c>
      <c r="H1243" s="419" t="s">
        <v>423</v>
      </c>
      <c r="I1243" s="420"/>
      <c r="K1243" s="57" t="s">
        <v>636</v>
      </c>
      <c r="L1243" s="57" t="s">
        <v>231</v>
      </c>
      <c r="S1243" s="65">
        <v>48.16</v>
      </c>
    </row>
    <row r="1244" spans="1:19" ht="11.1" customHeight="1" x14ac:dyDescent="0.2">
      <c r="A1244" s="57" t="s">
        <v>636</v>
      </c>
      <c r="B1244" s="416"/>
      <c r="C1244" s="417"/>
      <c r="D1244" s="418"/>
      <c r="E1244" s="419" t="s">
        <v>442</v>
      </c>
      <c r="F1244" s="420"/>
      <c r="G1244" s="64" t="s">
        <v>443</v>
      </c>
      <c r="H1244" s="419" t="s">
        <v>425</v>
      </c>
      <c r="I1244" s="420"/>
      <c r="K1244" s="57" t="s">
        <v>636</v>
      </c>
      <c r="L1244" s="57" t="s">
        <v>231</v>
      </c>
      <c r="S1244" s="57">
        <v>0</v>
      </c>
    </row>
    <row r="1245" spans="1:19" ht="11.85" customHeight="1" x14ac:dyDescent="0.2">
      <c r="A1245" s="57" t="s">
        <v>636</v>
      </c>
      <c r="B1245" s="413" t="s">
        <v>426</v>
      </c>
      <c r="C1245" s="414"/>
      <c r="D1245" s="415"/>
      <c r="E1245" s="419" t="s">
        <v>408</v>
      </c>
      <c r="F1245" s="420"/>
      <c r="G1245" s="64" t="s">
        <v>420</v>
      </c>
      <c r="H1245" s="419" t="s">
        <v>427</v>
      </c>
      <c r="I1245" s="420"/>
      <c r="K1245" s="57" t="s">
        <v>636</v>
      </c>
      <c r="L1245" s="57" t="s">
        <v>231</v>
      </c>
      <c r="S1245" s="57">
        <v>0</v>
      </c>
    </row>
    <row r="1246" spans="1:19" ht="11.85" customHeight="1" x14ac:dyDescent="0.2">
      <c r="A1246" s="57" t="s">
        <v>636</v>
      </c>
      <c r="B1246" s="424"/>
      <c r="C1246" s="425"/>
      <c r="D1246" s="426"/>
      <c r="E1246" s="419" t="s">
        <v>409</v>
      </c>
      <c r="F1246" s="420"/>
      <c r="G1246" s="64" t="s">
        <v>417</v>
      </c>
      <c r="H1246" s="419" t="s">
        <v>428</v>
      </c>
      <c r="I1246" s="420"/>
      <c r="K1246" s="57" t="s">
        <v>636</v>
      </c>
      <c r="L1246" s="57" t="s">
        <v>231</v>
      </c>
      <c r="S1246" s="57">
        <v>0</v>
      </c>
    </row>
    <row r="1247" spans="1:19" ht="11.85" customHeight="1" x14ac:dyDescent="0.2">
      <c r="A1247" s="57" t="s">
        <v>636</v>
      </c>
      <c r="B1247" s="416"/>
      <c r="C1247" s="417"/>
      <c r="D1247" s="418"/>
      <c r="E1247" s="419" t="s">
        <v>410</v>
      </c>
      <c r="F1247" s="420"/>
      <c r="G1247" s="64" t="s">
        <v>417</v>
      </c>
      <c r="H1247" s="419" t="s">
        <v>415</v>
      </c>
      <c r="I1247" s="420"/>
      <c r="K1247" s="57" t="s">
        <v>636</v>
      </c>
      <c r="L1247" s="57" t="s">
        <v>231</v>
      </c>
      <c r="S1247" s="57">
        <v>0</v>
      </c>
    </row>
    <row r="1248" spans="1:19" ht="11.1" customHeight="1" x14ac:dyDescent="0.2">
      <c r="A1248" s="57" t="s">
        <v>636</v>
      </c>
      <c r="B1248" s="62"/>
      <c r="C1248" s="411" t="s">
        <v>637</v>
      </c>
      <c r="D1248" s="412"/>
      <c r="E1248" s="412"/>
      <c r="F1248" s="412"/>
      <c r="G1248" s="412"/>
      <c r="H1248" s="412"/>
      <c r="I1248" s="411"/>
      <c r="K1248" s="57" t="s">
        <v>636</v>
      </c>
      <c r="L1248" s="57" t="s">
        <v>231</v>
      </c>
      <c r="S1248" s="57">
        <v>0</v>
      </c>
    </row>
    <row r="1249" spans="1:19" ht="11.85" customHeight="1" x14ac:dyDescent="0.2">
      <c r="A1249" s="57" t="s">
        <v>637</v>
      </c>
      <c r="B1249" s="413" t="s">
        <v>412</v>
      </c>
      <c r="C1249" s="427"/>
      <c r="D1249" s="428"/>
      <c r="E1249" s="419" t="s">
        <v>465</v>
      </c>
      <c r="F1249" s="420"/>
      <c r="G1249" s="64" t="s">
        <v>413</v>
      </c>
      <c r="H1249" s="419" t="s">
        <v>415</v>
      </c>
      <c r="I1249" s="420"/>
      <c r="K1249" s="57" t="s">
        <v>637</v>
      </c>
      <c r="L1249" s="57" t="s">
        <v>232</v>
      </c>
      <c r="S1249" s="57">
        <v>0</v>
      </c>
    </row>
    <row r="1250" spans="1:19" ht="11.85" customHeight="1" x14ac:dyDescent="0.2">
      <c r="A1250" s="57" t="s">
        <v>637</v>
      </c>
      <c r="B1250" s="413" t="s">
        <v>416</v>
      </c>
      <c r="C1250" s="414"/>
      <c r="D1250" s="415"/>
      <c r="E1250" s="419" t="s">
        <v>402</v>
      </c>
      <c r="F1250" s="420"/>
      <c r="G1250" s="64" t="s">
        <v>417</v>
      </c>
      <c r="H1250" s="419" t="s">
        <v>466</v>
      </c>
      <c r="I1250" s="420"/>
      <c r="K1250" s="57" t="s">
        <v>637</v>
      </c>
      <c r="L1250" s="57" t="s">
        <v>232</v>
      </c>
      <c r="S1250" s="57">
        <v>0</v>
      </c>
    </row>
    <row r="1251" spans="1:19" ht="11.85" customHeight="1" x14ac:dyDescent="0.2">
      <c r="A1251" s="57" t="s">
        <v>637</v>
      </c>
      <c r="B1251" s="424"/>
      <c r="C1251" s="425"/>
      <c r="D1251" s="426"/>
      <c r="E1251" s="419" t="s">
        <v>403</v>
      </c>
      <c r="F1251" s="420"/>
      <c r="G1251" s="64" t="s">
        <v>417</v>
      </c>
      <c r="H1251" s="419" t="s">
        <v>466</v>
      </c>
      <c r="I1251" s="420"/>
      <c r="K1251" s="57" t="s">
        <v>637</v>
      </c>
      <c r="L1251" s="57" t="s">
        <v>232</v>
      </c>
      <c r="S1251" s="57">
        <v>0</v>
      </c>
    </row>
    <row r="1252" spans="1:19" ht="11.1" customHeight="1" x14ac:dyDescent="0.2">
      <c r="A1252" s="57" t="s">
        <v>637</v>
      </c>
      <c r="B1252" s="424"/>
      <c r="C1252" s="425"/>
      <c r="D1252" s="426"/>
      <c r="E1252" s="419" t="s">
        <v>404</v>
      </c>
      <c r="F1252" s="420"/>
      <c r="G1252" s="64" t="s">
        <v>413</v>
      </c>
      <c r="H1252" s="419" t="s">
        <v>467</v>
      </c>
      <c r="I1252" s="420"/>
      <c r="K1252" s="57" t="s">
        <v>637</v>
      </c>
      <c r="L1252" s="57" t="s">
        <v>232</v>
      </c>
      <c r="S1252" s="57">
        <v>0</v>
      </c>
    </row>
    <row r="1253" spans="1:19" ht="11.85" customHeight="1" x14ac:dyDescent="0.2">
      <c r="A1253" s="57" t="s">
        <v>637</v>
      </c>
      <c r="B1253" s="424"/>
      <c r="C1253" s="425"/>
      <c r="D1253" s="426"/>
      <c r="E1253" s="419" t="s">
        <v>405</v>
      </c>
      <c r="F1253" s="420"/>
      <c r="G1253" s="64" t="s">
        <v>420</v>
      </c>
      <c r="H1253" s="419" t="s">
        <v>418</v>
      </c>
      <c r="I1253" s="420"/>
      <c r="K1253" s="57" t="s">
        <v>637</v>
      </c>
      <c r="L1253" s="57" t="s">
        <v>232</v>
      </c>
      <c r="S1253" s="57">
        <v>0</v>
      </c>
    </row>
    <row r="1254" spans="1:19" ht="11.85" customHeight="1" x14ac:dyDescent="0.2">
      <c r="A1254" s="57" t="s">
        <v>637</v>
      </c>
      <c r="B1254" s="424"/>
      <c r="C1254" s="425"/>
      <c r="D1254" s="426"/>
      <c r="E1254" s="419" t="s">
        <v>442</v>
      </c>
      <c r="F1254" s="420"/>
      <c r="G1254" s="64" t="s">
        <v>443</v>
      </c>
      <c r="H1254" s="419" t="s">
        <v>425</v>
      </c>
      <c r="I1254" s="420"/>
      <c r="K1254" s="57" t="s">
        <v>637</v>
      </c>
      <c r="L1254" s="57" t="s">
        <v>232</v>
      </c>
      <c r="S1254" s="57">
        <v>0</v>
      </c>
    </row>
    <row r="1255" spans="1:19" ht="11.85" customHeight="1" x14ac:dyDescent="0.2">
      <c r="A1255" s="57" t="s">
        <v>637</v>
      </c>
      <c r="B1255" s="416"/>
      <c r="C1255" s="417"/>
      <c r="D1255" s="418"/>
      <c r="E1255" s="419" t="s">
        <v>509</v>
      </c>
      <c r="F1255" s="420"/>
      <c r="G1255" s="64" t="s">
        <v>510</v>
      </c>
      <c r="H1255" s="419" t="s">
        <v>423</v>
      </c>
      <c r="I1255" s="420"/>
      <c r="K1255" s="57" t="s">
        <v>637</v>
      </c>
      <c r="L1255" s="57" t="s">
        <v>232</v>
      </c>
      <c r="S1255" s="65">
        <v>39.28</v>
      </c>
    </row>
    <row r="1256" spans="1:19" ht="11.1" customHeight="1" x14ac:dyDescent="0.2">
      <c r="A1256" s="57" t="s">
        <v>637</v>
      </c>
      <c r="B1256" s="413" t="s">
        <v>426</v>
      </c>
      <c r="C1256" s="427"/>
      <c r="D1256" s="428"/>
      <c r="E1256" s="419" t="s">
        <v>469</v>
      </c>
      <c r="F1256" s="420"/>
      <c r="G1256" s="64" t="s">
        <v>417</v>
      </c>
      <c r="H1256" s="419" t="s">
        <v>415</v>
      </c>
      <c r="I1256" s="420"/>
      <c r="K1256" s="57" t="s">
        <v>637</v>
      </c>
      <c r="L1256" s="57" t="s">
        <v>232</v>
      </c>
      <c r="S1256" s="57">
        <v>0</v>
      </c>
    </row>
    <row r="1257" spans="1:19" ht="11.85" customHeight="1" x14ac:dyDescent="0.2">
      <c r="A1257" s="57" t="s">
        <v>637</v>
      </c>
      <c r="B1257" s="62"/>
      <c r="C1257" s="411" t="s">
        <v>638</v>
      </c>
      <c r="D1257" s="412"/>
      <c r="E1257" s="412"/>
      <c r="F1257" s="412"/>
      <c r="G1257" s="412"/>
      <c r="H1257" s="412"/>
      <c r="I1257" s="411"/>
      <c r="K1257" s="57" t="s">
        <v>637</v>
      </c>
      <c r="L1257" s="57" t="s">
        <v>232</v>
      </c>
      <c r="S1257" s="57">
        <v>0</v>
      </c>
    </row>
    <row r="1258" spans="1:19" ht="11.85" customHeight="1" x14ac:dyDescent="0.2">
      <c r="A1258" s="57" t="s">
        <v>638</v>
      </c>
      <c r="B1258" s="413" t="s">
        <v>412</v>
      </c>
      <c r="C1258" s="427"/>
      <c r="D1258" s="428"/>
      <c r="E1258" s="419" t="s">
        <v>465</v>
      </c>
      <c r="F1258" s="420"/>
      <c r="G1258" s="64" t="s">
        <v>413</v>
      </c>
      <c r="H1258" s="419" t="s">
        <v>415</v>
      </c>
      <c r="I1258" s="420"/>
      <c r="K1258" s="57" t="s">
        <v>638</v>
      </c>
      <c r="L1258" s="57" t="s">
        <v>233</v>
      </c>
      <c r="S1258" s="57">
        <v>0</v>
      </c>
    </row>
    <row r="1259" spans="1:19" ht="11.85" customHeight="1" x14ac:dyDescent="0.2">
      <c r="A1259" s="57" t="s">
        <v>638</v>
      </c>
      <c r="B1259" s="413" t="s">
        <v>416</v>
      </c>
      <c r="C1259" s="414"/>
      <c r="D1259" s="415"/>
      <c r="E1259" s="419" t="s">
        <v>402</v>
      </c>
      <c r="F1259" s="420"/>
      <c r="G1259" s="64" t="s">
        <v>417</v>
      </c>
      <c r="H1259" s="419" t="s">
        <v>466</v>
      </c>
      <c r="I1259" s="420"/>
      <c r="K1259" s="57" t="s">
        <v>638</v>
      </c>
      <c r="L1259" s="57" t="s">
        <v>233</v>
      </c>
      <c r="S1259" s="57">
        <v>0</v>
      </c>
    </row>
    <row r="1260" spans="1:19" ht="11.1" customHeight="1" x14ac:dyDescent="0.2">
      <c r="A1260" s="57" t="s">
        <v>638</v>
      </c>
      <c r="B1260" s="424"/>
      <c r="C1260" s="425"/>
      <c r="D1260" s="426"/>
      <c r="E1260" s="419" t="s">
        <v>403</v>
      </c>
      <c r="F1260" s="420"/>
      <c r="G1260" s="64" t="s">
        <v>417</v>
      </c>
      <c r="H1260" s="419" t="s">
        <v>466</v>
      </c>
      <c r="I1260" s="420"/>
      <c r="K1260" s="57" t="s">
        <v>638</v>
      </c>
      <c r="L1260" s="57" t="s">
        <v>233</v>
      </c>
      <c r="S1260" s="57">
        <v>0</v>
      </c>
    </row>
    <row r="1261" spans="1:19" ht="11.85" customHeight="1" x14ac:dyDescent="0.2">
      <c r="A1261" s="57" t="s">
        <v>638</v>
      </c>
      <c r="B1261" s="424"/>
      <c r="C1261" s="425"/>
      <c r="D1261" s="426"/>
      <c r="E1261" s="419" t="s">
        <v>404</v>
      </c>
      <c r="F1261" s="420"/>
      <c r="G1261" s="64" t="s">
        <v>413</v>
      </c>
      <c r="H1261" s="419" t="s">
        <v>467</v>
      </c>
      <c r="I1261" s="420"/>
      <c r="K1261" s="57" t="s">
        <v>638</v>
      </c>
      <c r="L1261" s="57" t="s">
        <v>233</v>
      </c>
      <c r="S1261" s="57">
        <v>0</v>
      </c>
    </row>
    <row r="1262" spans="1:19" ht="11.85" customHeight="1" x14ac:dyDescent="0.2">
      <c r="A1262" s="57" t="s">
        <v>638</v>
      </c>
      <c r="B1262" s="424"/>
      <c r="C1262" s="425"/>
      <c r="D1262" s="426"/>
      <c r="E1262" s="419" t="s">
        <v>405</v>
      </c>
      <c r="F1262" s="420"/>
      <c r="G1262" s="64" t="s">
        <v>420</v>
      </c>
      <c r="H1262" s="419" t="s">
        <v>418</v>
      </c>
      <c r="I1262" s="420"/>
      <c r="K1262" s="57" t="s">
        <v>638</v>
      </c>
      <c r="L1262" s="57" t="s">
        <v>233</v>
      </c>
      <c r="S1262" s="57">
        <v>0</v>
      </c>
    </row>
    <row r="1263" spans="1:19" ht="11.85" customHeight="1" x14ac:dyDescent="0.2">
      <c r="A1263" s="57" t="s">
        <v>638</v>
      </c>
      <c r="B1263" s="424"/>
      <c r="C1263" s="425"/>
      <c r="D1263" s="426"/>
      <c r="E1263" s="419" t="s">
        <v>468</v>
      </c>
      <c r="F1263" s="420"/>
      <c r="G1263" s="64" t="s">
        <v>510</v>
      </c>
      <c r="H1263" s="419" t="s">
        <v>423</v>
      </c>
      <c r="I1263" s="420"/>
      <c r="K1263" s="57" t="s">
        <v>638</v>
      </c>
      <c r="L1263" s="57" t="s">
        <v>233</v>
      </c>
      <c r="S1263" s="65">
        <v>39.28</v>
      </c>
    </row>
    <row r="1264" spans="1:19" ht="11.1" customHeight="1" x14ac:dyDescent="0.2">
      <c r="A1264" s="57" t="s">
        <v>638</v>
      </c>
      <c r="B1264" s="416"/>
      <c r="C1264" s="417"/>
      <c r="D1264" s="418"/>
      <c r="E1264" s="419" t="s">
        <v>442</v>
      </c>
      <c r="F1264" s="420"/>
      <c r="G1264" s="64" t="s">
        <v>443</v>
      </c>
      <c r="H1264" s="419" t="s">
        <v>425</v>
      </c>
      <c r="I1264" s="420"/>
      <c r="K1264" s="57" t="s">
        <v>638</v>
      </c>
      <c r="L1264" s="57" t="s">
        <v>233</v>
      </c>
      <c r="S1264" s="57">
        <v>0</v>
      </c>
    </row>
    <row r="1265" spans="1:19" ht="11.85" customHeight="1" x14ac:dyDescent="0.2">
      <c r="A1265" s="57" t="s">
        <v>638</v>
      </c>
      <c r="B1265" s="413" t="s">
        <v>426</v>
      </c>
      <c r="C1265" s="427"/>
      <c r="D1265" s="428"/>
      <c r="E1265" s="419" t="s">
        <v>469</v>
      </c>
      <c r="F1265" s="420"/>
      <c r="G1265" s="64" t="s">
        <v>417</v>
      </c>
      <c r="H1265" s="419" t="s">
        <v>415</v>
      </c>
      <c r="I1265" s="420"/>
      <c r="K1265" s="57" t="s">
        <v>638</v>
      </c>
      <c r="L1265" s="57" t="s">
        <v>233</v>
      </c>
      <c r="S1265" s="57">
        <v>0</v>
      </c>
    </row>
    <row r="1266" spans="1:19" ht="11.85" customHeight="1" x14ac:dyDescent="0.2">
      <c r="A1266" s="57" t="s">
        <v>638</v>
      </c>
      <c r="B1266" s="62"/>
      <c r="C1266" s="411" t="s">
        <v>639</v>
      </c>
      <c r="D1266" s="412"/>
      <c r="E1266" s="412"/>
      <c r="F1266" s="412"/>
      <c r="G1266" s="412"/>
      <c r="H1266" s="412"/>
      <c r="I1266" s="411"/>
      <c r="K1266" s="57" t="s">
        <v>638</v>
      </c>
      <c r="L1266" s="57" t="s">
        <v>233</v>
      </c>
      <c r="S1266" s="57">
        <v>0</v>
      </c>
    </row>
    <row r="1267" spans="1:19" ht="11.85" customHeight="1" x14ac:dyDescent="0.2">
      <c r="A1267" s="57" t="s">
        <v>639</v>
      </c>
      <c r="B1267" s="413" t="s">
        <v>416</v>
      </c>
      <c r="C1267" s="414"/>
      <c r="D1267" s="415"/>
      <c r="E1267" s="419" t="s">
        <v>402</v>
      </c>
      <c r="F1267" s="420"/>
      <c r="G1267" s="64" t="s">
        <v>417</v>
      </c>
      <c r="H1267" s="419" t="s">
        <v>437</v>
      </c>
      <c r="I1267" s="420"/>
      <c r="K1267" s="57" t="s">
        <v>639</v>
      </c>
      <c r="L1267" s="57" t="s">
        <v>234</v>
      </c>
      <c r="S1267" s="57">
        <v>0</v>
      </c>
    </row>
    <row r="1268" spans="1:19" ht="11.1" customHeight="1" x14ac:dyDescent="0.2">
      <c r="A1268" s="57" t="s">
        <v>639</v>
      </c>
      <c r="B1268" s="424"/>
      <c r="C1268" s="425"/>
      <c r="D1268" s="426"/>
      <c r="E1268" s="419" t="s">
        <v>403</v>
      </c>
      <c r="F1268" s="420"/>
      <c r="G1268" s="64" t="s">
        <v>417</v>
      </c>
      <c r="H1268" s="419" t="s">
        <v>437</v>
      </c>
      <c r="I1268" s="420"/>
      <c r="K1268" s="57" t="s">
        <v>639</v>
      </c>
      <c r="L1268" s="57" t="s">
        <v>234</v>
      </c>
      <c r="S1268" s="57">
        <v>0</v>
      </c>
    </row>
    <row r="1269" spans="1:19" ht="11.85" customHeight="1" x14ac:dyDescent="0.2">
      <c r="A1269" s="57" t="s">
        <v>639</v>
      </c>
      <c r="B1269" s="424"/>
      <c r="C1269" s="425"/>
      <c r="D1269" s="426"/>
      <c r="E1269" s="419" t="s">
        <v>404</v>
      </c>
      <c r="F1269" s="420"/>
      <c r="G1269" s="64" t="s">
        <v>413</v>
      </c>
      <c r="H1269" s="419" t="s">
        <v>478</v>
      </c>
      <c r="I1269" s="420"/>
      <c r="K1269" s="57" t="s">
        <v>639</v>
      </c>
      <c r="L1269" s="57" t="s">
        <v>234</v>
      </c>
      <c r="S1269" s="57">
        <v>0</v>
      </c>
    </row>
    <row r="1270" spans="1:19" ht="11.85" customHeight="1" x14ac:dyDescent="0.2">
      <c r="A1270" s="57" t="s">
        <v>639</v>
      </c>
      <c r="B1270" s="424"/>
      <c r="C1270" s="425"/>
      <c r="D1270" s="426"/>
      <c r="E1270" s="419" t="s">
        <v>405</v>
      </c>
      <c r="F1270" s="420"/>
      <c r="G1270" s="64" t="s">
        <v>420</v>
      </c>
      <c r="H1270" s="419" t="s">
        <v>439</v>
      </c>
      <c r="I1270" s="420"/>
      <c r="K1270" s="57" t="s">
        <v>639</v>
      </c>
      <c r="L1270" s="57" t="s">
        <v>234</v>
      </c>
      <c r="S1270" s="57">
        <v>0</v>
      </c>
    </row>
    <row r="1271" spans="1:19" ht="11.85" customHeight="1" x14ac:dyDescent="0.2">
      <c r="A1271" s="57" t="s">
        <v>639</v>
      </c>
      <c r="B1271" s="424"/>
      <c r="C1271" s="425"/>
      <c r="D1271" s="426"/>
      <c r="E1271" s="419" t="s">
        <v>406</v>
      </c>
      <c r="F1271" s="420"/>
      <c r="G1271" s="64" t="s">
        <v>422</v>
      </c>
      <c r="H1271" s="419" t="s">
        <v>423</v>
      </c>
      <c r="I1271" s="420"/>
      <c r="K1271" s="57" t="s">
        <v>639</v>
      </c>
      <c r="L1271" s="57" t="s">
        <v>234</v>
      </c>
      <c r="S1271" s="65">
        <v>48.44</v>
      </c>
    </row>
    <row r="1272" spans="1:19" ht="11.1" customHeight="1" x14ac:dyDescent="0.2">
      <c r="A1272" s="57" t="s">
        <v>639</v>
      </c>
      <c r="B1272" s="416"/>
      <c r="C1272" s="417"/>
      <c r="D1272" s="418"/>
      <c r="E1272" s="419" t="s">
        <v>407</v>
      </c>
      <c r="F1272" s="420"/>
      <c r="G1272" s="64" t="s">
        <v>424</v>
      </c>
      <c r="H1272" s="419" t="s">
        <v>425</v>
      </c>
      <c r="I1272" s="420"/>
      <c r="K1272" s="57" t="s">
        <v>639</v>
      </c>
      <c r="L1272" s="57" t="s">
        <v>234</v>
      </c>
      <c r="S1272" s="57">
        <v>0</v>
      </c>
    </row>
    <row r="1273" spans="1:19" ht="11.85" customHeight="1" x14ac:dyDescent="0.2">
      <c r="A1273" s="57" t="s">
        <v>639</v>
      </c>
      <c r="B1273" s="413" t="s">
        <v>426</v>
      </c>
      <c r="C1273" s="414"/>
      <c r="D1273" s="415"/>
      <c r="E1273" s="419" t="s">
        <v>408</v>
      </c>
      <c r="F1273" s="420"/>
      <c r="G1273" s="64" t="s">
        <v>420</v>
      </c>
      <c r="H1273" s="419" t="s">
        <v>427</v>
      </c>
      <c r="I1273" s="420"/>
      <c r="K1273" s="57" t="s">
        <v>639</v>
      </c>
      <c r="L1273" s="57" t="s">
        <v>234</v>
      </c>
      <c r="S1273" s="57">
        <v>0</v>
      </c>
    </row>
    <row r="1274" spans="1:19" ht="11.85" customHeight="1" x14ac:dyDescent="0.2">
      <c r="A1274" s="57" t="s">
        <v>639</v>
      </c>
      <c r="B1274" s="416"/>
      <c r="C1274" s="417"/>
      <c r="D1274" s="418"/>
      <c r="E1274" s="419" t="s">
        <v>409</v>
      </c>
      <c r="F1274" s="420"/>
      <c r="G1274" s="64" t="s">
        <v>417</v>
      </c>
      <c r="H1274" s="419" t="s">
        <v>428</v>
      </c>
      <c r="I1274" s="420"/>
      <c r="K1274" s="57" t="s">
        <v>639</v>
      </c>
      <c r="L1274" s="57" t="s">
        <v>234</v>
      </c>
      <c r="S1274" s="57">
        <v>0</v>
      </c>
    </row>
    <row r="1275" spans="1:19" ht="11.85" customHeight="1" x14ac:dyDescent="0.2">
      <c r="A1275" s="57" t="s">
        <v>639</v>
      </c>
      <c r="B1275" s="62"/>
      <c r="C1275" s="411" t="s">
        <v>640</v>
      </c>
      <c r="D1275" s="412"/>
      <c r="E1275" s="412"/>
      <c r="F1275" s="412"/>
      <c r="G1275" s="412"/>
      <c r="H1275" s="412"/>
      <c r="I1275" s="411"/>
      <c r="K1275" s="57" t="s">
        <v>639</v>
      </c>
      <c r="L1275" s="57" t="s">
        <v>234</v>
      </c>
      <c r="S1275" s="57">
        <v>0</v>
      </c>
    </row>
    <row r="1276" spans="1:19" ht="11.85" customHeight="1" x14ac:dyDescent="0.2">
      <c r="A1276" s="57" t="s">
        <v>640</v>
      </c>
      <c r="B1276" s="413" t="s">
        <v>416</v>
      </c>
      <c r="C1276" s="414"/>
      <c r="D1276" s="415"/>
      <c r="E1276" s="419" t="s">
        <v>402</v>
      </c>
      <c r="F1276" s="420"/>
      <c r="G1276" s="64" t="s">
        <v>417</v>
      </c>
      <c r="H1276" s="419" t="s">
        <v>437</v>
      </c>
      <c r="I1276" s="420"/>
      <c r="K1276" s="57" t="s">
        <v>640</v>
      </c>
      <c r="L1276" s="57" t="s">
        <v>235</v>
      </c>
      <c r="S1276" s="57">
        <v>0</v>
      </c>
    </row>
    <row r="1277" spans="1:19" ht="11.85" customHeight="1" x14ac:dyDescent="0.2">
      <c r="A1277" s="57" t="s">
        <v>640</v>
      </c>
      <c r="B1277" s="424"/>
      <c r="C1277" s="425"/>
      <c r="D1277" s="426"/>
      <c r="E1277" s="419" t="s">
        <v>403</v>
      </c>
      <c r="F1277" s="420"/>
      <c r="G1277" s="64" t="s">
        <v>417</v>
      </c>
      <c r="H1277" s="419" t="s">
        <v>437</v>
      </c>
      <c r="I1277" s="420"/>
      <c r="K1277" s="57" t="s">
        <v>640</v>
      </c>
      <c r="L1277" s="57" t="s">
        <v>235</v>
      </c>
      <c r="S1277" s="57">
        <v>0</v>
      </c>
    </row>
    <row r="1278" spans="1:19" ht="11.1" customHeight="1" x14ac:dyDescent="0.2">
      <c r="A1278" s="57" t="s">
        <v>640</v>
      </c>
      <c r="B1278" s="424"/>
      <c r="C1278" s="425"/>
      <c r="D1278" s="426"/>
      <c r="E1278" s="419" t="s">
        <v>404</v>
      </c>
      <c r="F1278" s="420"/>
      <c r="G1278" s="64" t="s">
        <v>413</v>
      </c>
      <c r="H1278" s="419" t="s">
        <v>478</v>
      </c>
      <c r="I1278" s="420"/>
      <c r="K1278" s="57" t="s">
        <v>640</v>
      </c>
      <c r="L1278" s="57" t="s">
        <v>235</v>
      </c>
      <c r="S1278" s="57">
        <v>0</v>
      </c>
    </row>
    <row r="1279" spans="1:19" ht="11.85" customHeight="1" x14ac:dyDescent="0.2">
      <c r="A1279" s="57" t="s">
        <v>640</v>
      </c>
      <c r="B1279" s="424"/>
      <c r="C1279" s="425"/>
      <c r="D1279" s="426"/>
      <c r="E1279" s="419" t="s">
        <v>405</v>
      </c>
      <c r="F1279" s="420"/>
      <c r="G1279" s="64" t="s">
        <v>420</v>
      </c>
      <c r="H1279" s="419" t="s">
        <v>439</v>
      </c>
      <c r="I1279" s="420"/>
      <c r="K1279" s="57" t="s">
        <v>640</v>
      </c>
      <c r="L1279" s="57" t="s">
        <v>235</v>
      </c>
      <c r="S1279" s="57">
        <v>0</v>
      </c>
    </row>
    <row r="1280" spans="1:19" ht="11.85" customHeight="1" x14ac:dyDescent="0.2">
      <c r="A1280" s="57" t="s">
        <v>640</v>
      </c>
      <c r="B1280" s="424"/>
      <c r="C1280" s="425"/>
      <c r="D1280" s="426"/>
      <c r="E1280" s="419" t="s">
        <v>406</v>
      </c>
      <c r="F1280" s="420"/>
      <c r="G1280" s="64" t="s">
        <v>422</v>
      </c>
      <c r="H1280" s="419" t="s">
        <v>423</v>
      </c>
      <c r="I1280" s="420"/>
      <c r="K1280" s="57" t="s">
        <v>640</v>
      </c>
      <c r="L1280" s="57" t="s">
        <v>235</v>
      </c>
      <c r="S1280" s="65">
        <v>48.44</v>
      </c>
    </row>
    <row r="1281" spans="1:19" ht="11.85" customHeight="1" x14ac:dyDescent="0.2">
      <c r="A1281" s="57" t="s">
        <v>640</v>
      </c>
      <c r="B1281" s="416"/>
      <c r="C1281" s="417"/>
      <c r="D1281" s="418"/>
      <c r="E1281" s="419" t="s">
        <v>407</v>
      </c>
      <c r="F1281" s="420"/>
      <c r="G1281" s="64" t="s">
        <v>424</v>
      </c>
      <c r="H1281" s="419" t="s">
        <v>425</v>
      </c>
      <c r="I1281" s="420"/>
      <c r="K1281" s="57" t="s">
        <v>640</v>
      </c>
      <c r="L1281" s="57" t="s">
        <v>235</v>
      </c>
      <c r="S1281" s="57">
        <v>0</v>
      </c>
    </row>
    <row r="1282" spans="1:19" ht="11.1" customHeight="1" x14ac:dyDescent="0.2">
      <c r="A1282" s="57" t="s">
        <v>640</v>
      </c>
      <c r="B1282" s="62"/>
      <c r="C1282" s="411" t="s">
        <v>641</v>
      </c>
      <c r="D1282" s="412"/>
      <c r="E1282" s="412"/>
      <c r="F1282" s="412"/>
      <c r="G1282" s="412"/>
      <c r="H1282" s="412"/>
      <c r="I1282" s="411"/>
      <c r="K1282" s="57" t="s">
        <v>640</v>
      </c>
      <c r="L1282" s="57" t="s">
        <v>235</v>
      </c>
      <c r="S1282" s="57">
        <v>0</v>
      </c>
    </row>
    <row r="1283" spans="1:19" ht="11.85" customHeight="1" x14ac:dyDescent="0.2">
      <c r="A1283" s="57" t="s">
        <v>641</v>
      </c>
      <c r="B1283" s="413" t="s">
        <v>412</v>
      </c>
      <c r="C1283" s="414"/>
      <c r="D1283" s="415"/>
      <c r="E1283" s="419" t="s">
        <v>449</v>
      </c>
      <c r="F1283" s="420"/>
      <c r="G1283" s="64" t="s">
        <v>413</v>
      </c>
      <c r="H1283" s="419" t="s">
        <v>414</v>
      </c>
      <c r="I1283" s="420"/>
      <c r="K1283" s="57" t="s">
        <v>641</v>
      </c>
      <c r="L1283" s="57" t="s">
        <v>236</v>
      </c>
      <c r="S1283" s="57">
        <v>0</v>
      </c>
    </row>
    <row r="1284" spans="1:19" ht="11.85" customHeight="1" x14ac:dyDescent="0.2">
      <c r="A1284" s="57" t="s">
        <v>641</v>
      </c>
      <c r="B1284" s="424"/>
      <c r="C1284" s="425"/>
      <c r="D1284" s="426"/>
      <c r="E1284" s="419" t="s">
        <v>400</v>
      </c>
      <c r="F1284" s="420"/>
      <c r="G1284" s="64" t="s">
        <v>413</v>
      </c>
      <c r="H1284" s="419" t="s">
        <v>414</v>
      </c>
      <c r="I1284" s="420"/>
      <c r="K1284" s="57" t="s">
        <v>641</v>
      </c>
      <c r="L1284" s="57" t="s">
        <v>236</v>
      </c>
      <c r="S1284" s="57">
        <v>0</v>
      </c>
    </row>
    <row r="1285" spans="1:19" ht="11.85" customHeight="1" x14ac:dyDescent="0.2">
      <c r="A1285" s="57" t="s">
        <v>641</v>
      </c>
      <c r="B1285" s="424"/>
      <c r="C1285" s="425"/>
      <c r="D1285" s="426"/>
      <c r="E1285" s="419" t="s">
        <v>450</v>
      </c>
      <c r="F1285" s="420"/>
      <c r="G1285" s="64" t="s">
        <v>413</v>
      </c>
      <c r="H1285" s="419" t="s">
        <v>415</v>
      </c>
      <c r="I1285" s="420"/>
      <c r="K1285" s="57" t="s">
        <v>641</v>
      </c>
      <c r="L1285" s="57" t="s">
        <v>236</v>
      </c>
      <c r="S1285" s="57">
        <v>0</v>
      </c>
    </row>
    <row r="1286" spans="1:19" ht="11.1" customHeight="1" x14ac:dyDescent="0.2">
      <c r="A1286" s="57" t="s">
        <v>641</v>
      </c>
      <c r="B1286" s="416"/>
      <c r="C1286" s="417"/>
      <c r="D1286" s="418"/>
      <c r="E1286" s="419" t="s">
        <v>401</v>
      </c>
      <c r="F1286" s="420"/>
      <c r="G1286" s="64" t="s">
        <v>413</v>
      </c>
      <c r="H1286" s="419" t="s">
        <v>415</v>
      </c>
      <c r="I1286" s="420"/>
      <c r="K1286" s="57" t="s">
        <v>641</v>
      </c>
      <c r="L1286" s="57" t="s">
        <v>236</v>
      </c>
      <c r="S1286" s="57">
        <v>0</v>
      </c>
    </row>
    <row r="1287" spans="1:19" ht="11.85" customHeight="1" x14ac:dyDescent="0.2">
      <c r="A1287" s="57" t="s">
        <v>641</v>
      </c>
      <c r="B1287" s="413" t="s">
        <v>416</v>
      </c>
      <c r="C1287" s="414"/>
      <c r="D1287" s="415"/>
      <c r="E1287" s="419" t="s">
        <v>402</v>
      </c>
      <c r="F1287" s="420"/>
      <c r="G1287" s="64" t="s">
        <v>417</v>
      </c>
      <c r="H1287" s="419" t="s">
        <v>437</v>
      </c>
      <c r="I1287" s="420"/>
      <c r="K1287" s="57" t="s">
        <v>641</v>
      </c>
      <c r="L1287" s="57" t="s">
        <v>236</v>
      </c>
      <c r="S1287" s="57">
        <v>0</v>
      </c>
    </row>
    <row r="1288" spans="1:19" ht="11.85" customHeight="1" x14ac:dyDescent="0.2">
      <c r="A1288" s="57" t="s">
        <v>641</v>
      </c>
      <c r="B1288" s="424"/>
      <c r="C1288" s="425"/>
      <c r="D1288" s="426"/>
      <c r="E1288" s="419" t="s">
        <v>403</v>
      </c>
      <c r="F1288" s="420"/>
      <c r="G1288" s="64" t="s">
        <v>417</v>
      </c>
      <c r="H1288" s="419" t="s">
        <v>437</v>
      </c>
      <c r="I1288" s="420"/>
      <c r="K1288" s="57" t="s">
        <v>641</v>
      </c>
      <c r="L1288" s="57" t="s">
        <v>236</v>
      </c>
      <c r="S1288" s="57">
        <v>0</v>
      </c>
    </row>
    <row r="1289" spans="1:19" ht="11.85" customHeight="1" x14ac:dyDescent="0.2">
      <c r="A1289" s="57" t="s">
        <v>641</v>
      </c>
      <c r="B1289" s="424"/>
      <c r="C1289" s="425"/>
      <c r="D1289" s="426"/>
      <c r="E1289" s="419" t="s">
        <v>404</v>
      </c>
      <c r="F1289" s="420"/>
      <c r="G1289" s="64" t="s">
        <v>413</v>
      </c>
      <c r="H1289" s="419" t="s">
        <v>478</v>
      </c>
      <c r="I1289" s="420"/>
      <c r="K1289" s="57" t="s">
        <v>641</v>
      </c>
      <c r="L1289" s="57" t="s">
        <v>236</v>
      </c>
      <c r="S1289" s="57">
        <v>0</v>
      </c>
    </row>
    <row r="1290" spans="1:19" ht="11.1" customHeight="1" x14ac:dyDescent="0.2">
      <c r="A1290" s="57" t="s">
        <v>641</v>
      </c>
      <c r="B1290" s="424"/>
      <c r="C1290" s="425"/>
      <c r="D1290" s="426"/>
      <c r="E1290" s="419" t="s">
        <v>405</v>
      </c>
      <c r="F1290" s="420"/>
      <c r="G1290" s="64" t="s">
        <v>420</v>
      </c>
      <c r="H1290" s="419" t="s">
        <v>439</v>
      </c>
      <c r="I1290" s="420"/>
      <c r="K1290" s="57" t="s">
        <v>641</v>
      </c>
      <c r="L1290" s="57" t="s">
        <v>236</v>
      </c>
      <c r="S1290" s="57">
        <v>0</v>
      </c>
    </row>
    <row r="1291" spans="1:19" ht="11.85" customHeight="1" x14ac:dyDescent="0.2">
      <c r="A1291" s="57" t="s">
        <v>641</v>
      </c>
      <c r="B1291" s="424"/>
      <c r="C1291" s="425"/>
      <c r="D1291" s="426"/>
      <c r="E1291" s="419" t="s">
        <v>440</v>
      </c>
      <c r="F1291" s="420"/>
      <c r="G1291" s="64" t="s">
        <v>441</v>
      </c>
      <c r="H1291" s="419" t="s">
        <v>423</v>
      </c>
      <c r="I1291" s="420"/>
      <c r="K1291" s="57" t="s">
        <v>641</v>
      </c>
      <c r="L1291" s="57" t="s">
        <v>236</v>
      </c>
      <c r="S1291" s="65">
        <v>48.16</v>
      </c>
    </row>
    <row r="1292" spans="1:19" ht="11.85" customHeight="1" x14ac:dyDescent="0.2">
      <c r="A1292" s="57" t="s">
        <v>641</v>
      </c>
      <c r="B1292" s="416"/>
      <c r="C1292" s="417"/>
      <c r="D1292" s="418"/>
      <c r="E1292" s="419" t="s">
        <v>442</v>
      </c>
      <c r="F1292" s="420"/>
      <c r="G1292" s="64" t="s">
        <v>443</v>
      </c>
      <c r="H1292" s="419" t="s">
        <v>425</v>
      </c>
      <c r="I1292" s="420"/>
      <c r="K1292" s="57" t="s">
        <v>641</v>
      </c>
      <c r="L1292" s="57" t="s">
        <v>236</v>
      </c>
      <c r="S1292" s="57">
        <v>0</v>
      </c>
    </row>
    <row r="1293" spans="1:19" ht="11.85" customHeight="1" x14ac:dyDescent="0.2">
      <c r="A1293" s="57" t="s">
        <v>641</v>
      </c>
      <c r="B1293" s="413" t="s">
        <v>426</v>
      </c>
      <c r="C1293" s="414"/>
      <c r="D1293" s="415"/>
      <c r="E1293" s="419" t="s">
        <v>451</v>
      </c>
      <c r="F1293" s="420"/>
      <c r="G1293" s="64" t="s">
        <v>420</v>
      </c>
      <c r="H1293" s="419" t="s">
        <v>427</v>
      </c>
      <c r="I1293" s="420"/>
      <c r="K1293" s="57" t="s">
        <v>641</v>
      </c>
      <c r="L1293" s="57" t="s">
        <v>236</v>
      </c>
      <c r="S1293" s="57">
        <v>0</v>
      </c>
    </row>
    <row r="1294" spans="1:19" ht="11.1" customHeight="1" x14ac:dyDescent="0.2">
      <c r="A1294" s="57" t="s">
        <v>641</v>
      </c>
      <c r="B1294" s="424"/>
      <c r="C1294" s="425"/>
      <c r="D1294" s="426"/>
      <c r="E1294" s="419" t="s">
        <v>408</v>
      </c>
      <c r="F1294" s="420"/>
      <c r="G1294" s="64" t="s">
        <v>420</v>
      </c>
      <c r="H1294" s="419" t="s">
        <v>427</v>
      </c>
      <c r="I1294" s="420"/>
      <c r="K1294" s="57" t="s">
        <v>641</v>
      </c>
      <c r="L1294" s="57" t="s">
        <v>236</v>
      </c>
      <c r="S1294" s="57">
        <v>0</v>
      </c>
    </row>
    <row r="1295" spans="1:19" ht="11.85" customHeight="1" x14ac:dyDescent="0.2">
      <c r="A1295" s="57" t="s">
        <v>641</v>
      </c>
      <c r="B1295" s="424"/>
      <c r="C1295" s="425"/>
      <c r="D1295" s="426"/>
      <c r="E1295" s="419" t="s">
        <v>452</v>
      </c>
      <c r="F1295" s="420"/>
      <c r="G1295" s="64" t="s">
        <v>417</v>
      </c>
      <c r="H1295" s="419" t="s">
        <v>428</v>
      </c>
      <c r="I1295" s="420"/>
      <c r="K1295" s="57" t="s">
        <v>641</v>
      </c>
      <c r="L1295" s="57" t="s">
        <v>236</v>
      </c>
      <c r="S1295" s="57">
        <v>0</v>
      </c>
    </row>
    <row r="1296" spans="1:19" ht="11.85" customHeight="1" x14ac:dyDescent="0.2">
      <c r="A1296" s="57" t="s">
        <v>641</v>
      </c>
      <c r="B1296" s="424"/>
      <c r="C1296" s="425"/>
      <c r="D1296" s="426"/>
      <c r="E1296" s="419" t="s">
        <v>409</v>
      </c>
      <c r="F1296" s="420"/>
      <c r="G1296" s="64" t="s">
        <v>417</v>
      </c>
      <c r="H1296" s="419" t="s">
        <v>428</v>
      </c>
      <c r="I1296" s="420"/>
      <c r="K1296" s="57" t="s">
        <v>641</v>
      </c>
      <c r="L1296" s="57" t="s">
        <v>236</v>
      </c>
      <c r="S1296" s="57">
        <v>0</v>
      </c>
    </row>
    <row r="1297" spans="1:19" ht="11.85" customHeight="1" x14ac:dyDescent="0.2">
      <c r="A1297" s="57" t="s">
        <v>641</v>
      </c>
      <c r="B1297" s="424"/>
      <c r="C1297" s="425"/>
      <c r="D1297" s="426"/>
      <c r="E1297" s="419" t="s">
        <v>453</v>
      </c>
      <c r="F1297" s="420"/>
      <c r="G1297" s="64" t="s">
        <v>417</v>
      </c>
      <c r="H1297" s="419" t="s">
        <v>415</v>
      </c>
      <c r="I1297" s="420"/>
      <c r="K1297" s="57" t="s">
        <v>641</v>
      </c>
      <c r="L1297" s="57" t="s">
        <v>236</v>
      </c>
      <c r="S1297" s="57">
        <v>0</v>
      </c>
    </row>
    <row r="1298" spans="1:19" ht="11.1" customHeight="1" x14ac:dyDescent="0.2">
      <c r="A1298" s="57" t="s">
        <v>641</v>
      </c>
      <c r="B1298" s="416"/>
      <c r="C1298" s="417"/>
      <c r="D1298" s="418"/>
      <c r="E1298" s="419" t="s">
        <v>410</v>
      </c>
      <c r="F1298" s="420"/>
      <c r="G1298" s="64" t="s">
        <v>417</v>
      </c>
      <c r="H1298" s="419" t="s">
        <v>415</v>
      </c>
      <c r="I1298" s="420"/>
      <c r="K1298" s="57" t="s">
        <v>641</v>
      </c>
      <c r="L1298" s="57" t="s">
        <v>236</v>
      </c>
      <c r="S1298" s="57">
        <v>0</v>
      </c>
    </row>
    <row r="1299" spans="1:19" ht="11.85" customHeight="1" x14ac:dyDescent="0.2">
      <c r="A1299" s="57" t="s">
        <v>641</v>
      </c>
      <c r="B1299" s="62"/>
      <c r="C1299" s="411" t="s">
        <v>642</v>
      </c>
      <c r="D1299" s="412"/>
      <c r="E1299" s="412"/>
      <c r="F1299" s="412"/>
      <c r="G1299" s="412"/>
      <c r="H1299" s="412"/>
      <c r="I1299" s="411"/>
      <c r="K1299" s="57" t="s">
        <v>641</v>
      </c>
      <c r="L1299" s="57" t="s">
        <v>236</v>
      </c>
      <c r="S1299" s="57">
        <v>0</v>
      </c>
    </row>
    <row r="1300" spans="1:19" ht="11.85" customHeight="1" x14ac:dyDescent="0.2">
      <c r="A1300" s="57" t="s">
        <v>642</v>
      </c>
      <c r="B1300" s="413" t="s">
        <v>412</v>
      </c>
      <c r="C1300" s="414"/>
      <c r="D1300" s="415"/>
      <c r="E1300" s="419" t="s">
        <v>400</v>
      </c>
      <c r="F1300" s="420"/>
      <c r="G1300" s="64" t="s">
        <v>413</v>
      </c>
      <c r="H1300" s="419" t="s">
        <v>414</v>
      </c>
      <c r="I1300" s="420"/>
      <c r="K1300" s="57" t="s">
        <v>642</v>
      </c>
      <c r="L1300" s="57" t="s">
        <v>237</v>
      </c>
      <c r="S1300" s="57">
        <v>0</v>
      </c>
    </row>
    <row r="1301" spans="1:19" ht="11.85" customHeight="1" x14ac:dyDescent="0.2">
      <c r="A1301" s="57" t="s">
        <v>642</v>
      </c>
      <c r="B1301" s="416"/>
      <c r="C1301" s="417"/>
      <c r="D1301" s="418"/>
      <c r="E1301" s="419" t="s">
        <v>401</v>
      </c>
      <c r="F1301" s="420"/>
      <c r="G1301" s="64" t="s">
        <v>413</v>
      </c>
      <c r="H1301" s="419" t="s">
        <v>415</v>
      </c>
      <c r="I1301" s="420"/>
      <c r="K1301" s="57" t="s">
        <v>642</v>
      </c>
      <c r="L1301" s="57" t="s">
        <v>237</v>
      </c>
      <c r="S1301" s="57">
        <v>0</v>
      </c>
    </row>
    <row r="1302" spans="1:19" ht="11.1" customHeight="1" x14ac:dyDescent="0.2">
      <c r="A1302" s="57" t="s">
        <v>642</v>
      </c>
      <c r="B1302" s="413" t="s">
        <v>416</v>
      </c>
      <c r="C1302" s="414"/>
      <c r="D1302" s="415"/>
      <c r="E1302" s="419" t="s">
        <v>402</v>
      </c>
      <c r="F1302" s="420"/>
      <c r="G1302" s="64" t="s">
        <v>417</v>
      </c>
      <c r="H1302" s="419" t="s">
        <v>437</v>
      </c>
      <c r="I1302" s="420"/>
      <c r="K1302" s="57" t="s">
        <v>642</v>
      </c>
      <c r="L1302" s="57" t="s">
        <v>237</v>
      </c>
      <c r="S1302" s="57">
        <v>0</v>
      </c>
    </row>
    <row r="1303" spans="1:19" ht="11.85" customHeight="1" x14ac:dyDescent="0.2">
      <c r="A1303" s="57" t="s">
        <v>642</v>
      </c>
      <c r="B1303" s="424"/>
      <c r="C1303" s="425"/>
      <c r="D1303" s="426"/>
      <c r="E1303" s="419" t="s">
        <v>403</v>
      </c>
      <c r="F1303" s="420"/>
      <c r="G1303" s="64" t="s">
        <v>417</v>
      </c>
      <c r="H1303" s="419" t="s">
        <v>437</v>
      </c>
      <c r="I1303" s="420"/>
      <c r="K1303" s="57" t="s">
        <v>642</v>
      </c>
      <c r="L1303" s="57" t="s">
        <v>237</v>
      </c>
      <c r="S1303" s="57">
        <v>0</v>
      </c>
    </row>
    <row r="1304" spans="1:19" ht="11.85" customHeight="1" x14ac:dyDescent="0.2">
      <c r="A1304" s="57" t="s">
        <v>642</v>
      </c>
      <c r="B1304" s="424"/>
      <c r="C1304" s="425"/>
      <c r="D1304" s="426"/>
      <c r="E1304" s="419" t="s">
        <v>404</v>
      </c>
      <c r="F1304" s="420"/>
      <c r="G1304" s="64" t="s">
        <v>413</v>
      </c>
      <c r="H1304" s="419" t="s">
        <v>478</v>
      </c>
      <c r="I1304" s="420"/>
      <c r="K1304" s="57" t="s">
        <v>642</v>
      </c>
      <c r="L1304" s="57" t="s">
        <v>237</v>
      </c>
      <c r="S1304" s="57">
        <v>0</v>
      </c>
    </row>
    <row r="1305" spans="1:19" ht="11.85" customHeight="1" x14ac:dyDescent="0.2">
      <c r="A1305" s="57" t="s">
        <v>642</v>
      </c>
      <c r="B1305" s="424"/>
      <c r="C1305" s="425"/>
      <c r="D1305" s="426"/>
      <c r="E1305" s="419" t="s">
        <v>405</v>
      </c>
      <c r="F1305" s="420"/>
      <c r="G1305" s="64" t="s">
        <v>420</v>
      </c>
      <c r="H1305" s="419" t="s">
        <v>439</v>
      </c>
      <c r="I1305" s="420"/>
      <c r="K1305" s="57" t="s">
        <v>642</v>
      </c>
      <c r="L1305" s="57" t="s">
        <v>237</v>
      </c>
      <c r="S1305" s="57">
        <v>0</v>
      </c>
    </row>
    <row r="1306" spans="1:19" ht="11.1" customHeight="1" x14ac:dyDescent="0.2">
      <c r="A1306" s="57" t="s">
        <v>642</v>
      </c>
      <c r="B1306" s="424"/>
      <c r="C1306" s="425"/>
      <c r="D1306" s="426"/>
      <c r="E1306" s="419" t="s">
        <v>406</v>
      </c>
      <c r="F1306" s="420"/>
      <c r="G1306" s="64" t="s">
        <v>422</v>
      </c>
      <c r="H1306" s="419" t="s">
        <v>423</v>
      </c>
      <c r="I1306" s="420"/>
      <c r="K1306" s="57" t="s">
        <v>642</v>
      </c>
      <c r="L1306" s="57" t="s">
        <v>237</v>
      </c>
      <c r="S1306" s="65">
        <v>48.44</v>
      </c>
    </row>
    <row r="1307" spans="1:19" ht="11.85" customHeight="1" x14ac:dyDescent="0.2">
      <c r="A1307" s="57" t="s">
        <v>642</v>
      </c>
      <c r="B1307" s="416"/>
      <c r="C1307" s="417"/>
      <c r="D1307" s="418"/>
      <c r="E1307" s="419" t="s">
        <v>407</v>
      </c>
      <c r="F1307" s="420"/>
      <c r="G1307" s="64" t="s">
        <v>424</v>
      </c>
      <c r="H1307" s="419" t="s">
        <v>425</v>
      </c>
      <c r="I1307" s="420"/>
      <c r="K1307" s="57" t="s">
        <v>642</v>
      </c>
      <c r="L1307" s="57" t="s">
        <v>237</v>
      </c>
      <c r="S1307" s="57">
        <v>0</v>
      </c>
    </row>
    <row r="1308" spans="1:19" ht="11.85" customHeight="1" x14ac:dyDescent="0.2">
      <c r="A1308" s="57" t="s">
        <v>642</v>
      </c>
      <c r="B1308" s="413" t="s">
        <v>426</v>
      </c>
      <c r="C1308" s="414"/>
      <c r="D1308" s="415"/>
      <c r="E1308" s="419" t="s">
        <v>408</v>
      </c>
      <c r="F1308" s="420"/>
      <c r="G1308" s="64" t="s">
        <v>420</v>
      </c>
      <c r="H1308" s="419" t="s">
        <v>427</v>
      </c>
      <c r="I1308" s="420"/>
      <c r="K1308" s="57" t="s">
        <v>642</v>
      </c>
      <c r="L1308" s="57" t="s">
        <v>237</v>
      </c>
      <c r="S1308" s="57">
        <v>0</v>
      </c>
    </row>
    <row r="1309" spans="1:19" ht="11.85" customHeight="1" x14ac:dyDescent="0.2">
      <c r="A1309" s="57" t="s">
        <v>642</v>
      </c>
      <c r="B1309" s="424"/>
      <c r="C1309" s="425"/>
      <c r="D1309" s="426"/>
      <c r="E1309" s="419" t="s">
        <v>409</v>
      </c>
      <c r="F1309" s="420"/>
      <c r="G1309" s="64" t="s">
        <v>417</v>
      </c>
      <c r="H1309" s="419" t="s">
        <v>428</v>
      </c>
      <c r="I1309" s="420"/>
      <c r="K1309" s="57" t="s">
        <v>642</v>
      </c>
      <c r="L1309" s="57" t="s">
        <v>237</v>
      </c>
      <c r="S1309" s="57">
        <v>0</v>
      </c>
    </row>
    <row r="1310" spans="1:19" ht="11.1" customHeight="1" x14ac:dyDescent="0.2">
      <c r="A1310" s="57" t="s">
        <v>642</v>
      </c>
      <c r="B1310" s="416"/>
      <c r="C1310" s="417"/>
      <c r="D1310" s="418"/>
      <c r="E1310" s="419" t="s">
        <v>410</v>
      </c>
      <c r="F1310" s="420"/>
      <c r="G1310" s="64" t="s">
        <v>417</v>
      </c>
      <c r="H1310" s="419" t="s">
        <v>415</v>
      </c>
      <c r="I1310" s="420"/>
      <c r="K1310" s="57" t="s">
        <v>642</v>
      </c>
      <c r="L1310" s="57" t="s">
        <v>237</v>
      </c>
      <c r="S1310" s="57">
        <v>0</v>
      </c>
    </row>
    <row r="1311" spans="1:19" ht="11.85" customHeight="1" x14ac:dyDescent="0.2">
      <c r="A1311" s="57" t="s">
        <v>642</v>
      </c>
      <c r="B1311" s="62"/>
      <c r="C1311" s="411" t="s">
        <v>643</v>
      </c>
      <c r="D1311" s="412"/>
      <c r="E1311" s="412"/>
      <c r="F1311" s="412"/>
      <c r="G1311" s="412"/>
      <c r="H1311" s="412"/>
      <c r="I1311" s="411"/>
      <c r="K1311" s="57" t="s">
        <v>642</v>
      </c>
      <c r="L1311" s="57" t="s">
        <v>237</v>
      </c>
      <c r="S1311" s="57">
        <v>0</v>
      </c>
    </row>
    <row r="1312" spans="1:19" ht="11.85" customHeight="1" x14ac:dyDescent="0.2">
      <c r="A1312" s="57" t="s">
        <v>643</v>
      </c>
      <c r="B1312" s="413" t="s">
        <v>412</v>
      </c>
      <c r="C1312" s="414"/>
      <c r="D1312" s="415"/>
      <c r="E1312" s="419" t="s">
        <v>400</v>
      </c>
      <c r="F1312" s="420"/>
      <c r="G1312" s="64" t="s">
        <v>413</v>
      </c>
      <c r="H1312" s="419" t="s">
        <v>414</v>
      </c>
      <c r="I1312" s="420"/>
      <c r="K1312" s="57" t="s">
        <v>643</v>
      </c>
      <c r="L1312" s="57" t="s">
        <v>238</v>
      </c>
      <c r="S1312" s="57">
        <v>0</v>
      </c>
    </row>
    <row r="1313" spans="1:19" ht="11.85" customHeight="1" x14ac:dyDescent="0.2">
      <c r="A1313" s="57" t="s">
        <v>643</v>
      </c>
      <c r="B1313" s="416"/>
      <c r="C1313" s="417"/>
      <c r="D1313" s="418"/>
      <c r="E1313" s="419" t="s">
        <v>401</v>
      </c>
      <c r="F1313" s="420"/>
      <c r="G1313" s="64" t="s">
        <v>413</v>
      </c>
      <c r="H1313" s="419" t="s">
        <v>415</v>
      </c>
      <c r="I1313" s="420"/>
      <c r="K1313" s="57" t="s">
        <v>643</v>
      </c>
      <c r="L1313" s="57" t="s">
        <v>238</v>
      </c>
      <c r="S1313" s="57">
        <v>0</v>
      </c>
    </row>
    <row r="1314" spans="1:19" ht="11.1" customHeight="1" x14ac:dyDescent="0.2">
      <c r="A1314" s="57" t="s">
        <v>643</v>
      </c>
      <c r="B1314" s="413" t="s">
        <v>416</v>
      </c>
      <c r="C1314" s="414"/>
      <c r="D1314" s="415"/>
      <c r="E1314" s="419" t="s">
        <v>402</v>
      </c>
      <c r="F1314" s="420"/>
      <c r="G1314" s="64" t="s">
        <v>417</v>
      </c>
      <c r="H1314" s="419" t="s">
        <v>437</v>
      </c>
      <c r="I1314" s="420"/>
      <c r="K1314" s="57" t="s">
        <v>643</v>
      </c>
      <c r="L1314" s="57" t="s">
        <v>238</v>
      </c>
      <c r="S1314" s="57">
        <v>0</v>
      </c>
    </row>
    <row r="1315" spans="1:19" ht="11.85" customHeight="1" x14ac:dyDescent="0.2">
      <c r="A1315" s="57" t="s">
        <v>643</v>
      </c>
      <c r="B1315" s="424"/>
      <c r="C1315" s="425"/>
      <c r="D1315" s="426"/>
      <c r="E1315" s="419" t="s">
        <v>403</v>
      </c>
      <c r="F1315" s="420"/>
      <c r="G1315" s="64" t="s">
        <v>417</v>
      </c>
      <c r="H1315" s="419" t="s">
        <v>437</v>
      </c>
      <c r="I1315" s="420"/>
      <c r="K1315" s="57" t="s">
        <v>643</v>
      </c>
      <c r="L1315" s="57" t="s">
        <v>238</v>
      </c>
      <c r="S1315" s="57">
        <v>0</v>
      </c>
    </row>
    <row r="1316" spans="1:19" ht="11.85" customHeight="1" x14ac:dyDescent="0.2">
      <c r="A1316" s="57" t="s">
        <v>643</v>
      </c>
      <c r="B1316" s="424"/>
      <c r="C1316" s="425"/>
      <c r="D1316" s="426"/>
      <c r="E1316" s="419" t="s">
        <v>404</v>
      </c>
      <c r="F1316" s="420"/>
      <c r="G1316" s="64" t="s">
        <v>413</v>
      </c>
      <c r="H1316" s="419" t="s">
        <v>478</v>
      </c>
      <c r="I1316" s="420"/>
      <c r="K1316" s="57" t="s">
        <v>643</v>
      </c>
      <c r="L1316" s="57" t="s">
        <v>238</v>
      </c>
      <c r="S1316" s="57">
        <v>0</v>
      </c>
    </row>
    <row r="1317" spans="1:19" ht="11.85" customHeight="1" x14ac:dyDescent="0.2">
      <c r="A1317" s="57" t="s">
        <v>643</v>
      </c>
      <c r="B1317" s="424"/>
      <c r="C1317" s="425"/>
      <c r="D1317" s="426"/>
      <c r="E1317" s="419" t="s">
        <v>405</v>
      </c>
      <c r="F1317" s="420"/>
      <c r="G1317" s="64" t="s">
        <v>420</v>
      </c>
      <c r="H1317" s="419" t="s">
        <v>439</v>
      </c>
      <c r="I1317" s="420"/>
      <c r="K1317" s="57" t="s">
        <v>643</v>
      </c>
      <c r="L1317" s="57" t="s">
        <v>238</v>
      </c>
      <c r="S1317" s="57">
        <v>0</v>
      </c>
    </row>
    <row r="1318" spans="1:19" ht="11.1" customHeight="1" x14ac:dyDescent="0.2">
      <c r="A1318" s="57" t="s">
        <v>643</v>
      </c>
      <c r="B1318" s="424"/>
      <c r="C1318" s="425"/>
      <c r="D1318" s="426"/>
      <c r="E1318" s="419" t="s">
        <v>406</v>
      </c>
      <c r="F1318" s="420"/>
      <c r="G1318" s="64" t="s">
        <v>422</v>
      </c>
      <c r="H1318" s="419" t="s">
        <v>423</v>
      </c>
      <c r="I1318" s="420"/>
      <c r="K1318" s="57" t="s">
        <v>643</v>
      </c>
      <c r="L1318" s="57" t="s">
        <v>238</v>
      </c>
      <c r="S1318" s="65">
        <v>48.44</v>
      </c>
    </row>
    <row r="1319" spans="1:19" ht="11.85" customHeight="1" x14ac:dyDescent="0.2">
      <c r="A1319" s="57" t="s">
        <v>643</v>
      </c>
      <c r="B1319" s="416"/>
      <c r="C1319" s="417"/>
      <c r="D1319" s="418"/>
      <c r="E1319" s="419" t="s">
        <v>407</v>
      </c>
      <c r="F1319" s="420"/>
      <c r="G1319" s="64" t="s">
        <v>424</v>
      </c>
      <c r="H1319" s="419" t="s">
        <v>425</v>
      </c>
      <c r="I1319" s="420"/>
      <c r="K1319" s="57" t="s">
        <v>643</v>
      </c>
      <c r="L1319" s="57" t="s">
        <v>238</v>
      </c>
      <c r="S1319" s="57">
        <v>0</v>
      </c>
    </row>
    <row r="1320" spans="1:19" ht="11.85" customHeight="1" x14ac:dyDescent="0.2">
      <c r="A1320" s="57" t="s">
        <v>643</v>
      </c>
      <c r="B1320" s="413" t="s">
        <v>426</v>
      </c>
      <c r="C1320" s="414"/>
      <c r="D1320" s="415"/>
      <c r="E1320" s="419" t="s">
        <v>408</v>
      </c>
      <c r="F1320" s="420"/>
      <c r="G1320" s="64" t="s">
        <v>420</v>
      </c>
      <c r="H1320" s="419" t="s">
        <v>427</v>
      </c>
      <c r="I1320" s="420"/>
      <c r="K1320" s="57" t="s">
        <v>643</v>
      </c>
      <c r="L1320" s="57" t="s">
        <v>238</v>
      </c>
      <c r="S1320" s="57">
        <v>0</v>
      </c>
    </row>
    <row r="1321" spans="1:19" ht="11.85" customHeight="1" x14ac:dyDescent="0.2">
      <c r="A1321" s="57" t="s">
        <v>643</v>
      </c>
      <c r="B1321" s="424"/>
      <c r="C1321" s="425"/>
      <c r="D1321" s="426"/>
      <c r="E1321" s="419" t="s">
        <v>409</v>
      </c>
      <c r="F1321" s="420"/>
      <c r="G1321" s="64" t="s">
        <v>417</v>
      </c>
      <c r="H1321" s="419" t="s">
        <v>428</v>
      </c>
      <c r="I1321" s="420"/>
      <c r="K1321" s="57" t="s">
        <v>643</v>
      </c>
      <c r="L1321" s="57" t="s">
        <v>238</v>
      </c>
      <c r="S1321" s="57">
        <v>0</v>
      </c>
    </row>
    <row r="1322" spans="1:19" ht="11.1" customHeight="1" x14ac:dyDescent="0.2">
      <c r="A1322" s="57" t="s">
        <v>643</v>
      </c>
      <c r="B1322" s="416"/>
      <c r="C1322" s="417"/>
      <c r="D1322" s="418"/>
      <c r="E1322" s="419" t="s">
        <v>410</v>
      </c>
      <c r="F1322" s="420"/>
      <c r="G1322" s="64" t="s">
        <v>417</v>
      </c>
      <c r="H1322" s="419" t="s">
        <v>415</v>
      </c>
      <c r="I1322" s="420"/>
      <c r="K1322" s="57" t="s">
        <v>643</v>
      </c>
      <c r="L1322" s="57" t="s">
        <v>238</v>
      </c>
      <c r="S1322" s="57">
        <v>0</v>
      </c>
    </row>
    <row r="1323" spans="1:19" ht="11.85" customHeight="1" x14ac:dyDescent="0.2">
      <c r="A1323" s="57" t="s">
        <v>643</v>
      </c>
      <c r="B1323" s="62"/>
      <c r="C1323" s="411" t="s">
        <v>644</v>
      </c>
      <c r="D1323" s="412"/>
      <c r="E1323" s="412"/>
      <c r="F1323" s="412"/>
      <c r="G1323" s="412"/>
      <c r="H1323" s="412"/>
      <c r="I1323" s="411"/>
      <c r="K1323" s="57" t="s">
        <v>643</v>
      </c>
      <c r="L1323" s="57" t="s">
        <v>238</v>
      </c>
      <c r="S1323" s="57">
        <v>0</v>
      </c>
    </row>
    <row r="1324" spans="1:19" ht="11.85" customHeight="1" x14ac:dyDescent="0.2">
      <c r="A1324" s="57" t="s">
        <v>644</v>
      </c>
      <c r="B1324" s="413" t="s">
        <v>412</v>
      </c>
      <c r="C1324" s="414"/>
      <c r="D1324" s="415"/>
      <c r="E1324" s="419" t="s">
        <v>400</v>
      </c>
      <c r="F1324" s="420"/>
      <c r="G1324" s="64" t="s">
        <v>413</v>
      </c>
      <c r="H1324" s="419" t="s">
        <v>414</v>
      </c>
      <c r="I1324" s="420"/>
      <c r="K1324" s="57" t="s">
        <v>644</v>
      </c>
      <c r="L1324" s="57" t="s">
        <v>239</v>
      </c>
      <c r="S1324" s="57">
        <v>0</v>
      </c>
    </row>
    <row r="1325" spans="1:19" ht="11.85" customHeight="1" x14ac:dyDescent="0.2">
      <c r="A1325" s="57" t="s">
        <v>644</v>
      </c>
      <c r="B1325" s="416"/>
      <c r="C1325" s="417"/>
      <c r="D1325" s="418"/>
      <c r="E1325" s="419" t="s">
        <v>401</v>
      </c>
      <c r="F1325" s="420"/>
      <c r="G1325" s="64" t="s">
        <v>413</v>
      </c>
      <c r="H1325" s="419" t="s">
        <v>415</v>
      </c>
      <c r="I1325" s="420"/>
      <c r="K1325" s="57" t="s">
        <v>644</v>
      </c>
      <c r="L1325" s="57" t="s">
        <v>239</v>
      </c>
      <c r="S1325" s="57">
        <v>0</v>
      </c>
    </row>
    <row r="1326" spans="1:19" ht="11.1" customHeight="1" x14ac:dyDescent="0.2">
      <c r="A1326" s="57" t="s">
        <v>644</v>
      </c>
      <c r="B1326" s="413" t="s">
        <v>416</v>
      </c>
      <c r="C1326" s="414"/>
      <c r="D1326" s="415"/>
      <c r="E1326" s="419" t="s">
        <v>402</v>
      </c>
      <c r="F1326" s="420"/>
      <c r="G1326" s="64" t="s">
        <v>417</v>
      </c>
      <c r="H1326" s="419" t="s">
        <v>437</v>
      </c>
      <c r="I1326" s="420"/>
      <c r="K1326" s="57" t="s">
        <v>644</v>
      </c>
      <c r="L1326" s="57" t="s">
        <v>239</v>
      </c>
      <c r="S1326" s="57">
        <v>0</v>
      </c>
    </row>
    <row r="1327" spans="1:19" ht="11.85" customHeight="1" x14ac:dyDescent="0.2">
      <c r="A1327" s="57" t="s">
        <v>644</v>
      </c>
      <c r="B1327" s="424"/>
      <c r="C1327" s="425"/>
      <c r="D1327" s="426"/>
      <c r="E1327" s="419" t="s">
        <v>403</v>
      </c>
      <c r="F1327" s="420"/>
      <c r="G1327" s="64" t="s">
        <v>417</v>
      </c>
      <c r="H1327" s="419" t="s">
        <v>437</v>
      </c>
      <c r="I1327" s="420"/>
      <c r="K1327" s="57" t="s">
        <v>644</v>
      </c>
      <c r="L1327" s="57" t="s">
        <v>239</v>
      </c>
      <c r="S1327" s="57">
        <v>0</v>
      </c>
    </row>
    <row r="1328" spans="1:19" ht="11.85" customHeight="1" x14ac:dyDescent="0.2">
      <c r="A1328" s="57" t="s">
        <v>644</v>
      </c>
      <c r="B1328" s="424"/>
      <c r="C1328" s="425"/>
      <c r="D1328" s="426"/>
      <c r="E1328" s="419" t="s">
        <v>404</v>
      </c>
      <c r="F1328" s="420"/>
      <c r="G1328" s="64" t="s">
        <v>413</v>
      </c>
      <c r="H1328" s="419" t="s">
        <v>478</v>
      </c>
      <c r="I1328" s="420"/>
      <c r="K1328" s="57" t="s">
        <v>644</v>
      </c>
      <c r="L1328" s="57" t="s">
        <v>239</v>
      </c>
      <c r="S1328" s="57">
        <v>0</v>
      </c>
    </row>
    <row r="1329" spans="1:19" ht="11.85" customHeight="1" x14ac:dyDescent="0.2">
      <c r="A1329" s="57" t="s">
        <v>644</v>
      </c>
      <c r="B1329" s="424"/>
      <c r="C1329" s="425"/>
      <c r="D1329" s="426"/>
      <c r="E1329" s="419" t="s">
        <v>405</v>
      </c>
      <c r="F1329" s="420"/>
      <c r="G1329" s="64" t="s">
        <v>420</v>
      </c>
      <c r="H1329" s="419" t="s">
        <v>439</v>
      </c>
      <c r="I1329" s="420"/>
      <c r="K1329" s="57" t="s">
        <v>644</v>
      </c>
      <c r="L1329" s="57" t="s">
        <v>239</v>
      </c>
      <c r="S1329" s="57">
        <v>0</v>
      </c>
    </row>
    <row r="1330" spans="1:19" ht="11.1" customHeight="1" x14ac:dyDescent="0.2">
      <c r="A1330" s="57" t="s">
        <v>644</v>
      </c>
      <c r="B1330" s="424"/>
      <c r="C1330" s="425"/>
      <c r="D1330" s="426"/>
      <c r="E1330" s="419" t="s">
        <v>406</v>
      </c>
      <c r="F1330" s="420"/>
      <c r="G1330" s="64" t="s">
        <v>422</v>
      </c>
      <c r="H1330" s="419" t="s">
        <v>423</v>
      </c>
      <c r="I1330" s="420"/>
      <c r="K1330" s="57" t="s">
        <v>644</v>
      </c>
      <c r="L1330" s="57" t="s">
        <v>239</v>
      </c>
      <c r="S1330" s="65">
        <v>48.44</v>
      </c>
    </row>
    <row r="1331" spans="1:19" ht="11.85" customHeight="1" x14ac:dyDescent="0.2">
      <c r="A1331" s="57" t="s">
        <v>644</v>
      </c>
      <c r="B1331" s="416"/>
      <c r="C1331" s="417"/>
      <c r="D1331" s="418"/>
      <c r="E1331" s="419" t="s">
        <v>407</v>
      </c>
      <c r="F1331" s="420"/>
      <c r="G1331" s="64" t="s">
        <v>424</v>
      </c>
      <c r="H1331" s="419" t="s">
        <v>425</v>
      </c>
      <c r="I1331" s="420"/>
      <c r="K1331" s="57" t="s">
        <v>644</v>
      </c>
      <c r="L1331" s="57" t="s">
        <v>239</v>
      </c>
      <c r="S1331" s="57">
        <v>0</v>
      </c>
    </row>
    <row r="1332" spans="1:19" ht="11.85" customHeight="1" x14ac:dyDescent="0.2">
      <c r="A1332" s="57" t="s">
        <v>644</v>
      </c>
      <c r="B1332" s="413" t="s">
        <v>426</v>
      </c>
      <c r="C1332" s="414"/>
      <c r="D1332" s="415"/>
      <c r="E1332" s="419" t="s">
        <v>408</v>
      </c>
      <c r="F1332" s="420"/>
      <c r="G1332" s="64" t="s">
        <v>420</v>
      </c>
      <c r="H1332" s="419" t="s">
        <v>427</v>
      </c>
      <c r="I1332" s="420"/>
      <c r="K1332" s="57" t="s">
        <v>644</v>
      </c>
      <c r="L1332" s="57" t="s">
        <v>239</v>
      </c>
      <c r="S1332" s="57">
        <v>0</v>
      </c>
    </row>
    <row r="1333" spans="1:19" ht="11.85" customHeight="1" x14ac:dyDescent="0.2">
      <c r="A1333" s="57" t="s">
        <v>644</v>
      </c>
      <c r="B1333" s="424"/>
      <c r="C1333" s="425"/>
      <c r="D1333" s="426"/>
      <c r="E1333" s="419" t="s">
        <v>409</v>
      </c>
      <c r="F1333" s="420"/>
      <c r="G1333" s="64" t="s">
        <v>417</v>
      </c>
      <c r="H1333" s="419" t="s">
        <v>428</v>
      </c>
      <c r="I1333" s="420"/>
      <c r="K1333" s="57" t="s">
        <v>644</v>
      </c>
      <c r="L1333" s="57" t="s">
        <v>239</v>
      </c>
      <c r="S1333" s="57">
        <v>0</v>
      </c>
    </row>
    <row r="1334" spans="1:19" ht="11.1" customHeight="1" x14ac:dyDescent="0.2">
      <c r="A1334" s="57" t="s">
        <v>644</v>
      </c>
      <c r="B1334" s="416"/>
      <c r="C1334" s="417"/>
      <c r="D1334" s="418"/>
      <c r="E1334" s="419" t="s">
        <v>410</v>
      </c>
      <c r="F1334" s="420"/>
      <c r="G1334" s="64" t="s">
        <v>417</v>
      </c>
      <c r="H1334" s="419" t="s">
        <v>415</v>
      </c>
      <c r="I1334" s="420"/>
      <c r="K1334" s="57" t="s">
        <v>644</v>
      </c>
      <c r="L1334" s="57" t="s">
        <v>239</v>
      </c>
      <c r="S1334" s="57">
        <v>0</v>
      </c>
    </row>
    <row r="1335" spans="1:19" ht="11.85" customHeight="1" x14ac:dyDescent="0.2">
      <c r="A1335" s="57" t="s">
        <v>644</v>
      </c>
      <c r="B1335" s="62"/>
      <c r="C1335" s="411" t="s">
        <v>645</v>
      </c>
      <c r="D1335" s="412"/>
      <c r="E1335" s="412"/>
      <c r="F1335" s="412"/>
      <c r="G1335" s="412"/>
      <c r="H1335" s="412"/>
      <c r="I1335" s="411"/>
      <c r="K1335" s="57" t="s">
        <v>644</v>
      </c>
      <c r="L1335" s="57" t="s">
        <v>239</v>
      </c>
      <c r="S1335" s="57">
        <v>0</v>
      </c>
    </row>
    <row r="1336" spans="1:19" ht="11.85" customHeight="1" x14ac:dyDescent="0.2">
      <c r="A1336" s="57" t="s">
        <v>645</v>
      </c>
      <c r="B1336" s="413" t="s">
        <v>412</v>
      </c>
      <c r="C1336" s="414"/>
      <c r="D1336" s="415"/>
      <c r="E1336" s="419" t="s">
        <v>400</v>
      </c>
      <c r="F1336" s="420"/>
      <c r="G1336" s="64" t="s">
        <v>413</v>
      </c>
      <c r="H1336" s="419" t="s">
        <v>414</v>
      </c>
      <c r="I1336" s="420"/>
      <c r="K1336" s="57" t="s">
        <v>645</v>
      </c>
      <c r="L1336" s="57" t="s">
        <v>240</v>
      </c>
      <c r="S1336" s="57">
        <v>0</v>
      </c>
    </row>
    <row r="1337" spans="1:19" ht="11.85" customHeight="1" x14ac:dyDescent="0.2">
      <c r="A1337" s="57" t="s">
        <v>645</v>
      </c>
      <c r="B1337" s="416"/>
      <c r="C1337" s="417"/>
      <c r="D1337" s="418"/>
      <c r="E1337" s="419" t="s">
        <v>401</v>
      </c>
      <c r="F1337" s="420"/>
      <c r="G1337" s="64" t="s">
        <v>413</v>
      </c>
      <c r="H1337" s="419" t="s">
        <v>415</v>
      </c>
      <c r="I1337" s="420"/>
      <c r="K1337" s="57" t="s">
        <v>645</v>
      </c>
      <c r="L1337" s="57" t="s">
        <v>240</v>
      </c>
      <c r="S1337" s="57">
        <v>0</v>
      </c>
    </row>
    <row r="1338" spans="1:19" ht="11.1" customHeight="1" x14ac:dyDescent="0.2">
      <c r="A1338" s="57" t="s">
        <v>645</v>
      </c>
      <c r="B1338" s="413" t="s">
        <v>416</v>
      </c>
      <c r="C1338" s="414"/>
      <c r="D1338" s="415"/>
      <c r="E1338" s="419" t="s">
        <v>402</v>
      </c>
      <c r="F1338" s="420"/>
      <c r="G1338" s="64" t="s">
        <v>417</v>
      </c>
      <c r="H1338" s="419" t="s">
        <v>437</v>
      </c>
      <c r="I1338" s="420"/>
      <c r="K1338" s="57" t="s">
        <v>645</v>
      </c>
      <c r="L1338" s="57" t="s">
        <v>240</v>
      </c>
      <c r="S1338" s="57">
        <v>0</v>
      </c>
    </row>
    <row r="1339" spans="1:19" ht="11.85" customHeight="1" x14ac:dyDescent="0.2">
      <c r="A1339" s="57" t="s">
        <v>645</v>
      </c>
      <c r="B1339" s="424"/>
      <c r="C1339" s="425"/>
      <c r="D1339" s="426"/>
      <c r="E1339" s="419" t="s">
        <v>403</v>
      </c>
      <c r="F1339" s="420"/>
      <c r="G1339" s="64" t="s">
        <v>417</v>
      </c>
      <c r="H1339" s="419" t="s">
        <v>437</v>
      </c>
      <c r="I1339" s="420"/>
      <c r="K1339" s="57" t="s">
        <v>645</v>
      </c>
      <c r="L1339" s="57" t="s">
        <v>240</v>
      </c>
      <c r="S1339" s="57">
        <v>0</v>
      </c>
    </row>
    <row r="1340" spans="1:19" ht="11.85" customHeight="1" x14ac:dyDescent="0.2">
      <c r="A1340" s="57" t="s">
        <v>645</v>
      </c>
      <c r="B1340" s="424"/>
      <c r="C1340" s="425"/>
      <c r="D1340" s="426"/>
      <c r="E1340" s="419" t="s">
        <v>404</v>
      </c>
      <c r="F1340" s="420"/>
      <c r="G1340" s="64" t="s">
        <v>413</v>
      </c>
      <c r="H1340" s="419" t="s">
        <v>478</v>
      </c>
      <c r="I1340" s="420"/>
      <c r="K1340" s="57" t="s">
        <v>645</v>
      </c>
      <c r="L1340" s="57" t="s">
        <v>240</v>
      </c>
      <c r="S1340" s="57">
        <v>0</v>
      </c>
    </row>
    <row r="1341" spans="1:19" ht="11.85" customHeight="1" x14ac:dyDescent="0.2">
      <c r="A1341" s="57" t="s">
        <v>645</v>
      </c>
      <c r="B1341" s="416"/>
      <c r="C1341" s="417"/>
      <c r="D1341" s="418"/>
      <c r="E1341" s="419" t="s">
        <v>405</v>
      </c>
      <c r="F1341" s="420"/>
      <c r="G1341" s="64" t="s">
        <v>420</v>
      </c>
      <c r="H1341" s="419" t="s">
        <v>439</v>
      </c>
      <c r="I1341" s="420"/>
      <c r="K1341" s="57" t="s">
        <v>645</v>
      </c>
      <c r="L1341" s="57" t="s">
        <v>240</v>
      </c>
      <c r="S1341" s="57">
        <v>0</v>
      </c>
    </row>
    <row r="1342" spans="1:19" ht="11.85" customHeight="1" x14ac:dyDescent="0.2">
      <c r="A1342" s="57" t="s">
        <v>645</v>
      </c>
      <c r="B1342" s="413" t="s">
        <v>416</v>
      </c>
      <c r="C1342" s="414"/>
      <c r="D1342" s="415"/>
      <c r="E1342" s="419" t="s">
        <v>406</v>
      </c>
      <c r="F1342" s="420"/>
      <c r="G1342" s="64" t="s">
        <v>422</v>
      </c>
      <c r="H1342" s="419" t="s">
        <v>423</v>
      </c>
      <c r="I1342" s="420"/>
      <c r="K1342" s="57" t="s">
        <v>645</v>
      </c>
      <c r="L1342" s="57" t="s">
        <v>240</v>
      </c>
      <c r="S1342" s="65">
        <v>48.44</v>
      </c>
    </row>
    <row r="1343" spans="1:19" ht="11.85" customHeight="1" x14ac:dyDescent="0.2">
      <c r="A1343" s="57" t="s">
        <v>645</v>
      </c>
      <c r="B1343" s="416"/>
      <c r="C1343" s="417"/>
      <c r="D1343" s="418"/>
      <c r="E1343" s="419" t="s">
        <v>407</v>
      </c>
      <c r="F1343" s="420"/>
      <c r="G1343" s="64" t="s">
        <v>424</v>
      </c>
      <c r="H1343" s="419" t="s">
        <v>425</v>
      </c>
      <c r="I1343" s="420"/>
      <c r="K1343" s="57" t="s">
        <v>645</v>
      </c>
      <c r="L1343" s="57" t="s">
        <v>240</v>
      </c>
      <c r="S1343" s="57">
        <v>0</v>
      </c>
    </row>
    <row r="1344" spans="1:19" ht="11.85" customHeight="1" x14ac:dyDescent="0.2">
      <c r="A1344" s="57" t="s">
        <v>645</v>
      </c>
      <c r="B1344" s="413" t="s">
        <v>426</v>
      </c>
      <c r="C1344" s="414"/>
      <c r="D1344" s="415"/>
      <c r="E1344" s="419" t="s">
        <v>408</v>
      </c>
      <c r="F1344" s="420"/>
      <c r="G1344" s="64" t="s">
        <v>420</v>
      </c>
      <c r="H1344" s="419" t="s">
        <v>427</v>
      </c>
      <c r="I1344" s="420"/>
      <c r="K1344" s="57" t="s">
        <v>645</v>
      </c>
      <c r="L1344" s="57" t="s">
        <v>240</v>
      </c>
      <c r="S1344" s="57">
        <v>0</v>
      </c>
    </row>
    <row r="1345" spans="1:19" ht="11.1" customHeight="1" x14ac:dyDescent="0.2">
      <c r="A1345" s="57" t="s">
        <v>645</v>
      </c>
      <c r="B1345" s="424"/>
      <c r="C1345" s="425"/>
      <c r="D1345" s="426"/>
      <c r="E1345" s="419" t="s">
        <v>409</v>
      </c>
      <c r="F1345" s="420"/>
      <c r="G1345" s="64" t="s">
        <v>417</v>
      </c>
      <c r="H1345" s="419" t="s">
        <v>428</v>
      </c>
      <c r="I1345" s="420"/>
      <c r="K1345" s="57" t="s">
        <v>645</v>
      </c>
      <c r="L1345" s="57" t="s">
        <v>240</v>
      </c>
      <c r="S1345" s="57">
        <v>0</v>
      </c>
    </row>
    <row r="1346" spans="1:19" ht="11.85" customHeight="1" x14ac:dyDescent="0.2">
      <c r="A1346" s="57" t="s">
        <v>645</v>
      </c>
      <c r="B1346" s="416"/>
      <c r="C1346" s="417"/>
      <c r="D1346" s="418"/>
      <c r="E1346" s="419" t="s">
        <v>410</v>
      </c>
      <c r="F1346" s="420"/>
      <c r="G1346" s="64" t="s">
        <v>417</v>
      </c>
      <c r="H1346" s="419" t="s">
        <v>415</v>
      </c>
      <c r="I1346" s="420"/>
      <c r="K1346" s="57" t="s">
        <v>645</v>
      </c>
      <c r="L1346" s="57" t="s">
        <v>240</v>
      </c>
      <c r="S1346" s="57">
        <v>0</v>
      </c>
    </row>
    <row r="1347" spans="1:19" ht="11.85" customHeight="1" x14ac:dyDescent="0.2">
      <c r="A1347" s="57" t="s">
        <v>645</v>
      </c>
      <c r="B1347" s="62"/>
      <c r="C1347" s="411" t="s">
        <v>646</v>
      </c>
      <c r="D1347" s="412"/>
      <c r="E1347" s="412"/>
      <c r="F1347" s="412"/>
      <c r="G1347" s="412"/>
      <c r="H1347" s="412"/>
      <c r="I1347" s="411"/>
      <c r="K1347" s="57" t="s">
        <v>645</v>
      </c>
      <c r="L1347" s="57" t="s">
        <v>240</v>
      </c>
      <c r="S1347" s="57">
        <v>0</v>
      </c>
    </row>
    <row r="1348" spans="1:19" ht="11.85" customHeight="1" x14ac:dyDescent="0.2">
      <c r="A1348" s="57" t="s">
        <v>646</v>
      </c>
      <c r="B1348" s="413" t="s">
        <v>412</v>
      </c>
      <c r="C1348" s="414"/>
      <c r="D1348" s="415"/>
      <c r="E1348" s="419" t="s">
        <v>400</v>
      </c>
      <c r="F1348" s="420"/>
      <c r="G1348" s="64" t="s">
        <v>413</v>
      </c>
      <c r="H1348" s="419" t="s">
        <v>414</v>
      </c>
      <c r="I1348" s="420"/>
      <c r="K1348" s="57" t="s">
        <v>646</v>
      </c>
      <c r="L1348" s="57" t="s">
        <v>241</v>
      </c>
      <c r="S1348" s="57">
        <v>0</v>
      </c>
    </row>
    <row r="1349" spans="1:19" ht="11.1" customHeight="1" x14ac:dyDescent="0.2">
      <c r="A1349" s="57" t="s">
        <v>646</v>
      </c>
      <c r="B1349" s="416"/>
      <c r="C1349" s="417"/>
      <c r="D1349" s="418"/>
      <c r="E1349" s="419" t="s">
        <v>401</v>
      </c>
      <c r="F1349" s="420"/>
      <c r="G1349" s="64" t="s">
        <v>413</v>
      </c>
      <c r="H1349" s="419" t="s">
        <v>415</v>
      </c>
      <c r="I1349" s="420"/>
      <c r="K1349" s="57" t="s">
        <v>646</v>
      </c>
      <c r="L1349" s="57" t="s">
        <v>241</v>
      </c>
      <c r="S1349" s="57">
        <v>0</v>
      </c>
    </row>
    <row r="1350" spans="1:19" ht="11.85" customHeight="1" x14ac:dyDescent="0.2">
      <c r="A1350" s="57" t="s">
        <v>646</v>
      </c>
      <c r="B1350" s="413" t="s">
        <v>416</v>
      </c>
      <c r="C1350" s="414"/>
      <c r="D1350" s="415"/>
      <c r="E1350" s="419" t="s">
        <v>402</v>
      </c>
      <c r="F1350" s="420"/>
      <c r="G1350" s="64" t="s">
        <v>417</v>
      </c>
      <c r="H1350" s="419" t="s">
        <v>437</v>
      </c>
      <c r="I1350" s="420"/>
      <c r="K1350" s="57" t="s">
        <v>646</v>
      </c>
      <c r="L1350" s="57" t="s">
        <v>241</v>
      </c>
      <c r="S1350" s="57">
        <v>0</v>
      </c>
    </row>
    <row r="1351" spans="1:19" ht="11.85" customHeight="1" x14ac:dyDescent="0.2">
      <c r="A1351" s="57" t="s">
        <v>646</v>
      </c>
      <c r="B1351" s="424"/>
      <c r="C1351" s="425"/>
      <c r="D1351" s="426"/>
      <c r="E1351" s="419" t="s">
        <v>403</v>
      </c>
      <c r="F1351" s="420"/>
      <c r="G1351" s="64" t="s">
        <v>417</v>
      </c>
      <c r="H1351" s="419" t="s">
        <v>437</v>
      </c>
      <c r="I1351" s="420"/>
      <c r="K1351" s="57" t="s">
        <v>646</v>
      </c>
      <c r="L1351" s="57" t="s">
        <v>241</v>
      </c>
      <c r="S1351" s="57">
        <v>0</v>
      </c>
    </row>
    <row r="1352" spans="1:19" ht="11.85" customHeight="1" x14ac:dyDescent="0.2">
      <c r="A1352" s="57" t="s">
        <v>646</v>
      </c>
      <c r="B1352" s="424"/>
      <c r="C1352" s="425"/>
      <c r="D1352" s="426"/>
      <c r="E1352" s="419" t="s">
        <v>404</v>
      </c>
      <c r="F1352" s="420"/>
      <c r="G1352" s="64" t="s">
        <v>413</v>
      </c>
      <c r="H1352" s="419" t="s">
        <v>478</v>
      </c>
      <c r="I1352" s="420"/>
      <c r="K1352" s="57" t="s">
        <v>646</v>
      </c>
      <c r="L1352" s="57" t="s">
        <v>241</v>
      </c>
      <c r="S1352" s="57">
        <v>0</v>
      </c>
    </row>
    <row r="1353" spans="1:19" ht="11.1" customHeight="1" x14ac:dyDescent="0.2">
      <c r="A1353" s="57" t="s">
        <v>646</v>
      </c>
      <c r="B1353" s="424"/>
      <c r="C1353" s="425"/>
      <c r="D1353" s="426"/>
      <c r="E1353" s="419" t="s">
        <v>405</v>
      </c>
      <c r="F1353" s="420"/>
      <c r="G1353" s="64" t="s">
        <v>420</v>
      </c>
      <c r="H1353" s="419" t="s">
        <v>439</v>
      </c>
      <c r="I1353" s="420"/>
      <c r="K1353" s="57" t="s">
        <v>646</v>
      </c>
      <c r="L1353" s="57" t="s">
        <v>241</v>
      </c>
      <c r="S1353" s="57">
        <v>0</v>
      </c>
    </row>
    <row r="1354" spans="1:19" ht="11.85" customHeight="1" x14ac:dyDescent="0.2">
      <c r="A1354" s="57" t="s">
        <v>646</v>
      </c>
      <c r="B1354" s="424"/>
      <c r="C1354" s="425"/>
      <c r="D1354" s="426"/>
      <c r="E1354" s="419" t="s">
        <v>406</v>
      </c>
      <c r="F1354" s="420"/>
      <c r="G1354" s="64" t="s">
        <v>422</v>
      </c>
      <c r="H1354" s="419" t="s">
        <v>423</v>
      </c>
      <c r="I1354" s="420"/>
      <c r="K1354" s="57" t="s">
        <v>646</v>
      </c>
      <c r="L1354" s="57" t="s">
        <v>241</v>
      </c>
      <c r="S1354" s="65">
        <v>48.44</v>
      </c>
    </row>
    <row r="1355" spans="1:19" ht="11.85" customHeight="1" x14ac:dyDescent="0.2">
      <c r="A1355" s="57" t="s">
        <v>646</v>
      </c>
      <c r="B1355" s="416"/>
      <c r="C1355" s="417"/>
      <c r="D1355" s="418"/>
      <c r="E1355" s="419" t="s">
        <v>407</v>
      </c>
      <c r="F1355" s="420"/>
      <c r="G1355" s="64" t="s">
        <v>424</v>
      </c>
      <c r="H1355" s="419" t="s">
        <v>425</v>
      </c>
      <c r="I1355" s="420"/>
      <c r="K1355" s="57" t="s">
        <v>646</v>
      </c>
      <c r="L1355" s="57" t="s">
        <v>241</v>
      </c>
      <c r="S1355" s="57">
        <v>0</v>
      </c>
    </row>
    <row r="1356" spans="1:19" ht="11.85" customHeight="1" x14ac:dyDescent="0.2">
      <c r="A1356" s="57" t="s">
        <v>646</v>
      </c>
      <c r="B1356" s="413" t="s">
        <v>426</v>
      </c>
      <c r="C1356" s="414"/>
      <c r="D1356" s="415"/>
      <c r="E1356" s="419" t="s">
        <v>408</v>
      </c>
      <c r="F1356" s="420"/>
      <c r="G1356" s="64" t="s">
        <v>420</v>
      </c>
      <c r="H1356" s="419" t="s">
        <v>427</v>
      </c>
      <c r="I1356" s="420"/>
      <c r="K1356" s="57" t="s">
        <v>646</v>
      </c>
      <c r="L1356" s="57" t="s">
        <v>241</v>
      </c>
      <c r="S1356" s="57">
        <v>0</v>
      </c>
    </row>
    <row r="1357" spans="1:19" ht="11.1" customHeight="1" x14ac:dyDescent="0.2">
      <c r="A1357" s="57" t="s">
        <v>646</v>
      </c>
      <c r="B1357" s="424"/>
      <c r="C1357" s="425"/>
      <c r="D1357" s="426"/>
      <c r="E1357" s="419" t="s">
        <v>409</v>
      </c>
      <c r="F1357" s="420"/>
      <c r="G1357" s="64" t="s">
        <v>417</v>
      </c>
      <c r="H1357" s="419" t="s">
        <v>428</v>
      </c>
      <c r="I1357" s="420"/>
      <c r="K1357" s="57" t="s">
        <v>646</v>
      </c>
      <c r="L1357" s="57" t="s">
        <v>241</v>
      </c>
      <c r="S1357" s="57">
        <v>0</v>
      </c>
    </row>
    <row r="1358" spans="1:19" ht="11.85" customHeight="1" x14ac:dyDescent="0.2">
      <c r="A1358" s="57" t="s">
        <v>646</v>
      </c>
      <c r="B1358" s="416"/>
      <c r="C1358" s="417"/>
      <c r="D1358" s="418"/>
      <c r="E1358" s="419" t="s">
        <v>410</v>
      </c>
      <c r="F1358" s="420"/>
      <c r="G1358" s="64" t="s">
        <v>417</v>
      </c>
      <c r="H1358" s="419" t="s">
        <v>415</v>
      </c>
      <c r="I1358" s="420"/>
      <c r="K1358" s="57" t="s">
        <v>646</v>
      </c>
      <c r="L1358" s="57" t="s">
        <v>241</v>
      </c>
      <c r="S1358" s="57">
        <v>0</v>
      </c>
    </row>
    <row r="1359" spans="1:19" ht="11.85" customHeight="1" x14ac:dyDescent="0.2">
      <c r="A1359" s="57" t="s">
        <v>646</v>
      </c>
      <c r="B1359" s="62"/>
      <c r="C1359" s="411" t="s">
        <v>647</v>
      </c>
      <c r="D1359" s="412"/>
      <c r="E1359" s="412"/>
      <c r="F1359" s="412"/>
      <c r="G1359" s="412"/>
      <c r="H1359" s="412"/>
      <c r="I1359" s="411"/>
      <c r="K1359" s="57" t="s">
        <v>646</v>
      </c>
      <c r="L1359" s="57" t="s">
        <v>241</v>
      </c>
      <c r="S1359" s="57">
        <v>0</v>
      </c>
    </row>
    <row r="1360" spans="1:19" ht="11.85" customHeight="1" x14ac:dyDescent="0.2">
      <c r="A1360" s="57" t="s">
        <v>647</v>
      </c>
      <c r="B1360" s="413" t="s">
        <v>412</v>
      </c>
      <c r="C1360" s="414"/>
      <c r="D1360" s="415"/>
      <c r="E1360" s="419" t="s">
        <v>400</v>
      </c>
      <c r="F1360" s="420"/>
      <c r="G1360" s="64" t="s">
        <v>413</v>
      </c>
      <c r="H1360" s="419" t="s">
        <v>414</v>
      </c>
      <c r="I1360" s="420"/>
      <c r="K1360" s="57" t="s">
        <v>647</v>
      </c>
      <c r="L1360" s="57" t="s">
        <v>242</v>
      </c>
      <c r="S1360" s="57">
        <v>0</v>
      </c>
    </row>
    <row r="1361" spans="1:19" ht="11.1" customHeight="1" x14ac:dyDescent="0.2">
      <c r="A1361" s="57" t="s">
        <v>647</v>
      </c>
      <c r="B1361" s="416"/>
      <c r="C1361" s="417"/>
      <c r="D1361" s="418"/>
      <c r="E1361" s="419" t="s">
        <v>401</v>
      </c>
      <c r="F1361" s="420"/>
      <c r="G1361" s="64" t="s">
        <v>413</v>
      </c>
      <c r="H1361" s="419" t="s">
        <v>415</v>
      </c>
      <c r="I1361" s="420"/>
      <c r="K1361" s="57" t="s">
        <v>647</v>
      </c>
      <c r="L1361" s="57" t="s">
        <v>242</v>
      </c>
      <c r="S1361" s="57">
        <v>0</v>
      </c>
    </row>
    <row r="1362" spans="1:19" ht="11.85" customHeight="1" x14ac:dyDescent="0.2">
      <c r="A1362" s="57" t="s">
        <v>647</v>
      </c>
      <c r="B1362" s="413" t="s">
        <v>416</v>
      </c>
      <c r="C1362" s="414"/>
      <c r="D1362" s="415"/>
      <c r="E1362" s="419" t="s">
        <v>402</v>
      </c>
      <c r="F1362" s="420"/>
      <c r="G1362" s="64" t="s">
        <v>417</v>
      </c>
      <c r="H1362" s="419" t="s">
        <v>437</v>
      </c>
      <c r="I1362" s="420"/>
      <c r="K1362" s="57" t="s">
        <v>647</v>
      </c>
      <c r="L1362" s="57" t="s">
        <v>242</v>
      </c>
      <c r="S1362" s="57">
        <v>0</v>
      </c>
    </row>
    <row r="1363" spans="1:19" ht="11.85" customHeight="1" x14ac:dyDescent="0.2">
      <c r="A1363" s="57" t="s">
        <v>647</v>
      </c>
      <c r="B1363" s="424"/>
      <c r="C1363" s="425"/>
      <c r="D1363" s="426"/>
      <c r="E1363" s="419" t="s">
        <v>403</v>
      </c>
      <c r="F1363" s="420"/>
      <c r="G1363" s="64" t="s">
        <v>417</v>
      </c>
      <c r="H1363" s="419" t="s">
        <v>437</v>
      </c>
      <c r="I1363" s="420"/>
      <c r="K1363" s="57" t="s">
        <v>647</v>
      </c>
      <c r="L1363" s="57" t="s">
        <v>242</v>
      </c>
      <c r="S1363" s="57">
        <v>0</v>
      </c>
    </row>
    <row r="1364" spans="1:19" ht="11.85" customHeight="1" x14ac:dyDescent="0.2">
      <c r="A1364" s="57" t="s">
        <v>647</v>
      </c>
      <c r="B1364" s="424"/>
      <c r="C1364" s="425"/>
      <c r="D1364" s="426"/>
      <c r="E1364" s="419" t="s">
        <v>404</v>
      </c>
      <c r="F1364" s="420"/>
      <c r="G1364" s="64" t="s">
        <v>413</v>
      </c>
      <c r="H1364" s="419" t="s">
        <v>478</v>
      </c>
      <c r="I1364" s="420"/>
      <c r="K1364" s="57" t="s">
        <v>647</v>
      </c>
      <c r="L1364" s="57" t="s">
        <v>242</v>
      </c>
      <c r="S1364" s="57">
        <v>0</v>
      </c>
    </row>
    <row r="1365" spans="1:19" ht="11.1" customHeight="1" x14ac:dyDescent="0.2">
      <c r="A1365" s="57" t="s">
        <v>647</v>
      </c>
      <c r="B1365" s="424"/>
      <c r="C1365" s="425"/>
      <c r="D1365" s="426"/>
      <c r="E1365" s="419" t="s">
        <v>405</v>
      </c>
      <c r="F1365" s="420"/>
      <c r="G1365" s="64" t="s">
        <v>420</v>
      </c>
      <c r="H1365" s="419" t="s">
        <v>439</v>
      </c>
      <c r="I1365" s="420"/>
      <c r="K1365" s="57" t="s">
        <v>647</v>
      </c>
      <c r="L1365" s="57" t="s">
        <v>242</v>
      </c>
      <c r="S1365" s="57">
        <v>0</v>
      </c>
    </row>
    <row r="1366" spans="1:19" ht="11.85" customHeight="1" x14ac:dyDescent="0.2">
      <c r="A1366" s="57" t="s">
        <v>647</v>
      </c>
      <c r="B1366" s="424"/>
      <c r="C1366" s="425"/>
      <c r="D1366" s="426"/>
      <c r="E1366" s="419" t="s">
        <v>406</v>
      </c>
      <c r="F1366" s="420"/>
      <c r="G1366" s="64" t="s">
        <v>422</v>
      </c>
      <c r="H1366" s="419" t="s">
        <v>423</v>
      </c>
      <c r="I1366" s="420"/>
      <c r="K1366" s="57" t="s">
        <v>647</v>
      </c>
      <c r="L1366" s="57" t="s">
        <v>242</v>
      </c>
      <c r="S1366" s="65">
        <v>48.44</v>
      </c>
    </row>
    <row r="1367" spans="1:19" ht="11.85" customHeight="1" x14ac:dyDescent="0.2">
      <c r="A1367" s="57" t="s">
        <v>647</v>
      </c>
      <c r="B1367" s="416"/>
      <c r="C1367" s="417"/>
      <c r="D1367" s="418"/>
      <c r="E1367" s="419" t="s">
        <v>407</v>
      </c>
      <c r="F1367" s="420"/>
      <c r="G1367" s="64" t="s">
        <v>424</v>
      </c>
      <c r="H1367" s="419" t="s">
        <v>425</v>
      </c>
      <c r="I1367" s="420"/>
      <c r="K1367" s="57" t="s">
        <v>647</v>
      </c>
      <c r="L1367" s="57" t="s">
        <v>242</v>
      </c>
      <c r="S1367" s="57">
        <v>0</v>
      </c>
    </row>
    <row r="1368" spans="1:19" ht="11.85" customHeight="1" x14ac:dyDescent="0.2">
      <c r="A1368" s="57" t="s">
        <v>647</v>
      </c>
      <c r="B1368" s="413" t="s">
        <v>426</v>
      </c>
      <c r="C1368" s="414"/>
      <c r="D1368" s="415"/>
      <c r="E1368" s="419" t="s">
        <v>408</v>
      </c>
      <c r="F1368" s="420"/>
      <c r="G1368" s="64" t="s">
        <v>420</v>
      </c>
      <c r="H1368" s="419" t="s">
        <v>427</v>
      </c>
      <c r="I1368" s="420"/>
      <c r="K1368" s="57" t="s">
        <v>647</v>
      </c>
      <c r="L1368" s="57" t="s">
        <v>242</v>
      </c>
      <c r="S1368" s="57">
        <v>0</v>
      </c>
    </row>
    <row r="1369" spans="1:19" ht="11.1" customHeight="1" x14ac:dyDescent="0.2">
      <c r="A1369" s="57" t="s">
        <v>647</v>
      </c>
      <c r="B1369" s="424"/>
      <c r="C1369" s="425"/>
      <c r="D1369" s="426"/>
      <c r="E1369" s="419" t="s">
        <v>409</v>
      </c>
      <c r="F1369" s="420"/>
      <c r="G1369" s="64" t="s">
        <v>417</v>
      </c>
      <c r="H1369" s="419" t="s">
        <v>428</v>
      </c>
      <c r="I1369" s="420"/>
      <c r="K1369" s="57" t="s">
        <v>647</v>
      </c>
      <c r="L1369" s="57" t="s">
        <v>242</v>
      </c>
      <c r="S1369" s="57">
        <v>0</v>
      </c>
    </row>
    <row r="1370" spans="1:19" ht="11.85" customHeight="1" x14ac:dyDescent="0.2">
      <c r="A1370" s="57" t="s">
        <v>647</v>
      </c>
      <c r="B1370" s="416"/>
      <c r="C1370" s="417"/>
      <c r="D1370" s="418"/>
      <c r="E1370" s="419" t="s">
        <v>410</v>
      </c>
      <c r="F1370" s="420"/>
      <c r="G1370" s="64" t="s">
        <v>417</v>
      </c>
      <c r="H1370" s="419" t="s">
        <v>415</v>
      </c>
      <c r="I1370" s="420"/>
      <c r="K1370" s="57" t="s">
        <v>647</v>
      </c>
      <c r="L1370" s="57" t="s">
        <v>242</v>
      </c>
      <c r="S1370" s="57">
        <v>0</v>
      </c>
    </row>
    <row r="1371" spans="1:19" ht="11.85" customHeight="1" x14ac:dyDescent="0.2">
      <c r="A1371" s="57" t="s">
        <v>647</v>
      </c>
      <c r="B1371" s="62"/>
      <c r="C1371" s="411" t="s">
        <v>648</v>
      </c>
      <c r="D1371" s="412"/>
      <c r="E1371" s="412"/>
      <c r="F1371" s="412"/>
      <c r="G1371" s="412"/>
      <c r="H1371" s="412"/>
      <c r="I1371" s="411"/>
      <c r="K1371" s="57" t="s">
        <v>647</v>
      </c>
      <c r="L1371" s="57" t="s">
        <v>242</v>
      </c>
      <c r="S1371" s="57">
        <v>0</v>
      </c>
    </row>
    <row r="1372" spans="1:19" ht="11.85" customHeight="1" x14ac:dyDescent="0.2">
      <c r="A1372" s="57" t="s">
        <v>648</v>
      </c>
      <c r="B1372" s="413" t="s">
        <v>416</v>
      </c>
      <c r="C1372" s="414"/>
      <c r="D1372" s="415"/>
      <c r="E1372" s="419" t="s">
        <v>402</v>
      </c>
      <c r="F1372" s="420"/>
      <c r="G1372" s="64" t="s">
        <v>417</v>
      </c>
      <c r="H1372" s="419" t="s">
        <v>437</v>
      </c>
      <c r="I1372" s="420"/>
      <c r="K1372" s="57" t="s">
        <v>648</v>
      </c>
      <c r="L1372" s="57" t="s">
        <v>243</v>
      </c>
      <c r="S1372" s="57">
        <v>0</v>
      </c>
    </row>
    <row r="1373" spans="1:19" ht="11.1" customHeight="1" x14ac:dyDescent="0.2">
      <c r="A1373" s="57" t="s">
        <v>648</v>
      </c>
      <c r="B1373" s="424"/>
      <c r="C1373" s="425"/>
      <c r="D1373" s="426"/>
      <c r="E1373" s="419" t="s">
        <v>403</v>
      </c>
      <c r="F1373" s="420"/>
      <c r="G1373" s="64" t="s">
        <v>417</v>
      </c>
      <c r="H1373" s="419" t="s">
        <v>437</v>
      </c>
      <c r="I1373" s="420"/>
      <c r="K1373" s="57" t="s">
        <v>648</v>
      </c>
      <c r="L1373" s="57" t="s">
        <v>243</v>
      </c>
      <c r="S1373" s="57">
        <v>0</v>
      </c>
    </row>
    <row r="1374" spans="1:19" ht="11.85" customHeight="1" x14ac:dyDescent="0.2">
      <c r="A1374" s="57" t="s">
        <v>648</v>
      </c>
      <c r="B1374" s="424"/>
      <c r="C1374" s="425"/>
      <c r="D1374" s="426"/>
      <c r="E1374" s="419" t="s">
        <v>404</v>
      </c>
      <c r="F1374" s="420"/>
      <c r="G1374" s="64" t="s">
        <v>413</v>
      </c>
      <c r="H1374" s="419" t="s">
        <v>478</v>
      </c>
      <c r="I1374" s="420"/>
      <c r="K1374" s="57" t="s">
        <v>648</v>
      </c>
      <c r="L1374" s="57" t="s">
        <v>243</v>
      </c>
      <c r="S1374" s="57">
        <v>0</v>
      </c>
    </row>
    <row r="1375" spans="1:19" ht="11.85" customHeight="1" x14ac:dyDescent="0.2">
      <c r="A1375" s="57" t="s">
        <v>648</v>
      </c>
      <c r="B1375" s="424"/>
      <c r="C1375" s="425"/>
      <c r="D1375" s="426"/>
      <c r="E1375" s="419" t="s">
        <v>405</v>
      </c>
      <c r="F1375" s="420"/>
      <c r="G1375" s="64" t="s">
        <v>420</v>
      </c>
      <c r="H1375" s="419" t="s">
        <v>439</v>
      </c>
      <c r="I1375" s="420"/>
      <c r="K1375" s="57" t="s">
        <v>648</v>
      </c>
      <c r="L1375" s="57" t="s">
        <v>243</v>
      </c>
      <c r="S1375" s="57">
        <v>0</v>
      </c>
    </row>
    <row r="1376" spans="1:19" ht="11.85" customHeight="1" x14ac:dyDescent="0.2">
      <c r="A1376" s="57" t="s">
        <v>648</v>
      </c>
      <c r="B1376" s="424"/>
      <c r="C1376" s="425"/>
      <c r="D1376" s="426"/>
      <c r="E1376" s="419" t="s">
        <v>406</v>
      </c>
      <c r="F1376" s="420"/>
      <c r="G1376" s="64" t="s">
        <v>422</v>
      </c>
      <c r="H1376" s="419" t="s">
        <v>423</v>
      </c>
      <c r="I1376" s="420"/>
      <c r="K1376" s="57" t="s">
        <v>648</v>
      </c>
      <c r="L1376" s="57" t="s">
        <v>243</v>
      </c>
      <c r="S1376" s="65">
        <v>48.44</v>
      </c>
    </row>
    <row r="1377" spans="1:19" ht="11.1" customHeight="1" x14ac:dyDescent="0.2">
      <c r="A1377" s="57" t="s">
        <v>648</v>
      </c>
      <c r="B1377" s="416"/>
      <c r="C1377" s="417"/>
      <c r="D1377" s="418"/>
      <c r="E1377" s="419" t="s">
        <v>407</v>
      </c>
      <c r="F1377" s="420"/>
      <c r="G1377" s="64" t="s">
        <v>424</v>
      </c>
      <c r="H1377" s="419" t="s">
        <v>425</v>
      </c>
      <c r="I1377" s="420"/>
      <c r="K1377" s="57" t="s">
        <v>648</v>
      </c>
      <c r="L1377" s="57" t="s">
        <v>243</v>
      </c>
      <c r="S1377" s="57">
        <v>0</v>
      </c>
    </row>
    <row r="1378" spans="1:19" ht="11.85" customHeight="1" x14ac:dyDescent="0.2">
      <c r="A1378" s="57" t="s">
        <v>648</v>
      </c>
      <c r="B1378" s="62"/>
      <c r="C1378" s="411" t="s">
        <v>649</v>
      </c>
      <c r="D1378" s="412"/>
      <c r="E1378" s="412"/>
      <c r="F1378" s="412"/>
      <c r="G1378" s="412"/>
      <c r="H1378" s="412"/>
      <c r="I1378" s="411"/>
      <c r="K1378" s="57" t="s">
        <v>648</v>
      </c>
      <c r="L1378" s="57" t="s">
        <v>243</v>
      </c>
      <c r="S1378" s="57">
        <v>0</v>
      </c>
    </row>
    <row r="1379" spans="1:19" ht="11.85" customHeight="1" x14ac:dyDescent="0.2">
      <c r="A1379" s="57" t="s">
        <v>649</v>
      </c>
      <c r="B1379" s="413" t="s">
        <v>412</v>
      </c>
      <c r="C1379" s="414"/>
      <c r="D1379" s="415"/>
      <c r="E1379" s="419" t="s">
        <v>400</v>
      </c>
      <c r="F1379" s="420"/>
      <c r="G1379" s="64" t="s">
        <v>413</v>
      </c>
      <c r="H1379" s="419" t="s">
        <v>414</v>
      </c>
      <c r="I1379" s="420"/>
      <c r="K1379" s="57" t="s">
        <v>649</v>
      </c>
      <c r="L1379" s="57" t="s">
        <v>244</v>
      </c>
      <c r="S1379" s="57">
        <v>0</v>
      </c>
    </row>
    <row r="1380" spans="1:19" ht="11.85" customHeight="1" x14ac:dyDescent="0.2">
      <c r="A1380" s="57" t="s">
        <v>649</v>
      </c>
      <c r="B1380" s="416"/>
      <c r="C1380" s="417"/>
      <c r="D1380" s="418"/>
      <c r="E1380" s="419" t="s">
        <v>401</v>
      </c>
      <c r="F1380" s="420"/>
      <c r="G1380" s="64" t="s">
        <v>413</v>
      </c>
      <c r="H1380" s="419" t="s">
        <v>415</v>
      </c>
      <c r="I1380" s="420"/>
      <c r="K1380" s="57" t="s">
        <v>649</v>
      </c>
      <c r="L1380" s="57" t="s">
        <v>244</v>
      </c>
      <c r="S1380" s="57">
        <v>0</v>
      </c>
    </row>
    <row r="1381" spans="1:19" ht="11.1" customHeight="1" x14ac:dyDescent="0.2">
      <c r="A1381" s="57" t="s">
        <v>649</v>
      </c>
      <c r="B1381" s="413" t="s">
        <v>416</v>
      </c>
      <c r="C1381" s="414"/>
      <c r="D1381" s="415"/>
      <c r="E1381" s="419" t="s">
        <v>402</v>
      </c>
      <c r="F1381" s="420"/>
      <c r="G1381" s="64" t="s">
        <v>417</v>
      </c>
      <c r="H1381" s="419" t="s">
        <v>437</v>
      </c>
      <c r="I1381" s="420"/>
      <c r="K1381" s="57" t="s">
        <v>649</v>
      </c>
      <c r="L1381" s="57" t="s">
        <v>244</v>
      </c>
      <c r="S1381" s="57">
        <v>0</v>
      </c>
    </row>
    <row r="1382" spans="1:19" ht="11.85" customHeight="1" x14ac:dyDescent="0.2">
      <c r="A1382" s="57" t="s">
        <v>649</v>
      </c>
      <c r="B1382" s="424"/>
      <c r="C1382" s="425"/>
      <c r="D1382" s="426"/>
      <c r="E1382" s="419" t="s">
        <v>403</v>
      </c>
      <c r="F1382" s="420"/>
      <c r="G1382" s="64" t="s">
        <v>417</v>
      </c>
      <c r="H1382" s="419" t="s">
        <v>437</v>
      </c>
      <c r="I1382" s="420"/>
      <c r="K1382" s="57" t="s">
        <v>649</v>
      </c>
      <c r="L1382" s="57" t="s">
        <v>244</v>
      </c>
      <c r="S1382" s="57">
        <v>0</v>
      </c>
    </row>
    <row r="1383" spans="1:19" ht="11.85" customHeight="1" x14ac:dyDescent="0.2">
      <c r="A1383" s="57" t="s">
        <v>649</v>
      </c>
      <c r="B1383" s="424"/>
      <c r="C1383" s="425"/>
      <c r="D1383" s="426"/>
      <c r="E1383" s="419" t="s">
        <v>404</v>
      </c>
      <c r="F1383" s="420"/>
      <c r="G1383" s="64" t="s">
        <v>413</v>
      </c>
      <c r="H1383" s="419" t="s">
        <v>478</v>
      </c>
      <c r="I1383" s="420"/>
      <c r="K1383" s="57" t="s">
        <v>649</v>
      </c>
      <c r="L1383" s="57" t="s">
        <v>244</v>
      </c>
      <c r="S1383" s="57">
        <v>0</v>
      </c>
    </row>
    <row r="1384" spans="1:19" ht="11.85" customHeight="1" x14ac:dyDescent="0.2">
      <c r="A1384" s="57" t="s">
        <v>649</v>
      </c>
      <c r="B1384" s="424"/>
      <c r="C1384" s="425"/>
      <c r="D1384" s="426"/>
      <c r="E1384" s="419" t="s">
        <v>405</v>
      </c>
      <c r="F1384" s="420"/>
      <c r="G1384" s="64" t="s">
        <v>420</v>
      </c>
      <c r="H1384" s="419" t="s">
        <v>439</v>
      </c>
      <c r="I1384" s="420"/>
      <c r="K1384" s="57" t="s">
        <v>649</v>
      </c>
      <c r="L1384" s="57" t="s">
        <v>244</v>
      </c>
      <c r="S1384" s="57">
        <v>0</v>
      </c>
    </row>
    <row r="1385" spans="1:19" ht="11.1" customHeight="1" x14ac:dyDescent="0.2">
      <c r="A1385" s="57" t="s">
        <v>649</v>
      </c>
      <c r="B1385" s="424"/>
      <c r="C1385" s="425"/>
      <c r="D1385" s="426"/>
      <c r="E1385" s="419" t="s">
        <v>406</v>
      </c>
      <c r="F1385" s="420"/>
      <c r="G1385" s="64" t="s">
        <v>422</v>
      </c>
      <c r="H1385" s="419" t="s">
        <v>423</v>
      </c>
      <c r="I1385" s="420"/>
      <c r="K1385" s="57" t="s">
        <v>649</v>
      </c>
      <c r="L1385" s="57" t="s">
        <v>244</v>
      </c>
      <c r="S1385" s="65">
        <v>48.44</v>
      </c>
    </row>
    <row r="1386" spans="1:19" ht="11.85" customHeight="1" x14ac:dyDescent="0.2">
      <c r="A1386" s="57" t="s">
        <v>649</v>
      </c>
      <c r="B1386" s="416"/>
      <c r="C1386" s="417"/>
      <c r="D1386" s="418"/>
      <c r="E1386" s="419" t="s">
        <v>407</v>
      </c>
      <c r="F1386" s="420"/>
      <c r="G1386" s="64" t="s">
        <v>424</v>
      </c>
      <c r="H1386" s="419" t="s">
        <v>425</v>
      </c>
      <c r="I1386" s="420"/>
      <c r="K1386" s="57" t="s">
        <v>649</v>
      </c>
      <c r="L1386" s="57" t="s">
        <v>244</v>
      </c>
      <c r="S1386" s="57">
        <v>0</v>
      </c>
    </row>
    <row r="1387" spans="1:19" ht="11.85" customHeight="1" x14ac:dyDescent="0.2">
      <c r="A1387" s="57" t="s">
        <v>649</v>
      </c>
      <c r="B1387" s="413" t="s">
        <v>426</v>
      </c>
      <c r="C1387" s="414"/>
      <c r="D1387" s="415"/>
      <c r="E1387" s="419" t="s">
        <v>408</v>
      </c>
      <c r="F1387" s="420"/>
      <c r="G1387" s="64" t="s">
        <v>420</v>
      </c>
      <c r="H1387" s="419" t="s">
        <v>427</v>
      </c>
      <c r="I1387" s="420"/>
      <c r="K1387" s="57" t="s">
        <v>649</v>
      </c>
      <c r="L1387" s="57" t="s">
        <v>244</v>
      </c>
      <c r="S1387" s="57">
        <v>0</v>
      </c>
    </row>
    <row r="1388" spans="1:19" ht="11.85" customHeight="1" x14ac:dyDescent="0.2">
      <c r="A1388" s="57" t="s">
        <v>649</v>
      </c>
      <c r="B1388" s="424"/>
      <c r="C1388" s="425"/>
      <c r="D1388" s="426"/>
      <c r="E1388" s="419" t="s">
        <v>409</v>
      </c>
      <c r="F1388" s="420"/>
      <c r="G1388" s="64" t="s">
        <v>417</v>
      </c>
      <c r="H1388" s="419" t="s">
        <v>428</v>
      </c>
      <c r="I1388" s="420"/>
      <c r="K1388" s="57" t="s">
        <v>649</v>
      </c>
      <c r="L1388" s="57" t="s">
        <v>244</v>
      </c>
      <c r="S1388" s="57">
        <v>0</v>
      </c>
    </row>
    <row r="1389" spans="1:19" ht="11.1" customHeight="1" x14ac:dyDescent="0.2">
      <c r="A1389" s="57" t="s">
        <v>649</v>
      </c>
      <c r="B1389" s="416"/>
      <c r="C1389" s="417"/>
      <c r="D1389" s="418"/>
      <c r="E1389" s="419" t="s">
        <v>410</v>
      </c>
      <c r="F1389" s="420"/>
      <c r="G1389" s="64" t="s">
        <v>417</v>
      </c>
      <c r="H1389" s="419" t="s">
        <v>415</v>
      </c>
      <c r="I1389" s="420"/>
      <c r="K1389" s="57" t="s">
        <v>649</v>
      </c>
      <c r="L1389" s="57" t="s">
        <v>244</v>
      </c>
      <c r="S1389" s="57">
        <v>0</v>
      </c>
    </row>
    <row r="1390" spans="1:19" ht="11.85" customHeight="1" x14ac:dyDescent="0.2">
      <c r="A1390" s="57" t="s">
        <v>649</v>
      </c>
      <c r="B1390" s="62"/>
      <c r="C1390" s="411" t="s">
        <v>650</v>
      </c>
      <c r="D1390" s="412"/>
      <c r="E1390" s="412"/>
      <c r="F1390" s="412"/>
      <c r="G1390" s="412"/>
      <c r="H1390" s="412"/>
      <c r="I1390" s="411"/>
      <c r="K1390" s="57" t="s">
        <v>649</v>
      </c>
      <c r="L1390" s="57" t="s">
        <v>244</v>
      </c>
      <c r="S1390" s="57">
        <v>0</v>
      </c>
    </row>
    <row r="1391" spans="1:19" ht="11.85" customHeight="1" x14ac:dyDescent="0.2">
      <c r="A1391" s="57" t="s">
        <v>650</v>
      </c>
      <c r="B1391" s="413" t="s">
        <v>412</v>
      </c>
      <c r="C1391" s="414"/>
      <c r="D1391" s="415"/>
      <c r="E1391" s="419" t="s">
        <v>400</v>
      </c>
      <c r="F1391" s="420"/>
      <c r="G1391" s="64" t="s">
        <v>413</v>
      </c>
      <c r="H1391" s="419" t="s">
        <v>414</v>
      </c>
      <c r="I1391" s="420"/>
      <c r="K1391" s="57" t="s">
        <v>650</v>
      </c>
      <c r="L1391" s="57" t="s">
        <v>245</v>
      </c>
      <c r="S1391" s="57">
        <v>0</v>
      </c>
    </row>
    <row r="1392" spans="1:19" ht="11.85" customHeight="1" x14ac:dyDescent="0.2">
      <c r="A1392" s="57" t="s">
        <v>650</v>
      </c>
      <c r="B1392" s="416"/>
      <c r="C1392" s="417"/>
      <c r="D1392" s="418"/>
      <c r="E1392" s="419" t="s">
        <v>401</v>
      </c>
      <c r="F1392" s="420"/>
      <c r="G1392" s="64" t="s">
        <v>413</v>
      </c>
      <c r="H1392" s="419" t="s">
        <v>415</v>
      </c>
      <c r="I1392" s="420"/>
      <c r="K1392" s="57" t="s">
        <v>650</v>
      </c>
      <c r="L1392" s="57" t="s">
        <v>245</v>
      </c>
      <c r="S1392" s="57">
        <v>0</v>
      </c>
    </row>
    <row r="1393" spans="1:19" ht="11.1" customHeight="1" x14ac:dyDescent="0.2">
      <c r="A1393" s="57" t="s">
        <v>650</v>
      </c>
      <c r="B1393" s="413" t="s">
        <v>416</v>
      </c>
      <c r="C1393" s="414"/>
      <c r="D1393" s="415"/>
      <c r="E1393" s="419" t="s">
        <v>402</v>
      </c>
      <c r="F1393" s="420"/>
      <c r="G1393" s="64" t="s">
        <v>417</v>
      </c>
      <c r="H1393" s="419" t="s">
        <v>437</v>
      </c>
      <c r="I1393" s="420"/>
      <c r="K1393" s="57" t="s">
        <v>650</v>
      </c>
      <c r="L1393" s="57" t="s">
        <v>245</v>
      </c>
      <c r="S1393" s="57">
        <v>0</v>
      </c>
    </row>
    <row r="1394" spans="1:19" ht="11.85" customHeight="1" x14ac:dyDescent="0.2">
      <c r="A1394" s="57" t="s">
        <v>650</v>
      </c>
      <c r="B1394" s="424"/>
      <c r="C1394" s="425"/>
      <c r="D1394" s="426"/>
      <c r="E1394" s="419" t="s">
        <v>403</v>
      </c>
      <c r="F1394" s="420"/>
      <c r="G1394" s="64" t="s">
        <v>417</v>
      </c>
      <c r="H1394" s="419" t="s">
        <v>437</v>
      </c>
      <c r="I1394" s="420"/>
      <c r="K1394" s="57" t="s">
        <v>650</v>
      </c>
      <c r="L1394" s="57" t="s">
        <v>245</v>
      </c>
      <c r="S1394" s="57">
        <v>0</v>
      </c>
    </row>
    <row r="1395" spans="1:19" ht="11.85" customHeight="1" x14ac:dyDescent="0.2">
      <c r="A1395" s="57" t="s">
        <v>650</v>
      </c>
      <c r="B1395" s="424"/>
      <c r="C1395" s="425"/>
      <c r="D1395" s="426"/>
      <c r="E1395" s="419" t="s">
        <v>404</v>
      </c>
      <c r="F1395" s="420"/>
      <c r="G1395" s="64" t="s">
        <v>413</v>
      </c>
      <c r="H1395" s="419" t="s">
        <v>478</v>
      </c>
      <c r="I1395" s="420"/>
      <c r="K1395" s="57" t="s">
        <v>650</v>
      </c>
      <c r="L1395" s="57" t="s">
        <v>245</v>
      </c>
      <c r="S1395" s="57">
        <v>0</v>
      </c>
    </row>
    <row r="1396" spans="1:19" ht="11.85" customHeight="1" x14ac:dyDescent="0.2">
      <c r="A1396" s="57" t="s">
        <v>650</v>
      </c>
      <c r="B1396" s="424"/>
      <c r="C1396" s="425"/>
      <c r="D1396" s="426"/>
      <c r="E1396" s="419" t="s">
        <v>405</v>
      </c>
      <c r="F1396" s="420"/>
      <c r="G1396" s="64" t="s">
        <v>420</v>
      </c>
      <c r="H1396" s="419" t="s">
        <v>439</v>
      </c>
      <c r="I1396" s="420"/>
      <c r="K1396" s="57" t="s">
        <v>650</v>
      </c>
      <c r="L1396" s="57" t="s">
        <v>245</v>
      </c>
      <c r="S1396" s="57">
        <v>0</v>
      </c>
    </row>
    <row r="1397" spans="1:19" ht="11.1" customHeight="1" x14ac:dyDescent="0.2">
      <c r="A1397" s="57" t="s">
        <v>650</v>
      </c>
      <c r="B1397" s="424"/>
      <c r="C1397" s="425"/>
      <c r="D1397" s="426"/>
      <c r="E1397" s="419" t="s">
        <v>406</v>
      </c>
      <c r="F1397" s="420"/>
      <c r="G1397" s="64" t="s">
        <v>422</v>
      </c>
      <c r="H1397" s="419" t="s">
        <v>423</v>
      </c>
      <c r="I1397" s="420"/>
      <c r="K1397" s="57" t="s">
        <v>650</v>
      </c>
      <c r="L1397" s="57" t="s">
        <v>245</v>
      </c>
      <c r="S1397" s="65">
        <v>48.44</v>
      </c>
    </row>
    <row r="1398" spans="1:19" ht="11.85" customHeight="1" x14ac:dyDescent="0.2">
      <c r="A1398" s="57" t="s">
        <v>650</v>
      </c>
      <c r="B1398" s="416"/>
      <c r="C1398" s="417"/>
      <c r="D1398" s="418"/>
      <c r="E1398" s="419" t="s">
        <v>407</v>
      </c>
      <c r="F1398" s="420"/>
      <c r="G1398" s="64" t="s">
        <v>424</v>
      </c>
      <c r="H1398" s="419" t="s">
        <v>425</v>
      </c>
      <c r="I1398" s="420"/>
      <c r="K1398" s="57" t="s">
        <v>650</v>
      </c>
      <c r="L1398" s="57" t="s">
        <v>245</v>
      </c>
      <c r="S1398" s="57">
        <v>0</v>
      </c>
    </row>
    <row r="1399" spans="1:19" ht="11.85" customHeight="1" x14ac:dyDescent="0.2">
      <c r="A1399" s="57" t="s">
        <v>650</v>
      </c>
      <c r="B1399" s="413" t="s">
        <v>426</v>
      </c>
      <c r="C1399" s="414"/>
      <c r="D1399" s="415"/>
      <c r="E1399" s="419" t="s">
        <v>408</v>
      </c>
      <c r="F1399" s="420"/>
      <c r="G1399" s="64" t="s">
        <v>420</v>
      </c>
      <c r="H1399" s="419" t="s">
        <v>427</v>
      </c>
      <c r="I1399" s="420"/>
      <c r="K1399" s="57" t="s">
        <v>650</v>
      </c>
      <c r="L1399" s="57" t="s">
        <v>245</v>
      </c>
      <c r="S1399" s="57">
        <v>0</v>
      </c>
    </row>
    <row r="1400" spans="1:19" ht="11.85" customHeight="1" x14ac:dyDescent="0.2">
      <c r="A1400" s="57" t="s">
        <v>650</v>
      </c>
      <c r="B1400" s="424"/>
      <c r="C1400" s="425"/>
      <c r="D1400" s="426"/>
      <c r="E1400" s="419" t="s">
        <v>409</v>
      </c>
      <c r="F1400" s="420"/>
      <c r="G1400" s="64" t="s">
        <v>417</v>
      </c>
      <c r="H1400" s="419" t="s">
        <v>428</v>
      </c>
      <c r="I1400" s="420"/>
      <c r="K1400" s="57" t="s">
        <v>650</v>
      </c>
      <c r="L1400" s="57" t="s">
        <v>245</v>
      </c>
      <c r="S1400" s="57">
        <v>0</v>
      </c>
    </row>
    <row r="1401" spans="1:19" ht="11.1" customHeight="1" x14ac:dyDescent="0.2">
      <c r="A1401" s="57" t="s">
        <v>650</v>
      </c>
      <c r="B1401" s="416"/>
      <c r="C1401" s="417"/>
      <c r="D1401" s="418"/>
      <c r="E1401" s="419" t="s">
        <v>410</v>
      </c>
      <c r="F1401" s="420"/>
      <c r="G1401" s="64" t="s">
        <v>417</v>
      </c>
      <c r="H1401" s="419" t="s">
        <v>415</v>
      </c>
      <c r="I1401" s="420"/>
      <c r="K1401" s="57" t="s">
        <v>650</v>
      </c>
      <c r="L1401" s="57" t="s">
        <v>245</v>
      </c>
      <c r="S1401" s="57">
        <v>0</v>
      </c>
    </row>
    <row r="1402" spans="1:19" ht="11.85" customHeight="1" x14ac:dyDescent="0.2">
      <c r="A1402" s="57" t="s">
        <v>650</v>
      </c>
      <c r="B1402" s="62"/>
      <c r="C1402" s="411" t="s">
        <v>651</v>
      </c>
      <c r="D1402" s="412"/>
      <c r="E1402" s="412"/>
      <c r="F1402" s="412"/>
      <c r="G1402" s="412"/>
      <c r="H1402" s="412"/>
      <c r="I1402" s="411"/>
      <c r="K1402" s="57" t="s">
        <v>650</v>
      </c>
      <c r="L1402" s="57" t="s">
        <v>245</v>
      </c>
      <c r="S1402" s="57">
        <v>0</v>
      </c>
    </row>
    <row r="1403" spans="1:19" ht="11.85" customHeight="1" x14ac:dyDescent="0.2">
      <c r="A1403" s="57" t="s">
        <v>651</v>
      </c>
      <c r="B1403" s="413" t="s">
        <v>416</v>
      </c>
      <c r="C1403" s="414"/>
      <c r="D1403" s="415"/>
      <c r="E1403" s="419" t="s">
        <v>402</v>
      </c>
      <c r="F1403" s="420"/>
      <c r="G1403" s="64" t="s">
        <v>417</v>
      </c>
      <c r="H1403" s="419" t="s">
        <v>437</v>
      </c>
      <c r="I1403" s="420"/>
      <c r="K1403" s="57" t="s">
        <v>651</v>
      </c>
      <c r="L1403" s="57" t="s">
        <v>246</v>
      </c>
      <c r="S1403" s="57">
        <v>0</v>
      </c>
    </row>
    <row r="1404" spans="1:19" ht="11.85" customHeight="1" x14ac:dyDescent="0.2">
      <c r="A1404" s="57" t="s">
        <v>651</v>
      </c>
      <c r="B1404" s="424"/>
      <c r="C1404" s="425"/>
      <c r="D1404" s="426"/>
      <c r="E1404" s="419" t="s">
        <v>403</v>
      </c>
      <c r="F1404" s="420"/>
      <c r="G1404" s="64" t="s">
        <v>417</v>
      </c>
      <c r="H1404" s="419" t="s">
        <v>437</v>
      </c>
      <c r="I1404" s="420"/>
      <c r="K1404" s="57" t="s">
        <v>651</v>
      </c>
      <c r="L1404" s="57" t="s">
        <v>246</v>
      </c>
      <c r="S1404" s="57">
        <v>0</v>
      </c>
    </row>
    <row r="1405" spans="1:19" ht="11.1" customHeight="1" x14ac:dyDescent="0.2">
      <c r="A1405" s="57" t="s">
        <v>651</v>
      </c>
      <c r="B1405" s="424"/>
      <c r="C1405" s="425"/>
      <c r="D1405" s="426"/>
      <c r="E1405" s="419" t="s">
        <v>404</v>
      </c>
      <c r="F1405" s="420"/>
      <c r="G1405" s="64" t="s">
        <v>413</v>
      </c>
      <c r="H1405" s="419" t="s">
        <v>478</v>
      </c>
      <c r="I1405" s="420"/>
      <c r="K1405" s="57" t="s">
        <v>651</v>
      </c>
      <c r="L1405" s="57" t="s">
        <v>246</v>
      </c>
      <c r="S1405" s="57">
        <v>0</v>
      </c>
    </row>
    <row r="1406" spans="1:19" ht="11.85" customHeight="1" x14ac:dyDescent="0.2">
      <c r="A1406" s="57" t="s">
        <v>651</v>
      </c>
      <c r="B1406" s="424"/>
      <c r="C1406" s="425"/>
      <c r="D1406" s="426"/>
      <c r="E1406" s="419" t="s">
        <v>405</v>
      </c>
      <c r="F1406" s="420"/>
      <c r="G1406" s="64" t="s">
        <v>420</v>
      </c>
      <c r="H1406" s="419" t="s">
        <v>439</v>
      </c>
      <c r="I1406" s="420"/>
      <c r="K1406" s="57" t="s">
        <v>651</v>
      </c>
      <c r="L1406" s="57" t="s">
        <v>246</v>
      </c>
      <c r="S1406" s="57">
        <v>0</v>
      </c>
    </row>
    <row r="1407" spans="1:19" ht="11.85" customHeight="1" x14ac:dyDescent="0.2">
      <c r="A1407" s="57" t="s">
        <v>651</v>
      </c>
      <c r="B1407" s="424"/>
      <c r="C1407" s="425"/>
      <c r="D1407" s="426"/>
      <c r="E1407" s="419" t="s">
        <v>406</v>
      </c>
      <c r="F1407" s="420"/>
      <c r="G1407" s="64" t="s">
        <v>422</v>
      </c>
      <c r="H1407" s="419" t="s">
        <v>423</v>
      </c>
      <c r="I1407" s="420"/>
      <c r="K1407" s="57" t="s">
        <v>651</v>
      </c>
      <c r="L1407" s="57" t="s">
        <v>246</v>
      </c>
      <c r="S1407" s="65">
        <v>48.44</v>
      </c>
    </row>
    <row r="1408" spans="1:19" ht="11.85" customHeight="1" x14ac:dyDescent="0.2">
      <c r="A1408" s="57" t="s">
        <v>651</v>
      </c>
      <c r="B1408" s="416"/>
      <c r="C1408" s="417"/>
      <c r="D1408" s="418"/>
      <c r="E1408" s="419" t="s">
        <v>407</v>
      </c>
      <c r="F1408" s="420"/>
      <c r="G1408" s="64" t="s">
        <v>424</v>
      </c>
      <c r="H1408" s="419" t="s">
        <v>425</v>
      </c>
      <c r="I1408" s="420"/>
      <c r="K1408" s="57" t="s">
        <v>651</v>
      </c>
      <c r="L1408" s="57" t="s">
        <v>246</v>
      </c>
      <c r="S1408" s="57">
        <v>0</v>
      </c>
    </row>
    <row r="1409" spans="1:19" ht="11.85" customHeight="1" x14ac:dyDescent="0.2">
      <c r="A1409" s="57" t="s">
        <v>651</v>
      </c>
      <c r="B1409" s="62"/>
      <c r="C1409" s="411" t="s">
        <v>652</v>
      </c>
      <c r="D1409" s="412"/>
      <c r="E1409" s="412"/>
      <c r="F1409" s="412"/>
      <c r="G1409" s="412"/>
      <c r="H1409" s="412"/>
      <c r="I1409" s="411"/>
      <c r="K1409" s="57" t="s">
        <v>651</v>
      </c>
      <c r="L1409" s="57" t="s">
        <v>246</v>
      </c>
      <c r="S1409" s="57">
        <v>0</v>
      </c>
    </row>
    <row r="1410" spans="1:19" ht="11.85" customHeight="1" x14ac:dyDescent="0.2">
      <c r="A1410" s="57" t="s">
        <v>652</v>
      </c>
      <c r="B1410" s="413" t="s">
        <v>412</v>
      </c>
      <c r="C1410" s="414"/>
      <c r="D1410" s="415"/>
      <c r="E1410" s="419" t="s">
        <v>400</v>
      </c>
      <c r="F1410" s="420"/>
      <c r="G1410" s="64" t="s">
        <v>413</v>
      </c>
      <c r="H1410" s="419" t="s">
        <v>414</v>
      </c>
      <c r="I1410" s="420"/>
      <c r="K1410" s="57" t="s">
        <v>652</v>
      </c>
      <c r="L1410" s="57" t="s">
        <v>247</v>
      </c>
      <c r="S1410" s="57">
        <v>0</v>
      </c>
    </row>
    <row r="1411" spans="1:19" ht="11.85" customHeight="1" x14ac:dyDescent="0.2">
      <c r="A1411" s="57" t="s">
        <v>652</v>
      </c>
      <c r="B1411" s="416"/>
      <c r="C1411" s="417"/>
      <c r="D1411" s="418"/>
      <c r="E1411" s="419" t="s">
        <v>401</v>
      </c>
      <c r="F1411" s="420"/>
      <c r="G1411" s="64" t="s">
        <v>413</v>
      </c>
      <c r="H1411" s="419" t="s">
        <v>415</v>
      </c>
      <c r="I1411" s="420"/>
      <c r="K1411" s="57" t="s">
        <v>652</v>
      </c>
      <c r="L1411" s="57" t="s">
        <v>247</v>
      </c>
      <c r="S1411" s="57">
        <v>0</v>
      </c>
    </row>
    <row r="1412" spans="1:19" ht="11.1" customHeight="1" x14ac:dyDescent="0.2">
      <c r="A1412" s="57" t="s">
        <v>652</v>
      </c>
      <c r="B1412" s="413" t="s">
        <v>416</v>
      </c>
      <c r="C1412" s="414"/>
      <c r="D1412" s="415"/>
      <c r="E1412" s="419" t="s">
        <v>402</v>
      </c>
      <c r="F1412" s="420"/>
      <c r="G1412" s="64" t="s">
        <v>417</v>
      </c>
      <c r="H1412" s="419" t="s">
        <v>437</v>
      </c>
      <c r="I1412" s="420"/>
      <c r="K1412" s="57" t="s">
        <v>652</v>
      </c>
      <c r="L1412" s="57" t="s">
        <v>247</v>
      </c>
      <c r="S1412" s="57">
        <v>0</v>
      </c>
    </row>
    <row r="1413" spans="1:19" ht="11.85" customHeight="1" x14ac:dyDescent="0.2">
      <c r="A1413" s="57" t="s">
        <v>652</v>
      </c>
      <c r="B1413" s="424"/>
      <c r="C1413" s="425"/>
      <c r="D1413" s="426"/>
      <c r="E1413" s="419" t="s">
        <v>403</v>
      </c>
      <c r="F1413" s="420"/>
      <c r="G1413" s="64" t="s">
        <v>417</v>
      </c>
      <c r="H1413" s="419" t="s">
        <v>437</v>
      </c>
      <c r="I1413" s="420"/>
      <c r="K1413" s="57" t="s">
        <v>652</v>
      </c>
      <c r="L1413" s="57" t="s">
        <v>247</v>
      </c>
      <c r="S1413" s="57">
        <v>0</v>
      </c>
    </row>
    <row r="1414" spans="1:19" ht="11.85" customHeight="1" x14ac:dyDescent="0.2">
      <c r="A1414" s="57" t="s">
        <v>652</v>
      </c>
      <c r="B1414" s="424"/>
      <c r="C1414" s="425"/>
      <c r="D1414" s="426"/>
      <c r="E1414" s="419" t="s">
        <v>404</v>
      </c>
      <c r="F1414" s="420"/>
      <c r="G1414" s="64" t="s">
        <v>413</v>
      </c>
      <c r="H1414" s="419" t="s">
        <v>478</v>
      </c>
      <c r="I1414" s="420"/>
      <c r="K1414" s="57" t="s">
        <v>652</v>
      </c>
      <c r="L1414" s="57" t="s">
        <v>247</v>
      </c>
      <c r="S1414" s="57">
        <v>0</v>
      </c>
    </row>
    <row r="1415" spans="1:19" ht="11.85" customHeight="1" x14ac:dyDescent="0.2">
      <c r="A1415" s="57" t="s">
        <v>652</v>
      </c>
      <c r="B1415" s="424"/>
      <c r="C1415" s="425"/>
      <c r="D1415" s="426"/>
      <c r="E1415" s="419" t="s">
        <v>405</v>
      </c>
      <c r="F1415" s="420"/>
      <c r="G1415" s="64" t="s">
        <v>420</v>
      </c>
      <c r="H1415" s="419" t="s">
        <v>439</v>
      </c>
      <c r="I1415" s="420"/>
      <c r="K1415" s="57" t="s">
        <v>652</v>
      </c>
      <c r="L1415" s="57" t="s">
        <v>247</v>
      </c>
      <c r="S1415" s="57">
        <v>0</v>
      </c>
    </row>
    <row r="1416" spans="1:19" ht="11.1" customHeight="1" x14ac:dyDescent="0.2">
      <c r="A1416" s="57" t="s">
        <v>652</v>
      </c>
      <c r="B1416" s="424"/>
      <c r="C1416" s="425"/>
      <c r="D1416" s="426"/>
      <c r="E1416" s="419" t="s">
        <v>440</v>
      </c>
      <c r="F1416" s="420"/>
      <c r="G1416" s="64" t="s">
        <v>441</v>
      </c>
      <c r="H1416" s="419" t="s">
        <v>423</v>
      </c>
      <c r="I1416" s="420"/>
      <c r="K1416" s="57" t="s">
        <v>652</v>
      </c>
      <c r="L1416" s="57" t="s">
        <v>247</v>
      </c>
      <c r="S1416" s="65">
        <v>48.16</v>
      </c>
    </row>
    <row r="1417" spans="1:19" ht="11.85" customHeight="1" x14ac:dyDescent="0.2">
      <c r="A1417" s="57" t="s">
        <v>652</v>
      </c>
      <c r="B1417" s="416"/>
      <c r="C1417" s="417"/>
      <c r="D1417" s="418"/>
      <c r="E1417" s="419" t="s">
        <v>442</v>
      </c>
      <c r="F1417" s="420"/>
      <c r="G1417" s="64" t="s">
        <v>443</v>
      </c>
      <c r="H1417" s="419" t="s">
        <v>425</v>
      </c>
      <c r="I1417" s="420"/>
      <c r="K1417" s="57" t="s">
        <v>652</v>
      </c>
      <c r="L1417" s="57" t="s">
        <v>247</v>
      </c>
      <c r="S1417" s="57">
        <v>0</v>
      </c>
    </row>
    <row r="1418" spans="1:19" ht="11.85" customHeight="1" x14ac:dyDescent="0.2">
      <c r="A1418" s="57" t="s">
        <v>652</v>
      </c>
      <c r="B1418" s="413" t="s">
        <v>426</v>
      </c>
      <c r="C1418" s="414"/>
      <c r="D1418" s="415"/>
      <c r="E1418" s="419" t="s">
        <v>408</v>
      </c>
      <c r="F1418" s="420"/>
      <c r="G1418" s="64" t="s">
        <v>420</v>
      </c>
      <c r="H1418" s="419" t="s">
        <v>427</v>
      </c>
      <c r="I1418" s="420"/>
      <c r="K1418" s="57" t="s">
        <v>652</v>
      </c>
      <c r="L1418" s="57" t="s">
        <v>247</v>
      </c>
      <c r="S1418" s="57">
        <v>0</v>
      </c>
    </row>
    <row r="1419" spans="1:19" ht="11.85" customHeight="1" x14ac:dyDescent="0.2">
      <c r="A1419" s="57" t="s">
        <v>652</v>
      </c>
      <c r="B1419" s="424"/>
      <c r="C1419" s="425"/>
      <c r="D1419" s="426"/>
      <c r="E1419" s="419" t="s">
        <v>409</v>
      </c>
      <c r="F1419" s="420"/>
      <c r="G1419" s="64" t="s">
        <v>417</v>
      </c>
      <c r="H1419" s="419" t="s">
        <v>428</v>
      </c>
      <c r="I1419" s="420"/>
      <c r="K1419" s="57" t="s">
        <v>652</v>
      </c>
      <c r="L1419" s="57" t="s">
        <v>247</v>
      </c>
      <c r="S1419" s="57">
        <v>0</v>
      </c>
    </row>
    <row r="1420" spans="1:19" ht="11.1" customHeight="1" x14ac:dyDescent="0.2">
      <c r="A1420" s="57" t="s">
        <v>652</v>
      </c>
      <c r="B1420" s="416"/>
      <c r="C1420" s="417"/>
      <c r="D1420" s="418"/>
      <c r="E1420" s="419" t="s">
        <v>410</v>
      </c>
      <c r="F1420" s="420"/>
      <c r="G1420" s="64" t="s">
        <v>417</v>
      </c>
      <c r="H1420" s="419" t="s">
        <v>415</v>
      </c>
      <c r="I1420" s="420"/>
      <c r="K1420" s="57" t="s">
        <v>652</v>
      </c>
      <c r="L1420" s="57" t="s">
        <v>247</v>
      </c>
      <c r="S1420" s="57">
        <v>0</v>
      </c>
    </row>
    <row r="1421" spans="1:19" ht="11.85" customHeight="1" x14ac:dyDescent="0.2">
      <c r="A1421" s="57" t="s">
        <v>652</v>
      </c>
      <c r="B1421" s="62"/>
      <c r="C1421" s="411" t="s">
        <v>653</v>
      </c>
      <c r="D1421" s="412"/>
      <c r="E1421" s="412"/>
      <c r="F1421" s="412"/>
      <c r="G1421" s="412"/>
      <c r="H1421" s="412"/>
      <c r="I1421" s="411"/>
      <c r="K1421" s="57" t="s">
        <v>652</v>
      </c>
      <c r="L1421" s="57" t="s">
        <v>247</v>
      </c>
      <c r="S1421" s="57">
        <v>0</v>
      </c>
    </row>
    <row r="1422" spans="1:19" ht="11.85" customHeight="1" x14ac:dyDescent="0.2">
      <c r="A1422" s="57" t="s">
        <v>653</v>
      </c>
      <c r="B1422" s="413" t="s">
        <v>412</v>
      </c>
      <c r="C1422" s="427"/>
      <c r="D1422" s="428"/>
      <c r="E1422" s="419" t="s">
        <v>465</v>
      </c>
      <c r="F1422" s="420"/>
      <c r="G1422" s="64" t="s">
        <v>413</v>
      </c>
      <c r="H1422" s="419" t="s">
        <v>415</v>
      </c>
      <c r="I1422" s="420"/>
      <c r="K1422" s="57" t="s">
        <v>653</v>
      </c>
      <c r="L1422" s="57" t="s">
        <v>248</v>
      </c>
      <c r="S1422" s="57">
        <v>0</v>
      </c>
    </row>
    <row r="1423" spans="1:19" ht="11.85" customHeight="1" x14ac:dyDescent="0.2">
      <c r="A1423" s="57" t="s">
        <v>653</v>
      </c>
      <c r="B1423" s="413" t="s">
        <v>416</v>
      </c>
      <c r="C1423" s="414"/>
      <c r="D1423" s="415"/>
      <c r="E1423" s="419" t="s">
        <v>402</v>
      </c>
      <c r="F1423" s="420"/>
      <c r="G1423" s="64" t="s">
        <v>417</v>
      </c>
      <c r="H1423" s="419" t="s">
        <v>572</v>
      </c>
      <c r="I1423" s="420"/>
      <c r="K1423" s="57" t="s">
        <v>653</v>
      </c>
      <c r="L1423" s="57" t="s">
        <v>248</v>
      </c>
      <c r="S1423" s="57">
        <v>0</v>
      </c>
    </row>
    <row r="1424" spans="1:19" ht="11.1" customHeight="1" x14ac:dyDescent="0.2">
      <c r="A1424" s="57" t="s">
        <v>653</v>
      </c>
      <c r="B1424" s="424"/>
      <c r="C1424" s="425"/>
      <c r="D1424" s="426"/>
      <c r="E1424" s="419" t="s">
        <v>403</v>
      </c>
      <c r="F1424" s="420"/>
      <c r="G1424" s="64" t="s">
        <v>417</v>
      </c>
      <c r="H1424" s="419" t="s">
        <v>572</v>
      </c>
      <c r="I1424" s="420"/>
      <c r="K1424" s="57" t="s">
        <v>653</v>
      </c>
      <c r="L1424" s="57" t="s">
        <v>248</v>
      </c>
      <c r="S1424" s="57">
        <v>0</v>
      </c>
    </row>
    <row r="1425" spans="1:19" ht="11.85" customHeight="1" x14ac:dyDescent="0.2">
      <c r="A1425" s="57" t="s">
        <v>653</v>
      </c>
      <c r="B1425" s="424"/>
      <c r="C1425" s="425"/>
      <c r="D1425" s="426"/>
      <c r="E1425" s="419" t="s">
        <v>404</v>
      </c>
      <c r="F1425" s="420"/>
      <c r="G1425" s="64" t="s">
        <v>413</v>
      </c>
      <c r="H1425" s="419" t="s">
        <v>573</v>
      </c>
      <c r="I1425" s="420"/>
      <c r="K1425" s="57" t="s">
        <v>653</v>
      </c>
      <c r="L1425" s="57" t="s">
        <v>248</v>
      </c>
      <c r="S1425" s="57">
        <v>0</v>
      </c>
    </row>
    <row r="1426" spans="1:19" ht="11.85" customHeight="1" x14ac:dyDescent="0.2">
      <c r="A1426" s="57" t="s">
        <v>653</v>
      </c>
      <c r="B1426" s="424"/>
      <c r="C1426" s="425"/>
      <c r="D1426" s="426"/>
      <c r="E1426" s="419" t="s">
        <v>405</v>
      </c>
      <c r="F1426" s="420"/>
      <c r="G1426" s="64" t="s">
        <v>420</v>
      </c>
      <c r="H1426" s="419" t="s">
        <v>516</v>
      </c>
      <c r="I1426" s="420"/>
      <c r="K1426" s="57" t="s">
        <v>653</v>
      </c>
      <c r="L1426" s="57" t="s">
        <v>248</v>
      </c>
      <c r="S1426" s="57">
        <v>0</v>
      </c>
    </row>
    <row r="1427" spans="1:19" ht="11.85" customHeight="1" x14ac:dyDescent="0.2">
      <c r="A1427" s="57" t="s">
        <v>653</v>
      </c>
      <c r="B1427" s="424"/>
      <c r="C1427" s="425"/>
      <c r="D1427" s="426"/>
      <c r="E1427" s="419" t="s">
        <v>468</v>
      </c>
      <c r="F1427" s="420"/>
      <c r="G1427" s="64" t="s">
        <v>441</v>
      </c>
      <c r="H1427" s="419" t="s">
        <v>423</v>
      </c>
      <c r="I1427" s="420"/>
      <c r="K1427" s="57" t="s">
        <v>653</v>
      </c>
      <c r="L1427" s="57" t="s">
        <v>248</v>
      </c>
      <c r="S1427" s="65">
        <v>48.16</v>
      </c>
    </row>
    <row r="1428" spans="1:19" ht="11.1" customHeight="1" x14ac:dyDescent="0.2">
      <c r="A1428" s="57" t="s">
        <v>653</v>
      </c>
      <c r="B1428" s="416"/>
      <c r="C1428" s="417"/>
      <c r="D1428" s="418"/>
      <c r="E1428" s="419" t="s">
        <v>442</v>
      </c>
      <c r="F1428" s="420"/>
      <c r="G1428" s="64" t="s">
        <v>443</v>
      </c>
      <c r="H1428" s="419" t="s">
        <v>425</v>
      </c>
      <c r="I1428" s="420"/>
      <c r="K1428" s="57" t="s">
        <v>653</v>
      </c>
      <c r="L1428" s="57" t="s">
        <v>248</v>
      </c>
      <c r="S1428" s="57">
        <v>0</v>
      </c>
    </row>
    <row r="1429" spans="1:19" ht="11.85" customHeight="1" x14ac:dyDescent="0.2">
      <c r="A1429" s="57" t="s">
        <v>653</v>
      </c>
      <c r="B1429" s="413" t="s">
        <v>426</v>
      </c>
      <c r="C1429" s="427"/>
      <c r="D1429" s="428"/>
      <c r="E1429" s="419" t="s">
        <v>469</v>
      </c>
      <c r="F1429" s="420"/>
      <c r="G1429" s="64" t="s">
        <v>417</v>
      </c>
      <c r="H1429" s="419" t="s">
        <v>415</v>
      </c>
      <c r="I1429" s="420"/>
      <c r="K1429" s="57" t="s">
        <v>653</v>
      </c>
      <c r="L1429" s="57" t="s">
        <v>248</v>
      </c>
      <c r="S1429" s="57">
        <v>0</v>
      </c>
    </row>
    <row r="1430" spans="1:19" ht="11.85" customHeight="1" x14ac:dyDescent="0.2">
      <c r="A1430" s="57" t="s">
        <v>653</v>
      </c>
      <c r="B1430" s="62"/>
      <c r="C1430" s="411" t="s">
        <v>654</v>
      </c>
      <c r="D1430" s="412"/>
      <c r="E1430" s="412"/>
      <c r="F1430" s="412"/>
      <c r="G1430" s="412"/>
      <c r="H1430" s="412"/>
      <c r="I1430" s="411"/>
      <c r="K1430" s="57" t="s">
        <v>653</v>
      </c>
      <c r="L1430" s="57" t="s">
        <v>248</v>
      </c>
      <c r="S1430" s="57">
        <v>0</v>
      </c>
    </row>
    <row r="1431" spans="1:19" ht="11.85" customHeight="1" x14ac:dyDescent="0.2">
      <c r="A1431" s="57" t="s">
        <v>654</v>
      </c>
      <c r="B1431" s="413" t="s">
        <v>412</v>
      </c>
      <c r="C1431" s="414"/>
      <c r="D1431" s="415"/>
      <c r="E1431" s="419" t="s">
        <v>400</v>
      </c>
      <c r="F1431" s="420"/>
      <c r="G1431" s="64" t="s">
        <v>413</v>
      </c>
      <c r="H1431" s="419" t="s">
        <v>414</v>
      </c>
      <c r="I1431" s="420"/>
      <c r="K1431" s="57" t="s">
        <v>654</v>
      </c>
      <c r="L1431" s="57" t="s">
        <v>249</v>
      </c>
      <c r="S1431" s="57">
        <v>0</v>
      </c>
    </row>
    <row r="1432" spans="1:19" ht="11.1" customHeight="1" x14ac:dyDescent="0.2">
      <c r="A1432" s="57" t="s">
        <v>654</v>
      </c>
      <c r="B1432" s="416"/>
      <c r="C1432" s="417"/>
      <c r="D1432" s="418"/>
      <c r="E1432" s="419" t="s">
        <v>401</v>
      </c>
      <c r="F1432" s="420"/>
      <c r="G1432" s="64" t="s">
        <v>413</v>
      </c>
      <c r="H1432" s="419" t="s">
        <v>415</v>
      </c>
      <c r="I1432" s="420"/>
      <c r="K1432" s="57" t="s">
        <v>654</v>
      </c>
      <c r="L1432" s="57" t="s">
        <v>249</v>
      </c>
      <c r="S1432" s="57">
        <v>0</v>
      </c>
    </row>
    <row r="1433" spans="1:19" ht="11.85" customHeight="1" x14ac:dyDescent="0.2">
      <c r="A1433" s="57" t="s">
        <v>654</v>
      </c>
      <c r="B1433" s="413" t="s">
        <v>416</v>
      </c>
      <c r="C1433" s="414"/>
      <c r="D1433" s="415"/>
      <c r="E1433" s="419" t="s">
        <v>402</v>
      </c>
      <c r="F1433" s="420"/>
      <c r="G1433" s="64" t="s">
        <v>417</v>
      </c>
      <c r="H1433" s="419" t="s">
        <v>457</v>
      </c>
      <c r="I1433" s="420"/>
      <c r="K1433" s="57" t="s">
        <v>654</v>
      </c>
      <c r="L1433" s="57" t="s">
        <v>249</v>
      </c>
      <c r="S1433" s="57">
        <v>0</v>
      </c>
    </row>
    <row r="1434" spans="1:19" ht="11.85" customHeight="1" x14ac:dyDescent="0.2">
      <c r="A1434" s="57" t="s">
        <v>654</v>
      </c>
      <c r="B1434" s="424"/>
      <c r="C1434" s="425"/>
      <c r="D1434" s="426"/>
      <c r="E1434" s="419" t="s">
        <v>403</v>
      </c>
      <c r="F1434" s="420"/>
      <c r="G1434" s="64" t="s">
        <v>417</v>
      </c>
      <c r="H1434" s="419" t="s">
        <v>457</v>
      </c>
      <c r="I1434" s="420"/>
      <c r="K1434" s="57" t="s">
        <v>654</v>
      </c>
      <c r="L1434" s="57" t="s">
        <v>249</v>
      </c>
      <c r="S1434" s="57">
        <v>0</v>
      </c>
    </row>
    <row r="1435" spans="1:19" ht="11.85" customHeight="1" x14ac:dyDescent="0.2">
      <c r="A1435" s="57" t="s">
        <v>654</v>
      </c>
      <c r="B1435" s="424"/>
      <c r="C1435" s="425"/>
      <c r="D1435" s="426"/>
      <c r="E1435" s="419" t="s">
        <v>404</v>
      </c>
      <c r="F1435" s="420"/>
      <c r="G1435" s="64" t="s">
        <v>413</v>
      </c>
      <c r="H1435" s="419" t="s">
        <v>458</v>
      </c>
      <c r="I1435" s="420"/>
      <c r="K1435" s="57" t="s">
        <v>654</v>
      </c>
      <c r="L1435" s="57" t="s">
        <v>249</v>
      </c>
      <c r="S1435" s="57">
        <v>0</v>
      </c>
    </row>
    <row r="1436" spans="1:19" ht="11.1" customHeight="1" x14ac:dyDescent="0.2">
      <c r="A1436" s="57" t="s">
        <v>654</v>
      </c>
      <c r="B1436" s="424"/>
      <c r="C1436" s="425"/>
      <c r="D1436" s="426"/>
      <c r="E1436" s="419" t="s">
        <v>405</v>
      </c>
      <c r="F1436" s="420"/>
      <c r="G1436" s="64" t="s">
        <v>420</v>
      </c>
      <c r="H1436" s="419" t="s">
        <v>459</v>
      </c>
      <c r="I1436" s="420"/>
      <c r="K1436" s="57" t="s">
        <v>654</v>
      </c>
      <c r="L1436" s="57" t="s">
        <v>249</v>
      </c>
      <c r="S1436" s="57">
        <v>0</v>
      </c>
    </row>
    <row r="1437" spans="1:19" ht="11.85" customHeight="1" x14ac:dyDescent="0.2">
      <c r="A1437" s="57" t="s">
        <v>654</v>
      </c>
      <c r="B1437" s="424"/>
      <c r="C1437" s="425"/>
      <c r="D1437" s="426"/>
      <c r="E1437" s="419" t="s">
        <v>460</v>
      </c>
      <c r="F1437" s="420"/>
      <c r="G1437" s="64" t="s">
        <v>461</v>
      </c>
      <c r="H1437" s="419" t="s">
        <v>423</v>
      </c>
      <c r="I1437" s="420"/>
      <c r="K1437" s="57" t="s">
        <v>654</v>
      </c>
      <c r="L1437" s="57" t="s">
        <v>249</v>
      </c>
      <c r="S1437" s="65">
        <v>33.17</v>
      </c>
    </row>
    <row r="1438" spans="1:19" ht="11.85" customHeight="1" x14ac:dyDescent="0.2">
      <c r="A1438" s="57" t="s">
        <v>654</v>
      </c>
      <c r="B1438" s="416"/>
      <c r="C1438" s="417"/>
      <c r="D1438" s="418"/>
      <c r="E1438" s="419" t="s">
        <v>462</v>
      </c>
      <c r="F1438" s="420"/>
      <c r="G1438" s="64" t="s">
        <v>424</v>
      </c>
      <c r="H1438" s="419" t="s">
        <v>463</v>
      </c>
      <c r="I1438" s="420"/>
      <c r="K1438" s="57" t="s">
        <v>654</v>
      </c>
      <c r="L1438" s="57" t="s">
        <v>249</v>
      </c>
      <c r="S1438" s="57">
        <v>0</v>
      </c>
    </row>
    <row r="1439" spans="1:19" ht="11.85" customHeight="1" x14ac:dyDescent="0.2">
      <c r="A1439" s="57" t="s">
        <v>654</v>
      </c>
      <c r="B1439" s="413" t="s">
        <v>426</v>
      </c>
      <c r="C1439" s="414"/>
      <c r="D1439" s="415"/>
      <c r="E1439" s="419" t="s">
        <v>408</v>
      </c>
      <c r="F1439" s="420"/>
      <c r="G1439" s="64" t="s">
        <v>420</v>
      </c>
      <c r="H1439" s="419" t="s">
        <v>427</v>
      </c>
      <c r="I1439" s="420"/>
      <c r="K1439" s="57" t="s">
        <v>654</v>
      </c>
      <c r="L1439" s="57" t="s">
        <v>249</v>
      </c>
      <c r="S1439" s="57">
        <v>0</v>
      </c>
    </row>
    <row r="1440" spans="1:19" ht="11.1" customHeight="1" x14ac:dyDescent="0.2">
      <c r="A1440" s="57" t="s">
        <v>654</v>
      </c>
      <c r="B1440" s="424"/>
      <c r="C1440" s="425"/>
      <c r="D1440" s="426"/>
      <c r="E1440" s="419" t="s">
        <v>409</v>
      </c>
      <c r="F1440" s="420"/>
      <c r="G1440" s="64" t="s">
        <v>417</v>
      </c>
      <c r="H1440" s="419" t="s">
        <v>428</v>
      </c>
      <c r="I1440" s="420"/>
      <c r="K1440" s="57" t="s">
        <v>654</v>
      </c>
      <c r="L1440" s="57" t="s">
        <v>249</v>
      </c>
      <c r="S1440" s="57">
        <v>0</v>
      </c>
    </row>
    <row r="1441" spans="1:19" ht="11.85" customHeight="1" x14ac:dyDescent="0.2">
      <c r="A1441" s="57" t="s">
        <v>654</v>
      </c>
      <c r="B1441" s="416"/>
      <c r="C1441" s="417"/>
      <c r="D1441" s="418"/>
      <c r="E1441" s="419" t="s">
        <v>410</v>
      </c>
      <c r="F1441" s="420"/>
      <c r="G1441" s="64" t="s">
        <v>417</v>
      </c>
      <c r="H1441" s="419" t="s">
        <v>415</v>
      </c>
      <c r="I1441" s="420"/>
      <c r="K1441" s="57" t="s">
        <v>654</v>
      </c>
      <c r="L1441" s="57" t="s">
        <v>249</v>
      </c>
      <c r="S1441" s="57">
        <v>0</v>
      </c>
    </row>
    <row r="1442" spans="1:19" ht="11.85" customHeight="1" x14ac:dyDescent="0.2">
      <c r="A1442" s="57" t="s">
        <v>654</v>
      </c>
      <c r="B1442" s="62"/>
      <c r="C1442" s="411" t="s">
        <v>655</v>
      </c>
      <c r="D1442" s="412"/>
      <c r="E1442" s="412"/>
      <c r="F1442" s="412"/>
      <c r="G1442" s="412"/>
      <c r="H1442" s="412"/>
      <c r="I1442" s="411"/>
      <c r="K1442" s="57" t="s">
        <v>654</v>
      </c>
      <c r="L1442" s="57" t="s">
        <v>249</v>
      </c>
      <c r="S1442" s="57">
        <v>0</v>
      </c>
    </row>
    <row r="1443" spans="1:19" ht="11.85" customHeight="1" x14ac:dyDescent="0.2">
      <c r="A1443" s="57" t="s">
        <v>655</v>
      </c>
      <c r="B1443" s="413" t="s">
        <v>412</v>
      </c>
      <c r="C1443" s="414"/>
      <c r="D1443" s="415"/>
      <c r="E1443" s="419" t="s">
        <v>400</v>
      </c>
      <c r="F1443" s="420"/>
      <c r="G1443" s="64" t="s">
        <v>413</v>
      </c>
      <c r="H1443" s="419" t="s">
        <v>414</v>
      </c>
      <c r="I1443" s="420"/>
      <c r="K1443" s="57" t="s">
        <v>655</v>
      </c>
      <c r="L1443" s="57" t="s">
        <v>250</v>
      </c>
      <c r="S1443" s="57">
        <v>0</v>
      </c>
    </row>
    <row r="1444" spans="1:19" ht="11.1" customHeight="1" x14ac:dyDescent="0.2">
      <c r="A1444" s="57" t="s">
        <v>655</v>
      </c>
      <c r="B1444" s="416"/>
      <c r="C1444" s="417"/>
      <c r="D1444" s="418"/>
      <c r="E1444" s="419" t="s">
        <v>401</v>
      </c>
      <c r="F1444" s="420"/>
      <c r="G1444" s="64" t="s">
        <v>413</v>
      </c>
      <c r="H1444" s="419" t="s">
        <v>415</v>
      </c>
      <c r="I1444" s="420"/>
      <c r="K1444" s="57" t="s">
        <v>655</v>
      </c>
      <c r="L1444" s="57" t="s">
        <v>250</v>
      </c>
      <c r="S1444" s="57">
        <v>0</v>
      </c>
    </row>
    <row r="1445" spans="1:19" ht="11.85" customHeight="1" x14ac:dyDescent="0.2">
      <c r="A1445" s="57" t="s">
        <v>655</v>
      </c>
      <c r="B1445" s="413" t="s">
        <v>416</v>
      </c>
      <c r="C1445" s="414"/>
      <c r="D1445" s="415"/>
      <c r="E1445" s="419" t="s">
        <v>402</v>
      </c>
      <c r="F1445" s="420"/>
      <c r="G1445" s="64" t="s">
        <v>417</v>
      </c>
      <c r="H1445" s="419" t="s">
        <v>457</v>
      </c>
      <c r="I1445" s="420"/>
      <c r="K1445" s="57" t="s">
        <v>655</v>
      </c>
      <c r="L1445" s="57" t="s">
        <v>250</v>
      </c>
      <c r="S1445" s="57">
        <v>0</v>
      </c>
    </row>
    <row r="1446" spans="1:19" ht="11.85" customHeight="1" x14ac:dyDescent="0.2">
      <c r="A1446" s="57" t="s">
        <v>655</v>
      </c>
      <c r="B1446" s="424"/>
      <c r="C1446" s="425"/>
      <c r="D1446" s="426"/>
      <c r="E1446" s="419" t="s">
        <v>403</v>
      </c>
      <c r="F1446" s="420"/>
      <c r="G1446" s="64" t="s">
        <v>417</v>
      </c>
      <c r="H1446" s="419" t="s">
        <v>457</v>
      </c>
      <c r="I1446" s="420"/>
      <c r="K1446" s="57" t="s">
        <v>655</v>
      </c>
      <c r="L1446" s="57" t="s">
        <v>250</v>
      </c>
      <c r="S1446" s="57">
        <v>0</v>
      </c>
    </row>
    <row r="1447" spans="1:19" ht="11.85" customHeight="1" x14ac:dyDescent="0.2">
      <c r="A1447" s="57" t="s">
        <v>655</v>
      </c>
      <c r="B1447" s="424"/>
      <c r="C1447" s="425"/>
      <c r="D1447" s="426"/>
      <c r="E1447" s="419" t="s">
        <v>404</v>
      </c>
      <c r="F1447" s="420"/>
      <c r="G1447" s="64" t="s">
        <v>413</v>
      </c>
      <c r="H1447" s="419" t="s">
        <v>458</v>
      </c>
      <c r="I1447" s="420"/>
      <c r="K1447" s="57" t="s">
        <v>655</v>
      </c>
      <c r="L1447" s="57" t="s">
        <v>250</v>
      </c>
      <c r="S1447" s="57">
        <v>0</v>
      </c>
    </row>
    <row r="1448" spans="1:19" ht="11.1" customHeight="1" x14ac:dyDescent="0.2">
      <c r="A1448" s="57" t="s">
        <v>655</v>
      </c>
      <c r="B1448" s="424"/>
      <c r="C1448" s="425"/>
      <c r="D1448" s="426"/>
      <c r="E1448" s="419" t="s">
        <v>405</v>
      </c>
      <c r="F1448" s="420"/>
      <c r="G1448" s="64" t="s">
        <v>420</v>
      </c>
      <c r="H1448" s="419" t="s">
        <v>459</v>
      </c>
      <c r="I1448" s="420"/>
      <c r="K1448" s="57" t="s">
        <v>655</v>
      </c>
      <c r="L1448" s="57" t="s">
        <v>250</v>
      </c>
      <c r="S1448" s="57">
        <v>0</v>
      </c>
    </row>
    <row r="1449" spans="1:19" ht="11.85" customHeight="1" x14ac:dyDescent="0.2">
      <c r="A1449" s="57" t="s">
        <v>655</v>
      </c>
      <c r="B1449" s="424"/>
      <c r="C1449" s="425"/>
      <c r="D1449" s="426"/>
      <c r="E1449" s="419" t="s">
        <v>460</v>
      </c>
      <c r="F1449" s="420"/>
      <c r="G1449" s="64" t="s">
        <v>461</v>
      </c>
      <c r="H1449" s="419" t="s">
        <v>423</v>
      </c>
      <c r="I1449" s="420"/>
      <c r="K1449" s="57" t="s">
        <v>655</v>
      </c>
      <c r="L1449" s="57" t="s">
        <v>250</v>
      </c>
      <c r="S1449" s="65">
        <v>33.17</v>
      </c>
    </row>
    <row r="1450" spans="1:19" ht="11.85" customHeight="1" x14ac:dyDescent="0.2">
      <c r="A1450" s="57" t="s">
        <v>655</v>
      </c>
      <c r="B1450" s="416"/>
      <c r="C1450" s="417"/>
      <c r="D1450" s="418"/>
      <c r="E1450" s="419" t="s">
        <v>462</v>
      </c>
      <c r="F1450" s="420"/>
      <c r="G1450" s="64" t="s">
        <v>424</v>
      </c>
      <c r="H1450" s="419" t="s">
        <v>463</v>
      </c>
      <c r="I1450" s="420"/>
      <c r="K1450" s="57" t="s">
        <v>655</v>
      </c>
      <c r="L1450" s="57" t="s">
        <v>250</v>
      </c>
      <c r="S1450" s="57">
        <v>0</v>
      </c>
    </row>
    <row r="1451" spans="1:19" ht="11.85" customHeight="1" x14ac:dyDescent="0.2">
      <c r="A1451" s="57" t="s">
        <v>655</v>
      </c>
      <c r="B1451" s="413" t="s">
        <v>426</v>
      </c>
      <c r="C1451" s="414"/>
      <c r="D1451" s="415"/>
      <c r="E1451" s="419" t="s">
        <v>408</v>
      </c>
      <c r="F1451" s="420"/>
      <c r="G1451" s="64" t="s">
        <v>420</v>
      </c>
      <c r="H1451" s="419" t="s">
        <v>427</v>
      </c>
      <c r="I1451" s="420"/>
      <c r="K1451" s="57" t="s">
        <v>655</v>
      </c>
      <c r="L1451" s="57" t="s">
        <v>250</v>
      </c>
      <c r="S1451" s="57">
        <v>0</v>
      </c>
    </row>
    <row r="1452" spans="1:19" ht="11.1" customHeight="1" x14ac:dyDescent="0.2">
      <c r="A1452" s="57" t="s">
        <v>655</v>
      </c>
      <c r="B1452" s="424"/>
      <c r="C1452" s="425"/>
      <c r="D1452" s="426"/>
      <c r="E1452" s="419" t="s">
        <v>409</v>
      </c>
      <c r="F1452" s="420"/>
      <c r="G1452" s="64" t="s">
        <v>417</v>
      </c>
      <c r="H1452" s="419" t="s">
        <v>428</v>
      </c>
      <c r="I1452" s="420"/>
      <c r="K1452" s="57" t="s">
        <v>655</v>
      </c>
      <c r="L1452" s="57" t="s">
        <v>250</v>
      </c>
      <c r="S1452" s="57">
        <v>0</v>
      </c>
    </row>
    <row r="1453" spans="1:19" ht="11.85" customHeight="1" x14ac:dyDescent="0.2">
      <c r="A1453" s="57" t="s">
        <v>655</v>
      </c>
      <c r="B1453" s="416"/>
      <c r="C1453" s="417"/>
      <c r="D1453" s="418"/>
      <c r="E1453" s="419" t="s">
        <v>410</v>
      </c>
      <c r="F1453" s="420"/>
      <c r="G1453" s="64" t="s">
        <v>417</v>
      </c>
      <c r="H1453" s="419" t="s">
        <v>415</v>
      </c>
      <c r="I1453" s="420"/>
      <c r="K1453" s="57" t="s">
        <v>655</v>
      </c>
      <c r="L1453" s="57" t="s">
        <v>250</v>
      </c>
      <c r="S1453" s="57">
        <v>0</v>
      </c>
    </row>
    <row r="1454" spans="1:19" ht="11.85" customHeight="1" x14ac:dyDescent="0.2">
      <c r="A1454" s="57" t="s">
        <v>655</v>
      </c>
      <c r="B1454" s="62"/>
      <c r="C1454" s="411" t="s">
        <v>656</v>
      </c>
      <c r="D1454" s="412"/>
      <c r="E1454" s="412"/>
      <c r="F1454" s="412"/>
      <c r="G1454" s="412"/>
      <c r="H1454" s="412"/>
      <c r="I1454" s="411"/>
      <c r="K1454" s="57" t="s">
        <v>655</v>
      </c>
      <c r="L1454" s="57" t="s">
        <v>250</v>
      </c>
      <c r="S1454" s="57">
        <v>0</v>
      </c>
    </row>
    <row r="1455" spans="1:19" ht="11.85" customHeight="1" x14ac:dyDescent="0.2">
      <c r="A1455" s="57" t="s">
        <v>656</v>
      </c>
      <c r="B1455" s="413" t="s">
        <v>412</v>
      </c>
      <c r="C1455" s="414"/>
      <c r="D1455" s="415"/>
      <c r="E1455" s="419" t="s">
        <v>400</v>
      </c>
      <c r="F1455" s="420"/>
      <c r="G1455" s="64" t="s">
        <v>413</v>
      </c>
      <c r="H1455" s="419" t="s">
        <v>414</v>
      </c>
      <c r="I1455" s="420"/>
      <c r="K1455" s="57" t="s">
        <v>656</v>
      </c>
      <c r="L1455" s="57" t="s">
        <v>251</v>
      </c>
      <c r="S1455" s="57">
        <v>0</v>
      </c>
    </row>
    <row r="1456" spans="1:19" ht="11.1" customHeight="1" x14ac:dyDescent="0.2">
      <c r="A1456" s="57" t="s">
        <v>656</v>
      </c>
      <c r="B1456" s="416"/>
      <c r="C1456" s="417"/>
      <c r="D1456" s="418"/>
      <c r="E1456" s="419" t="s">
        <v>401</v>
      </c>
      <c r="F1456" s="420"/>
      <c r="G1456" s="64" t="s">
        <v>413</v>
      </c>
      <c r="H1456" s="419" t="s">
        <v>415</v>
      </c>
      <c r="I1456" s="420"/>
      <c r="K1456" s="57" t="s">
        <v>656</v>
      </c>
      <c r="L1456" s="57" t="s">
        <v>251</v>
      </c>
      <c r="S1456" s="57">
        <v>0</v>
      </c>
    </row>
    <row r="1457" spans="1:19" ht="11.85" customHeight="1" x14ac:dyDescent="0.2">
      <c r="A1457" s="57" t="s">
        <v>656</v>
      </c>
      <c r="B1457" s="413" t="s">
        <v>416</v>
      </c>
      <c r="C1457" s="414"/>
      <c r="D1457" s="415"/>
      <c r="E1457" s="419" t="s">
        <v>402</v>
      </c>
      <c r="F1457" s="420"/>
      <c r="G1457" s="64" t="s">
        <v>417</v>
      </c>
      <c r="H1457" s="419" t="s">
        <v>457</v>
      </c>
      <c r="I1457" s="420"/>
      <c r="K1457" s="57" t="s">
        <v>656</v>
      </c>
      <c r="L1457" s="57" t="s">
        <v>251</v>
      </c>
      <c r="S1457" s="57">
        <v>0</v>
      </c>
    </row>
    <row r="1458" spans="1:19" ht="11.85" customHeight="1" x14ac:dyDescent="0.2">
      <c r="A1458" s="57" t="s">
        <v>656</v>
      </c>
      <c r="B1458" s="424"/>
      <c r="C1458" s="425"/>
      <c r="D1458" s="426"/>
      <c r="E1458" s="419" t="s">
        <v>403</v>
      </c>
      <c r="F1458" s="420"/>
      <c r="G1458" s="64" t="s">
        <v>417</v>
      </c>
      <c r="H1458" s="419" t="s">
        <v>457</v>
      </c>
      <c r="I1458" s="420"/>
      <c r="K1458" s="57" t="s">
        <v>656</v>
      </c>
      <c r="L1458" s="57" t="s">
        <v>251</v>
      </c>
      <c r="S1458" s="57">
        <v>0</v>
      </c>
    </row>
    <row r="1459" spans="1:19" ht="11.85" customHeight="1" x14ac:dyDescent="0.2">
      <c r="A1459" s="57" t="s">
        <v>656</v>
      </c>
      <c r="B1459" s="424"/>
      <c r="C1459" s="425"/>
      <c r="D1459" s="426"/>
      <c r="E1459" s="419" t="s">
        <v>404</v>
      </c>
      <c r="F1459" s="420"/>
      <c r="G1459" s="64" t="s">
        <v>413</v>
      </c>
      <c r="H1459" s="419" t="s">
        <v>458</v>
      </c>
      <c r="I1459" s="420"/>
      <c r="K1459" s="57" t="s">
        <v>656</v>
      </c>
      <c r="L1459" s="57" t="s">
        <v>251</v>
      </c>
      <c r="S1459" s="57">
        <v>0</v>
      </c>
    </row>
    <row r="1460" spans="1:19" ht="11.1" customHeight="1" x14ac:dyDescent="0.2">
      <c r="A1460" s="57" t="s">
        <v>656</v>
      </c>
      <c r="B1460" s="424"/>
      <c r="C1460" s="425"/>
      <c r="D1460" s="426"/>
      <c r="E1460" s="419" t="s">
        <v>405</v>
      </c>
      <c r="F1460" s="420"/>
      <c r="G1460" s="64" t="s">
        <v>420</v>
      </c>
      <c r="H1460" s="419" t="s">
        <v>459</v>
      </c>
      <c r="I1460" s="420"/>
      <c r="K1460" s="57" t="s">
        <v>656</v>
      </c>
      <c r="L1460" s="57" t="s">
        <v>251</v>
      </c>
      <c r="S1460" s="57">
        <v>0</v>
      </c>
    </row>
    <row r="1461" spans="1:19" ht="11.85" customHeight="1" x14ac:dyDescent="0.2">
      <c r="A1461" s="57" t="s">
        <v>656</v>
      </c>
      <c r="B1461" s="424"/>
      <c r="C1461" s="425"/>
      <c r="D1461" s="426"/>
      <c r="E1461" s="419" t="s">
        <v>460</v>
      </c>
      <c r="F1461" s="420"/>
      <c r="G1461" s="64" t="s">
        <v>461</v>
      </c>
      <c r="H1461" s="419" t="s">
        <v>423</v>
      </c>
      <c r="I1461" s="420"/>
      <c r="K1461" s="57" t="s">
        <v>656</v>
      </c>
      <c r="L1461" s="57" t="s">
        <v>251</v>
      </c>
      <c r="S1461" s="65">
        <v>33.17</v>
      </c>
    </row>
    <row r="1462" spans="1:19" ht="11.85" customHeight="1" x14ac:dyDescent="0.2">
      <c r="A1462" s="57" t="s">
        <v>656</v>
      </c>
      <c r="B1462" s="416"/>
      <c r="C1462" s="417"/>
      <c r="D1462" s="418"/>
      <c r="E1462" s="419" t="s">
        <v>462</v>
      </c>
      <c r="F1462" s="420"/>
      <c r="G1462" s="64" t="s">
        <v>424</v>
      </c>
      <c r="H1462" s="419" t="s">
        <v>463</v>
      </c>
      <c r="I1462" s="420"/>
      <c r="K1462" s="57" t="s">
        <v>656</v>
      </c>
      <c r="L1462" s="57" t="s">
        <v>251</v>
      </c>
      <c r="S1462" s="57">
        <v>0</v>
      </c>
    </row>
    <row r="1463" spans="1:19" ht="11.85" customHeight="1" x14ac:dyDescent="0.2">
      <c r="A1463" s="57" t="s">
        <v>656</v>
      </c>
      <c r="B1463" s="413" t="s">
        <v>426</v>
      </c>
      <c r="C1463" s="414"/>
      <c r="D1463" s="415"/>
      <c r="E1463" s="419" t="s">
        <v>408</v>
      </c>
      <c r="F1463" s="420"/>
      <c r="G1463" s="64" t="s">
        <v>420</v>
      </c>
      <c r="H1463" s="419" t="s">
        <v>427</v>
      </c>
      <c r="I1463" s="420"/>
      <c r="K1463" s="57" t="s">
        <v>656</v>
      </c>
      <c r="L1463" s="57" t="s">
        <v>251</v>
      </c>
      <c r="S1463" s="57">
        <v>0</v>
      </c>
    </row>
    <row r="1464" spans="1:19" ht="11.1" customHeight="1" x14ac:dyDescent="0.2">
      <c r="A1464" s="57" t="s">
        <v>656</v>
      </c>
      <c r="B1464" s="424"/>
      <c r="C1464" s="425"/>
      <c r="D1464" s="426"/>
      <c r="E1464" s="419" t="s">
        <v>409</v>
      </c>
      <c r="F1464" s="420"/>
      <c r="G1464" s="64" t="s">
        <v>417</v>
      </c>
      <c r="H1464" s="419" t="s">
        <v>428</v>
      </c>
      <c r="I1464" s="420"/>
      <c r="K1464" s="57" t="s">
        <v>656</v>
      </c>
      <c r="L1464" s="57" t="s">
        <v>251</v>
      </c>
      <c r="S1464" s="57">
        <v>0</v>
      </c>
    </row>
    <row r="1465" spans="1:19" ht="11.85" customHeight="1" x14ac:dyDescent="0.2">
      <c r="A1465" s="57" t="s">
        <v>656</v>
      </c>
      <c r="B1465" s="416"/>
      <c r="C1465" s="417"/>
      <c r="D1465" s="418"/>
      <c r="E1465" s="419" t="s">
        <v>410</v>
      </c>
      <c r="F1465" s="420"/>
      <c r="G1465" s="64" t="s">
        <v>417</v>
      </c>
      <c r="H1465" s="419" t="s">
        <v>415</v>
      </c>
      <c r="I1465" s="420"/>
      <c r="K1465" s="57" t="s">
        <v>656</v>
      </c>
      <c r="L1465" s="57" t="s">
        <v>251</v>
      </c>
      <c r="S1465" s="57">
        <v>0</v>
      </c>
    </row>
    <row r="1466" spans="1:19" ht="11.85" customHeight="1" x14ac:dyDescent="0.2">
      <c r="A1466" s="57" t="s">
        <v>656</v>
      </c>
      <c r="B1466" s="62"/>
      <c r="C1466" s="411" t="s">
        <v>657</v>
      </c>
      <c r="D1466" s="412"/>
      <c r="E1466" s="412"/>
      <c r="F1466" s="412"/>
      <c r="G1466" s="412"/>
      <c r="H1466" s="412"/>
      <c r="I1466" s="411"/>
      <c r="K1466" s="57" t="s">
        <v>656</v>
      </c>
      <c r="L1466" s="57" t="s">
        <v>251</v>
      </c>
      <c r="S1466" s="57">
        <v>0</v>
      </c>
    </row>
    <row r="1467" spans="1:19" ht="11.85" customHeight="1" x14ac:dyDescent="0.2">
      <c r="A1467" s="57" t="s">
        <v>657</v>
      </c>
      <c r="B1467" s="413" t="s">
        <v>416</v>
      </c>
      <c r="C1467" s="414"/>
      <c r="D1467" s="415"/>
      <c r="E1467" s="419" t="s">
        <v>402</v>
      </c>
      <c r="F1467" s="420"/>
      <c r="G1467" s="64" t="s">
        <v>417</v>
      </c>
      <c r="H1467" s="419" t="s">
        <v>457</v>
      </c>
      <c r="I1467" s="420"/>
      <c r="K1467" s="57" t="s">
        <v>657</v>
      </c>
      <c r="L1467" s="57" t="s">
        <v>252</v>
      </c>
      <c r="S1467" s="57">
        <v>0</v>
      </c>
    </row>
    <row r="1468" spans="1:19" ht="11.1" customHeight="1" x14ac:dyDescent="0.2">
      <c r="A1468" s="57" t="s">
        <v>657</v>
      </c>
      <c r="B1468" s="424"/>
      <c r="C1468" s="425"/>
      <c r="D1468" s="426"/>
      <c r="E1468" s="419" t="s">
        <v>403</v>
      </c>
      <c r="F1468" s="420"/>
      <c r="G1468" s="64" t="s">
        <v>417</v>
      </c>
      <c r="H1468" s="419" t="s">
        <v>457</v>
      </c>
      <c r="I1468" s="420"/>
      <c r="K1468" s="57" t="s">
        <v>657</v>
      </c>
      <c r="L1468" s="57" t="s">
        <v>252</v>
      </c>
      <c r="S1468" s="57">
        <v>0</v>
      </c>
    </row>
    <row r="1469" spans="1:19" ht="11.85" customHeight="1" x14ac:dyDescent="0.2">
      <c r="A1469" s="57" t="s">
        <v>657</v>
      </c>
      <c r="B1469" s="424"/>
      <c r="C1469" s="425"/>
      <c r="D1469" s="426"/>
      <c r="E1469" s="419" t="s">
        <v>404</v>
      </c>
      <c r="F1469" s="420"/>
      <c r="G1469" s="64" t="s">
        <v>413</v>
      </c>
      <c r="H1469" s="419" t="s">
        <v>458</v>
      </c>
      <c r="I1469" s="420"/>
      <c r="K1469" s="57" t="s">
        <v>657</v>
      </c>
      <c r="L1469" s="57" t="s">
        <v>252</v>
      </c>
      <c r="S1469" s="57">
        <v>0</v>
      </c>
    </row>
    <row r="1470" spans="1:19" ht="11.85" customHeight="1" x14ac:dyDescent="0.2">
      <c r="A1470" s="57" t="s">
        <v>657</v>
      </c>
      <c r="B1470" s="424"/>
      <c r="C1470" s="425"/>
      <c r="D1470" s="426"/>
      <c r="E1470" s="419" t="s">
        <v>405</v>
      </c>
      <c r="F1470" s="420"/>
      <c r="G1470" s="64" t="s">
        <v>420</v>
      </c>
      <c r="H1470" s="419" t="s">
        <v>459</v>
      </c>
      <c r="I1470" s="420"/>
      <c r="K1470" s="57" t="s">
        <v>657</v>
      </c>
      <c r="L1470" s="57" t="s">
        <v>252</v>
      </c>
      <c r="S1470" s="57">
        <v>0</v>
      </c>
    </row>
    <row r="1471" spans="1:19" ht="11.85" customHeight="1" x14ac:dyDescent="0.2">
      <c r="A1471" s="57" t="s">
        <v>657</v>
      </c>
      <c r="B1471" s="424"/>
      <c r="C1471" s="425"/>
      <c r="D1471" s="426"/>
      <c r="E1471" s="419" t="s">
        <v>460</v>
      </c>
      <c r="F1471" s="420"/>
      <c r="G1471" s="64" t="s">
        <v>461</v>
      </c>
      <c r="H1471" s="419" t="s">
        <v>423</v>
      </c>
      <c r="I1471" s="420"/>
      <c r="K1471" s="57" t="s">
        <v>657</v>
      </c>
      <c r="L1471" s="57" t="s">
        <v>252</v>
      </c>
      <c r="S1471" s="65">
        <v>33.17</v>
      </c>
    </row>
    <row r="1472" spans="1:19" ht="11.1" customHeight="1" x14ac:dyDescent="0.2">
      <c r="A1472" s="57" t="s">
        <v>657</v>
      </c>
      <c r="B1472" s="416"/>
      <c r="C1472" s="417"/>
      <c r="D1472" s="418"/>
      <c r="E1472" s="419" t="s">
        <v>462</v>
      </c>
      <c r="F1472" s="420"/>
      <c r="G1472" s="64" t="s">
        <v>424</v>
      </c>
      <c r="H1472" s="419" t="s">
        <v>463</v>
      </c>
      <c r="I1472" s="420"/>
      <c r="K1472" s="57" t="s">
        <v>657</v>
      </c>
      <c r="L1472" s="57" t="s">
        <v>252</v>
      </c>
      <c r="S1472" s="57">
        <v>0</v>
      </c>
    </row>
    <row r="1473" spans="1:19" ht="11.85" customHeight="1" x14ac:dyDescent="0.2">
      <c r="A1473" s="57" t="s">
        <v>657</v>
      </c>
      <c r="B1473" s="62"/>
      <c r="C1473" s="411" t="s">
        <v>658</v>
      </c>
      <c r="D1473" s="412"/>
      <c r="E1473" s="412"/>
      <c r="F1473" s="412"/>
      <c r="G1473" s="412"/>
      <c r="H1473" s="412"/>
      <c r="I1473" s="411"/>
      <c r="K1473" s="57" t="s">
        <v>657</v>
      </c>
      <c r="L1473" s="57" t="s">
        <v>252</v>
      </c>
      <c r="S1473" s="57">
        <v>0</v>
      </c>
    </row>
    <row r="1474" spans="1:19" ht="11.85" customHeight="1" x14ac:dyDescent="0.2">
      <c r="A1474" s="57" t="s">
        <v>658</v>
      </c>
      <c r="B1474" s="413" t="s">
        <v>412</v>
      </c>
      <c r="C1474" s="414"/>
      <c r="D1474" s="415"/>
      <c r="E1474" s="419" t="s">
        <v>400</v>
      </c>
      <c r="F1474" s="420"/>
      <c r="G1474" s="64" t="s">
        <v>413</v>
      </c>
      <c r="H1474" s="419" t="s">
        <v>414</v>
      </c>
      <c r="I1474" s="420"/>
      <c r="K1474" s="57" t="s">
        <v>658</v>
      </c>
      <c r="L1474" s="57" t="s">
        <v>253</v>
      </c>
      <c r="S1474" s="57">
        <v>0</v>
      </c>
    </row>
    <row r="1475" spans="1:19" ht="11.85" customHeight="1" x14ac:dyDescent="0.2">
      <c r="A1475" s="57" t="s">
        <v>658</v>
      </c>
      <c r="B1475" s="416"/>
      <c r="C1475" s="417"/>
      <c r="D1475" s="418"/>
      <c r="E1475" s="419" t="s">
        <v>401</v>
      </c>
      <c r="F1475" s="420"/>
      <c r="G1475" s="64" t="s">
        <v>413</v>
      </c>
      <c r="H1475" s="419" t="s">
        <v>415</v>
      </c>
      <c r="I1475" s="420"/>
      <c r="K1475" s="57" t="s">
        <v>658</v>
      </c>
      <c r="L1475" s="57" t="s">
        <v>253</v>
      </c>
      <c r="S1475" s="57">
        <v>0</v>
      </c>
    </row>
    <row r="1476" spans="1:19" ht="11.85" customHeight="1" x14ac:dyDescent="0.2">
      <c r="A1476" s="57" t="s">
        <v>658</v>
      </c>
      <c r="B1476" s="413" t="s">
        <v>416</v>
      </c>
      <c r="C1476" s="414"/>
      <c r="D1476" s="415"/>
      <c r="E1476" s="419" t="s">
        <v>402</v>
      </c>
      <c r="F1476" s="420"/>
      <c r="G1476" s="64" t="s">
        <v>417</v>
      </c>
      <c r="H1476" s="419" t="s">
        <v>457</v>
      </c>
      <c r="I1476" s="420"/>
      <c r="K1476" s="57" t="s">
        <v>658</v>
      </c>
      <c r="L1476" s="57" t="s">
        <v>253</v>
      </c>
      <c r="S1476" s="57">
        <v>0</v>
      </c>
    </row>
    <row r="1477" spans="1:19" ht="11.85" customHeight="1" x14ac:dyDescent="0.2">
      <c r="A1477" s="57" t="s">
        <v>658</v>
      </c>
      <c r="B1477" s="424"/>
      <c r="C1477" s="425"/>
      <c r="D1477" s="426"/>
      <c r="E1477" s="419" t="s">
        <v>403</v>
      </c>
      <c r="F1477" s="420"/>
      <c r="G1477" s="64" t="s">
        <v>417</v>
      </c>
      <c r="H1477" s="419" t="s">
        <v>457</v>
      </c>
      <c r="I1477" s="420"/>
      <c r="K1477" s="57" t="s">
        <v>658</v>
      </c>
      <c r="L1477" s="57" t="s">
        <v>253</v>
      </c>
      <c r="S1477" s="57">
        <v>0</v>
      </c>
    </row>
    <row r="1478" spans="1:19" ht="11.85" customHeight="1" x14ac:dyDescent="0.2">
      <c r="A1478" s="57" t="s">
        <v>658</v>
      </c>
      <c r="B1478" s="424"/>
      <c r="C1478" s="425"/>
      <c r="D1478" s="426"/>
      <c r="E1478" s="419" t="s">
        <v>404</v>
      </c>
      <c r="F1478" s="420"/>
      <c r="G1478" s="64" t="s">
        <v>413</v>
      </c>
      <c r="H1478" s="419" t="s">
        <v>458</v>
      </c>
      <c r="I1478" s="420"/>
      <c r="K1478" s="57" t="s">
        <v>658</v>
      </c>
      <c r="L1478" s="57" t="s">
        <v>253</v>
      </c>
      <c r="S1478" s="57">
        <v>0</v>
      </c>
    </row>
    <row r="1479" spans="1:19" ht="11.1" customHeight="1" x14ac:dyDescent="0.2">
      <c r="A1479" s="57" t="s">
        <v>658</v>
      </c>
      <c r="B1479" s="424"/>
      <c r="C1479" s="425"/>
      <c r="D1479" s="426"/>
      <c r="E1479" s="419" t="s">
        <v>405</v>
      </c>
      <c r="F1479" s="420"/>
      <c r="G1479" s="64" t="s">
        <v>420</v>
      </c>
      <c r="H1479" s="419" t="s">
        <v>459</v>
      </c>
      <c r="I1479" s="420"/>
      <c r="K1479" s="57" t="s">
        <v>658</v>
      </c>
      <c r="L1479" s="57" t="s">
        <v>253</v>
      </c>
      <c r="S1479" s="57">
        <v>0</v>
      </c>
    </row>
    <row r="1480" spans="1:19" ht="11.85" customHeight="1" x14ac:dyDescent="0.2">
      <c r="A1480" s="57" t="s">
        <v>658</v>
      </c>
      <c r="B1480" s="424"/>
      <c r="C1480" s="425"/>
      <c r="D1480" s="426"/>
      <c r="E1480" s="419" t="s">
        <v>460</v>
      </c>
      <c r="F1480" s="420"/>
      <c r="G1480" s="64" t="s">
        <v>461</v>
      </c>
      <c r="H1480" s="419" t="s">
        <v>423</v>
      </c>
      <c r="I1480" s="420"/>
      <c r="K1480" s="57" t="s">
        <v>658</v>
      </c>
      <c r="L1480" s="57" t="s">
        <v>253</v>
      </c>
      <c r="S1480" s="65">
        <v>33.17</v>
      </c>
    </row>
    <row r="1481" spans="1:19" ht="11.85" customHeight="1" x14ac:dyDescent="0.2">
      <c r="A1481" s="57" t="s">
        <v>658</v>
      </c>
      <c r="B1481" s="416"/>
      <c r="C1481" s="417"/>
      <c r="D1481" s="418"/>
      <c r="E1481" s="419" t="s">
        <v>462</v>
      </c>
      <c r="F1481" s="420"/>
      <c r="G1481" s="64" t="s">
        <v>424</v>
      </c>
      <c r="H1481" s="419" t="s">
        <v>463</v>
      </c>
      <c r="I1481" s="420"/>
      <c r="K1481" s="57" t="s">
        <v>658</v>
      </c>
      <c r="L1481" s="57" t="s">
        <v>253</v>
      </c>
      <c r="S1481" s="57">
        <v>0</v>
      </c>
    </row>
    <row r="1482" spans="1:19" ht="11.85" customHeight="1" x14ac:dyDescent="0.2">
      <c r="A1482" s="57" t="s">
        <v>658</v>
      </c>
      <c r="B1482" s="413" t="s">
        <v>426</v>
      </c>
      <c r="C1482" s="414"/>
      <c r="D1482" s="415"/>
      <c r="E1482" s="419" t="s">
        <v>408</v>
      </c>
      <c r="F1482" s="420"/>
      <c r="G1482" s="64" t="s">
        <v>420</v>
      </c>
      <c r="H1482" s="419" t="s">
        <v>427</v>
      </c>
      <c r="I1482" s="420"/>
      <c r="K1482" s="57" t="s">
        <v>658</v>
      </c>
      <c r="L1482" s="57" t="s">
        <v>253</v>
      </c>
      <c r="S1482" s="57">
        <v>0</v>
      </c>
    </row>
    <row r="1483" spans="1:19" ht="11.1" customHeight="1" x14ac:dyDescent="0.2">
      <c r="A1483" s="57" t="s">
        <v>658</v>
      </c>
      <c r="B1483" s="424"/>
      <c r="C1483" s="425"/>
      <c r="D1483" s="426"/>
      <c r="E1483" s="419" t="s">
        <v>409</v>
      </c>
      <c r="F1483" s="420"/>
      <c r="G1483" s="64" t="s">
        <v>417</v>
      </c>
      <c r="H1483" s="419" t="s">
        <v>428</v>
      </c>
      <c r="I1483" s="420"/>
      <c r="K1483" s="57" t="s">
        <v>658</v>
      </c>
      <c r="L1483" s="57" t="s">
        <v>253</v>
      </c>
      <c r="S1483" s="57">
        <v>0</v>
      </c>
    </row>
    <row r="1484" spans="1:19" ht="11.85" customHeight="1" x14ac:dyDescent="0.2">
      <c r="A1484" s="57" t="s">
        <v>658</v>
      </c>
      <c r="B1484" s="416"/>
      <c r="C1484" s="417"/>
      <c r="D1484" s="418"/>
      <c r="E1484" s="419" t="s">
        <v>410</v>
      </c>
      <c r="F1484" s="420"/>
      <c r="G1484" s="64" t="s">
        <v>417</v>
      </c>
      <c r="H1484" s="419" t="s">
        <v>415</v>
      </c>
      <c r="I1484" s="420"/>
      <c r="K1484" s="57" t="s">
        <v>658</v>
      </c>
      <c r="L1484" s="57" t="s">
        <v>253</v>
      </c>
      <c r="S1484" s="57">
        <v>0</v>
      </c>
    </row>
    <row r="1485" spans="1:19" ht="11.85" customHeight="1" x14ac:dyDescent="0.2">
      <c r="A1485" s="57" t="s">
        <v>658</v>
      </c>
      <c r="B1485" s="62"/>
      <c r="C1485" s="411" t="s">
        <v>659</v>
      </c>
      <c r="D1485" s="412"/>
      <c r="E1485" s="412"/>
      <c r="F1485" s="412"/>
      <c r="G1485" s="412"/>
      <c r="H1485" s="412"/>
      <c r="I1485" s="411"/>
      <c r="K1485" s="57" t="s">
        <v>658</v>
      </c>
      <c r="L1485" s="57" t="s">
        <v>253</v>
      </c>
      <c r="S1485" s="57">
        <v>0</v>
      </c>
    </row>
    <row r="1486" spans="1:19" ht="11.85" customHeight="1" x14ac:dyDescent="0.2">
      <c r="A1486" s="57" t="s">
        <v>659</v>
      </c>
      <c r="B1486" s="413" t="s">
        <v>412</v>
      </c>
      <c r="C1486" s="414"/>
      <c r="D1486" s="415"/>
      <c r="E1486" s="419" t="s">
        <v>400</v>
      </c>
      <c r="F1486" s="420"/>
      <c r="G1486" s="64" t="s">
        <v>413</v>
      </c>
      <c r="H1486" s="419" t="s">
        <v>414</v>
      </c>
      <c r="I1486" s="420"/>
      <c r="K1486" s="57" t="s">
        <v>659</v>
      </c>
      <c r="L1486" s="57" t="s">
        <v>254</v>
      </c>
      <c r="S1486" s="57">
        <v>0</v>
      </c>
    </row>
    <row r="1487" spans="1:19" ht="11.1" customHeight="1" x14ac:dyDescent="0.2">
      <c r="A1487" s="57" t="s">
        <v>659</v>
      </c>
      <c r="B1487" s="416"/>
      <c r="C1487" s="417"/>
      <c r="D1487" s="418"/>
      <c r="E1487" s="419" t="s">
        <v>401</v>
      </c>
      <c r="F1487" s="420"/>
      <c r="G1487" s="64" t="s">
        <v>413</v>
      </c>
      <c r="H1487" s="419" t="s">
        <v>415</v>
      </c>
      <c r="I1487" s="420"/>
      <c r="K1487" s="57" t="s">
        <v>659</v>
      </c>
      <c r="L1487" s="57" t="s">
        <v>254</v>
      </c>
      <c r="S1487" s="57">
        <v>0</v>
      </c>
    </row>
    <row r="1488" spans="1:19" ht="11.85" customHeight="1" x14ac:dyDescent="0.2">
      <c r="A1488" s="57" t="s">
        <v>659</v>
      </c>
      <c r="B1488" s="413" t="s">
        <v>416</v>
      </c>
      <c r="C1488" s="414"/>
      <c r="D1488" s="415"/>
      <c r="E1488" s="419" t="s">
        <v>402</v>
      </c>
      <c r="F1488" s="420"/>
      <c r="G1488" s="64" t="s">
        <v>417</v>
      </c>
      <c r="H1488" s="419" t="s">
        <v>457</v>
      </c>
      <c r="I1488" s="420"/>
      <c r="K1488" s="57" t="s">
        <v>659</v>
      </c>
      <c r="L1488" s="57" t="s">
        <v>254</v>
      </c>
      <c r="S1488" s="57">
        <v>0</v>
      </c>
    </row>
    <row r="1489" spans="1:19" ht="11.85" customHeight="1" x14ac:dyDescent="0.2">
      <c r="A1489" s="57" t="s">
        <v>659</v>
      </c>
      <c r="B1489" s="424"/>
      <c r="C1489" s="425"/>
      <c r="D1489" s="426"/>
      <c r="E1489" s="419" t="s">
        <v>403</v>
      </c>
      <c r="F1489" s="420"/>
      <c r="G1489" s="64" t="s">
        <v>417</v>
      </c>
      <c r="H1489" s="419" t="s">
        <v>457</v>
      </c>
      <c r="I1489" s="420"/>
      <c r="K1489" s="57" t="s">
        <v>659</v>
      </c>
      <c r="L1489" s="57" t="s">
        <v>254</v>
      </c>
      <c r="S1489" s="57">
        <v>0</v>
      </c>
    </row>
    <row r="1490" spans="1:19" ht="11.85" customHeight="1" x14ac:dyDescent="0.2">
      <c r="A1490" s="57" t="s">
        <v>659</v>
      </c>
      <c r="B1490" s="424"/>
      <c r="C1490" s="425"/>
      <c r="D1490" s="426"/>
      <c r="E1490" s="419" t="s">
        <v>404</v>
      </c>
      <c r="F1490" s="420"/>
      <c r="G1490" s="64" t="s">
        <v>413</v>
      </c>
      <c r="H1490" s="419" t="s">
        <v>458</v>
      </c>
      <c r="I1490" s="420"/>
      <c r="K1490" s="57" t="s">
        <v>659</v>
      </c>
      <c r="L1490" s="57" t="s">
        <v>254</v>
      </c>
      <c r="S1490" s="57">
        <v>0</v>
      </c>
    </row>
    <row r="1491" spans="1:19" ht="11.1" customHeight="1" x14ac:dyDescent="0.2">
      <c r="A1491" s="57" t="s">
        <v>659</v>
      </c>
      <c r="B1491" s="424"/>
      <c r="C1491" s="425"/>
      <c r="D1491" s="426"/>
      <c r="E1491" s="419" t="s">
        <v>405</v>
      </c>
      <c r="F1491" s="420"/>
      <c r="G1491" s="64" t="s">
        <v>420</v>
      </c>
      <c r="H1491" s="419" t="s">
        <v>459</v>
      </c>
      <c r="I1491" s="420"/>
      <c r="K1491" s="57" t="s">
        <v>659</v>
      </c>
      <c r="L1491" s="57" t="s">
        <v>254</v>
      </c>
      <c r="S1491" s="57">
        <v>0</v>
      </c>
    </row>
    <row r="1492" spans="1:19" ht="11.85" customHeight="1" x14ac:dyDescent="0.2">
      <c r="A1492" s="57" t="s">
        <v>659</v>
      </c>
      <c r="B1492" s="424"/>
      <c r="C1492" s="425"/>
      <c r="D1492" s="426"/>
      <c r="E1492" s="419" t="s">
        <v>460</v>
      </c>
      <c r="F1492" s="420"/>
      <c r="G1492" s="64" t="s">
        <v>461</v>
      </c>
      <c r="H1492" s="419" t="s">
        <v>423</v>
      </c>
      <c r="I1492" s="420"/>
      <c r="K1492" s="57" t="s">
        <v>659</v>
      </c>
      <c r="L1492" s="57" t="s">
        <v>254</v>
      </c>
      <c r="S1492" s="65">
        <v>33.17</v>
      </c>
    </row>
    <row r="1493" spans="1:19" ht="11.85" customHeight="1" x14ac:dyDescent="0.2">
      <c r="A1493" s="57" t="s">
        <v>659</v>
      </c>
      <c r="B1493" s="416"/>
      <c r="C1493" s="417"/>
      <c r="D1493" s="418"/>
      <c r="E1493" s="419" t="s">
        <v>462</v>
      </c>
      <c r="F1493" s="420"/>
      <c r="G1493" s="64" t="s">
        <v>424</v>
      </c>
      <c r="H1493" s="419" t="s">
        <v>463</v>
      </c>
      <c r="I1493" s="420"/>
      <c r="K1493" s="57" t="s">
        <v>659</v>
      </c>
      <c r="L1493" s="57" t="s">
        <v>254</v>
      </c>
      <c r="S1493" s="57">
        <v>0</v>
      </c>
    </row>
    <row r="1494" spans="1:19" ht="11.85" customHeight="1" x14ac:dyDescent="0.2">
      <c r="A1494" s="57" t="s">
        <v>659</v>
      </c>
      <c r="B1494" s="413" t="s">
        <v>426</v>
      </c>
      <c r="C1494" s="414"/>
      <c r="D1494" s="415"/>
      <c r="E1494" s="419" t="s">
        <v>408</v>
      </c>
      <c r="F1494" s="420"/>
      <c r="G1494" s="64" t="s">
        <v>420</v>
      </c>
      <c r="H1494" s="419" t="s">
        <v>427</v>
      </c>
      <c r="I1494" s="420"/>
      <c r="K1494" s="57" t="s">
        <v>659</v>
      </c>
      <c r="L1494" s="57" t="s">
        <v>254</v>
      </c>
      <c r="S1494" s="57">
        <v>0</v>
      </c>
    </row>
    <row r="1495" spans="1:19" ht="11.1" customHeight="1" x14ac:dyDescent="0.2">
      <c r="A1495" s="57" t="s">
        <v>659</v>
      </c>
      <c r="B1495" s="424"/>
      <c r="C1495" s="425"/>
      <c r="D1495" s="426"/>
      <c r="E1495" s="419" t="s">
        <v>409</v>
      </c>
      <c r="F1495" s="420"/>
      <c r="G1495" s="64" t="s">
        <v>417</v>
      </c>
      <c r="H1495" s="419" t="s">
        <v>428</v>
      </c>
      <c r="I1495" s="420"/>
      <c r="K1495" s="57" t="s">
        <v>659</v>
      </c>
      <c r="L1495" s="57" t="s">
        <v>254</v>
      </c>
      <c r="S1495" s="57">
        <v>0</v>
      </c>
    </row>
    <row r="1496" spans="1:19" ht="11.85" customHeight="1" x14ac:dyDescent="0.2">
      <c r="A1496" s="57" t="s">
        <v>659</v>
      </c>
      <c r="B1496" s="416"/>
      <c r="C1496" s="417"/>
      <c r="D1496" s="418"/>
      <c r="E1496" s="419" t="s">
        <v>410</v>
      </c>
      <c r="F1496" s="420"/>
      <c r="G1496" s="64" t="s">
        <v>417</v>
      </c>
      <c r="H1496" s="419" t="s">
        <v>415</v>
      </c>
      <c r="I1496" s="420"/>
      <c r="K1496" s="57" t="s">
        <v>659</v>
      </c>
      <c r="L1496" s="57" t="s">
        <v>254</v>
      </c>
      <c r="S1496" s="57">
        <v>0</v>
      </c>
    </row>
    <row r="1497" spans="1:19" ht="11.85" customHeight="1" x14ac:dyDescent="0.2">
      <c r="A1497" s="57" t="s">
        <v>659</v>
      </c>
      <c r="B1497" s="62"/>
      <c r="C1497" s="411" t="s">
        <v>660</v>
      </c>
      <c r="D1497" s="412"/>
      <c r="E1497" s="412"/>
      <c r="F1497" s="412"/>
      <c r="G1497" s="412"/>
      <c r="H1497" s="412"/>
      <c r="I1497" s="411"/>
      <c r="K1497" s="57" t="s">
        <v>659</v>
      </c>
      <c r="L1497" s="57" t="s">
        <v>254</v>
      </c>
      <c r="S1497" s="57">
        <v>0</v>
      </c>
    </row>
    <row r="1498" spans="1:19" ht="11.85" customHeight="1" x14ac:dyDescent="0.2">
      <c r="A1498" s="57" t="s">
        <v>660</v>
      </c>
      <c r="B1498" s="413" t="s">
        <v>412</v>
      </c>
      <c r="C1498" s="414"/>
      <c r="D1498" s="415"/>
      <c r="E1498" s="419" t="s">
        <v>400</v>
      </c>
      <c r="F1498" s="420"/>
      <c r="G1498" s="64" t="s">
        <v>413</v>
      </c>
      <c r="H1498" s="419" t="s">
        <v>414</v>
      </c>
      <c r="I1498" s="420"/>
      <c r="K1498" s="57" t="s">
        <v>660</v>
      </c>
      <c r="L1498" s="57" t="s">
        <v>255</v>
      </c>
      <c r="S1498" s="57">
        <v>0</v>
      </c>
    </row>
    <row r="1499" spans="1:19" ht="11.1" customHeight="1" x14ac:dyDescent="0.2">
      <c r="A1499" s="57" t="s">
        <v>660</v>
      </c>
      <c r="B1499" s="416"/>
      <c r="C1499" s="417"/>
      <c r="D1499" s="418"/>
      <c r="E1499" s="419" t="s">
        <v>401</v>
      </c>
      <c r="F1499" s="420"/>
      <c r="G1499" s="64" t="s">
        <v>413</v>
      </c>
      <c r="H1499" s="419" t="s">
        <v>415</v>
      </c>
      <c r="I1499" s="420"/>
      <c r="K1499" s="57" t="s">
        <v>660</v>
      </c>
      <c r="L1499" s="57" t="s">
        <v>255</v>
      </c>
      <c r="S1499" s="57">
        <v>0</v>
      </c>
    </row>
    <row r="1500" spans="1:19" ht="11.85" customHeight="1" x14ac:dyDescent="0.2">
      <c r="A1500" s="57" t="s">
        <v>660</v>
      </c>
      <c r="B1500" s="413" t="s">
        <v>416</v>
      </c>
      <c r="C1500" s="414"/>
      <c r="D1500" s="415"/>
      <c r="E1500" s="419" t="s">
        <v>402</v>
      </c>
      <c r="F1500" s="420"/>
      <c r="G1500" s="64" t="s">
        <v>417</v>
      </c>
      <c r="H1500" s="419" t="s">
        <v>457</v>
      </c>
      <c r="I1500" s="420"/>
      <c r="K1500" s="57" t="s">
        <v>660</v>
      </c>
      <c r="L1500" s="57" t="s">
        <v>255</v>
      </c>
      <c r="S1500" s="57">
        <v>0</v>
      </c>
    </row>
    <row r="1501" spans="1:19" ht="11.85" customHeight="1" x14ac:dyDescent="0.2">
      <c r="A1501" s="57" t="s">
        <v>660</v>
      </c>
      <c r="B1501" s="424"/>
      <c r="C1501" s="425"/>
      <c r="D1501" s="426"/>
      <c r="E1501" s="419" t="s">
        <v>403</v>
      </c>
      <c r="F1501" s="420"/>
      <c r="G1501" s="64" t="s">
        <v>417</v>
      </c>
      <c r="H1501" s="419" t="s">
        <v>457</v>
      </c>
      <c r="I1501" s="420"/>
      <c r="K1501" s="57" t="s">
        <v>660</v>
      </c>
      <c r="L1501" s="57" t="s">
        <v>255</v>
      </c>
      <c r="S1501" s="57">
        <v>0</v>
      </c>
    </row>
    <row r="1502" spans="1:19" ht="11.85" customHeight="1" x14ac:dyDescent="0.2">
      <c r="A1502" s="57" t="s">
        <v>660</v>
      </c>
      <c r="B1502" s="424"/>
      <c r="C1502" s="425"/>
      <c r="D1502" s="426"/>
      <c r="E1502" s="419" t="s">
        <v>404</v>
      </c>
      <c r="F1502" s="420"/>
      <c r="G1502" s="64" t="s">
        <v>413</v>
      </c>
      <c r="H1502" s="419" t="s">
        <v>458</v>
      </c>
      <c r="I1502" s="420"/>
      <c r="K1502" s="57" t="s">
        <v>660</v>
      </c>
      <c r="L1502" s="57" t="s">
        <v>255</v>
      </c>
      <c r="S1502" s="57">
        <v>0</v>
      </c>
    </row>
    <row r="1503" spans="1:19" ht="11.1" customHeight="1" x14ac:dyDescent="0.2">
      <c r="A1503" s="57" t="s">
        <v>660</v>
      </c>
      <c r="B1503" s="424"/>
      <c r="C1503" s="425"/>
      <c r="D1503" s="426"/>
      <c r="E1503" s="419" t="s">
        <v>405</v>
      </c>
      <c r="F1503" s="420"/>
      <c r="G1503" s="64" t="s">
        <v>420</v>
      </c>
      <c r="H1503" s="419" t="s">
        <v>459</v>
      </c>
      <c r="I1503" s="420"/>
      <c r="K1503" s="57" t="s">
        <v>660</v>
      </c>
      <c r="L1503" s="57" t="s">
        <v>255</v>
      </c>
      <c r="S1503" s="57">
        <v>0</v>
      </c>
    </row>
    <row r="1504" spans="1:19" ht="11.85" customHeight="1" x14ac:dyDescent="0.2">
      <c r="A1504" s="57" t="s">
        <v>660</v>
      </c>
      <c r="B1504" s="424"/>
      <c r="C1504" s="425"/>
      <c r="D1504" s="426"/>
      <c r="E1504" s="419" t="s">
        <v>460</v>
      </c>
      <c r="F1504" s="420"/>
      <c r="G1504" s="64" t="s">
        <v>461</v>
      </c>
      <c r="H1504" s="419" t="s">
        <v>423</v>
      </c>
      <c r="I1504" s="420"/>
      <c r="K1504" s="57" t="s">
        <v>660</v>
      </c>
      <c r="L1504" s="57" t="s">
        <v>255</v>
      </c>
      <c r="S1504" s="65">
        <v>33.17</v>
      </c>
    </row>
    <row r="1505" spans="1:19" ht="11.85" customHeight="1" x14ac:dyDescent="0.2">
      <c r="A1505" s="57" t="s">
        <v>660</v>
      </c>
      <c r="B1505" s="416"/>
      <c r="C1505" s="417"/>
      <c r="D1505" s="418"/>
      <c r="E1505" s="419" t="s">
        <v>462</v>
      </c>
      <c r="F1505" s="420"/>
      <c r="G1505" s="64" t="s">
        <v>424</v>
      </c>
      <c r="H1505" s="419" t="s">
        <v>463</v>
      </c>
      <c r="I1505" s="420"/>
      <c r="K1505" s="57" t="s">
        <v>660</v>
      </c>
      <c r="L1505" s="57" t="s">
        <v>255</v>
      </c>
      <c r="S1505" s="57">
        <v>0</v>
      </c>
    </row>
    <row r="1506" spans="1:19" ht="11.85" customHeight="1" x14ac:dyDescent="0.2">
      <c r="A1506" s="57" t="s">
        <v>660</v>
      </c>
      <c r="B1506" s="413" t="s">
        <v>426</v>
      </c>
      <c r="C1506" s="414"/>
      <c r="D1506" s="415"/>
      <c r="E1506" s="419" t="s">
        <v>408</v>
      </c>
      <c r="F1506" s="420"/>
      <c r="G1506" s="64" t="s">
        <v>420</v>
      </c>
      <c r="H1506" s="419" t="s">
        <v>427</v>
      </c>
      <c r="I1506" s="420"/>
      <c r="K1506" s="57" t="s">
        <v>660</v>
      </c>
      <c r="L1506" s="57" t="s">
        <v>255</v>
      </c>
      <c r="S1506" s="57">
        <v>0</v>
      </c>
    </row>
    <row r="1507" spans="1:19" ht="11.1" customHeight="1" x14ac:dyDescent="0.2">
      <c r="A1507" s="57" t="s">
        <v>660</v>
      </c>
      <c r="B1507" s="424"/>
      <c r="C1507" s="425"/>
      <c r="D1507" s="426"/>
      <c r="E1507" s="419" t="s">
        <v>409</v>
      </c>
      <c r="F1507" s="420"/>
      <c r="G1507" s="64" t="s">
        <v>417</v>
      </c>
      <c r="H1507" s="419" t="s">
        <v>428</v>
      </c>
      <c r="I1507" s="420"/>
      <c r="K1507" s="57" t="s">
        <v>660</v>
      </c>
      <c r="L1507" s="57" t="s">
        <v>255</v>
      </c>
      <c r="S1507" s="57">
        <v>0</v>
      </c>
    </row>
    <row r="1508" spans="1:19" ht="11.85" customHeight="1" x14ac:dyDescent="0.2">
      <c r="A1508" s="57" t="s">
        <v>660</v>
      </c>
      <c r="B1508" s="416"/>
      <c r="C1508" s="417"/>
      <c r="D1508" s="418"/>
      <c r="E1508" s="419" t="s">
        <v>410</v>
      </c>
      <c r="F1508" s="420"/>
      <c r="G1508" s="64" t="s">
        <v>417</v>
      </c>
      <c r="H1508" s="419" t="s">
        <v>415</v>
      </c>
      <c r="I1508" s="420"/>
      <c r="K1508" s="57" t="s">
        <v>660</v>
      </c>
      <c r="L1508" s="57" t="s">
        <v>255</v>
      </c>
      <c r="S1508" s="57">
        <v>0</v>
      </c>
    </row>
    <row r="1509" spans="1:19" ht="11.85" customHeight="1" x14ac:dyDescent="0.2">
      <c r="A1509" s="57" t="s">
        <v>660</v>
      </c>
      <c r="B1509" s="62"/>
      <c r="C1509" s="411" t="s">
        <v>661</v>
      </c>
      <c r="D1509" s="412"/>
      <c r="E1509" s="412"/>
      <c r="F1509" s="412"/>
      <c r="G1509" s="412"/>
      <c r="H1509" s="412"/>
      <c r="I1509" s="411"/>
      <c r="K1509" s="57" t="s">
        <v>660</v>
      </c>
      <c r="L1509" s="57" t="s">
        <v>255</v>
      </c>
      <c r="S1509" s="57">
        <v>0</v>
      </c>
    </row>
    <row r="1510" spans="1:19" ht="11.85" customHeight="1" x14ac:dyDescent="0.2">
      <c r="A1510" s="57" t="s">
        <v>661</v>
      </c>
      <c r="B1510" s="413" t="s">
        <v>412</v>
      </c>
      <c r="C1510" s="414"/>
      <c r="D1510" s="415"/>
      <c r="E1510" s="419" t="s">
        <v>400</v>
      </c>
      <c r="F1510" s="420"/>
      <c r="G1510" s="64" t="s">
        <v>413</v>
      </c>
      <c r="H1510" s="419" t="s">
        <v>414</v>
      </c>
      <c r="I1510" s="420"/>
      <c r="K1510" s="57" t="s">
        <v>661</v>
      </c>
      <c r="L1510" s="57" t="s">
        <v>256</v>
      </c>
      <c r="S1510" s="57">
        <v>0</v>
      </c>
    </row>
    <row r="1511" spans="1:19" ht="11.1" customHeight="1" x14ac:dyDescent="0.2">
      <c r="A1511" s="57" t="s">
        <v>661</v>
      </c>
      <c r="B1511" s="416"/>
      <c r="C1511" s="417"/>
      <c r="D1511" s="418"/>
      <c r="E1511" s="419" t="s">
        <v>401</v>
      </c>
      <c r="F1511" s="420"/>
      <c r="G1511" s="64" t="s">
        <v>413</v>
      </c>
      <c r="H1511" s="419" t="s">
        <v>415</v>
      </c>
      <c r="I1511" s="420"/>
      <c r="K1511" s="57" t="s">
        <v>661</v>
      </c>
      <c r="L1511" s="57" t="s">
        <v>256</v>
      </c>
      <c r="S1511" s="57">
        <v>0</v>
      </c>
    </row>
    <row r="1512" spans="1:19" ht="11.85" customHeight="1" x14ac:dyDescent="0.2">
      <c r="A1512" s="57" t="s">
        <v>661</v>
      </c>
      <c r="B1512" s="413" t="s">
        <v>416</v>
      </c>
      <c r="C1512" s="414"/>
      <c r="D1512" s="415"/>
      <c r="E1512" s="419" t="s">
        <v>402</v>
      </c>
      <c r="F1512" s="420"/>
      <c r="G1512" s="64" t="s">
        <v>417</v>
      </c>
      <c r="H1512" s="419" t="s">
        <v>418</v>
      </c>
      <c r="I1512" s="420"/>
      <c r="K1512" s="57" t="s">
        <v>661</v>
      </c>
      <c r="L1512" s="57" t="s">
        <v>256</v>
      </c>
      <c r="S1512" s="57">
        <v>0</v>
      </c>
    </row>
    <row r="1513" spans="1:19" ht="11.85" customHeight="1" x14ac:dyDescent="0.2">
      <c r="A1513" s="57" t="s">
        <v>661</v>
      </c>
      <c r="B1513" s="424"/>
      <c r="C1513" s="425"/>
      <c r="D1513" s="426"/>
      <c r="E1513" s="419" t="s">
        <v>403</v>
      </c>
      <c r="F1513" s="420"/>
      <c r="G1513" s="64" t="s">
        <v>417</v>
      </c>
      <c r="H1513" s="419" t="s">
        <v>418</v>
      </c>
      <c r="I1513" s="420"/>
      <c r="K1513" s="57" t="s">
        <v>661</v>
      </c>
      <c r="L1513" s="57" t="s">
        <v>256</v>
      </c>
      <c r="S1513" s="57">
        <v>0</v>
      </c>
    </row>
    <row r="1514" spans="1:19" ht="11.85" customHeight="1" x14ac:dyDescent="0.2">
      <c r="A1514" s="57" t="s">
        <v>661</v>
      </c>
      <c r="B1514" s="424"/>
      <c r="C1514" s="425"/>
      <c r="D1514" s="426"/>
      <c r="E1514" s="419" t="s">
        <v>404</v>
      </c>
      <c r="F1514" s="420"/>
      <c r="G1514" s="64" t="s">
        <v>413</v>
      </c>
      <c r="H1514" s="419" t="s">
        <v>419</v>
      </c>
      <c r="I1514" s="420"/>
      <c r="K1514" s="57" t="s">
        <v>661</v>
      </c>
      <c r="L1514" s="57" t="s">
        <v>256</v>
      </c>
      <c r="S1514" s="57">
        <v>0</v>
      </c>
    </row>
    <row r="1515" spans="1:19" ht="11.1" customHeight="1" x14ac:dyDescent="0.2">
      <c r="A1515" s="57" t="s">
        <v>661</v>
      </c>
      <c r="B1515" s="424"/>
      <c r="C1515" s="425"/>
      <c r="D1515" s="426"/>
      <c r="E1515" s="419" t="s">
        <v>405</v>
      </c>
      <c r="F1515" s="420"/>
      <c r="G1515" s="64" t="s">
        <v>420</v>
      </c>
      <c r="H1515" s="419" t="s">
        <v>421</v>
      </c>
      <c r="I1515" s="420"/>
      <c r="K1515" s="57" t="s">
        <v>661</v>
      </c>
      <c r="L1515" s="57" t="s">
        <v>256</v>
      </c>
      <c r="S1515" s="57">
        <v>0</v>
      </c>
    </row>
    <row r="1516" spans="1:19" ht="11.85" customHeight="1" x14ac:dyDescent="0.2">
      <c r="A1516" s="57" t="s">
        <v>661</v>
      </c>
      <c r="B1516" s="424"/>
      <c r="C1516" s="425"/>
      <c r="D1516" s="426"/>
      <c r="E1516" s="419" t="s">
        <v>406</v>
      </c>
      <c r="F1516" s="420"/>
      <c r="G1516" s="64" t="s">
        <v>422</v>
      </c>
      <c r="H1516" s="419" t="s">
        <v>423</v>
      </c>
      <c r="I1516" s="420"/>
      <c r="K1516" s="57" t="s">
        <v>661</v>
      </c>
      <c r="L1516" s="57" t="s">
        <v>256</v>
      </c>
      <c r="S1516" s="65">
        <v>48.44</v>
      </c>
    </row>
    <row r="1517" spans="1:19" ht="11.85" customHeight="1" x14ac:dyDescent="0.2">
      <c r="A1517" s="57" t="s">
        <v>661</v>
      </c>
      <c r="B1517" s="416"/>
      <c r="C1517" s="417"/>
      <c r="D1517" s="418"/>
      <c r="E1517" s="419" t="s">
        <v>407</v>
      </c>
      <c r="F1517" s="420"/>
      <c r="G1517" s="64" t="s">
        <v>424</v>
      </c>
      <c r="H1517" s="419" t="s">
        <v>425</v>
      </c>
      <c r="I1517" s="420"/>
      <c r="K1517" s="57" t="s">
        <v>661</v>
      </c>
      <c r="L1517" s="57" t="s">
        <v>256</v>
      </c>
      <c r="S1517" s="57">
        <v>0</v>
      </c>
    </row>
    <row r="1518" spans="1:19" ht="11.85" customHeight="1" x14ac:dyDescent="0.2">
      <c r="A1518" s="57" t="s">
        <v>661</v>
      </c>
      <c r="B1518" s="413" t="s">
        <v>426</v>
      </c>
      <c r="C1518" s="414"/>
      <c r="D1518" s="415"/>
      <c r="E1518" s="419" t="s">
        <v>408</v>
      </c>
      <c r="F1518" s="420"/>
      <c r="G1518" s="64" t="s">
        <v>420</v>
      </c>
      <c r="H1518" s="419" t="s">
        <v>427</v>
      </c>
      <c r="I1518" s="420"/>
      <c r="K1518" s="57" t="s">
        <v>661</v>
      </c>
      <c r="L1518" s="57" t="s">
        <v>256</v>
      </c>
      <c r="S1518" s="57">
        <v>0</v>
      </c>
    </row>
    <row r="1519" spans="1:19" ht="11.1" customHeight="1" x14ac:dyDescent="0.2">
      <c r="A1519" s="57" t="s">
        <v>661</v>
      </c>
      <c r="B1519" s="424"/>
      <c r="C1519" s="425"/>
      <c r="D1519" s="426"/>
      <c r="E1519" s="419" t="s">
        <v>409</v>
      </c>
      <c r="F1519" s="420"/>
      <c r="G1519" s="64" t="s">
        <v>417</v>
      </c>
      <c r="H1519" s="419" t="s">
        <v>428</v>
      </c>
      <c r="I1519" s="420"/>
      <c r="K1519" s="57" t="s">
        <v>661</v>
      </c>
      <c r="L1519" s="57" t="s">
        <v>256</v>
      </c>
      <c r="S1519" s="57">
        <v>0</v>
      </c>
    </row>
    <row r="1520" spans="1:19" ht="11.85" customHeight="1" x14ac:dyDescent="0.2">
      <c r="A1520" s="57" t="s">
        <v>661</v>
      </c>
      <c r="B1520" s="416"/>
      <c r="C1520" s="417"/>
      <c r="D1520" s="418"/>
      <c r="E1520" s="419" t="s">
        <v>410</v>
      </c>
      <c r="F1520" s="420"/>
      <c r="G1520" s="64" t="s">
        <v>417</v>
      </c>
      <c r="H1520" s="419" t="s">
        <v>415</v>
      </c>
      <c r="I1520" s="420"/>
      <c r="K1520" s="57" t="s">
        <v>661</v>
      </c>
      <c r="L1520" s="57" t="s">
        <v>256</v>
      </c>
      <c r="S1520" s="57">
        <v>0</v>
      </c>
    </row>
    <row r="1521" spans="1:19" ht="11.85" customHeight="1" x14ac:dyDescent="0.2">
      <c r="A1521" s="57" t="s">
        <v>661</v>
      </c>
      <c r="B1521" s="62"/>
      <c r="C1521" s="411" t="s">
        <v>662</v>
      </c>
      <c r="D1521" s="412"/>
      <c r="E1521" s="412"/>
      <c r="F1521" s="412"/>
      <c r="G1521" s="412"/>
      <c r="H1521" s="412"/>
      <c r="I1521" s="411"/>
      <c r="K1521" s="57" t="s">
        <v>661</v>
      </c>
      <c r="L1521" s="57" t="s">
        <v>256</v>
      </c>
      <c r="S1521" s="57">
        <v>0</v>
      </c>
    </row>
    <row r="1522" spans="1:19" ht="11.85" customHeight="1" x14ac:dyDescent="0.2">
      <c r="A1522" s="57" t="s">
        <v>662</v>
      </c>
      <c r="B1522" s="413" t="s">
        <v>412</v>
      </c>
      <c r="C1522" s="414"/>
      <c r="D1522" s="415"/>
      <c r="E1522" s="419" t="s">
        <v>400</v>
      </c>
      <c r="F1522" s="420"/>
      <c r="G1522" s="64" t="s">
        <v>413</v>
      </c>
      <c r="H1522" s="419" t="s">
        <v>414</v>
      </c>
      <c r="I1522" s="420"/>
      <c r="K1522" s="57" t="s">
        <v>662</v>
      </c>
      <c r="L1522" s="57" t="s">
        <v>257</v>
      </c>
      <c r="S1522" s="57">
        <v>0</v>
      </c>
    </row>
    <row r="1523" spans="1:19" ht="11.1" customHeight="1" x14ac:dyDescent="0.2">
      <c r="A1523" s="57" t="s">
        <v>662</v>
      </c>
      <c r="B1523" s="416"/>
      <c r="C1523" s="417"/>
      <c r="D1523" s="418"/>
      <c r="E1523" s="419" t="s">
        <v>401</v>
      </c>
      <c r="F1523" s="420"/>
      <c r="G1523" s="64" t="s">
        <v>413</v>
      </c>
      <c r="H1523" s="419" t="s">
        <v>415</v>
      </c>
      <c r="I1523" s="420"/>
      <c r="K1523" s="57" t="s">
        <v>662</v>
      </c>
      <c r="L1523" s="57" t="s">
        <v>257</v>
      </c>
      <c r="S1523" s="57">
        <v>0</v>
      </c>
    </row>
    <row r="1524" spans="1:19" ht="11.85" customHeight="1" x14ac:dyDescent="0.2">
      <c r="A1524" s="57" t="s">
        <v>662</v>
      </c>
      <c r="B1524" s="413" t="s">
        <v>416</v>
      </c>
      <c r="C1524" s="414"/>
      <c r="D1524" s="415"/>
      <c r="E1524" s="419" t="s">
        <v>402</v>
      </c>
      <c r="F1524" s="420"/>
      <c r="G1524" s="64" t="s">
        <v>417</v>
      </c>
      <c r="H1524" s="419" t="s">
        <v>418</v>
      </c>
      <c r="I1524" s="420"/>
      <c r="K1524" s="57" t="s">
        <v>662</v>
      </c>
      <c r="L1524" s="57" t="s">
        <v>257</v>
      </c>
      <c r="S1524" s="57">
        <v>0</v>
      </c>
    </row>
    <row r="1525" spans="1:19" ht="11.85" customHeight="1" x14ac:dyDescent="0.2">
      <c r="A1525" s="57" t="s">
        <v>662</v>
      </c>
      <c r="B1525" s="424"/>
      <c r="C1525" s="425"/>
      <c r="D1525" s="426"/>
      <c r="E1525" s="419" t="s">
        <v>403</v>
      </c>
      <c r="F1525" s="420"/>
      <c r="G1525" s="64" t="s">
        <v>417</v>
      </c>
      <c r="H1525" s="419" t="s">
        <v>418</v>
      </c>
      <c r="I1525" s="420"/>
      <c r="K1525" s="57" t="s">
        <v>662</v>
      </c>
      <c r="L1525" s="57" t="s">
        <v>257</v>
      </c>
      <c r="S1525" s="57">
        <v>0</v>
      </c>
    </row>
    <row r="1526" spans="1:19" ht="11.85" customHeight="1" x14ac:dyDescent="0.2">
      <c r="A1526" s="57" t="s">
        <v>662</v>
      </c>
      <c r="B1526" s="424"/>
      <c r="C1526" s="425"/>
      <c r="D1526" s="426"/>
      <c r="E1526" s="419" t="s">
        <v>404</v>
      </c>
      <c r="F1526" s="420"/>
      <c r="G1526" s="64" t="s">
        <v>413</v>
      </c>
      <c r="H1526" s="419" t="s">
        <v>419</v>
      </c>
      <c r="I1526" s="420"/>
      <c r="K1526" s="57" t="s">
        <v>662</v>
      </c>
      <c r="L1526" s="57" t="s">
        <v>257</v>
      </c>
      <c r="S1526" s="57">
        <v>0</v>
      </c>
    </row>
    <row r="1527" spans="1:19" ht="11.1" customHeight="1" x14ac:dyDescent="0.2">
      <c r="A1527" s="57" t="s">
        <v>662</v>
      </c>
      <c r="B1527" s="424"/>
      <c r="C1527" s="425"/>
      <c r="D1527" s="426"/>
      <c r="E1527" s="419" t="s">
        <v>405</v>
      </c>
      <c r="F1527" s="420"/>
      <c r="G1527" s="64" t="s">
        <v>420</v>
      </c>
      <c r="H1527" s="419" t="s">
        <v>421</v>
      </c>
      <c r="I1527" s="420"/>
      <c r="K1527" s="57" t="s">
        <v>662</v>
      </c>
      <c r="L1527" s="57" t="s">
        <v>257</v>
      </c>
      <c r="S1527" s="57">
        <v>0</v>
      </c>
    </row>
    <row r="1528" spans="1:19" ht="11.85" customHeight="1" x14ac:dyDescent="0.2">
      <c r="A1528" s="57" t="s">
        <v>662</v>
      </c>
      <c r="B1528" s="424"/>
      <c r="C1528" s="425"/>
      <c r="D1528" s="426"/>
      <c r="E1528" s="419" t="s">
        <v>406</v>
      </c>
      <c r="F1528" s="420"/>
      <c r="G1528" s="64" t="s">
        <v>422</v>
      </c>
      <c r="H1528" s="419" t="s">
        <v>423</v>
      </c>
      <c r="I1528" s="420"/>
      <c r="K1528" s="57" t="s">
        <v>662</v>
      </c>
      <c r="L1528" s="57" t="s">
        <v>257</v>
      </c>
      <c r="S1528" s="65">
        <v>48.44</v>
      </c>
    </row>
    <row r="1529" spans="1:19" ht="11.85" customHeight="1" x14ac:dyDescent="0.2">
      <c r="A1529" s="57" t="s">
        <v>662</v>
      </c>
      <c r="B1529" s="416"/>
      <c r="C1529" s="417"/>
      <c r="D1529" s="418"/>
      <c r="E1529" s="419" t="s">
        <v>407</v>
      </c>
      <c r="F1529" s="420"/>
      <c r="G1529" s="64" t="s">
        <v>424</v>
      </c>
      <c r="H1529" s="419" t="s">
        <v>425</v>
      </c>
      <c r="I1529" s="420"/>
      <c r="K1529" s="57" t="s">
        <v>662</v>
      </c>
      <c r="L1529" s="57" t="s">
        <v>257</v>
      </c>
      <c r="S1529" s="57">
        <v>0</v>
      </c>
    </row>
    <row r="1530" spans="1:19" ht="11.85" customHeight="1" x14ac:dyDescent="0.2">
      <c r="A1530" s="57" t="s">
        <v>662</v>
      </c>
      <c r="B1530" s="413" t="s">
        <v>426</v>
      </c>
      <c r="C1530" s="414"/>
      <c r="D1530" s="415"/>
      <c r="E1530" s="419" t="s">
        <v>408</v>
      </c>
      <c r="F1530" s="420"/>
      <c r="G1530" s="64" t="s">
        <v>420</v>
      </c>
      <c r="H1530" s="419" t="s">
        <v>427</v>
      </c>
      <c r="I1530" s="420"/>
      <c r="K1530" s="57" t="s">
        <v>662</v>
      </c>
      <c r="L1530" s="57" t="s">
        <v>257</v>
      </c>
      <c r="S1530" s="57">
        <v>0</v>
      </c>
    </row>
    <row r="1531" spans="1:19" ht="11.1" customHeight="1" x14ac:dyDescent="0.2">
      <c r="A1531" s="57" t="s">
        <v>662</v>
      </c>
      <c r="B1531" s="424"/>
      <c r="C1531" s="425"/>
      <c r="D1531" s="426"/>
      <c r="E1531" s="419" t="s">
        <v>409</v>
      </c>
      <c r="F1531" s="420"/>
      <c r="G1531" s="64" t="s">
        <v>417</v>
      </c>
      <c r="H1531" s="419" t="s">
        <v>428</v>
      </c>
      <c r="I1531" s="420"/>
      <c r="K1531" s="57" t="s">
        <v>662</v>
      </c>
      <c r="L1531" s="57" t="s">
        <v>257</v>
      </c>
      <c r="S1531" s="57">
        <v>0</v>
      </c>
    </row>
    <row r="1532" spans="1:19" ht="11.85" customHeight="1" x14ac:dyDescent="0.2">
      <c r="A1532" s="57" t="s">
        <v>662</v>
      </c>
      <c r="B1532" s="416"/>
      <c r="C1532" s="417"/>
      <c r="D1532" s="418"/>
      <c r="E1532" s="419" t="s">
        <v>410</v>
      </c>
      <c r="F1532" s="420"/>
      <c r="G1532" s="64" t="s">
        <v>417</v>
      </c>
      <c r="H1532" s="419" t="s">
        <v>415</v>
      </c>
      <c r="I1532" s="420"/>
      <c r="K1532" s="57" t="s">
        <v>662</v>
      </c>
      <c r="L1532" s="57" t="s">
        <v>257</v>
      </c>
      <c r="S1532" s="57">
        <v>0</v>
      </c>
    </row>
    <row r="1533" spans="1:19" ht="11.85" customHeight="1" x14ac:dyDescent="0.2">
      <c r="A1533" s="57" t="s">
        <v>662</v>
      </c>
      <c r="B1533" s="62"/>
      <c r="C1533" s="411" t="s">
        <v>663</v>
      </c>
      <c r="D1533" s="412"/>
      <c r="E1533" s="412"/>
      <c r="F1533" s="412"/>
      <c r="G1533" s="412"/>
      <c r="H1533" s="412"/>
      <c r="I1533" s="411"/>
      <c r="K1533" s="57" t="s">
        <v>662</v>
      </c>
      <c r="L1533" s="57" t="s">
        <v>257</v>
      </c>
      <c r="S1533" s="57">
        <v>0</v>
      </c>
    </row>
    <row r="1534" spans="1:19" ht="11.85" customHeight="1" x14ac:dyDescent="0.2">
      <c r="A1534" s="57" t="s">
        <v>663</v>
      </c>
      <c r="B1534" s="413" t="s">
        <v>416</v>
      </c>
      <c r="C1534" s="414"/>
      <c r="D1534" s="415"/>
      <c r="E1534" s="419" t="s">
        <v>402</v>
      </c>
      <c r="F1534" s="420"/>
      <c r="G1534" s="64" t="s">
        <v>417</v>
      </c>
      <c r="H1534" s="419" t="s">
        <v>457</v>
      </c>
      <c r="I1534" s="420"/>
      <c r="K1534" s="57" t="s">
        <v>663</v>
      </c>
      <c r="L1534" s="57" t="s">
        <v>258</v>
      </c>
      <c r="S1534" s="57">
        <v>0</v>
      </c>
    </row>
    <row r="1535" spans="1:19" ht="11.1" customHeight="1" x14ac:dyDescent="0.2">
      <c r="A1535" s="57" t="s">
        <v>663</v>
      </c>
      <c r="B1535" s="424"/>
      <c r="C1535" s="425"/>
      <c r="D1535" s="426"/>
      <c r="E1535" s="419" t="s">
        <v>403</v>
      </c>
      <c r="F1535" s="420"/>
      <c r="G1535" s="64" t="s">
        <v>417</v>
      </c>
      <c r="H1535" s="419" t="s">
        <v>457</v>
      </c>
      <c r="I1535" s="420"/>
      <c r="K1535" s="57" t="s">
        <v>663</v>
      </c>
      <c r="L1535" s="57" t="s">
        <v>258</v>
      </c>
      <c r="S1535" s="57">
        <v>0</v>
      </c>
    </row>
    <row r="1536" spans="1:19" ht="11.85" customHeight="1" x14ac:dyDescent="0.2">
      <c r="A1536" s="57" t="s">
        <v>663</v>
      </c>
      <c r="B1536" s="424"/>
      <c r="C1536" s="425"/>
      <c r="D1536" s="426"/>
      <c r="E1536" s="419" t="s">
        <v>404</v>
      </c>
      <c r="F1536" s="420"/>
      <c r="G1536" s="64" t="s">
        <v>413</v>
      </c>
      <c r="H1536" s="419" t="s">
        <v>458</v>
      </c>
      <c r="I1536" s="420"/>
      <c r="K1536" s="57" t="s">
        <v>663</v>
      </c>
      <c r="L1536" s="57" t="s">
        <v>258</v>
      </c>
      <c r="S1536" s="57">
        <v>0</v>
      </c>
    </row>
    <row r="1537" spans="1:19" ht="11.85" customHeight="1" x14ac:dyDescent="0.2">
      <c r="A1537" s="57" t="s">
        <v>663</v>
      </c>
      <c r="B1537" s="424"/>
      <c r="C1537" s="425"/>
      <c r="D1537" s="426"/>
      <c r="E1537" s="419" t="s">
        <v>405</v>
      </c>
      <c r="F1537" s="420"/>
      <c r="G1537" s="64" t="s">
        <v>420</v>
      </c>
      <c r="H1537" s="419" t="s">
        <v>459</v>
      </c>
      <c r="I1537" s="420"/>
      <c r="K1537" s="57" t="s">
        <v>663</v>
      </c>
      <c r="L1537" s="57" t="s">
        <v>258</v>
      </c>
      <c r="S1537" s="57">
        <v>0</v>
      </c>
    </row>
    <row r="1538" spans="1:19" ht="11.85" customHeight="1" x14ac:dyDescent="0.2">
      <c r="A1538" s="57" t="s">
        <v>663</v>
      </c>
      <c r="B1538" s="424"/>
      <c r="C1538" s="425"/>
      <c r="D1538" s="426"/>
      <c r="E1538" s="419" t="s">
        <v>460</v>
      </c>
      <c r="F1538" s="420"/>
      <c r="G1538" s="64" t="s">
        <v>461</v>
      </c>
      <c r="H1538" s="419" t="s">
        <v>423</v>
      </c>
      <c r="I1538" s="420"/>
      <c r="K1538" s="57" t="s">
        <v>663</v>
      </c>
      <c r="L1538" s="57" t="s">
        <v>258</v>
      </c>
      <c r="S1538" s="65">
        <v>33.17</v>
      </c>
    </row>
    <row r="1539" spans="1:19" ht="11.1" customHeight="1" x14ac:dyDescent="0.2">
      <c r="A1539" s="57" t="s">
        <v>663</v>
      </c>
      <c r="B1539" s="416"/>
      <c r="C1539" s="417"/>
      <c r="D1539" s="418"/>
      <c r="E1539" s="419" t="s">
        <v>462</v>
      </c>
      <c r="F1539" s="420"/>
      <c r="G1539" s="64" t="s">
        <v>424</v>
      </c>
      <c r="H1539" s="419" t="s">
        <v>463</v>
      </c>
      <c r="I1539" s="420"/>
      <c r="K1539" s="57" t="s">
        <v>663</v>
      </c>
      <c r="L1539" s="57" t="s">
        <v>258</v>
      </c>
      <c r="S1539" s="57">
        <v>0</v>
      </c>
    </row>
    <row r="1540" spans="1:19" ht="11.85" customHeight="1" x14ac:dyDescent="0.2">
      <c r="A1540" s="57" t="s">
        <v>663</v>
      </c>
      <c r="B1540" s="62"/>
      <c r="C1540" s="411" t="s">
        <v>664</v>
      </c>
      <c r="D1540" s="412"/>
      <c r="E1540" s="412"/>
      <c r="F1540" s="412"/>
      <c r="G1540" s="412"/>
      <c r="H1540" s="412"/>
      <c r="I1540" s="411"/>
      <c r="K1540" s="57" t="s">
        <v>663</v>
      </c>
      <c r="L1540" s="57" t="s">
        <v>258</v>
      </c>
      <c r="S1540" s="57">
        <v>0</v>
      </c>
    </row>
    <row r="1541" spans="1:19" ht="11.85" customHeight="1" x14ac:dyDescent="0.2">
      <c r="A1541" s="57" t="s">
        <v>664</v>
      </c>
      <c r="B1541" s="413" t="s">
        <v>416</v>
      </c>
      <c r="C1541" s="414"/>
      <c r="D1541" s="415"/>
      <c r="E1541" s="419" t="s">
        <v>402</v>
      </c>
      <c r="F1541" s="420"/>
      <c r="G1541" s="64" t="s">
        <v>417</v>
      </c>
      <c r="H1541" s="419" t="s">
        <v>437</v>
      </c>
      <c r="I1541" s="420"/>
      <c r="K1541" s="57" t="s">
        <v>664</v>
      </c>
      <c r="L1541" s="57" t="s">
        <v>259</v>
      </c>
      <c r="S1541" s="57">
        <v>0</v>
      </c>
    </row>
    <row r="1542" spans="1:19" ht="11.85" customHeight="1" x14ac:dyDescent="0.2">
      <c r="A1542" s="57" t="s">
        <v>664</v>
      </c>
      <c r="B1542" s="416"/>
      <c r="C1542" s="417"/>
      <c r="D1542" s="418"/>
      <c r="E1542" s="419" t="s">
        <v>403</v>
      </c>
      <c r="F1542" s="420"/>
      <c r="G1542" s="64" t="s">
        <v>417</v>
      </c>
      <c r="H1542" s="419" t="s">
        <v>437</v>
      </c>
      <c r="I1542" s="420"/>
      <c r="K1542" s="57" t="s">
        <v>664</v>
      </c>
      <c r="L1542" s="57" t="s">
        <v>259</v>
      </c>
      <c r="S1542" s="57">
        <v>0</v>
      </c>
    </row>
    <row r="1543" spans="1:19" ht="11.85" customHeight="1" x14ac:dyDescent="0.2">
      <c r="A1543" s="57" t="s">
        <v>664</v>
      </c>
      <c r="B1543" s="413" t="s">
        <v>416</v>
      </c>
      <c r="C1543" s="414"/>
      <c r="D1543" s="415"/>
      <c r="E1543" s="419" t="s">
        <v>404</v>
      </c>
      <c r="F1543" s="420"/>
      <c r="G1543" s="64" t="s">
        <v>413</v>
      </c>
      <c r="H1543" s="419" t="s">
        <v>478</v>
      </c>
      <c r="I1543" s="420"/>
      <c r="K1543" s="57" t="s">
        <v>664</v>
      </c>
      <c r="L1543" s="57" t="s">
        <v>259</v>
      </c>
      <c r="S1543" s="57">
        <v>0</v>
      </c>
    </row>
    <row r="1544" spans="1:19" ht="11.85" customHeight="1" x14ac:dyDescent="0.2">
      <c r="A1544" s="57" t="s">
        <v>664</v>
      </c>
      <c r="B1544" s="424"/>
      <c r="C1544" s="425"/>
      <c r="D1544" s="426"/>
      <c r="E1544" s="419" t="s">
        <v>405</v>
      </c>
      <c r="F1544" s="420"/>
      <c r="G1544" s="64" t="s">
        <v>420</v>
      </c>
      <c r="H1544" s="419" t="s">
        <v>439</v>
      </c>
      <c r="I1544" s="420"/>
      <c r="K1544" s="57" t="s">
        <v>664</v>
      </c>
      <c r="L1544" s="57" t="s">
        <v>259</v>
      </c>
      <c r="S1544" s="57">
        <v>0</v>
      </c>
    </row>
    <row r="1545" spans="1:19" ht="11.85" customHeight="1" x14ac:dyDescent="0.2">
      <c r="A1545" s="57" t="s">
        <v>664</v>
      </c>
      <c r="B1545" s="424"/>
      <c r="C1545" s="425"/>
      <c r="D1545" s="426"/>
      <c r="E1545" s="419" t="s">
        <v>440</v>
      </c>
      <c r="F1545" s="420"/>
      <c r="G1545" s="64" t="s">
        <v>441</v>
      </c>
      <c r="H1545" s="419" t="s">
        <v>423</v>
      </c>
      <c r="I1545" s="420"/>
      <c r="K1545" s="57" t="s">
        <v>664</v>
      </c>
      <c r="L1545" s="57" t="s">
        <v>259</v>
      </c>
      <c r="S1545" s="65">
        <v>48.16</v>
      </c>
    </row>
    <row r="1546" spans="1:19" ht="11.1" customHeight="1" x14ac:dyDescent="0.2">
      <c r="A1546" s="57" t="s">
        <v>664</v>
      </c>
      <c r="B1546" s="416"/>
      <c r="C1546" s="417"/>
      <c r="D1546" s="418"/>
      <c r="E1546" s="419" t="s">
        <v>442</v>
      </c>
      <c r="F1546" s="420"/>
      <c r="G1546" s="64" t="s">
        <v>443</v>
      </c>
      <c r="H1546" s="419" t="s">
        <v>425</v>
      </c>
      <c r="I1546" s="420"/>
      <c r="K1546" s="57" t="s">
        <v>664</v>
      </c>
      <c r="L1546" s="57" t="s">
        <v>259</v>
      </c>
      <c r="S1546" s="57">
        <v>0</v>
      </c>
    </row>
    <row r="1547" spans="1:19" ht="11.85" customHeight="1" x14ac:dyDescent="0.2">
      <c r="A1547" s="57" t="s">
        <v>664</v>
      </c>
      <c r="B1547" s="62"/>
      <c r="C1547" s="411" t="s">
        <v>665</v>
      </c>
      <c r="D1547" s="412"/>
      <c r="E1547" s="412"/>
      <c r="F1547" s="412"/>
      <c r="G1547" s="412"/>
      <c r="H1547" s="412"/>
      <c r="I1547" s="411"/>
      <c r="K1547" s="57" t="s">
        <v>664</v>
      </c>
      <c r="L1547" s="57" t="s">
        <v>259</v>
      </c>
      <c r="S1547" s="57">
        <v>0</v>
      </c>
    </row>
    <row r="1548" spans="1:19" ht="11.85" customHeight="1" x14ac:dyDescent="0.2">
      <c r="A1548" s="57" t="s">
        <v>665</v>
      </c>
      <c r="B1548" s="413" t="s">
        <v>471</v>
      </c>
      <c r="C1548" s="427"/>
      <c r="D1548" s="428"/>
      <c r="E1548" s="419" t="s">
        <v>502</v>
      </c>
      <c r="F1548" s="420"/>
      <c r="G1548" s="64" t="s">
        <v>503</v>
      </c>
      <c r="H1548" s="419" t="s">
        <v>423</v>
      </c>
      <c r="I1548" s="420"/>
      <c r="K1548" s="57" t="s">
        <v>665</v>
      </c>
      <c r="L1548" s="57" t="s">
        <v>900</v>
      </c>
      <c r="S1548" s="57">
        <v>0</v>
      </c>
    </row>
    <row r="1549" spans="1:19" ht="11.85" customHeight="1" x14ac:dyDescent="0.2">
      <c r="A1549" s="57" t="s">
        <v>665</v>
      </c>
      <c r="B1549" s="62"/>
      <c r="C1549" s="411" t="s">
        <v>666</v>
      </c>
      <c r="D1549" s="412"/>
      <c r="E1549" s="412"/>
      <c r="F1549" s="412"/>
      <c r="G1549" s="412"/>
      <c r="H1549" s="412"/>
      <c r="I1549" s="411"/>
      <c r="K1549" s="57" t="s">
        <v>665</v>
      </c>
      <c r="L1549" s="57" t="s">
        <v>900</v>
      </c>
      <c r="S1549" s="57">
        <v>0</v>
      </c>
    </row>
    <row r="1550" spans="1:19" ht="11.1" customHeight="1" x14ac:dyDescent="0.2">
      <c r="A1550" s="57" t="s">
        <v>666</v>
      </c>
      <c r="B1550" s="413" t="s">
        <v>471</v>
      </c>
      <c r="C1550" s="427"/>
      <c r="D1550" s="428"/>
      <c r="E1550" s="419" t="s">
        <v>502</v>
      </c>
      <c r="F1550" s="420"/>
      <c r="G1550" s="64" t="s">
        <v>503</v>
      </c>
      <c r="H1550" s="419" t="s">
        <v>423</v>
      </c>
      <c r="I1550" s="420"/>
      <c r="K1550" s="57" t="s">
        <v>666</v>
      </c>
      <c r="L1550" s="57" t="s">
        <v>260</v>
      </c>
      <c r="S1550" s="57">
        <v>0</v>
      </c>
    </row>
    <row r="1551" spans="1:19" ht="11.85" customHeight="1" x14ac:dyDescent="0.2">
      <c r="A1551" s="57" t="s">
        <v>666</v>
      </c>
      <c r="B1551" s="413" t="s">
        <v>416</v>
      </c>
      <c r="C1551" s="414"/>
      <c r="D1551" s="415"/>
      <c r="E1551" s="419" t="s">
        <v>402</v>
      </c>
      <c r="F1551" s="420"/>
      <c r="G1551" s="64" t="s">
        <v>417</v>
      </c>
      <c r="H1551" s="419" t="s">
        <v>457</v>
      </c>
      <c r="I1551" s="420"/>
      <c r="K1551" s="57" t="s">
        <v>666</v>
      </c>
      <c r="L1551" s="57" t="s">
        <v>260</v>
      </c>
      <c r="S1551" s="57">
        <v>0</v>
      </c>
    </row>
    <row r="1552" spans="1:19" ht="11.85" customHeight="1" x14ac:dyDescent="0.2">
      <c r="A1552" s="57" t="s">
        <v>666</v>
      </c>
      <c r="B1552" s="424"/>
      <c r="C1552" s="425"/>
      <c r="D1552" s="426"/>
      <c r="E1552" s="419" t="s">
        <v>403</v>
      </c>
      <c r="F1552" s="420"/>
      <c r="G1552" s="64" t="s">
        <v>417</v>
      </c>
      <c r="H1552" s="419" t="s">
        <v>457</v>
      </c>
      <c r="I1552" s="420"/>
      <c r="K1552" s="57" t="s">
        <v>666</v>
      </c>
      <c r="L1552" s="57" t="s">
        <v>260</v>
      </c>
      <c r="S1552" s="57">
        <v>0</v>
      </c>
    </row>
    <row r="1553" spans="1:19" ht="11.85" customHeight="1" x14ac:dyDescent="0.2">
      <c r="A1553" s="57" t="s">
        <v>666</v>
      </c>
      <c r="B1553" s="424"/>
      <c r="C1553" s="425"/>
      <c r="D1553" s="426"/>
      <c r="E1553" s="419" t="s">
        <v>404</v>
      </c>
      <c r="F1553" s="420"/>
      <c r="G1553" s="64" t="s">
        <v>413</v>
      </c>
      <c r="H1553" s="419" t="s">
        <v>458</v>
      </c>
      <c r="I1553" s="420"/>
      <c r="K1553" s="57" t="s">
        <v>666</v>
      </c>
      <c r="L1553" s="57" t="s">
        <v>260</v>
      </c>
      <c r="S1553" s="57">
        <v>0</v>
      </c>
    </row>
    <row r="1554" spans="1:19" ht="11.1" customHeight="1" x14ac:dyDescent="0.2">
      <c r="A1554" s="57" t="s">
        <v>666</v>
      </c>
      <c r="B1554" s="424"/>
      <c r="C1554" s="425"/>
      <c r="D1554" s="426"/>
      <c r="E1554" s="419" t="s">
        <v>405</v>
      </c>
      <c r="F1554" s="420"/>
      <c r="G1554" s="64" t="s">
        <v>420</v>
      </c>
      <c r="H1554" s="419" t="s">
        <v>459</v>
      </c>
      <c r="I1554" s="420"/>
      <c r="K1554" s="57" t="s">
        <v>666</v>
      </c>
      <c r="L1554" s="57" t="s">
        <v>260</v>
      </c>
      <c r="S1554" s="57">
        <v>0</v>
      </c>
    </row>
    <row r="1555" spans="1:19" ht="11.85" customHeight="1" x14ac:dyDescent="0.2">
      <c r="A1555" s="57" t="s">
        <v>666</v>
      </c>
      <c r="B1555" s="424"/>
      <c r="C1555" s="425"/>
      <c r="D1555" s="426"/>
      <c r="E1555" s="419" t="s">
        <v>462</v>
      </c>
      <c r="F1555" s="420"/>
      <c r="G1555" s="64" t="s">
        <v>424</v>
      </c>
      <c r="H1555" s="419" t="s">
        <v>463</v>
      </c>
      <c r="I1555" s="420"/>
      <c r="K1555" s="57" t="s">
        <v>666</v>
      </c>
      <c r="L1555" s="57" t="s">
        <v>260</v>
      </c>
      <c r="S1555" s="57">
        <v>0</v>
      </c>
    </row>
    <row r="1556" spans="1:19" ht="11.85" customHeight="1" x14ac:dyDescent="0.2">
      <c r="A1556" s="57" t="s">
        <v>666</v>
      </c>
      <c r="B1556" s="416"/>
      <c r="C1556" s="417"/>
      <c r="D1556" s="418"/>
      <c r="E1556" s="419" t="s">
        <v>546</v>
      </c>
      <c r="F1556" s="420"/>
      <c r="G1556" s="64" t="s">
        <v>461</v>
      </c>
      <c r="H1556" s="419" t="s">
        <v>423</v>
      </c>
      <c r="I1556" s="420"/>
      <c r="K1556" s="57" t="s">
        <v>666</v>
      </c>
      <c r="L1556" s="57" t="s">
        <v>260</v>
      </c>
      <c r="S1556" s="65">
        <v>33.17</v>
      </c>
    </row>
    <row r="1557" spans="1:19" ht="11.85" customHeight="1" x14ac:dyDescent="0.2">
      <c r="A1557" s="57" t="s">
        <v>666</v>
      </c>
      <c r="B1557" s="62"/>
      <c r="C1557" s="411" t="s">
        <v>667</v>
      </c>
      <c r="D1557" s="412"/>
      <c r="E1557" s="412"/>
      <c r="F1557" s="412"/>
      <c r="G1557" s="412"/>
      <c r="H1557" s="412"/>
      <c r="I1557" s="411"/>
      <c r="K1557" s="57" t="s">
        <v>666</v>
      </c>
      <c r="L1557" s="57" t="s">
        <v>260</v>
      </c>
      <c r="S1557" s="57">
        <v>0</v>
      </c>
    </row>
    <row r="1558" spans="1:19" ht="11.1" customHeight="1" x14ac:dyDescent="0.2">
      <c r="A1558" s="57" t="s">
        <v>667</v>
      </c>
      <c r="B1558" s="413" t="s">
        <v>471</v>
      </c>
      <c r="C1558" s="414"/>
      <c r="D1558" s="415"/>
      <c r="E1558" s="419" t="s">
        <v>502</v>
      </c>
      <c r="F1558" s="420"/>
      <c r="G1558" s="64" t="s">
        <v>503</v>
      </c>
      <c r="H1558" s="419" t="s">
        <v>423</v>
      </c>
      <c r="I1558" s="420"/>
      <c r="K1558" s="57" t="s">
        <v>667</v>
      </c>
      <c r="L1558" s="57" t="s">
        <v>261</v>
      </c>
      <c r="S1558" s="57">
        <v>0</v>
      </c>
    </row>
    <row r="1559" spans="1:19" ht="11.85" customHeight="1" x14ac:dyDescent="0.2">
      <c r="A1559" s="57" t="s">
        <v>667</v>
      </c>
      <c r="B1559" s="416"/>
      <c r="C1559" s="417"/>
      <c r="D1559" s="418"/>
      <c r="E1559" s="419" t="s">
        <v>504</v>
      </c>
      <c r="F1559" s="420"/>
      <c r="G1559" s="64" t="s">
        <v>503</v>
      </c>
      <c r="H1559" s="419" t="s">
        <v>423</v>
      </c>
      <c r="I1559" s="420"/>
      <c r="K1559" s="57" t="s">
        <v>667</v>
      </c>
      <c r="L1559" s="57" t="s">
        <v>261</v>
      </c>
      <c r="S1559" s="57">
        <v>0</v>
      </c>
    </row>
    <row r="1560" spans="1:19" ht="11.85" customHeight="1" x14ac:dyDescent="0.2">
      <c r="A1560" s="57" t="s">
        <v>667</v>
      </c>
      <c r="B1560" s="413" t="s">
        <v>416</v>
      </c>
      <c r="C1560" s="414"/>
      <c r="D1560" s="415"/>
      <c r="E1560" s="419" t="s">
        <v>402</v>
      </c>
      <c r="F1560" s="420"/>
      <c r="G1560" s="64" t="s">
        <v>417</v>
      </c>
      <c r="H1560" s="419" t="s">
        <v>457</v>
      </c>
      <c r="I1560" s="420"/>
      <c r="K1560" s="57" t="s">
        <v>667</v>
      </c>
      <c r="L1560" s="57" t="s">
        <v>261</v>
      </c>
      <c r="S1560" s="57">
        <v>0</v>
      </c>
    </row>
    <row r="1561" spans="1:19" ht="11.85" customHeight="1" x14ac:dyDescent="0.2">
      <c r="A1561" s="57" t="s">
        <v>667</v>
      </c>
      <c r="B1561" s="424"/>
      <c r="C1561" s="425"/>
      <c r="D1561" s="426"/>
      <c r="E1561" s="419" t="s">
        <v>403</v>
      </c>
      <c r="F1561" s="420"/>
      <c r="G1561" s="64" t="s">
        <v>417</v>
      </c>
      <c r="H1561" s="419" t="s">
        <v>457</v>
      </c>
      <c r="I1561" s="420"/>
      <c r="K1561" s="57" t="s">
        <v>667</v>
      </c>
      <c r="L1561" s="57" t="s">
        <v>261</v>
      </c>
      <c r="S1561" s="57">
        <v>0</v>
      </c>
    </row>
    <row r="1562" spans="1:19" ht="11.1" customHeight="1" x14ac:dyDescent="0.2">
      <c r="A1562" s="57" t="s">
        <v>667</v>
      </c>
      <c r="B1562" s="424"/>
      <c r="C1562" s="425"/>
      <c r="D1562" s="426"/>
      <c r="E1562" s="419" t="s">
        <v>404</v>
      </c>
      <c r="F1562" s="420"/>
      <c r="G1562" s="64" t="s">
        <v>413</v>
      </c>
      <c r="H1562" s="419" t="s">
        <v>458</v>
      </c>
      <c r="I1562" s="420"/>
      <c r="K1562" s="57" t="s">
        <v>667</v>
      </c>
      <c r="L1562" s="57" t="s">
        <v>261</v>
      </c>
      <c r="S1562" s="57">
        <v>0</v>
      </c>
    </row>
    <row r="1563" spans="1:19" ht="11.85" customHeight="1" x14ac:dyDescent="0.2">
      <c r="A1563" s="57" t="s">
        <v>667</v>
      </c>
      <c r="B1563" s="424"/>
      <c r="C1563" s="425"/>
      <c r="D1563" s="426"/>
      <c r="E1563" s="419" t="s">
        <v>542</v>
      </c>
      <c r="F1563" s="420"/>
      <c r="G1563" s="64" t="s">
        <v>420</v>
      </c>
      <c r="H1563" s="419" t="s">
        <v>459</v>
      </c>
      <c r="I1563" s="420"/>
      <c r="K1563" s="57" t="s">
        <v>667</v>
      </c>
      <c r="L1563" s="57" t="s">
        <v>261</v>
      </c>
      <c r="S1563" s="57">
        <v>0</v>
      </c>
    </row>
    <row r="1564" spans="1:19" ht="11.85" customHeight="1" x14ac:dyDescent="0.2">
      <c r="A1564" s="57" t="s">
        <v>667</v>
      </c>
      <c r="B1564" s="424"/>
      <c r="C1564" s="425"/>
      <c r="D1564" s="426"/>
      <c r="E1564" s="419" t="s">
        <v>462</v>
      </c>
      <c r="F1564" s="420"/>
      <c r="G1564" s="64" t="s">
        <v>424</v>
      </c>
      <c r="H1564" s="419" t="s">
        <v>463</v>
      </c>
      <c r="I1564" s="420"/>
      <c r="K1564" s="57" t="s">
        <v>667</v>
      </c>
      <c r="L1564" s="57" t="s">
        <v>261</v>
      </c>
      <c r="S1564" s="57">
        <v>0</v>
      </c>
    </row>
    <row r="1565" spans="1:19" ht="11.85" customHeight="1" x14ac:dyDescent="0.2">
      <c r="A1565" s="57" t="s">
        <v>667</v>
      </c>
      <c r="B1565" s="416"/>
      <c r="C1565" s="417"/>
      <c r="D1565" s="418"/>
      <c r="E1565" s="419" t="s">
        <v>668</v>
      </c>
      <c r="F1565" s="420"/>
      <c r="G1565" s="64" t="s">
        <v>669</v>
      </c>
      <c r="H1565" s="419" t="s">
        <v>423</v>
      </c>
      <c r="I1565" s="420"/>
      <c r="K1565" s="57" t="s">
        <v>667</v>
      </c>
      <c r="L1565" s="57" t="s">
        <v>261</v>
      </c>
      <c r="S1565" s="65">
        <v>27.19</v>
      </c>
    </row>
    <row r="1566" spans="1:19" ht="11.1" customHeight="1" x14ac:dyDescent="0.2">
      <c r="A1566" s="57" t="s">
        <v>667</v>
      </c>
      <c r="B1566" s="62"/>
      <c r="C1566" s="411" t="s">
        <v>670</v>
      </c>
      <c r="D1566" s="412"/>
      <c r="E1566" s="412"/>
      <c r="F1566" s="412"/>
      <c r="G1566" s="412"/>
      <c r="H1566" s="412"/>
      <c r="I1566" s="411"/>
      <c r="K1566" s="57" t="s">
        <v>667</v>
      </c>
      <c r="L1566" s="57" t="s">
        <v>261</v>
      </c>
      <c r="S1566" s="57">
        <v>0</v>
      </c>
    </row>
    <row r="1567" spans="1:19" ht="11.85" customHeight="1" x14ac:dyDescent="0.2">
      <c r="A1567" s="57" t="s">
        <v>670</v>
      </c>
      <c r="B1567" s="413" t="s">
        <v>471</v>
      </c>
      <c r="C1567" s="427"/>
      <c r="D1567" s="428"/>
      <c r="E1567" s="419" t="s">
        <v>502</v>
      </c>
      <c r="F1567" s="420"/>
      <c r="G1567" s="64" t="s">
        <v>503</v>
      </c>
      <c r="H1567" s="419" t="s">
        <v>423</v>
      </c>
      <c r="I1567" s="420"/>
      <c r="K1567" s="57" t="s">
        <v>670</v>
      </c>
      <c r="L1567" s="57" t="s">
        <v>262</v>
      </c>
      <c r="S1567" s="57">
        <v>0</v>
      </c>
    </row>
    <row r="1568" spans="1:19" ht="11.85" customHeight="1" x14ac:dyDescent="0.2">
      <c r="A1568" s="57" t="s">
        <v>670</v>
      </c>
      <c r="B1568" s="413" t="s">
        <v>416</v>
      </c>
      <c r="C1568" s="414"/>
      <c r="D1568" s="415"/>
      <c r="E1568" s="419" t="s">
        <v>402</v>
      </c>
      <c r="F1568" s="420"/>
      <c r="G1568" s="64" t="s">
        <v>417</v>
      </c>
      <c r="H1568" s="419" t="s">
        <v>457</v>
      </c>
      <c r="I1568" s="420"/>
      <c r="K1568" s="57" t="s">
        <v>670</v>
      </c>
      <c r="L1568" s="57" t="s">
        <v>262</v>
      </c>
      <c r="S1568" s="57">
        <v>0</v>
      </c>
    </row>
    <row r="1569" spans="1:19" ht="11.85" customHeight="1" x14ac:dyDescent="0.2">
      <c r="A1569" s="57" t="s">
        <v>670</v>
      </c>
      <c r="B1569" s="424"/>
      <c r="C1569" s="425"/>
      <c r="D1569" s="426"/>
      <c r="E1569" s="419" t="s">
        <v>403</v>
      </c>
      <c r="F1569" s="420"/>
      <c r="G1569" s="64" t="s">
        <v>417</v>
      </c>
      <c r="H1569" s="419" t="s">
        <v>457</v>
      </c>
      <c r="I1569" s="420"/>
      <c r="K1569" s="57" t="s">
        <v>670</v>
      </c>
      <c r="L1569" s="57" t="s">
        <v>262</v>
      </c>
      <c r="S1569" s="57">
        <v>0</v>
      </c>
    </row>
    <row r="1570" spans="1:19" ht="11.1" customHeight="1" x14ac:dyDescent="0.2">
      <c r="A1570" s="57" t="s">
        <v>670</v>
      </c>
      <c r="B1570" s="424"/>
      <c r="C1570" s="425"/>
      <c r="D1570" s="426"/>
      <c r="E1570" s="419" t="s">
        <v>404</v>
      </c>
      <c r="F1570" s="420"/>
      <c r="G1570" s="64" t="s">
        <v>413</v>
      </c>
      <c r="H1570" s="419" t="s">
        <v>458</v>
      </c>
      <c r="I1570" s="420"/>
      <c r="K1570" s="57" t="s">
        <v>670</v>
      </c>
      <c r="L1570" s="57" t="s">
        <v>262</v>
      </c>
      <c r="S1570" s="57">
        <v>0</v>
      </c>
    </row>
    <row r="1571" spans="1:19" ht="11.85" customHeight="1" x14ac:dyDescent="0.2">
      <c r="A1571" s="57" t="s">
        <v>670</v>
      </c>
      <c r="B1571" s="424"/>
      <c r="C1571" s="425"/>
      <c r="D1571" s="426"/>
      <c r="E1571" s="419" t="s">
        <v>405</v>
      </c>
      <c r="F1571" s="420"/>
      <c r="G1571" s="64" t="s">
        <v>420</v>
      </c>
      <c r="H1571" s="419" t="s">
        <v>459</v>
      </c>
      <c r="I1571" s="420"/>
      <c r="K1571" s="57" t="s">
        <v>670</v>
      </c>
      <c r="L1571" s="57" t="s">
        <v>262</v>
      </c>
      <c r="S1571" s="57">
        <v>0</v>
      </c>
    </row>
    <row r="1572" spans="1:19" ht="11.85" customHeight="1" x14ac:dyDescent="0.2">
      <c r="A1572" s="57" t="s">
        <v>670</v>
      </c>
      <c r="B1572" s="424"/>
      <c r="C1572" s="425"/>
      <c r="D1572" s="426"/>
      <c r="E1572" s="419" t="s">
        <v>462</v>
      </c>
      <c r="F1572" s="420"/>
      <c r="G1572" s="64" t="s">
        <v>424</v>
      </c>
      <c r="H1572" s="419" t="s">
        <v>463</v>
      </c>
      <c r="I1572" s="420"/>
      <c r="K1572" s="57" t="s">
        <v>670</v>
      </c>
      <c r="L1572" s="57" t="s">
        <v>262</v>
      </c>
      <c r="S1572" s="57">
        <v>0</v>
      </c>
    </row>
    <row r="1573" spans="1:19" ht="11.85" customHeight="1" x14ac:dyDescent="0.2">
      <c r="A1573" s="57" t="s">
        <v>670</v>
      </c>
      <c r="B1573" s="416"/>
      <c r="C1573" s="417"/>
      <c r="D1573" s="418"/>
      <c r="E1573" s="419" t="s">
        <v>546</v>
      </c>
      <c r="F1573" s="420"/>
      <c r="G1573" s="64" t="s">
        <v>461</v>
      </c>
      <c r="H1573" s="419" t="s">
        <v>423</v>
      </c>
      <c r="I1573" s="420"/>
      <c r="K1573" s="57" t="s">
        <v>670</v>
      </c>
      <c r="L1573" s="57" t="s">
        <v>262</v>
      </c>
      <c r="S1573" s="65">
        <v>33.17</v>
      </c>
    </row>
    <row r="1574" spans="1:19" ht="11.1" customHeight="1" x14ac:dyDescent="0.2">
      <c r="A1574" s="57" t="s">
        <v>670</v>
      </c>
      <c r="B1574" s="62"/>
      <c r="C1574" s="411" t="s">
        <v>671</v>
      </c>
      <c r="D1574" s="412"/>
      <c r="E1574" s="412"/>
      <c r="F1574" s="412"/>
      <c r="G1574" s="412"/>
      <c r="H1574" s="412"/>
      <c r="I1574" s="411"/>
      <c r="K1574" s="57" t="s">
        <v>670</v>
      </c>
      <c r="L1574" s="57" t="s">
        <v>262</v>
      </c>
      <c r="S1574" s="57">
        <v>0</v>
      </c>
    </row>
    <row r="1575" spans="1:19" ht="11.85" customHeight="1" x14ac:dyDescent="0.2">
      <c r="A1575" s="57" t="s">
        <v>671</v>
      </c>
      <c r="B1575" s="413" t="s">
        <v>471</v>
      </c>
      <c r="C1575" s="414"/>
      <c r="D1575" s="415"/>
      <c r="E1575" s="419" t="s">
        <v>502</v>
      </c>
      <c r="F1575" s="420"/>
      <c r="G1575" s="64" t="s">
        <v>503</v>
      </c>
      <c r="H1575" s="419" t="s">
        <v>423</v>
      </c>
      <c r="I1575" s="420"/>
      <c r="K1575" s="57" t="s">
        <v>671</v>
      </c>
      <c r="L1575" s="57" t="s">
        <v>901</v>
      </c>
      <c r="S1575" s="57">
        <v>0</v>
      </c>
    </row>
    <row r="1576" spans="1:19" ht="11.85" customHeight="1" x14ac:dyDescent="0.2">
      <c r="A1576" s="57" t="s">
        <v>671</v>
      </c>
      <c r="B1576" s="416"/>
      <c r="C1576" s="417"/>
      <c r="D1576" s="418"/>
      <c r="E1576" s="419" t="s">
        <v>504</v>
      </c>
      <c r="F1576" s="420"/>
      <c r="G1576" s="64" t="s">
        <v>503</v>
      </c>
      <c r="H1576" s="419" t="s">
        <v>423</v>
      </c>
      <c r="I1576" s="420"/>
      <c r="K1576" s="57" t="s">
        <v>671</v>
      </c>
      <c r="L1576" s="57" t="s">
        <v>901</v>
      </c>
      <c r="S1576" s="57">
        <v>0</v>
      </c>
    </row>
    <row r="1577" spans="1:19" ht="11.85" customHeight="1" x14ac:dyDescent="0.2">
      <c r="A1577" s="57" t="s">
        <v>671</v>
      </c>
      <c r="B1577" s="62"/>
      <c r="C1577" s="411" t="s">
        <v>672</v>
      </c>
      <c r="D1577" s="412"/>
      <c r="E1577" s="412"/>
      <c r="F1577" s="412"/>
      <c r="G1577" s="412"/>
      <c r="H1577" s="412"/>
      <c r="I1577" s="411"/>
      <c r="K1577" s="57" t="s">
        <v>671</v>
      </c>
      <c r="L1577" s="57" t="s">
        <v>901</v>
      </c>
      <c r="S1577" s="57">
        <v>0</v>
      </c>
    </row>
    <row r="1578" spans="1:19" ht="11.1" customHeight="1" x14ac:dyDescent="0.2">
      <c r="A1578" s="57" t="s">
        <v>672</v>
      </c>
      <c r="B1578" s="413" t="s">
        <v>471</v>
      </c>
      <c r="C1578" s="427"/>
      <c r="D1578" s="428"/>
      <c r="E1578" s="419" t="s">
        <v>502</v>
      </c>
      <c r="F1578" s="420"/>
      <c r="G1578" s="64" t="s">
        <v>503</v>
      </c>
      <c r="H1578" s="419" t="s">
        <v>423</v>
      </c>
      <c r="I1578" s="420"/>
      <c r="K1578" s="57" t="s">
        <v>672</v>
      </c>
      <c r="L1578" s="57" t="s">
        <v>263</v>
      </c>
      <c r="S1578" s="57">
        <v>0</v>
      </c>
    </row>
    <row r="1579" spans="1:19" ht="11.85" customHeight="1" x14ac:dyDescent="0.2">
      <c r="A1579" s="57" t="s">
        <v>672</v>
      </c>
      <c r="B1579" s="413" t="s">
        <v>416</v>
      </c>
      <c r="C1579" s="414"/>
      <c r="D1579" s="415"/>
      <c r="E1579" s="419" t="s">
        <v>402</v>
      </c>
      <c r="F1579" s="420"/>
      <c r="G1579" s="64" t="s">
        <v>417</v>
      </c>
      <c r="H1579" s="419" t="s">
        <v>457</v>
      </c>
      <c r="I1579" s="420"/>
      <c r="K1579" s="57" t="s">
        <v>672</v>
      </c>
      <c r="L1579" s="57" t="s">
        <v>263</v>
      </c>
      <c r="S1579" s="57">
        <v>0</v>
      </c>
    </row>
    <row r="1580" spans="1:19" ht="11.85" customHeight="1" x14ac:dyDescent="0.2">
      <c r="A1580" s="57" t="s">
        <v>672</v>
      </c>
      <c r="B1580" s="424"/>
      <c r="C1580" s="425"/>
      <c r="D1580" s="426"/>
      <c r="E1580" s="419" t="s">
        <v>403</v>
      </c>
      <c r="F1580" s="420"/>
      <c r="G1580" s="64" t="s">
        <v>417</v>
      </c>
      <c r="H1580" s="419" t="s">
        <v>457</v>
      </c>
      <c r="I1580" s="420"/>
      <c r="K1580" s="57" t="s">
        <v>672</v>
      </c>
      <c r="L1580" s="57" t="s">
        <v>263</v>
      </c>
      <c r="S1580" s="57">
        <v>0</v>
      </c>
    </row>
    <row r="1581" spans="1:19" ht="11.85" customHeight="1" x14ac:dyDescent="0.2">
      <c r="A1581" s="57" t="s">
        <v>672</v>
      </c>
      <c r="B1581" s="424"/>
      <c r="C1581" s="425"/>
      <c r="D1581" s="426"/>
      <c r="E1581" s="419" t="s">
        <v>404</v>
      </c>
      <c r="F1581" s="420"/>
      <c r="G1581" s="64" t="s">
        <v>413</v>
      </c>
      <c r="H1581" s="419" t="s">
        <v>458</v>
      </c>
      <c r="I1581" s="420"/>
      <c r="K1581" s="57" t="s">
        <v>672</v>
      </c>
      <c r="L1581" s="57" t="s">
        <v>263</v>
      </c>
      <c r="S1581" s="57">
        <v>0</v>
      </c>
    </row>
    <row r="1582" spans="1:19" ht="11.1" customHeight="1" x14ac:dyDescent="0.2">
      <c r="A1582" s="57" t="s">
        <v>672</v>
      </c>
      <c r="B1582" s="424"/>
      <c r="C1582" s="425"/>
      <c r="D1582" s="426"/>
      <c r="E1582" s="419" t="s">
        <v>405</v>
      </c>
      <c r="F1582" s="420"/>
      <c r="G1582" s="64" t="s">
        <v>420</v>
      </c>
      <c r="H1582" s="419" t="s">
        <v>459</v>
      </c>
      <c r="I1582" s="420"/>
      <c r="K1582" s="57" t="s">
        <v>672</v>
      </c>
      <c r="L1582" s="57" t="s">
        <v>263</v>
      </c>
      <c r="S1582" s="57">
        <v>0</v>
      </c>
    </row>
    <row r="1583" spans="1:19" ht="11.85" customHeight="1" x14ac:dyDescent="0.2">
      <c r="A1583" s="57" t="s">
        <v>672</v>
      </c>
      <c r="B1583" s="424"/>
      <c r="C1583" s="425"/>
      <c r="D1583" s="426"/>
      <c r="E1583" s="419" t="s">
        <v>462</v>
      </c>
      <c r="F1583" s="420"/>
      <c r="G1583" s="64" t="s">
        <v>424</v>
      </c>
      <c r="H1583" s="419" t="s">
        <v>463</v>
      </c>
      <c r="I1583" s="420"/>
      <c r="K1583" s="57" t="s">
        <v>672</v>
      </c>
      <c r="L1583" s="57" t="s">
        <v>263</v>
      </c>
      <c r="S1583" s="57">
        <v>0</v>
      </c>
    </row>
    <row r="1584" spans="1:19" ht="11.85" customHeight="1" x14ac:dyDescent="0.2">
      <c r="A1584" s="57" t="s">
        <v>672</v>
      </c>
      <c r="B1584" s="416"/>
      <c r="C1584" s="417"/>
      <c r="D1584" s="418"/>
      <c r="E1584" s="419" t="s">
        <v>546</v>
      </c>
      <c r="F1584" s="420"/>
      <c r="G1584" s="64" t="s">
        <v>461</v>
      </c>
      <c r="H1584" s="419" t="s">
        <v>423</v>
      </c>
      <c r="I1584" s="420"/>
      <c r="K1584" s="57" t="s">
        <v>672</v>
      </c>
      <c r="L1584" s="57" t="s">
        <v>263</v>
      </c>
      <c r="S1584" s="65">
        <v>33.17</v>
      </c>
    </row>
    <row r="1585" spans="1:19" ht="11.85" customHeight="1" x14ac:dyDescent="0.2">
      <c r="A1585" s="57" t="s">
        <v>672</v>
      </c>
      <c r="B1585" s="62"/>
      <c r="C1585" s="411" t="s">
        <v>673</v>
      </c>
      <c r="D1585" s="412"/>
      <c r="E1585" s="412"/>
      <c r="F1585" s="412"/>
      <c r="G1585" s="412"/>
      <c r="H1585" s="412"/>
      <c r="I1585" s="411"/>
      <c r="K1585" s="57" t="s">
        <v>672</v>
      </c>
      <c r="L1585" s="57" t="s">
        <v>263</v>
      </c>
      <c r="S1585" s="57">
        <v>0</v>
      </c>
    </row>
    <row r="1586" spans="1:19" ht="11.1" customHeight="1" x14ac:dyDescent="0.2">
      <c r="A1586" s="57" t="s">
        <v>673</v>
      </c>
      <c r="B1586" s="413" t="s">
        <v>471</v>
      </c>
      <c r="C1586" s="414"/>
      <c r="D1586" s="415"/>
      <c r="E1586" s="419" t="s">
        <v>502</v>
      </c>
      <c r="F1586" s="420"/>
      <c r="G1586" s="64" t="s">
        <v>503</v>
      </c>
      <c r="H1586" s="419" t="s">
        <v>423</v>
      </c>
      <c r="I1586" s="420"/>
      <c r="K1586" s="57" t="s">
        <v>673</v>
      </c>
      <c r="L1586" s="57" t="s">
        <v>902</v>
      </c>
      <c r="S1586" s="57">
        <v>0</v>
      </c>
    </row>
    <row r="1587" spans="1:19" ht="11.85" customHeight="1" x14ac:dyDescent="0.2">
      <c r="A1587" s="57" t="s">
        <v>673</v>
      </c>
      <c r="B1587" s="416"/>
      <c r="C1587" s="417"/>
      <c r="D1587" s="418"/>
      <c r="E1587" s="419" t="s">
        <v>504</v>
      </c>
      <c r="F1587" s="420"/>
      <c r="G1587" s="64" t="s">
        <v>503</v>
      </c>
      <c r="H1587" s="419" t="s">
        <v>423</v>
      </c>
      <c r="I1587" s="420"/>
      <c r="K1587" s="57" t="s">
        <v>673</v>
      </c>
      <c r="L1587" s="57" t="s">
        <v>902</v>
      </c>
      <c r="S1587" s="57">
        <v>0</v>
      </c>
    </row>
    <row r="1588" spans="1:19" ht="11.85" customHeight="1" x14ac:dyDescent="0.2">
      <c r="A1588" s="57" t="s">
        <v>673</v>
      </c>
      <c r="B1588" s="413" t="s">
        <v>416</v>
      </c>
      <c r="C1588" s="414"/>
      <c r="D1588" s="415"/>
      <c r="E1588" s="419" t="s">
        <v>402</v>
      </c>
      <c r="F1588" s="420"/>
      <c r="G1588" s="64" t="s">
        <v>417</v>
      </c>
      <c r="H1588" s="419" t="s">
        <v>457</v>
      </c>
      <c r="I1588" s="420"/>
      <c r="K1588" s="57" t="s">
        <v>673</v>
      </c>
      <c r="L1588" s="57" t="s">
        <v>902</v>
      </c>
      <c r="S1588" s="57">
        <v>0</v>
      </c>
    </row>
    <row r="1589" spans="1:19" ht="11.85" customHeight="1" x14ac:dyDescent="0.2">
      <c r="A1589" s="57" t="s">
        <v>673</v>
      </c>
      <c r="B1589" s="424"/>
      <c r="C1589" s="425"/>
      <c r="D1589" s="426"/>
      <c r="E1589" s="419" t="s">
        <v>403</v>
      </c>
      <c r="F1589" s="420"/>
      <c r="G1589" s="64" t="s">
        <v>417</v>
      </c>
      <c r="H1589" s="419" t="s">
        <v>457</v>
      </c>
      <c r="I1589" s="420"/>
      <c r="K1589" s="57" t="s">
        <v>673</v>
      </c>
      <c r="L1589" s="57" t="s">
        <v>902</v>
      </c>
      <c r="S1589" s="57">
        <v>0</v>
      </c>
    </row>
    <row r="1590" spans="1:19" ht="11.1" customHeight="1" x14ac:dyDescent="0.2">
      <c r="A1590" s="57" t="s">
        <v>673</v>
      </c>
      <c r="B1590" s="424"/>
      <c r="C1590" s="425"/>
      <c r="D1590" s="426"/>
      <c r="E1590" s="419" t="s">
        <v>404</v>
      </c>
      <c r="F1590" s="420"/>
      <c r="G1590" s="64" t="s">
        <v>413</v>
      </c>
      <c r="H1590" s="419" t="s">
        <v>674</v>
      </c>
      <c r="I1590" s="420"/>
      <c r="K1590" s="57" t="s">
        <v>673</v>
      </c>
      <c r="L1590" s="57" t="s">
        <v>902</v>
      </c>
      <c r="S1590" s="57">
        <v>0</v>
      </c>
    </row>
    <row r="1591" spans="1:19" ht="11.85" customHeight="1" x14ac:dyDescent="0.2">
      <c r="A1591" s="57" t="s">
        <v>673</v>
      </c>
      <c r="B1591" s="416"/>
      <c r="C1591" s="417"/>
      <c r="D1591" s="418"/>
      <c r="E1591" s="419" t="s">
        <v>405</v>
      </c>
      <c r="F1591" s="420"/>
      <c r="G1591" s="64" t="s">
        <v>420</v>
      </c>
      <c r="H1591" s="419" t="s">
        <v>459</v>
      </c>
      <c r="I1591" s="420"/>
      <c r="K1591" s="57" t="s">
        <v>673</v>
      </c>
      <c r="L1591" s="57" t="s">
        <v>902</v>
      </c>
      <c r="S1591" s="57">
        <v>0</v>
      </c>
    </row>
    <row r="1592" spans="1:19" ht="11.85" customHeight="1" x14ac:dyDescent="0.2">
      <c r="A1592" s="57" t="s">
        <v>673</v>
      </c>
      <c r="B1592" s="62"/>
      <c r="C1592" s="411" t="s">
        <v>675</v>
      </c>
      <c r="D1592" s="412"/>
      <c r="E1592" s="412"/>
      <c r="F1592" s="412"/>
      <c r="G1592" s="412"/>
      <c r="H1592" s="412"/>
      <c r="I1592" s="411"/>
      <c r="K1592" s="57" t="s">
        <v>673</v>
      </c>
      <c r="L1592" s="57" t="s">
        <v>902</v>
      </c>
      <c r="S1592" s="57">
        <v>0</v>
      </c>
    </row>
    <row r="1593" spans="1:19" ht="11.85" customHeight="1" x14ac:dyDescent="0.2">
      <c r="A1593" s="57" t="s">
        <v>675</v>
      </c>
      <c r="B1593" s="413" t="s">
        <v>471</v>
      </c>
      <c r="C1593" s="427"/>
      <c r="D1593" s="428"/>
      <c r="E1593" s="419" t="s">
        <v>502</v>
      </c>
      <c r="F1593" s="420"/>
      <c r="G1593" s="64" t="s">
        <v>503</v>
      </c>
      <c r="H1593" s="419" t="s">
        <v>423</v>
      </c>
      <c r="I1593" s="420"/>
      <c r="K1593" s="57" t="s">
        <v>675</v>
      </c>
      <c r="L1593" s="57" t="s">
        <v>264</v>
      </c>
      <c r="S1593" s="57">
        <v>0</v>
      </c>
    </row>
    <row r="1594" spans="1:19" ht="11.1" customHeight="1" x14ac:dyDescent="0.2">
      <c r="A1594" s="57" t="s">
        <v>675</v>
      </c>
      <c r="B1594" s="413" t="s">
        <v>416</v>
      </c>
      <c r="C1594" s="414"/>
      <c r="D1594" s="415"/>
      <c r="E1594" s="419" t="s">
        <v>402</v>
      </c>
      <c r="F1594" s="420"/>
      <c r="G1594" s="64" t="s">
        <v>417</v>
      </c>
      <c r="H1594" s="419" t="s">
        <v>457</v>
      </c>
      <c r="I1594" s="420"/>
      <c r="K1594" s="57" t="s">
        <v>675</v>
      </c>
      <c r="L1594" s="57" t="s">
        <v>264</v>
      </c>
      <c r="S1594" s="57">
        <v>0</v>
      </c>
    </row>
    <row r="1595" spans="1:19" ht="11.85" customHeight="1" x14ac:dyDescent="0.2">
      <c r="A1595" s="57" t="s">
        <v>675</v>
      </c>
      <c r="B1595" s="424"/>
      <c r="C1595" s="425"/>
      <c r="D1595" s="426"/>
      <c r="E1595" s="419" t="s">
        <v>403</v>
      </c>
      <c r="F1595" s="420"/>
      <c r="G1595" s="64" t="s">
        <v>417</v>
      </c>
      <c r="H1595" s="419" t="s">
        <v>457</v>
      </c>
      <c r="I1595" s="420"/>
      <c r="K1595" s="57" t="s">
        <v>675</v>
      </c>
      <c r="L1595" s="57" t="s">
        <v>264</v>
      </c>
      <c r="S1595" s="57">
        <v>0</v>
      </c>
    </row>
    <row r="1596" spans="1:19" ht="11.85" customHeight="1" x14ac:dyDescent="0.2">
      <c r="A1596" s="57" t="s">
        <v>675</v>
      </c>
      <c r="B1596" s="424"/>
      <c r="C1596" s="425"/>
      <c r="D1596" s="426"/>
      <c r="E1596" s="419" t="s">
        <v>404</v>
      </c>
      <c r="F1596" s="420"/>
      <c r="G1596" s="64" t="s">
        <v>413</v>
      </c>
      <c r="H1596" s="419" t="s">
        <v>458</v>
      </c>
      <c r="I1596" s="420"/>
      <c r="K1596" s="57" t="s">
        <v>675</v>
      </c>
      <c r="L1596" s="57" t="s">
        <v>264</v>
      </c>
      <c r="S1596" s="57">
        <v>0</v>
      </c>
    </row>
    <row r="1597" spans="1:19" ht="11.85" customHeight="1" x14ac:dyDescent="0.2">
      <c r="A1597" s="57" t="s">
        <v>675</v>
      </c>
      <c r="B1597" s="424"/>
      <c r="C1597" s="425"/>
      <c r="D1597" s="426"/>
      <c r="E1597" s="419" t="s">
        <v>405</v>
      </c>
      <c r="F1597" s="420"/>
      <c r="G1597" s="64" t="s">
        <v>420</v>
      </c>
      <c r="H1597" s="419" t="s">
        <v>459</v>
      </c>
      <c r="I1597" s="420"/>
      <c r="K1597" s="57" t="s">
        <v>675</v>
      </c>
      <c r="L1597" s="57" t="s">
        <v>264</v>
      </c>
      <c r="S1597" s="57">
        <v>0</v>
      </c>
    </row>
    <row r="1598" spans="1:19" ht="11.1" customHeight="1" x14ac:dyDescent="0.2">
      <c r="A1598" s="57" t="s">
        <v>675</v>
      </c>
      <c r="B1598" s="424"/>
      <c r="C1598" s="425"/>
      <c r="D1598" s="426"/>
      <c r="E1598" s="419" t="s">
        <v>462</v>
      </c>
      <c r="F1598" s="420"/>
      <c r="G1598" s="64" t="s">
        <v>424</v>
      </c>
      <c r="H1598" s="419" t="s">
        <v>463</v>
      </c>
      <c r="I1598" s="420"/>
      <c r="K1598" s="57" t="s">
        <v>675</v>
      </c>
      <c r="L1598" s="57" t="s">
        <v>264</v>
      </c>
      <c r="S1598" s="57">
        <v>0</v>
      </c>
    </row>
    <row r="1599" spans="1:19" ht="11.85" customHeight="1" x14ac:dyDescent="0.2">
      <c r="A1599" s="57" t="s">
        <v>675</v>
      </c>
      <c r="B1599" s="416"/>
      <c r="C1599" s="417"/>
      <c r="D1599" s="418"/>
      <c r="E1599" s="419" t="s">
        <v>546</v>
      </c>
      <c r="F1599" s="420"/>
      <c r="G1599" s="64" t="s">
        <v>461</v>
      </c>
      <c r="H1599" s="419" t="s">
        <v>423</v>
      </c>
      <c r="I1599" s="420"/>
      <c r="K1599" s="57" t="s">
        <v>675</v>
      </c>
      <c r="L1599" s="57" t="s">
        <v>264</v>
      </c>
      <c r="S1599" s="65">
        <v>33.17</v>
      </c>
    </row>
    <row r="1600" spans="1:19" ht="11.85" customHeight="1" x14ac:dyDescent="0.2">
      <c r="A1600" s="57" t="s">
        <v>675</v>
      </c>
      <c r="B1600" s="62"/>
      <c r="C1600" s="411" t="s">
        <v>676</v>
      </c>
      <c r="D1600" s="412"/>
      <c r="E1600" s="412"/>
      <c r="F1600" s="412"/>
      <c r="G1600" s="412"/>
      <c r="H1600" s="412"/>
      <c r="I1600" s="411"/>
      <c r="K1600" s="57" t="s">
        <v>675</v>
      </c>
      <c r="L1600" s="57" t="s">
        <v>264</v>
      </c>
      <c r="S1600" s="57">
        <v>0</v>
      </c>
    </row>
    <row r="1601" spans="1:19" ht="11.85" customHeight="1" x14ac:dyDescent="0.2">
      <c r="A1601" s="57" t="s">
        <v>676</v>
      </c>
      <c r="B1601" s="413" t="s">
        <v>471</v>
      </c>
      <c r="C1601" s="414"/>
      <c r="D1601" s="415"/>
      <c r="E1601" s="419" t="s">
        <v>502</v>
      </c>
      <c r="F1601" s="420"/>
      <c r="G1601" s="64" t="s">
        <v>503</v>
      </c>
      <c r="H1601" s="419" t="s">
        <v>423</v>
      </c>
      <c r="I1601" s="420"/>
      <c r="K1601" s="57" t="s">
        <v>676</v>
      </c>
      <c r="L1601" s="57" t="s">
        <v>265</v>
      </c>
      <c r="S1601" s="57">
        <v>0</v>
      </c>
    </row>
    <row r="1602" spans="1:19" ht="11.1" customHeight="1" x14ac:dyDescent="0.2">
      <c r="A1602" s="57" t="s">
        <v>676</v>
      </c>
      <c r="B1602" s="416"/>
      <c r="C1602" s="417"/>
      <c r="D1602" s="418"/>
      <c r="E1602" s="419" t="s">
        <v>504</v>
      </c>
      <c r="F1602" s="420"/>
      <c r="G1602" s="64" t="s">
        <v>503</v>
      </c>
      <c r="H1602" s="419" t="s">
        <v>423</v>
      </c>
      <c r="I1602" s="420"/>
      <c r="K1602" s="57" t="s">
        <v>676</v>
      </c>
      <c r="L1602" s="57" t="s">
        <v>265</v>
      </c>
      <c r="S1602" s="57">
        <v>0</v>
      </c>
    </row>
    <row r="1603" spans="1:19" ht="11.85" customHeight="1" x14ac:dyDescent="0.2">
      <c r="A1603" s="57" t="s">
        <v>676</v>
      </c>
      <c r="B1603" s="413" t="s">
        <v>416</v>
      </c>
      <c r="C1603" s="414"/>
      <c r="D1603" s="415"/>
      <c r="E1603" s="419" t="s">
        <v>402</v>
      </c>
      <c r="F1603" s="420"/>
      <c r="G1603" s="64" t="s">
        <v>417</v>
      </c>
      <c r="H1603" s="419" t="s">
        <v>457</v>
      </c>
      <c r="I1603" s="420"/>
      <c r="K1603" s="57" t="s">
        <v>676</v>
      </c>
      <c r="L1603" s="57" t="s">
        <v>265</v>
      </c>
      <c r="S1603" s="57">
        <v>0</v>
      </c>
    </row>
    <row r="1604" spans="1:19" ht="11.85" customHeight="1" x14ac:dyDescent="0.2">
      <c r="A1604" s="57" t="s">
        <v>676</v>
      </c>
      <c r="B1604" s="424"/>
      <c r="C1604" s="425"/>
      <c r="D1604" s="426"/>
      <c r="E1604" s="419" t="s">
        <v>403</v>
      </c>
      <c r="F1604" s="420"/>
      <c r="G1604" s="64" t="s">
        <v>417</v>
      </c>
      <c r="H1604" s="419" t="s">
        <v>457</v>
      </c>
      <c r="I1604" s="420"/>
      <c r="K1604" s="57" t="s">
        <v>676</v>
      </c>
      <c r="L1604" s="57" t="s">
        <v>265</v>
      </c>
      <c r="S1604" s="57">
        <v>0</v>
      </c>
    </row>
    <row r="1605" spans="1:19" ht="11.85" customHeight="1" x14ac:dyDescent="0.2">
      <c r="A1605" s="57" t="s">
        <v>676</v>
      </c>
      <c r="B1605" s="424"/>
      <c r="C1605" s="425"/>
      <c r="D1605" s="426"/>
      <c r="E1605" s="419" t="s">
        <v>404</v>
      </c>
      <c r="F1605" s="420"/>
      <c r="G1605" s="64" t="s">
        <v>413</v>
      </c>
      <c r="H1605" s="419" t="s">
        <v>458</v>
      </c>
      <c r="I1605" s="420"/>
      <c r="K1605" s="57" t="s">
        <v>676</v>
      </c>
      <c r="L1605" s="57" t="s">
        <v>265</v>
      </c>
      <c r="S1605" s="57">
        <v>0</v>
      </c>
    </row>
    <row r="1606" spans="1:19" ht="11.1" customHeight="1" x14ac:dyDescent="0.2">
      <c r="A1606" s="57" t="s">
        <v>676</v>
      </c>
      <c r="B1606" s="424"/>
      <c r="C1606" s="425"/>
      <c r="D1606" s="426"/>
      <c r="E1606" s="419" t="s">
        <v>405</v>
      </c>
      <c r="F1606" s="420"/>
      <c r="G1606" s="64" t="s">
        <v>420</v>
      </c>
      <c r="H1606" s="419" t="s">
        <v>459</v>
      </c>
      <c r="I1606" s="420"/>
      <c r="K1606" s="57" t="s">
        <v>676</v>
      </c>
      <c r="L1606" s="57" t="s">
        <v>265</v>
      </c>
      <c r="S1606" s="57">
        <v>0</v>
      </c>
    </row>
    <row r="1607" spans="1:19" ht="11.85" customHeight="1" x14ac:dyDescent="0.2">
      <c r="A1607" s="57" t="s">
        <v>676</v>
      </c>
      <c r="B1607" s="424"/>
      <c r="C1607" s="425"/>
      <c r="D1607" s="426"/>
      <c r="E1607" s="419" t="s">
        <v>462</v>
      </c>
      <c r="F1607" s="420"/>
      <c r="G1607" s="64" t="s">
        <v>424</v>
      </c>
      <c r="H1607" s="419" t="s">
        <v>463</v>
      </c>
      <c r="I1607" s="420"/>
      <c r="K1607" s="57" t="s">
        <v>676</v>
      </c>
      <c r="L1607" s="57" t="s">
        <v>265</v>
      </c>
      <c r="S1607" s="57">
        <v>0</v>
      </c>
    </row>
    <row r="1608" spans="1:19" ht="11.85" customHeight="1" x14ac:dyDescent="0.2">
      <c r="A1608" s="57" t="s">
        <v>676</v>
      </c>
      <c r="B1608" s="416"/>
      <c r="C1608" s="417"/>
      <c r="D1608" s="418"/>
      <c r="E1608" s="419" t="s">
        <v>668</v>
      </c>
      <c r="F1608" s="420"/>
      <c r="G1608" s="64" t="s">
        <v>669</v>
      </c>
      <c r="H1608" s="419" t="s">
        <v>423</v>
      </c>
      <c r="I1608" s="420"/>
      <c r="K1608" s="57" t="s">
        <v>676</v>
      </c>
      <c r="L1608" s="57" t="s">
        <v>265</v>
      </c>
      <c r="S1608" s="65">
        <v>27.19</v>
      </c>
    </row>
    <row r="1609" spans="1:19" ht="11.85" customHeight="1" x14ac:dyDescent="0.2">
      <c r="A1609" s="57" t="s">
        <v>676</v>
      </c>
      <c r="B1609" s="62"/>
      <c r="C1609" s="411" t="s">
        <v>677</v>
      </c>
      <c r="D1609" s="412"/>
      <c r="E1609" s="412"/>
      <c r="F1609" s="412"/>
      <c r="G1609" s="412"/>
      <c r="H1609" s="412"/>
      <c r="I1609" s="411"/>
      <c r="K1609" s="57" t="s">
        <v>676</v>
      </c>
      <c r="L1609" s="57" t="s">
        <v>265</v>
      </c>
      <c r="S1609" s="57">
        <v>0</v>
      </c>
    </row>
    <row r="1610" spans="1:19" ht="11.85" customHeight="1" x14ac:dyDescent="0.2">
      <c r="A1610" s="57" t="s">
        <v>677</v>
      </c>
      <c r="B1610" s="413" t="s">
        <v>471</v>
      </c>
      <c r="C1610" s="427"/>
      <c r="D1610" s="428"/>
      <c r="E1610" s="419" t="s">
        <v>502</v>
      </c>
      <c r="F1610" s="420"/>
      <c r="G1610" s="64" t="s">
        <v>503</v>
      </c>
      <c r="H1610" s="419" t="s">
        <v>423</v>
      </c>
      <c r="I1610" s="420"/>
      <c r="K1610" s="57" t="s">
        <v>677</v>
      </c>
      <c r="L1610" s="57" t="s">
        <v>266</v>
      </c>
      <c r="S1610" s="57">
        <v>0</v>
      </c>
    </row>
    <row r="1611" spans="1:19" ht="11.85" customHeight="1" x14ac:dyDescent="0.2">
      <c r="A1611" s="57" t="s">
        <v>677</v>
      </c>
      <c r="B1611" s="413" t="s">
        <v>416</v>
      </c>
      <c r="C1611" s="414"/>
      <c r="D1611" s="415"/>
      <c r="E1611" s="419" t="s">
        <v>402</v>
      </c>
      <c r="F1611" s="420"/>
      <c r="G1611" s="64" t="s">
        <v>417</v>
      </c>
      <c r="H1611" s="419" t="s">
        <v>457</v>
      </c>
      <c r="I1611" s="420"/>
      <c r="K1611" s="57" t="s">
        <v>677</v>
      </c>
      <c r="L1611" s="57" t="s">
        <v>266</v>
      </c>
      <c r="S1611" s="57">
        <v>0</v>
      </c>
    </row>
    <row r="1612" spans="1:19" ht="11.1" customHeight="1" x14ac:dyDescent="0.2">
      <c r="A1612" s="57" t="s">
        <v>677</v>
      </c>
      <c r="B1612" s="424"/>
      <c r="C1612" s="425"/>
      <c r="D1612" s="426"/>
      <c r="E1612" s="419" t="s">
        <v>403</v>
      </c>
      <c r="F1612" s="420"/>
      <c r="G1612" s="64" t="s">
        <v>417</v>
      </c>
      <c r="H1612" s="419" t="s">
        <v>457</v>
      </c>
      <c r="I1612" s="420"/>
      <c r="K1612" s="57" t="s">
        <v>677</v>
      </c>
      <c r="L1612" s="57" t="s">
        <v>266</v>
      </c>
      <c r="S1612" s="57">
        <v>0</v>
      </c>
    </row>
    <row r="1613" spans="1:19" ht="11.85" customHeight="1" x14ac:dyDescent="0.2">
      <c r="A1613" s="57" t="s">
        <v>677</v>
      </c>
      <c r="B1613" s="424"/>
      <c r="C1613" s="425"/>
      <c r="D1613" s="426"/>
      <c r="E1613" s="419" t="s">
        <v>404</v>
      </c>
      <c r="F1613" s="420"/>
      <c r="G1613" s="64" t="s">
        <v>413</v>
      </c>
      <c r="H1613" s="419" t="s">
        <v>458</v>
      </c>
      <c r="I1613" s="420"/>
      <c r="K1613" s="57" t="s">
        <v>677</v>
      </c>
      <c r="L1613" s="57" t="s">
        <v>266</v>
      </c>
      <c r="S1613" s="57">
        <v>0</v>
      </c>
    </row>
    <row r="1614" spans="1:19" ht="11.85" customHeight="1" x14ac:dyDescent="0.2">
      <c r="A1614" s="57" t="s">
        <v>677</v>
      </c>
      <c r="B1614" s="424"/>
      <c r="C1614" s="425"/>
      <c r="D1614" s="426"/>
      <c r="E1614" s="419" t="s">
        <v>405</v>
      </c>
      <c r="F1614" s="420"/>
      <c r="G1614" s="64" t="s">
        <v>420</v>
      </c>
      <c r="H1614" s="419" t="s">
        <v>459</v>
      </c>
      <c r="I1614" s="420"/>
      <c r="K1614" s="57" t="s">
        <v>677</v>
      </c>
      <c r="L1614" s="57" t="s">
        <v>266</v>
      </c>
      <c r="S1614" s="57">
        <v>0</v>
      </c>
    </row>
    <row r="1615" spans="1:19" ht="11.85" customHeight="1" x14ac:dyDescent="0.2">
      <c r="A1615" s="57" t="s">
        <v>677</v>
      </c>
      <c r="B1615" s="424"/>
      <c r="C1615" s="425"/>
      <c r="D1615" s="426"/>
      <c r="E1615" s="419" t="s">
        <v>462</v>
      </c>
      <c r="F1615" s="420"/>
      <c r="G1615" s="64" t="s">
        <v>424</v>
      </c>
      <c r="H1615" s="419" t="s">
        <v>463</v>
      </c>
      <c r="I1615" s="420"/>
      <c r="K1615" s="57" t="s">
        <v>677</v>
      </c>
      <c r="L1615" s="57" t="s">
        <v>266</v>
      </c>
      <c r="S1615" s="57">
        <v>0</v>
      </c>
    </row>
    <row r="1616" spans="1:19" ht="11.1" customHeight="1" x14ac:dyDescent="0.2">
      <c r="A1616" s="57" t="s">
        <v>677</v>
      </c>
      <c r="B1616" s="416"/>
      <c r="C1616" s="417"/>
      <c r="D1616" s="418"/>
      <c r="E1616" s="419" t="s">
        <v>546</v>
      </c>
      <c r="F1616" s="420"/>
      <c r="G1616" s="64" t="s">
        <v>461</v>
      </c>
      <c r="H1616" s="419" t="s">
        <v>423</v>
      </c>
      <c r="I1616" s="420"/>
      <c r="K1616" s="57" t="s">
        <v>677</v>
      </c>
      <c r="L1616" s="57" t="s">
        <v>266</v>
      </c>
      <c r="S1616" s="65">
        <v>33.17</v>
      </c>
    </row>
    <row r="1617" spans="1:19" ht="11.85" customHeight="1" x14ac:dyDescent="0.2">
      <c r="A1617" s="57" t="s">
        <v>677</v>
      </c>
      <c r="B1617" s="62"/>
      <c r="C1617" s="411" t="s">
        <v>678</v>
      </c>
      <c r="D1617" s="412"/>
      <c r="E1617" s="412"/>
      <c r="F1617" s="412"/>
      <c r="G1617" s="412"/>
      <c r="H1617" s="412"/>
      <c r="I1617" s="411"/>
      <c r="K1617" s="57" t="s">
        <v>677</v>
      </c>
      <c r="L1617" s="57" t="s">
        <v>266</v>
      </c>
      <c r="S1617" s="57">
        <v>0</v>
      </c>
    </row>
    <row r="1618" spans="1:19" ht="11.85" customHeight="1" x14ac:dyDescent="0.2">
      <c r="A1618" s="57" t="s">
        <v>678</v>
      </c>
      <c r="B1618" s="413" t="s">
        <v>471</v>
      </c>
      <c r="C1618" s="427"/>
      <c r="D1618" s="428"/>
      <c r="E1618" s="419" t="s">
        <v>502</v>
      </c>
      <c r="F1618" s="420"/>
      <c r="G1618" s="64" t="s">
        <v>503</v>
      </c>
      <c r="H1618" s="419" t="s">
        <v>423</v>
      </c>
      <c r="I1618" s="420"/>
      <c r="K1618" s="57" t="s">
        <v>678</v>
      </c>
      <c r="L1618" s="57" t="s">
        <v>267</v>
      </c>
      <c r="S1618" s="57">
        <v>0</v>
      </c>
    </row>
    <row r="1619" spans="1:19" ht="11.85" customHeight="1" x14ac:dyDescent="0.2">
      <c r="A1619" s="57" t="s">
        <v>678</v>
      </c>
      <c r="B1619" s="413" t="s">
        <v>416</v>
      </c>
      <c r="C1619" s="414"/>
      <c r="D1619" s="415"/>
      <c r="E1619" s="419" t="s">
        <v>402</v>
      </c>
      <c r="F1619" s="420"/>
      <c r="G1619" s="64" t="s">
        <v>417</v>
      </c>
      <c r="H1619" s="419" t="s">
        <v>457</v>
      </c>
      <c r="I1619" s="420"/>
      <c r="K1619" s="57" t="s">
        <v>678</v>
      </c>
      <c r="L1619" s="57" t="s">
        <v>267</v>
      </c>
      <c r="S1619" s="57">
        <v>0</v>
      </c>
    </row>
    <row r="1620" spans="1:19" ht="11.1" customHeight="1" x14ac:dyDescent="0.2">
      <c r="A1620" s="57" t="s">
        <v>678</v>
      </c>
      <c r="B1620" s="424"/>
      <c r="C1620" s="425"/>
      <c r="D1620" s="426"/>
      <c r="E1620" s="419" t="s">
        <v>403</v>
      </c>
      <c r="F1620" s="420"/>
      <c r="G1620" s="64" t="s">
        <v>417</v>
      </c>
      <c r="H1620" s="419" t="s">
        <v>457</v>
      </c>
      <c r="I1620" s="420"/>
      <c r="K1620" s="57" t="s">
        <v>678</v>
      </c>
      <c r="L1620" s="57" t="s">
        <v>267</v>
      </c>
      <c r="S1620" s="57">
        <v>0</v>
      </c>
    </row>
    <row r="1621" spans="1:19" ht="11.85" customHeight="1" x14ac:dyDescent="0.2">
      <c r="A1621" s="57" t="s">
        <v>678</v>
      </c>
      <c r="B1621" s="424"/>
      <c r="C1621" s="425"/>
      <c r="D1621" s="426"/>
      <c r="E1621" s="419" t="s">
        <v>404</v>
      </c>
      <c r="F1621" s="420"/>
      <c r="G1621" s="64" t="s">
        <v>413</v>
      </c>
      <c r="H1621" s="419" t="s">
        <v>458</v>
      </c>
      <c r="I1621" s="420"/>
      <c r="K1621" s="57" t="s">
        <v>678</v>
      </c>
      <c r="L1621" s="57" t="s">
        <v>267</v>
      </c>
      <c r="S1621" s="57">
        <v>0</v>
      </c>
    </row>
    <row r="1622" spans="1:19" ht="11.85" customHeight="1" x14ac:dyDescent="0.2">
      <c r="A1622" s="57" t="s">
        <v>678</v>
      </c>
      <c r="B1622" s="424"/>
      <c r="C1622" s="425"/>
      <c r="D1622" s="426"/>
      <c r="E1622" s="419" t="s">
        <v>405</v>
      </c>
      <c r="F1622" s="420"/>
      <c r="G1622" s="64" t="s">
        <v>420</v>
      </c>
      <c r="H1622" s="419" t="s">
        <v>459</v>
      </c>
      <c r="I1622" s="420"/>
      <c r="K1622" s="57" t="s">
        <v>678</v>
      </c>
      <c r="L1622" s="57" t="s">
        <v>267</v>
      </c>
      <c r="S1622" s="57">
        <v>0</v>
      </c>
    </row>
    <row r="1623" spans="1:19" ht="11.85" customHeight="1" x14ac:dyDescent="0.2">
      <c r="A1623" s="57" t="s">
        <v>678</v>
      </c>
      <c r="B1623" s="424"/>
      <c r="C1623" s="425"/>
      <c r="D1623" s="426"/>
      <c r="E1623" s="419" t="s">
        <v>462</v>
      </c>
      <c r="F1623" s="420"/>
      <c r="G1623" s="64" t="s">
        <v>424</v>
      </c>
      <c r="H1623" s="419" t="s">
        <v>463</v>
      </c>
      <c r="I1623" s="420"/>
      <c r="K1623" s="57" t="s">
        <v>678</v>
      </c>
      <c r="L1623" s="57" t="s">
        <v>267</v>
      </c>
      <c r="S1623" s="57">
        <v>0</v>
      </c>
    </row>
    <row r="1624" spans="1:19" ht="11.1" customHeight="1" x14ac:dyDescent="0.2">
      <c r="A1624" s="57" t="s">
        <v>678</v>
      </c>
      <c r="B1624" s="416"/>
      <c r="C1624" s="417"/>
      <c r="D1624" s="418"/>
      <c r="E1624" s="419" t="s">
        <v>546</v>
      </c>
      <c r="F1624" s="420"/>
      <c r="G1624" s="64" t="s">
        <v>461</v>
      </c>
      <c r="H1624" s="419" t="s">
        <v>423</v>
      </c>
      <c r="I1624" s="420"/>
      <c r="K1624" s="57" t="s">
        <v>678</v>
      </c>
      <c r="L1624" s="57" t="s">
        <v>267</v>
      </c>
      <c r="S1624" s="65">
        <v>33.17</v>
      </c>
    </row>
    <row r="1625" spans="1:19" ht="11.85" customHeight="1" x14ac:dyDescent="0.2">
      <c r="A1625" s="57" t="s">
        <v>678</v>
      </c>
      <c r="B1625" s="62"/>
      <c r="C1625" s="411" t="s">
        <v>679</v>
      </c>
      <c r="D1625" s="412"/>
      <c r="E1625" s="412"/>
      <c r="F1625" s="412"/>
      <c r="G1625" s="412"/>
      <c r="H1625" s="412"/>
      <c r="I1625" s="411"/>
      <c r="K1625" s="57" t="s">
        <v>678</v>
      </c>
      <c r="L1625" s="57" t="s">
        <v>267</v>
      </c>
      <c r="S1625" s="57">
        <v>0</v>
      </c>
    </row>
    <row r="1626" spans="1:19" ht="11.85" customHeight="1" x14ac:dyDescent="0.2">
      <c r="A1626" s="57" t="s">
        <v>679</v>
      </c>
      <c r="B1626" s="413" t="s">
        <v>471</v>
      </c>
      <c r="C1626" s="427"/>
      <c r="D1626" s="428"/>
      <c r="E1626" s="419" t="s">
        <v>502</v>
      </c>
      <c r="F1626" s="420"/>
      <c r="G1626" s="64" t="s">
        <v>503</v>
      </c>
      <c r="H1626" s="419" t="s">
        <v>423</v>
      </c>
      <c r="I1626" s="420"/>
      <c r="K1626" s="57" t="s">
        <v>679</v>
      </c>
      <c r="L1626" s="57" t="s">
        <v>903</v>
      </c>
      <c r="S1626" s="57">
        <v>0</v>
      </c>
    </row>
    <row r="1627" spans="1:19" ht="11.85" customHeight="1" x14ac:dyDescent="0.2">
      <c r="A1627" s="57" t="s">
        <v>679</v>
      </c>
      <c r="B1627" s="62"/>
      <c r="C1627" s="411" t="s">
        <v>680</v>
      </c>
      <c r="D1627" s="412"/>
      <c r="E1627" s="412"/>
      <c r="F1627" s="412"/>
      <c r="G1627" s="412"/>
      <c r="H1627" s="412"/>
      <c r="I1627" s="411"/>
      <c r="K1627" s="57" t="s">
        <v>679</v>
      </c>
      <c r="L1627" s="57" t="s">
        <v>903</v>
      </c>
      <c r="S1627" s="57">
        <v>0</v>
      </c>
    </row>
    <row r="1628" spans="1:19" ht="11.1" customHeight="1" x14ac:dyDescent="0.2">
      <c r="A1628" s="57" t="s">
        <v>680</v>
      </c>
      <c r="B1628" s="413" t="s">
        <v>471</v>
      </c>
      <c r="C1628" s="427"/>
      <c r="D1628" s="428"/>
      <c r="E1628" s="419" t="s">
        <v>502</v>
      </c>
      <c r="F1628" s="420"/>
      <c r="G1628" s="64" t="s">
        <v>503</v>
      </c>
      <c r="H1628" s="419" t="s">
        <v>423</v>
      </c>
      <c r="I1628" s="420"/>
      <c r="K1628" s="57" t="s">
        <v>680</v>
      </c>
      <c r="L1628" s="57" t="s">
        <v>268</v>
      </c>
      <c r="S1628" s="57">
        <v>0</v>
      </c>
    </row>
    <row r="1629" spans="1:19" ht="11.85" customHeight="1" x14ac:dyDescent="0.2">
      <c r="A1629" s="57" t="s">
        <v>680</v>
      </c>
      <c r="B1629" s="413" t="s">
        <v>416</v>
      </c>
      <c r="C1629" s="427"/>
      <c r="D1629" s="428"/>
      <c r="E1629" s="419" t="s">
        <v>521</v>
      </c>
      <c r="F1629" s="420"/>
      <c r="G1629" s="64" t="s">
        <v>681</v>
      </c>
      <c r="H1629" s="419" t="s">
        <v>423</v>
      </c>
      <c r="I1629" s="420"/>
      <c r="K1629" s="57" t="s">
        <v>680</v>
      </c>
      <c r="L1629" s="57" t="s">
        <v>268</v>
      </c>
      <c r="S1629" s="65">
        <v>16.02</v>
      </c>
    </row>
    <row r="1630" spans="1:19" ht="11.85" customHeight="1" x14ac:dyDescent="0.2">
      <c r="A1630" s="57" t="s">
        <v>680</v>
      </c>
      <c r="B1630" s="62"/>
      <c r="C1630" s="411" t="s">
        <v>682</v>
      </c>
      <c r="D1630" s="412"/>
      <c r="E1630" s="412"/>
      <c r="F1630" s="412"/>
      <c r="G1630" s="412"/>
      <c r="H1630" s="412"/>
      <c r="I1630" s="411"/>
      <c r="K1630" s="57" t="s">
        <v>680</v>
      </c>
      <c r="L1630" s="57" t="s">
        <v>268</v>
      </c>
      <c r="S1630" s="57">
        <v>0</v>
      </c>
    </row>
    <row r="1631" spans="1:19" ht="11.85" customHeight="1" x14ac:dyDescent="0.2">
      <c r="A1631" s="57" t="s">
        <v>682</v>
      </c>
      <c r="B1631" s="413" t="s">
        <v>471</v>
      </c>
      <c r="C1631" s="427"/>
      <c r="D1631" s="428"/>
      <c r="E1631" s="419" t="s">
        <v>502</v>
      </c>
      <c r="F1631" s="420"/>
      <c r="G1631" s="64" t="s">
        <v>503</v>
      </c>
      <c r="H1631" s="419" t="s">
        <v>423</v>
      </c>
      <c r="I1631" s="420"/>
      <c r="K1631" s="57" t="s">
        <v>682</v>
      </c>
      <c r="L1631" s="57" t="s">
        <v>904</v>
      </c>
      <c r="S1631" s="57">
        <v>0</v>
      </c>
    </row>
    <row r="1632" spans="1:19" ht="11.1" customHeight="1" x14ac:dyDescent="0.2">
      <c r="A1632" s="57" t="s">
        <v>682</v>
      </c>
      <c r="B1632" s="62"/>
      <c r="C1632" s="411" t="s">
        <v>683</v>
      </c>
      <c r="D1632" s="412"/>
      <c r="E1632" s="412"/>
      <c r="F1632" s="412"/>
      <c r="G1632" s="412"/>
      <c r="H1632" s="412"/>
      <c r="I1632" s="411"/>
      <c r="K1632" s="57" t="s">
        <v>682</v>
      </c>
      <c r="L1632" s="57" t="s">
        <v>904</v>
      </c>
      <c r="S1632" s="57">
        <v>0</v>
      </c>
    </row>
    <row r="1633" spans="1:19" ht="11.85" customHeight="1" x14ac:dyDescent="0.2">
      <c r="A1633" s="57" t="s">
        <v>683</v>
      </c>
      <c r="B1633" s="413" t="s">
        <v>471</v>
      </c>
      <c r="C1633" s="427"/>
      <c r="D1633" s="428"/>
      <c r="E1633" s="419" t="s">
        <v>502</v>
      </c>
      <c r="F1633" s="420"/>
      <c r="G1633" s="64" t="s">
        <v>503</v>
      </c>
      <c r="H1633" s="419" t="s">
        <v>423</v>
      </c>
      <c r="I1633" s="420"/>
      <c r="K1633" s="57" t="s">
        <v>683</v>
      </c>
      <c r="L1633" s="57" t="s">
        <v>269</v>
      </c>
      <c r="S1633" s="57">
        <v>0</v>
      </c>
    </row>
    <row r="1634" spans="1:19" ht="11.85" customHeight="1" x14ac:dyDescent="0.2">
      <c r="A1634" s="57" t="s">
        <v>683</v>
      </c>
      <c r="B1634" s="413" t="s">
        <v>416</v>
      </c>
      <c r="C1634" s="414"/>
      <c r="D1634" s="415"/>
      <c r="E1634" s="419" t="s">
        <v>402</v>
      </c>
      <c r="F1634" s="420"/>
      <c r="G1634" s="64" t="s">
        <v>417</v>
      </c>
      <c r="H1634" s="419" t="s">
        <v>437</v>
      </c>
      <c r="I1634" s="420"/>
      <c r="K1634" s="57" t="s">
        <v>683</v>
      </c>
      <c r="L1634" s="57" t="s">
        <v>269</v>
      </c>
      <c r="S1634" s="57">
        <v>0</v>
      </c>
    </row>
    <row r="1635" spans="1:19" ht="11.85" customHeight="1" x14ac:dyDescent="0.2">
      <c r="A1635" s="57" t="s">
        <v>683</v>
      </c>
      <c r="B1635" s="424"/>
      <c r="C1635" s="425"/>
      <c r="D1635" s="426"/>
      <c r="E1635" s="419" t="s">
        <v>403</v>
      </c>
      <c r="F1635" s="420"/>
      <c r="G1635" s="64" t="s">
        <v>417</v>
      </c>
      <c r="H1635" s="419" t="s">
        <v>437</v>
      </c>
      <c r="I1635" s="420"/>
      <c r="K1635" s="57" t="s">
        <v>683</v>
      </c>
      <c r="L1635" s="57" t="s">
        <v>269</v>
      </c>
      <c r="S1635" s="57">
        <v>0</v>
      </c>
    </row>
    <row r="1636" spans="1:19" ht="11.1" customHeight="1" x14ac:dyDescent="0.2">
      <c r="A1636" s="57" t="s">
        <v>683</v>
      </c>
      <c r="B1636" s="424"/>
      <c r="C1636" s="425"/>
      <c r="D1636" s="426"/>
      <c r="E1636" s="419" t="s">
        <v>404</v>
      </c>
      <c r="F1636" s="420"/>
      <c r="G1636" s="64" t="s">
        <v>413</v>
      </c>
      <c r="H1636" s="419" t="s">
        <v>478</v>
      </c>
      <c r="I1636" s="420"/>
      <c r="K1636" s="57" t="s">
        <v>683</v>
      </c>
      <c r="L1636" s="57" t="s">
        <v>269</v>
      </c>
      <c r="S1636" s="57">
        <v>0</v>
      </c>
    </row>
    <row r="1637" spans="1:19" ht="11.85" customHeight="1" x14ac:dyDescent="0.2">
      <c r="A1637" s="57" t="s">
        <v>683</v>
      </c>
      <c r="B1637" s="424"/>
      <c r="C1637" s="425"/>
      <c r="D1637" s="426"/>
      <c r="E1637" s="419" t="s">
        <v>405</v>
      </c>
      <c r="F1637" s="420"/>
      <c r="G1637" s="64" t="s">
        <v>420</v>
      </c>
      <c r="H1637" s="419" t="s">
        <v>439</v>
      </c>
      <c r="I1637" s="420"/>
      <c r="K1637" s="57" t="s">
        <v>683</v>
      </c>
      <c r="L1637" s="57" t="s">
        <v>269</v>
      </c>
      <c r="S1637" s="57">
        <v>0</v>
      </c>
    </row>
    <row r="1638" spans="1:19" ht="11.85" customHeight="1" x14ac:dyDescent="0.2">
      <c r="A1638" s="57" t="s">
        <v>683</v>
      </c>
      <c r="B1638" s="424"/>
      <c r="C1638" s="425"/>
      <c r="D1638" s="426"/>
      <c r="E1638" s="419" t="s">
        <v>407</v>
      </c>
      <c r="F1638" s="420"/>
      <c r="G1638" s="64" t="s">
        <v>424</v>
      </c>
      <c r="H1638" s="419" t="s">
        <v>425</v>
      </c>
      <c r="I1638" s="420"/>
      <c r="K1638" s="57" t="s">
        <v>683</v>
      </c>
      <c r="L1638" s="57" t="s">
        <v>269</v>
      </c>
      <c r="S1638" s="57">
        <v>0</v>
      </c>
    </row>
    <row r="1639" spans="1:19" ht="11.85" customHeight="1" x14ac:dyDescent="0.2">
      <c r="A1639" s="57" t="s">
        <v>683</v>
      </c>
      <c r="B1639" s="416"/>
      <c r="C1639" s="417"/>
      <c r="D1639" s="418"/>
      <c r="E1639" s="419" t="s">
        <v>506</v>
      </c>
      <c r="F1639" s="420"/>
      <c r="G1639" s="64" t="s">
        <v>507</v>
      </c>
      <c r="H1639" s="419" t="s">
        <v>423</v>
      </c>
      <c r="I1639" s="420"/>
      <c r="K1639" s="57" t="s">
        <v>683</v>
      </c>
      <c r="L1639" s="57" t="s">
        <v>269</v>
      </c>
      <c r="S1639" s="65">
        <v>39.51</v>
      </c>
    </row>
    <row r="1640" spans="1:19" ht="11.1" customHeight="1" x14ac:dyDescent="0.2">
      <c r="A1640" s="57" t="s">
        <v>683</v>
      </c>
      <c r="B1640" s="62"/>
      <c r="C1640" s="411" t="s">
        <v>684</v>
      </c>
      <c r="D1640" s="412"/>
      <c r="E1640" s="412"/>
      <c r="F1640" s="412"/>
      <c r="G1640" s="412"/>
      <c r="H1640" s="412"/>
      <c r="I1640" s="411"/>
      <c r="K1640" s="57" t="s">
        <v>683</v>
      </c>
      <c r="L1640" s="57" t="s">
        <v>269</v>
      </c>
      <c r="S1640" s="57">
        <v>0</v>
      </c>
    </row>
    <row r="1641" spans="1:19" ht="11.85" customHeight="1" x14ac:dyDescent="0.2">
      <c r="A1641" s="57" t="s">
        <v>684</v>
      </c>
      <c r="B1641" s="413" t="s">
        <v>471</v>
      </c>
      <c r="C1641" s="427"/>
      <c r="D1641" s="428"/>
      <c r="E1641" s="419" t="s">
        <v>502</v>
      </c>
      <c r="F1641" s="420"/>
      <c r="G1641" s="64" t="s">
        <v>503</v>
      </c>
      <c r="H1641" s="419" t="s">
        <v>423</v>
      </c>
      <c r="I1641" s="420"/>
      <c r="K1641" s="57" t="s">
        <v>684</v>
      </c>
      <c r="L1641" s="57" t="s">
        <v>905</v>
      </c>
      <c r="S1641" s="57">
        <v>0</v>
      </c>
    </row>
    <row r="1642" spans="1:19" ht="11.85" customHeight="1" x14ac:dyDescent="0.2">
      <c r="A1642" s="57" t="s">
        <v>684</v>
      </c>
      <c r="B1642" s="62"/>
      <c r="C1642" s="411" t="s">
        <v>685</v>
      </c>
      <c r="D1642" s="412"/>
      <c r="E1642" s="412"/>
      <c r="F1642" s="412"/>
      <c r="G1642" s="412"/>
      <c r="H1642" s="412"/>
      <c r="I1642" s="411"/>
      <c r="K1642" s="57" t="s">
        <v>684</v>
      </c>
      <c r="L1642" s="57" t="s">
        <v>905</v>
      </c>
      <c r="S1642" s="57">
        <v>0</v>
      </c>
    </row>
    <row r="1643" spans="1:19" ht="11.85" customHeight="1" x14ac:dyDescent="0.2">
      <c r="A1643" s="57" t="s">
        <v>685</v>
      </c>
      <c r="B1643" s="413" t="s">
        <v>471</v>
      </c>
      <c r="C1643" s="427"/>
      <c r="D1643" s="428"/>
      <c r="E1643" s="419" t="s">
        <v>502</v>
      </c>
      <c r="F1643" s="420"/>
      <c r="G1643" s="64" t="s">
        <v>503</v>
      </c>
      <c r="H1643" s="419" t="s">
        <v>423</v>
      </c>
      <c r="I1643" s="420"/>
      <c r="K1643" s="57" t="s">
        <v>685</v>
      </c>
      <c r="L1643" s="57" t="s">
        <v>906</v>
      </c>
      <c r="S1643" s="57">
        <v>0</v>
      </c>
    </row>
    <row r="1644" spans="1:19" ht="11.1" customHeight="1" x14ac:dyDescent="0.2">
      <c r="A1644" s="57" t="s">
        <v>685</v>
      </c>
      <c r="B1644" s="62"/>
      <c r="C1644" s="411" t="s">
        <v>686</v>
      </c>
      <c r="D1644" s="412"/>
      <c r="E1644" s="412"/>
      <c r="F1644" s="412"/>
      <c r="G1644" s="412"/>
      <c r="H1644" s="412"/>
      <c r="I1644" s="411"/>
      <c r="K1644" s="57" t="s">
        <v>685</v>
      </c>
      <c r="L1644" s="57" t="s">
        <v>906</v>
      </c>
      <c r="S1644" s="57">
        <v>0</v>
      </c>
    </row>
    <row r="1645" spans="1:19" ht="11.85" customHeight="1" x14ac:dyDescent="0.2">
      <c r="A1645" s="57" t="s">
        <v>686</v>
      </c>
      <c r="B1645" s="413" t="s">
        <v>471</v>
      </c>
      <c r="C1645" s="427"/>
      <c r="D1645" s="428"/>
      <c r="E1645" s="419" t="s">
        <v>502</v>
      </c>
      <c r="F1645" s="420"/>
      <c r="G1645" s="64" t="s">
        <v>503</v>
      </c>
      <c r="H1645" s="419" t="s">
        <v>423</v>
      </c>
      <c r="I1645" s="420"/>
      <c r="K1645" s="57" t="s">
        <v>686</v>
      </c>
      <c r="L1645" s="57" t="s">
        <v>907</v>
      </c>
      <c r="S1645" s="57">
        <v>0</v>
      </c>
    </row>
    <row r="1646" spans="1:19" ht="11.85" customHeight="1" x14ac:dyDescent="0.2">
      <c r="A1646" s="57" t="s">
        <v>686</v>
      </c>
      <c r="B1646" s="62"/>
      <c r="C1646" s="411" t="s">
        <v>687</v>
      </c>
      <c r="D1646" s="412"/>
      <c r="E1646" s="412"/>
      <c r="F1646" s="412"/>
      <c r="G1646" s="412"/>
      <c r="H1646" s="412"/>
      <c r="I1646" s="411"/>
      <c r="K1646" s="57" t="s">
        <v>686</v>
      </c>
      <c r="L1646" s="57" t="s">
        <v>907</v>
      </c>
      <c r="S1646" s="57">
        <v>0</v>
      </c>
    </row>
    <row r="1647" spans="1:19" ht="11.85" customHeight="1" x14ac:dyDescent="0.2">
      <c r="A1647" s="57" t="s">
        <v>687</v>
      </c>
      <c r="B1647" s="413" t="s">
        <v>471</v>
      </c>
      <c r="C1647" s="427"/>
      <c r="D1647" s="428"/>
      <c r="E1647" s="419" t="s">
        <v>502</v>
      </c>
      <c r="F1647" s="420"/>
      <c r="G1647" s="64" t="s">
        <v>503</v>
      </c>
      <c r="H1647" s="419" t="s">
        <v>423</v>
      </c>
      <c r="I1647" s="420"/>
      <c r="K1647" s="57" t="s">
        <v>687</v>
      </c>
      <c r="L1647" s="57" t="s">
        <v>908</v>
      </c>
      <c r="S1647" s="57">
        <v>0</v>
      </c>
    </row>
    <row r="1648" spans="1:19" ht="11.1" customHeight="1" x14ac:dyDescent="0.2">
      <c r="A1648" s="57" t="s">
        <v>687</v>
      </c>
      <c r="B1648" s="62"/>
      <c r="C1648" s="411" t="s">
        <v>688</v>
      </c>
      <c r="D1648" s="412"/>
      <c r="E1648" s="412"/>
      <c r="F1648" s="412"/>
      <c r="G1648" s="412"/>
      <c r="H1648" s="412"/>
      <c r="I1648" s="411"/>
      <c r="K1648" s="57" t="s">
        <v>687</v>
      </c>
      <c r="L1648" s="57" t="s">
        <v>908</v>
      </c>
      <c r="S1648" s="57">
        <v>0</v>
      </c>
    </row>
    <row r="1649" spans="1:19" ht="11.85" customHeight="1" x14ac:dyDescent="0.2">
      <c r="A1649" s="57" t="s">
        <v>688</v>
      </c>
      <c r="B1649" s="413" t="s">
        <v>471</v>
      </c>
      <c r="C1649" s="427"/>
      <c r="D1649" s="428"/>
      <c r="E1649" s="419" t="s">
        <v>502</v>
      </c>
      <c r="F1649" s="420"/>
      <c r="G1649" s="64" t="s">
        <v>503</v>
      </c>
      <c r="H1649" s="419" t="s">
        <v>423</v>
      </c>
      <c r="I1649" s="420"/>
      <c r="K1649" s="57" t="s">
        <v>688</v>
      </c>
      <c r="L1649" s="57" t="s">
        <v>909</v>
      </c>
      <c r="S1649" s="57">
        <v>0</v>
      </c>
    </row>
    <row r="1650" spans="1:19" ht="11.85" customHeight="1" x14ac:dyDescent="0.2">
      <c r="A1650" s="57" t="s">
        <v>688</v>
      </c>
      <c r="B1650" s="62"/>
      <c r="C1650" s="411" t="s">
        <v>689</v>
      </c>
      <c r="D1650" s="412"/>
      <c r="E1650" s="412"/>
      <c r="F1650" s="412"/>
      <c r="G1650" s="412"/>
      <c r="H1650" s="412"/>
      <c r="I1650" s="411"/>
      <c r="K1650" s="57" t="s">
        <v>688</v>
      </c>
      <c r="L1650" s="57" t="s">
        <v>909</v>
      </c>
      <c r="S1650" s="57">
        <v>0</v>
      </c>
    </row>
    <row r="1651" spans="1:19" ht="11.85" customHeight="1" x14ac:dyDescent="0.2">
      <c r="A1651" s="57" t="s">
        <v>689</v>
      </c>
      <c r="B1651" s="413" t="s">
        <v>471</v>
      </c>
      <c r="C1651" s="427"/>
      <c r="D1651" s="428"/>
      <c r="E1651" s="419" t="s">
        <v>502</v>
      </c>
      <c r="F1651" s="420"/>
      <c r="G1651" s="64" t="s">
        <v>503</v>
      </c>
      <c r="H1651" s="419" t="s">
        <v>423</v>
      </c>
      <c r="I1651" s="420"/>
      <c r="K1651" s="57" t="s">
        <v>689</v>
      </c>
      <c r="L1651" s="57" t="s">
        <v>270</v>
      </c>
      <c r="S1651" s="57">
        <v>0</v>
      </c>
    </row>
    <row r="1652" spans="1:19" ht="11.1" customHeight="1" x14ac:dyDescent="0.2">
      <c r="A1652" s="57" t="s">
        <v>689</v>
      </c>
      <c r="B1652" s="413" t="s">
        <v>416</v>
      </c>
      <c r="C1652" s="414"/>
      <c r="D1652" s="415"/>
      <c r="E1652" s="419" t="s">
        <v>402</v>
      </c>
      <c r="F1652" s="420"/>
      <c r="G1652" s="64" t="s">
        <v>417</v>
      </c>
      <c r="H1652" s="419" t="s">
        <v>437</v>
      </c>
      <c r="I1652" s="420"/>
      <c r="K1652" s="57" t="s">
        <v>689</v>
      </c>
      <c r="L1652" s="57" t="s">
        <v>270</v>
      </c>
      <c r="S1652" s="57">
        <v>0</v>
      </c>
    </row>
    <row r="1653" spans="1:19" ht="11.85" customHeight="1" x14ac:dyDescent="0.2">
      <c r="A1653" s="57" t="s">
        <v>689</v>
      </c>
      <c r="B1653" s="424"/>
      <c r="C1653" s="425"/>
      <c r="D1653" s="426"/>
      <c r="E1653" s="419" t="s">
        <v>403</v>
      </c>
      <c r="F1653" s="420"/>
      <c r="G1653" s="64" t="s">
        <v>417</v>
      </c>
      <c r="H1653" s="419" t="s">
        <v>437</v>
      </c>
      <c r="I1653" s="420"/>
      <c r="K1653" s="57" t="s">
        <v>689</v>
      </c>
      <c r="L1653" s="57" t="s">
        <v>270</v>
      </c>
      <c r="S1653" s="57">
        <v>0</v>
      </c>
    </row>
    <row r="1654" spans="1:19" ht="11.85" customHeight="1" x14ac:dyDescent="0.2">
      <c r="A1654" s="57" t="s">
        <v>689</v>
      </c>
      <c r="B1654" s="424"/>
      <c r="C1654" s="425"/>
      <c r="D1654" s="426"/>
      <c r="E1654" s="419" t="s">
        <v>404</v>
      </c>
      <c r="F1654" s="420"/>
      <c r="G1654" s="64" t="s">
        <v>413</v>
      </c>
      <c r="H1654" s="419" t="s">
        <v>478</v>
      </c>
      <c r="I1654" s="420"/>
      <c r="K1654" s="57" t="s">
        <v>689</v>
      </c>
      <c r="L1654" s="57" t="s">
        <v>270</v>
      </c>
      <c r="S1654" s="57">
        <v>0</v>
      </c>
    </row>
    <row r="1655" spans="1:19" ht="11.85" customHeight="1" x14ac:dyDescent="0.2">
      <c r="A1655" s="57" t="s">
        <v>689</v>
      </c>
      <c r="B1655" s="424"/>
      <c r="C1655" s="425"/>
      <c r="D1655" s="426"/>
      <c r="E1655" s="419" t="s">
        <v>405</v>
      </c>
      <c r="F1655" s="420"/>
      <c r="G1655" s="64" t="s">
        <v>420</v>
      </c>
      <c r="H1655" s="419" t="s">
        <v>439</v>
      </c>
      <c r="I1655" s="420"/>
      <c r="K1655" s="57" t="s">
        <v>689</v>
      </c>
      <c r="L1655" s="57" t="s">
        <v>270</v>
      </c>
      <c r="S1655" s="57">
        <v>0</v>
      </c>
    </row>
    <row r="1656" spans="1:19" ht="11.1" customHeight="1" x14ac:dyDescent="0.2">
      <c r="A1656" s="57" t="s">
        <v>689</v>
      </c>
      <c r="B1656" s="424"/>
      <c r="C1656" s="425"/>
      <c r="D1656" s="426"/>
      <c r="E1656" s="419" t="s">
        <v>442</v>
      </c>
      <c r="F1656" s="420"/>
      <c r="G1656" s="64" t="s">
        <v>443</v>
      </c>
      <c r="H1656" s="419" t="s">
        <v>425</v>
      </c>
      <c r="I1656" s="420"/>
      <c r="K1656" s="57" t="s">
        <v>689</v>
      </c>
      <c r="L1656" s="57" t="s">
        <v>270</v>
      </c>
      <c r="S1656" s="57">
        <v>0</v>
      </c>
    </row>
    <row r="1657" spans="1:19" ht="11.85" customHeight="1" x14ac:dyDescent="0.2">
      <c r="A1657" s="57" t="s">
        <v>689</v>
      </c>
      <c r="B1657" s="416"/>
      <c r="C1657" s="417"/>
      <c r="D1657" s="418"/>
      <c r="E1657" s="419" t="s">
        <v>509</v>
      </c>
      <c r="F1657" s="420"/>
      <c r="G1657" s="64" t="s">
        <v>510</v>
      </c>
      <c r="H1657" s="419" t="s">
        <v>423</v>
      </c>
      <c r="I1657" s="420"/>
      <c r="K1657" s="57" t="s">
        <v>689</v>
      </c>
      <c r="L1657" s="57" t="s">
        <v>270</v>
      </c>
      <c r="S1657" s="65">
        <v>39.28</v>
      </c>
    </row>
    <row r="1658" spans="1:19" ht="11.85" customHeight="1" x14ac:dyDescent="0.2">
      <c r="A1658" s="57" t="s">
        <v>689</v>
      </c>
      <c r="B1658" s="62"/>
      <c r="C1658" s="411" t="s">
        <v>690</v>
      </c>
      <c r="D1658" s="412"/>
      <c r="E1658" s="412"/>
      <c r="F1658" s="412"/>
      <c r="G1658" s="412"/>
      <c r="H1658" s="412"/>
      <c r="I1658" s="411"/>
      <c r="K1658" s="57" t="s">
        <v>689</v>
      </c>
      <c r="L1658" s="57" t="s">
        <v>270</v>
      </c>
      <c r="S1658" s="57">
        <v>0</v>
      </c>
    </row>
    <row r="1659" spans="1:19" ht="11.85" customHeight="1" x14ac:dyDescent="0.2">
      <c r="A1659" s="57" t="s">
        <v>690</v>
      </c>
      <c r="B1659" s="413" t="s">
        <v>471</v>
      </c>
      <c r="C1659" s="427"/>
      <c r="D1659" s="428"/>
      <c r="E1659" s="419" t="s">
        <v>502</v>
      </c>
      <c r="F1659" s="420"/>
      <c r="G1659" s="64" t="s">
        <v>503</v>
      </c>
      <c r="H1659" s="419" t="s">
        <v>423</v>
      </c>
      <c r="I1659" s="420"/>
      <c r="K1659" s="57" t="s">
        <v>690</v>
      </c>
      <c r="L1659" s="57" t="s">
        <v>910</v>
      </c>
      <c r="S1659" s="57">
        <v>0</v>
      </c>
    </row>
    <row r="1660" spans="1:19" ht="11.1" customHeight="1" x14ac:dyDescent="0.2">
      <c r="A1660" s="57" t="s">
        <v>690</v>
      </c>
      <c r="B1660" s="62"/>
      <c r="C1660" s="411" t="s">
        <v>691</v>
      </c>
      <c r="D1660" s="412"/>
      <c r="E1660" s="412"/>
      <c r="F1660" s="412"/>
      <c r="G1660" s="412"/>
      <c r="H1660" s="412"/>
      <c r="I1660" s="411"/>
      <c r="K1660" s="57" t="s">
        <v>690</v>
      </c>
      <c r="L1660" s="57" t="s">
        <v>910</v>
      </c>
      <c r="S1660" s="57">
        <v>0</v>
      </c>
    </row>
    <row r="1661" spans="1:19" ht="11.85" customHeight="1" x14ac:dyDescent="0.2">
      <c r="A1661" s="57" t="s">
        <v>691</v>
      </c>
      <c r="B1661" s="413" t="s">
        <v>471</v>
      </c>
      <c r="C1661" s="427"/>
      <c r="D1661" s="428"/>
      <c r="E1661" s="419" t="s">
        <v>502</v>
      </c>
      <c r="F1661" s="420"/>
      <c r="G1661" s="64" t="s">
        <v>503</v>
      </c>
      <c r="H1661" s="419" t="s">
        <v>423</v>
      </c>
      <c r="I1661" s="420"/>
      <c r="K1661" s="57" t="s">
        <v>691</v>
      </c>
      <c r="L1661" s="57" t="s">
        <v>911</v>
      </c>
      <c r="S1661" s="57">
        <v>0</v>
      </c>
    </row>
    <row r="1662" spans="1:19" ht="11.85" customHeight="1" x14ac:dyDescent="0.2">
      <c r="A1662" s="57" t="s">
        <v>691</v>
      </c>
      <c r="B1662" s="62"/>
      <c r="C1662" s="411" t="s">
        <v>692</v>
      </c>
      <c r="D1662" s="412"/>
      <c r="E1662" s="412"/>
      <c r="F1662" s="412"/>
      <c r="G1662" s="412"/>
      <c r="H1662" s="412"/>
      <c r="I1662" s="411"/>
      <c r="K1662" s="57" t="s">
        <v>691</v>
      </c>
      <c r="L1662" s="57" t="s">
        <v>911</v>
      </c>
      <c r="S1662" s="57">
        <v>0</v>
      </c>
    </row>
    <row r="1663" spans="1:19" ht="11.85" customHeight="1" x14ac:dyDescent="0.2">
      <c r="A1663" s="57" t="s">
        <v>692</v>
      </c>
      <c r="B1663" s="413" t="s">
        <v>471</v>
      </c>
      <c r="C1663" s="414"/>
      <c r="D1663" s="415"/>
      <c r="E1663" s="419" t="s">
        <v>502</v>
      </c>
      <c r="F1663" s="420"/>
      <c r="G1663" s="64" t="s">
        <v>503</v>
      </c>
      <c r="H1663" s="419" t="s">
        <v>423</v>
      </c>
      <c r="I1663" s="420"/>
      <c r="K1663" s="57" t="s">
        <v>692</v>
      </c>
      <c r="L1663" s="57" t="s">
        <v>912</v>
      </c>
      <c r="S1663" s="57">
        <v>0</v>
      </c>
    </row>
    <row r="1664" spans="1:19" ht="11.1" customHeight="1" x14ac:dyDescent="0.2">
      <c r="A1664" s="57" t="s">
        <v>692</v>
      </c>
      <c r="B1664" s="416"/>
      <c r="C1664" s="417"/>
      <c r="D1664" s="418"/>
      <c r="E1664" s="419" t="s">
        <v>504</v>
      </c>
      <c r="F1664" s="420"/>
      <c r="G1664" s="64" t="s">
        <v>503</v>
      </c>
      <c r="H1664" s="419" t="s">
        <v>423</v>
      </c>
      <c r="I1664" s="420"/>
      <c r="K1664" s="57" t="s">
        <v>692</v>
      </c>
      <c r="L1664" s="57" t="s">
        <v>912</v>
      </c>
      <c r="S1664" s="57">
        <v>0</v>
      </c>
    </row>
    <row r="1665" spans="1:19" ht="11.85" customHeight="1" x14ac:dyDescent="0.2">
      <c r="A1665" s="57" t="s">
        <v>692</v>
      </c>
      <c r="B1665" s="62"/>
      <c r="C1665" s="411" t="s">
        <v>693</v>
      </c>
      <c r="D1665" s="412"/>
      <c r="E1665" s="412"/>
      <c r="F1665" s="412"/>
      <c r="G1665" s="412"/>
      <c r="H1665" s="412"/>
      <c r="I1665" s="411"/>
      <c r="K1665" s="57" t="s">
        <v>692</v>
      </c>
      <c r="L1665" s="57" t="s">
        <v>912</v>
      </c>
      <c r="S1665" s="57">
        <v>0</v>
      </c>
    </row>
    <row r="1666" spans="1:19" ht="11.85" customHeight="1" x14ac:dyDescent="0.2">
      <c r="A1666" s="57" t="s">
        <v>693</v>
      </c>
      <c r="B1666" s="413" t="s">
        <v>471</v>
      </c>
      <c r="C1666" s="427"/>
      <c r="D1666" s="428"/>
      <c r="E1666" s="419" t="s">
        <v>502</v>
      </c>
      <c r="F1666" s="420"/>
      <c r="G1666" s="64" t="s">
        <v>503</v>
      </c>
      <c r="H1666" s="419" t="s">
        <v>423</v>
      </c>
      <c r="I1666" s="420"/>
      <c r="K1666" s="57" t="s">
        <v>693</v>
      </c>
      <c r="L1666" s="57" t="s">
        <v>271</v>
      </c>
      <c r="S1666" s="57">
        <v>0</v>
      </c>
    </row>
    <row r="1667" spans="1:19" ht="11.85" customHeight="1" x14ac:dyDescent="0.2">
      <c r="A1667" s="57" t="s">
        <v>693</v>
      </c>
      <c r="B1667" s="413" t="s">
        <v>416</v>
      </c>
      <c r="C1667" s="414"/>
      <c r="D1667" s="415"/>
      <c r="E1667" s="419" t="s">
        <v>402</v>
      </c>
      <c r="F1667" s="420"/>
      <c r="G1667" s="64" t="s">
        <v>417</v>
      </c>
      <c r="H1667" s="419" t="s">
        <v>466</v>
      </c>
      <c r="I1667" s="420"/>
      <c r="K1667" s="57" t="s">
        <v>693</v>
      </c>
      <c r="L1667" s="57" t="s">
        <v>271</v>
      </c>
      <c r="S1667" s="57">
        <v>0</v>
      </c>
    </row>
    <row r="1668" spans="1:19" ht="11.1" customHeight="1" x14ac:dyDescent="0.2">
      <c r="A1668" s="57" t="s">
        <v>693</v>
      </c>
      <c r="B1668" s="424"/>
      <c r="C1668" s="425"/>
      <c r="D1668" s="426"/>
      <c r="E1668" s="419" t="s">
        <v>403</v>
      </c>
      <c r="F1668" s="420"/>
      <c r="G1668" s="64" t="s">
        <v>417</v>
      </c>
      <c r="H1668" s="419" t="s">
        <v>466</v>
      </c>
      <c r="I1668" s="420"/>
      <c r="K1668" s="57" t="s">
        <v>693</v>
      </c>
      <c r="L1668" s="57" t="s">
        <v>271</v>
      </c>
      <c r="S1668" s="57">
        <v>0</v>
      </c>
    </row>
    <row r="1669" spans="1:19" ht="11.85" customHeight="1" x14ac:dyDescent="0.2">
      <c r="A1669" s="57" t="s">
        <v>693</v>
      </c>
      <c r="B1669" s="424"/>
      <c r="C1669" s="425"/>
      <c r="D1669" s="426"/>
      <c r="E1669" s="419" t="s">
        <v>404</v>
      </c>
      <c r="F1669" s="420"/>
      <c r="G1669" s="64" t="s">
        <v>413</v>
      </c>
      <c r="H1669" s="419" t="s">
        <v>467</v>
      </c>
      <c r="I1669" s="420"/>
      <c r="K1669" s="57" t="s">
        <v>693</v>
      </c>
      <c r="L1669" s="57" t="s">
        <v>271</v>
      </c>
      <c r="S1669" s="57">
        <v>0</v>
      </c>
    </row>
    <row r="1670" spans="1:19" ht="11.85" customHeight="1" x14ac:dyDescent="0.2">
      <c r="A1670" s="57" t="s">
        <v>693</v>
      </c>
      <c r="B1670" s="424"/>
      <c r="C1670" s="425"/>
      <c r="D1670" s="426"/>
      <c r="E1670" s="419" t="s">
        <v>405</v>
      </c>
      <c r="F1670" s="420"/>
      <c r="G1670" s="64" t="s">
        <v>420</v>
      </c>
      <c r="H1670" s="419" t="s">
        <v>418</v>
      </c>
      <c r="I1670" s="420"/>
      <c r="K1670" s="57" t="s">
        <v>693</v>
      </c>
      <c r="L1670" s="57" t="s">
        <v>271</v>
      </c>
      <c r="S1670" s="57">
        <v>0</v>
      </c>
    </row>
    <row r="1671" spans="1:19" ht="11.85" customHeight="1" x14ac:dyDescent="0.2">
      <c r="A1671" s="57" t="s">
        <v>693</v>
      </c>
      <c r="B1671" s="424"/>
      <c r="C1671" s="425"/>
      <c r="D1671" s="426"/>
      <c r="E1671" s="419" t="s">
        <v>442</v>
      </c>
      <c r="F1671" s="420"/>
      <c r="G1671" s="64" t="s">
        <v>443</v>
      </c>
      <c r="H1671" s="419" t="s">
        <v>425</v>
      </c>
      <c r="I1671" s="420"/>
      <c r="K1671" s="57" t="s">
        <v>693</v>
      </c>
      <c r="L1671" s="57" t="s">
        <v>271</v>
      </c>
      <c r="S1671" s="57">
        <v>0</v>
      </c>
    </row>
    <row r="1672" spans="1:19" ht="11.1" customHeight="1" x14ac:dyDescent="0.2">
      <c r="A1672" s="57" t="s">
        <v>693</v>
      </c>
      <c r="B1672" s="416"/>
      <c r="C1672" s="417"/>
      <c r="D1672" s="418"/>
      <c r="E1672" s="419" t="s">
        <v>509</v>
      </c>
      <c r="F1672" s="420"/>
      <c r="G1672" s="64" t="s">
        <v>510</v>
      </c>
      <c r="H1672" s="419" t="s">
        <v>423</v>
      </c>
      <c r="I1672" s="420"/>
      <c r="K1672" s="57" t="s">
        <v>693</v>
      </c>
      <c r="L1672" s="57" t="s">
        <v>271</v>
      </c>
      <c r="S1672" s="65">
        <v>39.28</v>
      </c>
    </row>
    <row r="1673" spans="1:19" ht="11.85" customHeight="1" x14ac:dyDescent="0.2">
      <c r="A1673" s="57" t="s">
        <v>693</v>
      </c>
      <c r="B1673" s="62"/>
      <c r="C1673" s="411" t="s">
        <v>694</v>
      </c>
      <c r="D1673" s="412"/>
      <c r="E1673" s="412"/>
      <c r="F1673" s="412"/>
      <c r="G1673" s="412"/>
      <c r="H1673" s="412"/>
      <c r="I1673" s="411"/>
      <c r="K1673" s="57" t="s">
        <v>693</v>
      </c>
      <c r="L1673" s="57" t="s">
        <v>271</v>
      </c>
      <c r="S1673" s="57">
        <v>0</v>
      </c>
    </row>
    <row r="1674" spans="1:19" ht="11.85" customHeight="1" x14ac:dyDescent="0.2">
      <c r="A1674" s="57" t="s">
        <v>694</v>
      </c>
      <c r="B1674" s="413" t="s">
        <v>471</v>
      </c>
      <c r="C1674" s="427"/>
      <c r="D1674" s="428"/>
      <c r="E1674" s="419" t="s">
        <v>502</v>
      </c>
      <c r="F1674" s="420"/>
      <c r="G1674" s="64" t="s">
        <v>503</v>
      </c>
      <c r="H1674" s="419" t="s">
        <v>423</v>
      </c>
      <c r="I1674" s="420"/>
      <c r="K1674" s="57" t="s">
        <v>694</v>
      </c>
      <c r="L1674" s="57" t="s">
        <v>913</v>
      </c>
      <c r="S1674" s="57">
        <v>0</v>
      </c>
    </row>
    <row r="1675" spans="1:19" ht="11.85" customHeight="1" x14ac:dyDescent="0.2">
      <c r="A1675" s="57" t="s">
        <v>694</v>
      </c>
      <c r="B1675" s="62"/>
      <c r="C1675" s="411" t="s">
        <v>695</v>
      </c>
      <c r="D1675" s="412"/>
      <c r="E1675" s="412"/>
      <c r="F1675" s="412"/>
      <c r="G1675" s="412"/>
      <c r="H1675" s="412"/>
      <c r="I1675" s="411"/>
      <c r="K1675" s="57" t="s">
        <v>694</v>
      </c>
      <c r="L1675" s="57" t="s">
        <v>913</v>
      </c>
      <c r="S1675" s="57">
        <v>0</v>
      </c>
    </row>
    <row r="1676" spans="1:19" ht="11.85" customHeight="1" x14ac:dyDescent="0.2">
      <c r="A1676" s="57" t="s">
        <v>695</v>
      </c>
      <c r="B1676" s="413" t="s">
        <v>471</v>
      </c>
      <c r="C1676" s="414"/>
      <c r="D1676" s="415"/>
      <c r="E1676" s="419" t="s">
        <v>502</v>
      </c>
      <c r="F1676" s="420"/>
      <c r="G1676" s="64" t="s">
        <v>503</v>
      </c>
      <c r="H1676" s="419" t="s">
        <v>423</v>
      </c>
      <c r="I1676" s="420"/>
      <c r="K1676" s="57" t="s">
        <v>695</v>
      </c>
      <c r="L1676" s="57" t="s">
        <v>914</v>
      </c>
      <c r="S1676" s="57">
        <v>0</v>
      </c>
    </row>
    <row r="1677" spans="1:19" ht="11.85" customHeight="1" x14ac:dyDescent="0.2">
      <c r="A1677" s="57" t="s">
        <v>695</v>
      </c>
      <c r="B1677" s="416"/>
      <c r="C1677" s="417"/>
      <c r="D1677" s="418"/>
      <c r="E1677" s="419" t="s">
        <v>504</v>
      </c>
      <c r="F1677" s="420"/>
      <c r="G1677" s="64" t="s">
        <v>503</v>
      </c>
      <c r="H1677" s="419" t="s">
        <v>423</v>
      </c>
      <c r="I1677" s="420"/>
      <c r="K1677" s="57" t="s">
        <v>695</v>
      </c>
      <c r="L1677" s="57" t="s">
        <v>914</v>
      </c>
      <c r="S1677" s="57">
        <v>0</v>
      </c>
    </row>
    <row r="1678" spans="1:19" ht="11.1" customHeight="1" x14ac:dyDescent="0.2">
      <c r="A1678" s="57" t="s">
        <v>695</v>
      </c>
      <c r="B1678" s="62"/>
      <c r="C1678" s="411" t="s">
        <v>696</v>
      </c>
      <c r="D1678" s="412"/>
      <c r="E1678" s="412"/>
      <c r="F1678" s="412"/>
      <c r="G1678" s="412"/>
      <c r="H1678" s="412"/>
      <c r="I1678" s="411"/>
      <c r="K1678" s="57" t="s">
        <v>695</v>
      </c>
      <c r="L1678" s="57" t="s">
        <v>914</v>
      </c>
      <c r="S1678" s="57">
        <v>0</v>
      </c>
    </row>
    <row r="1679" spans="1:19" ht="11.85" customHeight="1" x14ac:dyDescent="0.2">
      <c r="A1679" s="57" t="s">
        <v>696</v>
      </c>
      <c r="B1679" s="413" t="s">
        <v>471</v>
      </c>
      <c r="C1679" s="427"/>
      <c r="D1679" s="428"/>
      <c r="E1679" s="419" t="s">
        <v>502</v>
      </c>
      <c r="F1679" s="420"/>
      <c r="G1679" s="64" t="s">
        <v>503</v>
      </c>
      <c r="H1679" s="419" t="s">
        <v>423</v>
      </c>
      <c r="I1679" s="420"/>
      <c r="K1679" s="57" t="s">
        <v>696</v>
      </c>
      <c r="L1679" s="57" t="s">
        <v>272</v>
      </c>
      <c r="S1679" s="57">
        <v>0</v>
      </c>
    </row>
    <row r="1680" spans="1:19" ht="11.85" customHeight="1" x14ac:dyDescent="0.2">
      <c r="A1680" s="57" t="s">
        <v>696</v>
      </c>
      <c r="B1680" s="413" t="s">
        <v>416</v>
      </c>
      <c r="C1680" s="414"/>
      <c r="D1680" s="415"/>
      <c r="E1680" s="419" t="s">
        <v>402</v>
      </c>
      <c r="F1680" s="420"/>
      <c r="G1680" s="64" t="s">
        <v>417</v>
      </c>
      <c r="H1680" s="419" t="s">
        <v>437</v>
      </c>
      <c r="I1680" s="420"/>
      <c r="K1680" s="57" t="s">
        <v>696</v>
      </c>
      <c r="L1680" s="57" t="s">
        <v>272</v>
      </c>
      <c r="S1680" s="57">
        <v>0</v>
      </c>
    </row>
    <row r="1681" spans="1:19" ht="11.85" customHeight="1" x14ac:dyDescent="0.2">
      <c r="A1681" s="57" t="s">
        <v>696</v>
      </c>
      <c r="B1681" s="424"/>
      <c r="C1681" s="425"/>
      <c r="D1681" s="426"/>
      <c r="E1681" s="419" t="s">
        <v>403</v>
      </c>
      <c r="F1681" s="420"/>
      <c r="G1681" s="64" t="s">
        <v>417</v>
      </c>
      <c r="H1681" s="419" t="s">
        <v>437</v>
      </c>
      <c r="I1681" s="420"/>
      <c r="K1681" s="57" t="s">
        <v>696</v>
      </c>
      <c r="L1681" s="57" t="s">
        <v>272</v>
      </c>
      <c r="S1681" s="57">
        <v>0</v>
      </c>
    </row>
    <row r="1682" spans="1:19" ht="11.1" customHeight="1" x14ac:dyDescent="0.2">
      <c r="A1682" s="57" t="s">
        <v>696</v>
      </c>
      <c r="B1682" s="424"/>
      <c r="C1682" s="425"/>
      <c r="D1682" s="426"/>
      <c r="E1682" s="419" t="s">
        <v>404</v>
      </c>
      <c r="F1682" s="420"/>
      <c r="G1682" s="64" t="s">
        <v>413</v>
      </c>
      <c r="H1682" s="419" t="s">
        <v>478</v>
      </c>
      <c r="I1682" s="420"/>
      <c r="K1682" s="57" t="s">
        <v>696</v>
      </c>
      <c r="L1682" s="57" t="s">
        <v>272</v>
      </c>
      <c r="S1682" s="57">
        <v>0</v>
      </c>
    </row>
    <row r="1683" spans="1:19" ht="11.85" customHeight="1" x14ac:dyDescent="0.2">
      <c r="A1683" s="57" t="s">
        <v>696</v>
      </c>
      <c r="B1683" s="424"/>
      <c r="C1683" s="425"/>
      <c r="D1683" s="426"/>
      <c r="E1683" s="419" t="s">
        <v>405</v>
      </c>
      <c r="F1683" s="420"/>
      <c r="G1683" s="64" t="s">
        <v>420</v>
      </c>
      <c r="H1683" s="419" t="s">
        <v>439</v>
      </c>
      <c r="I1683" s="420"/>
      <c r="K1683" s="57" t="s">
        <v>696</v>
      </c>
      <c r="L1683" s="57" t="s">
        <v>272</v>
      </c>
      <c r="S1683" s="57">
        <v>0</v>
      </c>
    </row>
    <row r="1684" spans="1:19" ht="11.85" customHeight="1" x14ac:dyDescent="0.2">
      <c r="A1684" s="57" t="s">
        <v>696</v>
      </c>
      <c r="B1684" s="424"/>
      <c r="C1684" s="425"/>
      <c r="D1684" s="426"/>
      <c r="E1684" s="419" t="s">
        <v>407</v>
      </c>
      <c r="F1684" s="420"/>
      <c r="G1684" s="64" t="s">
        <v>424</v>
      </c>
      <c r="H1684" s="419" t="s">
        <v>425</v>
      </c>
      <c r="I1684" s="420"/>
      <c r="K1684" s="57" t="s">
        <v>696</v>
      </c>
      <c r="L1684" s="57" t="s">
        <v>272</v>
      </c>
      <c r="S1684" s="57">
        <v>0</v>
      </c>
    </row>
    <row r="1685" spans="1:19" ht="11.85" customHeight="1" x14ac:dyDescent="0.2">
      <c r="A1685" s="57" t="s">
        <v>696</v>
      </c>
      <c r="B1685" s="416"/>
      <c r="C1685" s="417"/>
      <c r="D1685" s="418"/>
      <c r="E1685" s="419" t="s">
        <v>506</v>
      </c>
      <c r="F1685" s="420"/>
      <c r="G1685" s="64" t="s">
        <v>507</v>
      </c>
      <c r="H1685" s="419" t="s">
        <v>423</v>
      </c>
      <c r="I1685" s="420"/>
      <c r="K1685" s="57" t="s">
        <v>696</v>
      </c>
      <c r="L1685" s="57" t="s">
        <v>272</v>
      </c>
      <c r="S1685" s="65">
        <v>39.51</v>
      </c>
    </row>
    <row r="1686" spans="1:19" ht="11.1" customHeight="1" x14ac:dyDescent="0.2">
      <c r="A1686" s="57" t="s">
        <v>696</v>
      </c>
      <c r="B1686" s="62"/>
      <c r="C1686" s="411" t="s">
        <v>697</v>
      </c>
      <c r="D1686" s="412"/>
      <c r="E1686" s="412"/>
      <c r="F1686" s="412"/>
      <c r="G1686" s="412"/>
      <c r="H1686" s="412"/>
      <c r="I1686" s="411"/>
      <c r="K1686" s="57" t="s">
        <v>696</v>
      </c>
      <c r="L1686" s="57" t="s">
        <v>272</v>
      </c>
      <c r="S1686" s="57">
        <v>0</v>
      </c>
    </row>
    <row r="1687" spans="1:19" ht="11.85" customHeight="1" x14ac:dyDescent="0.2">
      <c r="A1687" s="57" t="s">
        <v>697</v>
      </c>
      <c r="B1687" s="413" t="s">
        <v>471</v>
      </c>
      <c r="C1687" s="414"/>
      <c r="D1687" s="415"/>
      <c r="E1687" s="419" t="s">
        <v>502</v>
      </c>
      <c r="F1687" s="420"/>
      <c r="G1687" s="64" t="s">
        <v>503</v>
      </c>
      <c r="H1687" s="419" t="s">
        <v>423</v>
      </c>
      <c r="I1687" s="420"/>
      <c r="K1687" s="57" t="s">
        <v>697</v>
      </c>
      <c r="L1687" s="57" t="s">
        <v>273</v>
      </c>
      <c r="S1687" s="57">
        <v>0</v>
      </c>
    </row>
    <row r="1688" spans="1:19" ht="11.85" customHeight="1" x14ac:dyDescent="0.2">
      <c r="A1688" s="57" t="s">
        <v>697</v>
      </c>
      <c r="B1688" s="416"/>
      <c r="C1688" s="417"/>
      <c r="D1688" s="418"/>
      <c r="E1688" s="419" t="s">
        <v>472</v>
      </c>
      <c r="F1688" s="420"/>
      <c r="G1688" s="64" t="s">
        <v>473</v>
      </c>
      <c r="H1688" s="419" t="s">
        <v>423</v>
      </c>
      <c r="I1688" s="420"/>
      <c r="K1688" s="57" t="s">
        <v>697</v>
      </c>
      <c r="L1688" s="57" t="s">
        <v>273</v>
      </c>
      <c r="S1688" s="57">
        <v>0</v>
      </c>
    </row>
    <row r="1689" spans="1:19" ht="11.85" customHeight="1" x14ac:dyDescent="0.2">
      <c r="A1689" s="57" t="s">
        <v>697</v>
      </c>
      <c r="B1689" s="413" t="s">
        <v>416</v>
      </c>
      <c r="C1689" s="414"/>
      <c r="D1689" s="415"/>
      <c r="E1689" s="419" t="s">
        <v>402</v>
      </c>
      <c r="F1689" s="420"/>
      <c r="G1689" s="64" t="s">
        <v>417</v>
      </c>
      <c r="H1689" s="419" t="s">
        <v>437</v>
      </c>
      <c r="I1689" s="420"/>
      <c r="K1689" s="57" t="s">
        <v>697</v>
      </c>
      <c r="L1689" s="57" t="s">
        <v>273</v>
      </c>
      <c r="S1689" s="57">
        <v>0</v>
      </c>
    </row>
    <row r="1690" spans="1:19" ht="11.1" customHeight="1" x14ac:dyDescent="0.2">
      <c r="A1690" s="57" t="s">
        <v>697</v>
      </c>
      <c r="B1690" s="424"/>
      <c r="C1690" s="425"/>
      <c r="D1690" s="426"/>
      <c r="E1690" s="419" t="s">
        <v>403</v>
      </c>
      <c r="F1690" s="420"/>
      <c r="G1690" s="64" t="s">
        <v>417</v>
      </c>
      <c r="H1690" s="419" t="s">
        <v>437</v>
      </c>
      <c r="I1690" s="420"/>
      <c r="K1690" s="57" t="s">
        <v>697</v>
      </c>
      <c r="L1690" s="57" t="s">
        <v>273</v>
      </c>
      <c r="S1690" s="57">
        <v>0</v>
      </c>
    </row>
    <row r="1691" spans="1:19" ht="11.85" customHeight="1" x14ac:dyDescent="0.2">
      <c r="A1691" s="57" t="s">
        <v>697</v>
      </c>
      <c r="B1691" s="424"/>
      <c r="C1691" s="425"/>
      <c r="D1691" s="426"/>
      <c r="E1691" s="419" t="s">
        <v>404</v>
      </c>
      <c r="F1691" s="420"/>
      <c r="G1691" s="64" t="s">
        <v>413</v>
      </c>
      <c r="H1691" s="419" t="s">
        <v>478</v>
      </c>
      <c r="I1691" s="420"/>
      <c r="K1691" s="57" t="s">
        <v>697</v>
      </c>
      <c r="L1691" s="57" t="s">
        <v>273</v>
      </c>
      <c r="S1691" s="57">
        <v>0</v>
      </c>
    </row>
    <row r="1692" spans="1:19" ht="11.85" customHeight="1" x14ac:dyDescent="0.2">
      <c r="A1692" s="57" t="s">
        <v>697</v>
      </c>
      <c r="B1692" s="424"/>
      <c r="C1692" s="425"/>
      <c r="D1692" s="426"/>
      <c r="E1692" s="419" t="s">
        <v>405</v>
      </c>
      <c r="F1692" s="420"/>
      <c r="G1692" s="64" t="s">
        <v>420</v>
      </c>
      <c r="H1692" s="419" t="s">
        <v>439</v>
      </c>
      <c r="I1692" s="420"/>
      <c r="K1692" s="57" t="s">
        <v>697</v>
      </c>
      <c r="L1692" s="57" t="s">
        <v>273</v>
      </c>
      <c r="S1692" s="57">
        <v>0</v>
      </c>
    </row>
    <row r="1693" spans="1:19" ht="11.85" customHeight="1" x14ac:dyDescent="0.2">
      <c r="A1693" s="57" t="s">
        <v>697</v>
      </c>
      <c r="B1693" s="424"/>
      <c r="C1693" s="425"/>
      <c r="D1693" s="426"/>
      <c r="E1693" s="419" t="s">
        <v>442</v>
      </c>
      <c r="F1693" s="420"/>
      <c r="G1693" s="64" t="s">
        <v>443</v>
      </c>
      <c r="H1693" s="419" t="s">
        <v>425</v>
      </c>
      <c r="I1693" s="420"/>
      <c r="K1693" s="57" t="s">
        <v>697</v>
      </c>
      <c r="L1693" s="57" t="s">
        <v>273</v>
      </c>
      <c r="S1693" s="57">
        <v>0</v>
      </c>
    </row>
    <row r="1694" spans="1:19" ht="11.1" customHeight="1" x14ac:dyDescent="0.2">
      <c r="A1694" s="57" t="s">
        <v>697</v>
      </c>
      <c r="B1694" s="416"/>
      <c r="C1694" s="417"/>
      <c r="D1694" s="418"/>
      <c r="E1694" s="419" t="s">
        <v>509</v>
      </c>
      <c r="F1694" s="420"/>
      <c r="G1694" s="64" t="s">
        <v>510</v>
      </c>
      <c r="H1694" s="419" t="s">
        <v>423</v>
      </c>
      <c r="I1694" s="420"/>
      <c r="K1694" s="57" t="s">
        <v>697</v>
      </c>
      <c r="L1694" s="57" t="s">
        <v>273</v>
      </c>
      <c r="S1694" s="65">
        <v>39.28</v>
      </c>
    </row>
    <row r="1695" spans="1:19" ht="11.85" customHeight="1" x14ac:dyDescent="0.2">
      <c r="A1695" s="57" t="s">
        <v>697</v>
      </c>
      <c r="B1695" s="62"/>
      <c r="C1695" s="411" t="s">
        <v>698</v>
      </c>
      <c r="D1695" s="412"/>
      <c r="E1695" s="412"/>
      <c r="F1695" s="412"/>
      <c r="G1695" s="412"/>
      <c r="H1695" s="412"/>
      <c r="I1695" s="411"/>
      <c r="K1695" s="57" t="s">
        <v>697</v>
      </c>
      <c r="L1695" s="57" t="s">
        <v>273</v>
      </c>
      <c r="S1695" s="57">
        <v>0</v>
      </c>
    </row>
    <row r="1696" spans="1:19" ht="11.85" customHeight="1" x14ac:dyDescent="0.2">
      <c r="A1696" s="57" t="s">
        <v>698</v>
      </c>
      <c r="B1696" s="413" t="s">
        <v>471</v>
      </c>
      <c r="C1696" s="414"/>
      <c r="D1696" s="415"/>
      <c r="E1696" s="419" t="s">
        <v>502</v>
      </c>
      <c r="F1696" s="420"/>
      <c r="G1696" s="64" t="s">
        <v>503</v>
      </c>
      <c r="H1696" s="419" t="s">
        <v>423</v>
      </c>
      <c r="I1696" s="420"/>
      <c r="K1696" s="57" t="s">
        <v>698</v>
      </c>
      <c r="L1696" s="57" t="s">
        <v>274</v>
      </c>
      <c r="S1696" s="57">
        <v>0</v>
      </c>
    </row>
    <row r="1697" spans="1:19" ht="11.85" customHeight="1" x14ac:dyDescent="0.2">
      <c r="A1697" s="57" t="s">
        <v>698</v>
      </c>
      <c r="B1697" s="416"/>
      <c r="C1697" s="417"/>
      <c r="D1697" s="418"/>
      <c r="E1697" s="419" t="s">
        <v>504</v>
      </c>
      <c r="F1697" s="420"/>
      <c r="G1697" s="64" t="s">
        <v>503</v>
      </c>
      <c r="H1697" s="419" t="s">
        <v>423</v>
      </c>
      <c r="I1697" s="420"/>
      <c r="K1697" s="57" t="s">
        <v>698</v>
      </c>
      <c r="L1697" s="57" t="s">
        <v>274</v>
      </c>
      <c r="S1697" s="57">
        <v>0</v>
      </c>
    </row>
    <row r="1698" spans="1:19" ht="11.1" customHeight="1" x14ac:dyDescent="0.2">
      <c r="A1698" s="57" t="s">
        <v>698</v>
      </c>
      <c r="B1698" s="413" t="s">
        <v>416</v>
      </c>
      <c r="C1698" s="414"/>
      <c r="D1698" s="415"/>
      <c r="E1698" s="419" t="s">
        <v>402</v>
      </c>
      <c r="F1698" s="420"/>
      <c r="G1698" s="64" t="s">
        <v>417</v>
      </c>
      <c r="H1698" s="419" t="s">
        <v>457</v>
      </c>
      <c r="I1698" s="420"/>
      <c r="K1698" s="57" t="s">
        <v>698</v>
      </c>
      <c r="L1698" s="57" t="s">
        <v>274</v>
      </c>
      <c r="S1698" s="57">
        <v>0</v>
      </c>
    </row>
    <row r="1699" spans="1:19" ht="11.85" customHeight="1" x14ac:dyDescent="0.2">
      <c r="A1699" s="57" t="s">
        <v>698</v>
      </c>
      <c r="B1699" s="424"/>
      <c r="C1699" s="425"/>
      <c r="D1699" s="426"/>
      <c r="E1699" s="419" t="s">
        <v>403</v>
      </c>
      <c r="F1699" s="420"/>
      <c r="G1699" s="64" t="s">
        <v>417</v>
      </c>
      <c r="H1699" s="419" t="s">
        <v>457</v>
      </c>
      <c r="I1699" s="420"/>
      <c r="K1699" s="57" t="s">
        <v>698</v>
      </c>
      <c r="L1699" s="57" t="s">
        <v>274</v>
      </c>
      <c r="S1699" s="57">
        <v>0</v>
      </c>
    </row>
    <row r="1700" spans="1:19" ht="11.85" customHeight="1" x14ac:dyDescent="0.2">
      <c r="A1700" s="57" t="s">
        <v>698</v>
      </c>
      <c r="B1700" s="424"/>
      <c r="C1700" s="425"/>
      <c r="D1700" s="426"/>
      <c r="E1700" s="419" t="s">
        <v>404</v>
      </c>
      <c r="F1700" s="420"/>
      <c r="G1700" s="64" t="s">
        <v>413</v>
      </c>
      <c r="H1700" s="419" t="s">
        <v>458</v>
      </c>
      <c r="I1700" s="420"/>
      <c r="K1700" s="57" t="s">
        <v>698</v>
      </c>
      <c r="L1700" s="57" t="s">
        <v>274</v>
      </c>
      <c r="S1700" s="57">
        <v>0</v>
      </c>
    </row>
    <row r="1701" spans="1:19" ht="11.85" customHeight="1" x14ac:dyDescent="0.2">
      <c r="A1701" s="57" t="s">
        <v>698</v>
      </c>
      <c r="B1701" s="424"/>
      <c r="C1701" s="425"/>
      <c r="D1701" s="426"/>
      <c r="E1701" s="419" t="s">
        <v>405</v>
      </c>
      <c r="F1701" s="420"/>
      <c r="G1701" s="64" t="s">
        <v>420</v>
      </c>
      <c r="H1701" s="419" t="s">
        <v>459</v>
      </c>
      <c r="I1701" s="420"/>
      <c r="K1701" s="57" t="s">
        <v>698</v>
      </c>
      <c r="L1701" s="57" t="s">
        <v>274</v>
      </c>
      <c r="S1701" s="57">
        <v>0</v>
      </c>
    </row>
    <row r="1702" spans="1:19" ht="11.1" customHeight="1" x14ac:dyDescent="0.2">
      <c r="A1702" s="57" t="s">
        <v>698</v>
      </c>
      <c r="B1702" s="424"/>
      <c r="C1702" s="425"/>
      <c r="D1702" s="426"/>
      <c r="E1702" s="419" t="s">
        <v>462</v>
      </c>
      <c r="F1702" s="420"/>
      <c r="G1702" s="64" t="s">
        <v>424</v>
      </c>
      <c r="H1702" s="419" t="s">
        <v>463</v>
      </c>
      <c r="I1702" s="420"/>
      <c r="K1702" s="57" t="s">
        <v>698</v>
      </c>
      <c r="L1702" s="57" t="s">
        <v>274</v>
      </c>
      <c r="S1702" s="57">
        <v>0</v>
      </c>
    </row>
    <row r="1703" spans="1:19" ht="11.85" customHeight="1" x14ac:dyDescent="0.2">
      <c r="A1703" s="57" t="s">
        <v>698</v>
      </c>
      <c r="B1703" s="416"/>
      <c r="C1703" s="417"/>
      <c r="D1703" s="418"/>
      <c r="E1703" s="419" t="s">
        <v>668</v>
      </c>
      <c r="F1703" s="420"/>
      <c r="G1703" s="64" t="s">
        <v>669</v>
      </c>
      <c r="H1703" s="419" t="s">
        <v>423</v>
      </c>
      <c r="I1703" s="420"/>
      <c r="K1703" s="57" t="s">
        <v>698</v>
      </c>
      <c r="L1703" s="57" t="s">
        <v>274</v>
      </c>
      <c r="S1703" s="65">
        <v>27.19</v>
      </c>
    </row>
    <row r="1704" spans="1:19" ht="11.85" customHeight="1" x14ac:dyDescent="0.2">
      <c r="A1704" s="57" t="s">
        <v>698</v>
      </c>
      <c r="B1704" s="62"/>
      <c r="C1704" s="411" t="s">
        <v>699</v>
      </c>
      <c r="D1704" s="412"/>
      <c r="E1704" s="412"/>
      <c r="F1704" s="412"/>
      <c r="G1704" s="412"/>
      <c r="H1704" s="412"/>
      <c r="I1704" s="411"/>
      <c r="K1704" s="57" t="s">
        <v>698</v>
      </c>
      <c r="L1704" s="57" t="s">
        <v>274</v>
      </c>
      <c r="S1704" s="57">
        <v>0</v>
      </c>
    </row>
    <row r="1705" spans="1:19" ht="11.85" customHeight="1" x14ac:dyDescent="0.2">
      <c r="A1705" s="57" t="s">
        <v>699</v>
      </c>
      <c r="B1705" s="413" t="s">
        <v>471</v>
      </c>
      <c r="C1705" s="427"/>
      <c r="D1705" s="428"/>
      <c r="E1705" s="419" t="s">
        <v>502</v>
      </c>
      <c r="F1705" s="420"/>
      <c r="G1705" s="64" t="s">
        <v>503</v>
      </c>
      <c r="H1705" s="419" t="s">
        <v>423</v>
      </c>
      <c r="I1705" s="420"/>
      <c r="K1705" s="57" t="s">
        <v>699</v>
      </c>
      <c r="L1705" s="57" t="s">
        <v>275</v>
      </c>
      <c r="S1705" s="57">
        <v>0</v>
      </c>
    </row>
    <row r="1706" spans="1:19" ht="11.1" customHeight="1" x14ac:dyDescent="0.2">
      <c r="A1706" s="57" t="s">
        <v>699</v>
      </c>
      <c r="B1706" s="413" t="s">
        <v>416</v>
      </c>
      <c r="C1706" s="414"/>
      <c r="D1706" s="415"/>
      <c r="E1706" s="419" t="s">
        <v>402</v>
      </c>
      <c r="F1706" s="420"/>
      <c r="G1706" s="64" t="s">
        <v>417</v>
      </c>
      <c r="H1706" s="419" t="s">
        <v>437</v>
      </c>
      <c r="I1706" s="420"/>
      <c r="K1706" s="57" t="s">
        <v>699</v>
      </c>
      <c r="L1706" s="57" t="s">
        <v>275</v>
      </c>
      <c r="S1706" s="57">
        <v>0</v>
      </c>
    </row>
    <row r="1707" spans="1:19" ht="11.85" customHeight="1" x14ac:dyDescent="0.2">
      <c r="A1707" s="57" t="s">
        <v>699</v>
      </c>
      <c r="B1707" s="424"/>
      <c r="C1707" s="425"/>
      <c r="D1707" s="426"/>
      <c r="E1707" s="419" t="s">
        <v>403</v>
      </c>
      <c r="F1707" s="420"/>
      <c r="G1707" s="64" t="s">
        <v>417</v>
      </c>
      <c r="H1707" s="419" t="s">
        <v>437</v>
      </c>
      <c r="I1707" s="420"/>
      <c r="K1707" s="57" t="s">
        <v>699</v>
      </c>
      <c r="L1707" s="57" t="s">
        <v>275</v>
      </c>
      <c r="S1707" s="57">
        <v>0</v>
      </c>
    </row>
    <row r="1708" spans="1:19" ht="11.85" customHeight="1" x14ac:dyDescent="0.2">
      <c r="A1708" s="57" t="s">
        <v>699</v>
      </c>
      <c r="B1708" s="424"/>
      <c r="C1708" s="425"/>
      <c r="D1708" s="426"/>
      <c r="E1708" s="419" t="s">
        <v>404</v>
      </c>
      <c r="F1708" s="420"/>
      <c r="G1708" s="64" t="s">
        <v>413</v>
      </c>
      <c r="H1708" s="419" t="s">
        <v>478</v>
      </c>
      <c r="I1708" s="420"/>
      <c r="K1708" s="57" t="s">
        <v>699</v>
      </c>
      <c r="L1708" s="57" t="s">
        <v>275</v>
      </c>
      <c r="S1708" s="57">
        <v>0</v>
      </c>
    </row>
    <row r="1709" spans="1:19" ht="11.85" customHeight="1" x14ac:dyDescent="0.2">
      <c r="A1709" s="57" t="s">
        <v>699</v>
      </c>
      <c r="B1709" s="424"/>
      <c r="C1709" s="425"/>
      <c r="D1709" s="426"/>
      <c r="E1709" s="419" t="s">
        <v>405</v>
      </c>
      <c r="F1709" s="420"/>
      <c r="G1709" s="64" t="s">
        <v>420</v>
      </c>
      <c r="H1709" s="419" t="s">
        <v>439</v>
      </c>
      <c r="I1709" s="420"/>
      <c r="K1709" s="57" t="s">
        <v>699</v>
      </c>
      <c r="L1709" s="57" t="s">
        <v>275</v>
      </c>
      <c r="S1709" s="57">
        <v>0</v>
      </c>
    </row>
    <row r="1710" spans="1:19" ht="11.1" customHeight="1" x14ac:dyDescent="0.2">
      <c r="A1710" s="57" t="s">
        <v>699</v>
      </c>
      <c r="B1710" s="424"/>
      <c r="C1710" s="425"/>
      <c r="D1710" s="426"/>
      <c r="E1710" s="419" t="s">
        <v>442</v>
      </c>
      <c r="F1710" s="420"/>
      <c r="G1710" s="64" t="s">
        <v>443</v>
      </c>
      <c r="H1710" s="419" t="s">
        <v>425</v>
      </c>
      <c r="I1710" s="420"/>
      <c r="K1710" s="57" t="s">
        <v>699</v>
      </c>
      <c r="L1710" s="57" t="s">
        <v>275</v>
      </c>
      <c r="S1710" s="57">
        <v>0</v>
      </c>
    </row>
    <row r="1711" spans="1:19" ht="11.85" customHeight="1" x14ac:dyDescent="0.2">
      <c r="A1711" s="57" t="s">
        <v>699</v>
      </c>
      <c r="B1711" s="416"/>
      <c r="C1711" s="417"/>
      <c r="D1711" s="418"/>
      <c r="E1711" s="419" t="s">
        <v>509</v>
      </c>
      <c r="F1711" s="420"/>
      <c r="G1711" s="64" t="s">
        <v>510</v>
      </c>
      <c r="H1711" s="419" t="s">
        <v>423</v>
      </c>
      <c r="I1711" s="420"/>
      <c r="K1711" s="57" t="s">
        <v>699</v>
      </c>
      <c r="L1711" s="57" t="s">
        <v>275</v>
      </c>
      <c r="S1711" s="65">
        <v>39.28</v>
      </c>
    </row>
    <row r="1712" spans="1:19" ht="11.85" customHeight="1" x14ac:dyDescent="0.2">
      <c r="A1712" s="57" t="s">
        <v>699</v>
      </c>
      <c r="B1712" s="62"/>
      <c r="C1712" s="411" t="s">
        <v>700</v>
      </c>
      <c r="D1712" s="412"/>
      <c r="E1712" s="412"/>
      <c r="F1712" s="412"/>
      <c r="G1712" s="412"/>
      <c r="H1712" s="412"/>
      <c r="I1712" s="411"/>
      <c r="K1712" s="57" t="s">
        <v>699</v>
      </c>
      <c r="L1712" s="57" t="s">
        <v>275</v>
      </c>
      <c r="S1712" s="57">
        <v>0</v>
      </c>
    </row>
    <row r="1713" spans="1:19" ht="11.85" customHeight="1" x14ac:dyDescent="0.2">
      <c r="A1713" s="57" t="s">
        <v>700</v>
      </c>
      <c r="B1713" s="413" t="s">
        <v>471</v>
      </c>
      <c r="C1713" s="427"/>
      <c r="D1713" s="428"/>
      <c r="E1713" s="419" t="s">
        <v>502</v>
      </c>
      <c r="F1713" s="420"/>
      <c r="G1713" s="64" t="s">
        <v>503</v>
      </c>
      <c r="H1713" s="419" t="s">
        <v>423</v>
      </c>
      <c r="I1713" s="420"/>
      <c r="K1713" s="57" t="s">
        <v>700</v>
      </c>
      <c r="L1713" s="57" t="s">
        <v>915</v>
      </c>
      <c r="S1713" s="57">
        <v>0</v>
      </c>
    </row>
    <row r="1714" spans="1:19" ht="11.1" customHeight="1" x14ac:dyDescent="0.2">
      <c r="A1714" s="57" t="s">
        <v>700</v>
      </c>
      <c r="B1714" s="62"/>
      <c r="C1714" s="411" t="s">
        <v>701</v>
      </c>
      <c r="D1714" s="412"/>
      <c r="E1714" s="412"/>
      <c r="F1714" s="412"/>
      <c r="G1714" s="412"/>
      <c r="H1714" s="412"/>
      <c r="I1714" s="411"/>
      <c r="K1714" s="57" t="s">
        <v>700</v>
      </c>
      <c r="L1714" s="57" t="s">
        <v>915</v>
      </c>
      <c r="S1714" s="57">
        <v>0</v>
      </c>
    </row>
    <row r="1715" spans="1:19" ht="11.85" customHeight="1" x14ac:dyDescent="0.2">
      <c r="A1715" s="57" t="s">
        <v>701</v>
      </c>
      <c r="B1715" s="413" t="s">
        <v>471</v>
      </c>
      <c r="C1715" s="427"/>
      <c r="D1715" s="428"/>
      <c r="E1715" s="419" t="s">
        <v>502</v>
      </c>
      <c r="F1715" s="420"/>
      <c r="G1715" s="64" t="s">
        <v>503</v>
      </c>
      <c r="H1715" s="419" t="s">
        <v>423</v>
      </c>
      <c r="I1715" s="420"/>
      <c r="K1715" s="57" t="s">
        <v>701</v>
      </c>
      <c r="L1715" s="57" t="s">
        <v>916</v>
      </c>
      <c r="S1715" s="57">
        <v>0</v>
      </c>
    </row>
    <row r="1716" spans="1:19" ht="11.85" customHeight="1" x14ac:dyDescent="0.2">
      <c r="A1716" s="57" t="s">
        <v>701</v>
      </c>
      <c r="B1716" s="62"/>
      <c r="C1716" s="411" t="s">
        <v>702</v>
      </c>
      <c r="D1716" s="412"/>
      <c r="E1716" s="412"/>
      <c r="F1716" s="412"/>
      <c r="G1716" s="412"/>
      <c r="H1716" s="412"/>
      <c r="I1716" s="411"/>
      <c r="K1716" s="57" t="s">
        <v>701</v>
      </c>
      <c r="L1716" s="57" t="s">
        <v>916</v>
      </c>
      <c r="S1716" s="57">
        <v>0</v>
      </c>
    </row>
    <row r="1717" spans="1:19" ht="11.85" customHeight="1" x14ac:dyDescent="0.2">
      <c r="A1717" s="57" t="s">
        <v>702</v>
      </c>
      <c r="B1717" s="413" t="s">
        <v>471</v>
      </c>
      <c r="C1717" s="427"/>
      <c r="D1717" s="428"/>
      <c r="E1717" s="419" t="s">
        <v>502</v>
      </c>
      <c r="F1717" s="420"/>
      <c r="G1717" s="64" t="s">
        <v>503</v>
      </c>
      <c r="H1717" s="419" t="s">
        <v>423</v>
      </c>
      <c r="I1717" s="420"/>
      <c r="K1717" s="57" t="s">
        <v>702</v>
      </c>
      <c r="L1717" s="57" t="s">
        <v>917</v>
      </c>
      <c r="S1717" s="57">
        <v>0</v>
      </c>
    </row>
    <row r="1718" spans="1:19" ht="11.1" customHeight="1" x14ac:dyDescent="0.2">
      <c r="A1718" s="57" t="s">
        <v>702</v>
      </c>
      <c r="B1718" s="62"/>
      <c r="C1718" s="411" t="s">
        <v>703</v>
      </c>
      <c r="D1718" s="412"/>
      <c r="E1718" s="412"/>
      <c r="F1718" s="412"/>
      <c r="G1718" s="412"/>
      <c r="H1718" s="412"/>
      <c r="I1718" s="411"/>
      <c r="K1718" s="57" t="s">
        <v>702</v>
      </c>
      <c r="L1718" s="57" t="s">
        <v>917</v>
      </c>
      <c r="S1718" s="57">
        <v>0</v>
      </c>
    </row>
    <row r="1719" spans="1:19" ht="11.85" customHeight="1" x14ac:dyDescent="0.2">
      <c r="A1719" s="57" t="s">
        <v>703</v>
      </c>
      <c r="B1719" s="413" t="s">
        <v>471</v>
      </c>
      <c r="C1719" s="427"/>
      <c r="D1719" s="428"/>
      <c r="E1719" s="419" t="s">
        <v>502</v>
      </c>
      <c r="F1719" s="420"/>
      <c r="G1719" s="64" t="s">
        <v>503</v>
      </c>
      <c r="H1719" s="419" t="s">
        <v>423</v>
      </c>
      <c r="I1719" s="420"/>
      <c r="K1719" s="57" t="s">
        <v>703</v>
      </c>
      <c r="L1719" s="57" t="s">
        <v>276</v>
      </c>
      <c r="S1719" s="57">
        <v>0</v>
      </c>
    </row>
    <row r="1720" spans="1:19" ht="11.85" customHeight="1" x14ac:dyDescent="0.2">
      <c r="A1720" s="57" t="s">
        <v>703</v>
      </c>
      <c r="B1720" s="413" t="s">
        <v>416</v>
      </c>
      <c r="C1720" s="414"/>
      <c r="D1720" s="415"/>
      <c r="E1720" s="419" t="s">
        <v>402</v>
      </c>
      <c r="F1720" s="420"/>
      <c r="G1720" s="64" t="s">
        <v>417</v>
      </c>
      <c r="H1720" s="419" t="s">
        <v>437</v>
      </c>
      <c r="I1720" s="420"/>
      <c r="K1720" s="57" t="s">
        <v>703</v>
      </c>
      <c r="L1720" s="57" t="s">
        <v>276</v>
      </c>
      <c r="S1720" s="57">
        <v>0</v>
      </c>
    </row>
    <row r="1721" spans="1:19" ht="11.85" customHeight="1" x14ac:dyDescent="0.2">
      <c r="A1721" s="57" t="s">
        <v>703</v>
      </c>
      <c r="B1721" s="424"/>
      <c r="C1721" s="425"/>
      <c r="D1721" s="426"/>
      <c r="E1721" s="419" t="s">
        <v>403</v>
      </c>
      <c r="F1721" s="420"/>
      <c r="G1721" s="64" t="s">
        <v>417</v>
      </c>
      <c r="H1721" s="419" t="s">
        <v>437</v>
      </c>
      <c r="I1721" s="420"/>
      <c r="K1721" s="57" t="s">
        <v>703</v>
      </c>
      <c r="L1721" s="57" t="s">
        <v>276</v>
      </c>
      <c r="S1721" s="57">
        <v>0</v>
      </c>
    </row>
    <row r="1722" spans="1:19" ht="11.1" customHeight="1" x14ac:dyDescent="0.2">
      <c r="A1722" s="57" t="s">
        <v>703</v>
      </c>
      <c r="B1722" s="424"/>
      <c r="C1722" s="425"/>
      <c r="D1722" s="426"/>
      <c r="E1722" s="419" t="s">
        <v>404</v>
      </c>
      <c r="F1722" s="420"/>
      <c r="G1722" s="64" t="s">
        <v>413</v>
      </c>
      <c r="H1722" s="419" t="s">
        <v>478</v>
      </c>
      <c r="I1722" s="420"/>
      <c r="K1722" s="57" t="s">
        <v>703</v>
      </c>
      <c r="L1722" s="57" t="s">
        <v>276</v>
      </c>
      <c r="S1722" s="57">
        <v>0</v>
      </c>
    </row>
    <row r="1723" spans="1:19" ht="11.85" customHeight="1" x14ac:dyDescent="0.2">
      <c r="A1723" s="57" t="s">
        <v>703</v>
      </c>
      <c r="B1723" s="424"/>
      <c r="C1723" s="425"/>
      <c r="D1723" s="426"/>
      <c r="E1723" s="419" t="s">
        <v>405</v>
      </c>
      <c r="F1723" s="420"/>
      <c r="G1723" s="64" t="s">
        <v>420</v>
      </c>
      <c r="H1723" s="419" t="s">
        <v>439</v>
      </c>
      <c r="I1723" s="420"/>
      <c r="K1723" s="57" t="s">
        <v>703</v>
      </c>
      <c r="L1723" s="57" t="s">
        <v>276</v>
      </c>
      <c r="S1723" s="57">
        <v>0</v>
      </c>
    </row>
    <row r="1724" spans="1:19" ht="11.85" customHeight="1" x14ac:dyDescent="0.2">
      <c r="A1724" s="57" t="s">
        <v>703</v>
      </c>
      <c r="B1724" s="424"/>
      <c r="C1724" s="425"/>
      <c r="D1724" s="426"/>
      <c r="E1724" s="419" t="s">
        <v>442</v>
      </c>
      <c r="F1724" s="420"/>
      <c r="G1724" s="64" t="s">
        <v>443</v>
      </c>
      <c r="H1724" s="419" t="s">
        <v>425</v>
      </c>
      <c r="I1724" s="420"/>
      <c r="K1724" s="57" t="s">
        <v>703</v>
      </c>
      <c r="L1724" s="57" t="s">
        <v>276</v>
      </c>
      <c r="S1724" s="57">
        <v>0</v>
      </c>
    </row>
    <row r="1725" spans="1:19" ht="11.85" customHeight="1" x14ac:dyDescent="0.2">
      <c r="A1725" s="57" t="s">
        <v>703</v>
      </c>
      <c r="B1725" s="416"/>
      <c r="C1725" s="417"/>
      <c r="D1725" s="418"/>
      <c r="E1725" s="419" t="s">
        <v>509</v>
      </c>
      <c r="F1725" s="420"/>
      <c r="G1725" s="64" t="s">
        <v>510</v>
      </c>
      <c r="H1725" s="419" t="s">
        <v>423</v>
      </c>
      <c r="I1725" s="420"/>
      <c r="K1725" s="57" t="s">
        <v>703</v>
      </c>
      <c r="L1725" s="57" t="s">
        <v>276</v>
      </c>
      <c r="S1725" s="65">
        <v>39.28</v>
      </c>
    </row>
    <row r="1726" spans="1:19" ht="11.1" customHeight="1" x14ac:dyDescent="0.2">
      <c r="A1726" s="57" t="s">
        <v>703</v>
      </c>
      <c r="B1726" s="62"/>
      <c r="C1726" s="411" t="s">
        <v>704</v>
      </c>
      <c r="D1726" s="412"/>
      <c r="E1726" s="412"/>
      <c r="F1726" s="412"/>
      <c r="G1726" s="412"/>
      <c r="H1726" s="412"/>
      <c r="I1726" s="411"/>
      <c r="K1726" s="57" t="s">
        <v>703</v>
      </c>
      <c r="L1726" s="57" t="s">
        <v>276</v>
      </c>
      <c r="S1726" s="57">
        <v>0</v>
      </c>
    </row>
    <row r="1727" spans="1:19" ht="11.85" customHeight="1" x14ac:dyDescent="0.2">
      <c r="A1727" s="57" t="s">
        <v>704</v>
      </c>
      <c r="B1727" s="413" t="s">
        <v>412</v>
      </c>
      <c r="C1727" s="414"/>
      <c r="D1727" s="415"/>
      <c r="E1727" s="419" t="s">
        <v>400</v>
      </c>
      <c r="F1727" s="420"/>
      <c r="G1727" s="64" t="s">
        <v>413</v>
      </c>
      <c r="H1727" s="419" t="s">
        <v>414</v>
      </c>
      <c r="I1727" s="420"/>
      <c r="K1727" s="57" t="s">
        <v>704</v>
      </c>
      <c r="L1727" s="57" t="s">
        <v>277</v>
      </c>
      <c r="S1727" s="57">
        <v>0</v>
      </c>
    </row>
    <row r="1728" spans="1:19" ht="11.85" customHeight="1" x14ac:dyDescent="0.2">
      <c r="A1728" s="57" t="s">
        <v>704</v>
      </c>
      <c r="B1728" s="416"/>
      <c r="C1728" s="417"/>
      <c r="D1728" s="418"/>
      <c r="E1728" s="419" t="s">
        <v>401</v>
      </c>
      <c r="F1728" s="420"/>
      <c r="G1728" s="64" t="s">
        <v>413</v>
      </c>
      <c r="H1728" s="419" t="s">
        <v>415</v>
      </c>
      <c r="I1728" s="420"/>
      <c r="K1728" s="57" t="s">
        <v>704</v>
      </c>
      <c r="L1728" s="57" t="s">
        <v>277</v>
      </c>
      <c r="S1728" s="57">
        <v>0</v>
      </c>
    </row>
    <row r="1729" spans="1:19" ht="11.85" customHeight="1" x14ac:dyDescent="0.2">
      <c r="A1729" s="57" t="s">
        <v>704</v>
      </c>
      <c r="B1729" s="413" t="s">
        <v>416</v>
      </c>
      <c r="C1729" s="414"/>
      <c r="D1729" s="415"/>
      <c r="E1729" s="419" t="s">
        <v>402</v>
      </c>
      <c r="F1729" s="420"/>
      <c r="G1729" s="64" t="s">
        <v>417</v>
      </c>
      <c r="H1729" s="419" t="s">
        <v>437</v>
      </c>
      <c r="I1729" s="420"/>
      <c r="K1729" s="57" t="s">
        <v>704</v>
      </c>
      <c r="L1729" s="57" t="s">
        <v>277</v>
      </c>
      <c r="S1729" s="57">
        <v>0</v>
      </c>
    </row>
    <row r="1730" spans="1:19" ht="11.1" customHeight="1" x14ac:dyDescent="0.2">
      <c r="A1730" s="57" t="s">
        <v>704</v>
      </c>
      <c r="B1730" s="424"/>
      <c r="C1730" s="425"/>
      <c r="D1730" s="426"/>
      <c r="E1730" s="419" t="s">
        <v>403</v>
      </c>
      <c r="F1730" s="420"/>
      <c r="G1730" s="64" t="s">
        <v>417</v>
      </c>
      <c r="H1730" s="419" t="s">
        <v>437</v>
      </c>
      <c r="I1730" s="420"/>
      <c r="K1730" s="57" t="s">
        <v>704</v>
      </c>
      <c r="L1730" s="57" t="s">
        <v>277</v>
      </c>
      <c r="S1730" s="57">
        <v>0</v>
      </c>
    </row>
    <row r="1731" spans="1:19" ht="11.85" customHeight="1" x14ac:dyDescent="0.2">
      <c r="A1731" s="57" t="s">
        <v>704</v>
      </c>
      <c r="B1731" s="424"/>
      <c r="C1731" s="425"/>
      <c r="D1731" s="426"/>
      <c r="E1731" s="419" t="s">
        <v>404</v>
      </c>
      <c r="F1731" s="420"/>
      <c r="G1731" s="64" t="s">
        <v>413</v>
      </c>
      <c r="H1731" s="419" t="s">
        <v>478</v>
      </c>
      <c r="I1731" s="420"/>
      <c r="K1731" s="57" t="s">
        <v>704</v>
      </c>
      <c r="L1731" s="57" t="s">
        <v>277</v>
      </c>
      <c r="S1731" s="57">
        <v>0</v>
      </c>
    </row>
    <row r="1732" spans="1:19" ht="11.85" customHeight="1" x14ac:dyDescent="0.2">
      <c r="A1732" s="57" t="s">
        <v>704</v>
      </c>
      <c r="B1732" s="424"/>
      <c r="C1732" s="425"/>
      <c r="D1732" s="426"/>
      <c r="E1732" s="419" t="s">
        <v>405</v>
      </c>
      <c r="F1732" s="420"/>
      <c r="G1732" s="64" t="s">
        <v>420</v>
      </c>
      <c r="H1732" s="419" t="s">
        <v>439</v>
      </c>
      <c r="I1732" s="420"/>
      <c r="K1732" s="57" t="s">
        <v>704</v>
      </c>
      <c r="L1732" s="57" t="s">
        <v>277</v>
      </c>
      <c r="S1732" s="57">
        <v>0</v>
      </c>
    </row>
    <row r="1733" spans="1:19" ht="11.85" customHeight="1" x14ac:dyDescent="0.2">
      <c r="A1733" s="57" t="s">
        <v>704</v>
      </c>
      <c r="B1733" s="424"/>
      <c r="C1733" s="425"/>
      <c r="D1733" s="426"/>
      <c r="E1733" s="419" t="s">
        <v>440</v>
      </c>
      <c r="F1733" s="420"/>
      <c r="G1733" s="64" t="s">
        <v>441</v>
      </c>
      <c r="H1733" s="419" t="s">
        <v>423</v>
      </c>
      <c r="I1733" s="420"/>
      <c r="K1733" s="57" t="s">
        <v>704</v>
      </c>
      <c r="L1733" s="57" t="s">
        <v>277</v>
      </c>
      <c r="S1733" s="65">
        <v>48.16</v>
      </c>
    </row>
    <row r="1734" spans="1:19" ht="11.1" customHeight="1" x14ac:dyDescent="0.2">
      <c r="A1734" s="57" t="s">
        <v>704</v>
      </c>
      <c r="B1734" s="416"/>
      <c r="C1734" s="417"/>
      <c r="D1734" s="418"/>
      <c r="E1734" s="419" t="s">
        <v>442</v>
      </c>
      <c r="F1734" s="420"/>
      <c r="G1734" s="64" t="s">
        <v>443</v>
      </c>
      <c r="H1734" s="419" t="s">
        <v>425</v>
      </c>
      <c r="I1734" s="420"/>
      <c r="K1734" s="57" t="s">
        <v>704</v>
      </c>
      <c r="L1734" s="57" t="s">
        <v>277</v>
      </c>
      <c r="S1734" s="57">
        <v>0</v>
      </c>
    </row>
    <row r="1735" spans="1:19" ht="11.85" customHeight="1" x14ac:dyDescent="0.2">
      <c r="A1735" s="57" t="s">
        <v>704</v>
      </c>
      <c r="B1735" s="413" t="s">
        <v>426</v>
      </c>
      <c r="C1735" s="414"/>
      <c r="D1735" s="415"/>
      <c r="E1735" s="419" t="s">
        <v>408</v>
      </c>
      <c r="F1735" s="420"/>
      <c r="G1735" s="64" t="s">
        <v>420</v>
      </c>
      <c r="H1735" s="419" t="s">
        <v>427</v>
      </c>
      <c r="I1735" s="420"/>
      <c r="K1735" s="57" t="s">
        <v>704</v>
      </c>
      <c r="L1735" s="57" t="s">
        <v>277</v>
      </c>
      <c r="S1735" s="57">
        <v>0</v>
      </c>
    </row>
    <row r="1736" spans="1:19" ht="11.85" customHeight="1" x14ac:dyDescent="0.2">
      <c r="A1736" s="57" t="s">
        <v>704</v>
      </c>
      <c r="B1736" s="424"/>
      <c r="C1736" s="425"/>
      <c r="D1736" s="426"/>
      <c r="E1736" s="419" t="s">
        <v>409</v>
      </c>
      <c r="F1736" s="420"/>
      <c r="G1736" s="64" t="s">
        <v>417</v>
      </c>
      <c r="H1736" s="419" t="s">
        <v>428</v>
      </c>
      <c r="I1736" s="420"/>
      <c r="K1736" s="57" t="s">
        <v>704</v>
      </c>
      <c r="L1736" s="57" t="s">
        <v>277</v>
      </c>
      <c r="S1736" s="57">
        <v>0</v>
      </c>
    </row>
    <row r="1737" spans="1:19" ht="11.85" customHeight="1" x14ac:dyDescent="0.2">
      <c r="A1737" s="57" t="s">
        <v>704</v>
      </c>
      <c r="B1737" s="416"/>
      <c r="C1737" s="417"/>
      <c r="D1737" s="418"/>
      <c r="E1737" s="419" t="s">
        <v>410</v>
      </c>
      <c r="F1737" s="420"/>
      <c r="G1737" s="64" t="s">
        <v>417</v>
      </c>
      <c r="H1737" s="419" t="s">
        <v>415</v>
      </c>
      <c r="I1737" s="420"/>
      <c r="K1737" s="57" t="s">
        <v>704</v>
      </c>
      <c r="L1737" s="57" t="s">
        <v>277</v>
      </c>
      <c r="S1737" s="57">
        <v>0</v>
      </c>
    </row>
    <row r="1738" spans="1:19" ht="11.1" customHeight="1" x14ac:dyDescent="0.2">
      <c r="A1738" s="57" t="s">
        <v>704</v>
      </c>
      <c r="B1738" s="62"/>
      <c r="C1738" s="411" t="s">
        <v>705</v>
      </c>
      <c r="D1738" s="412"/>
      <c r="E1738" s="412"/>
      <c r="F1738" s="412"/>
      <c r="G1738" s="412"/>
      <c r="H1738" s="412"/>
      <c r="I1738" s="411"/>
      <c r="K1738" s="57" t="s">
        <v>704</v>
      </c>
      <c r="L1738" s="57" t="s">
        <v>277</v>
      </c>
      <c r="S1738" s="57">
        <v>0</v>
      </c>
    </row>
    <row r="1739" spans="1:19" ht="11.85" customHeight="1" x14ac:dyDescent="0.2">
      <c r="A1739" s="57" t="s">
        <v>705</v>
      </c>
      <c r="B1739" s="413" t="s">
        <v>416</v>
      </c>
      <c r="C1739" s="414"/>
      <c r="D1739" s="415"/>
      <c r="E1739" s="419" t="s">
        <v>402</v>
      </c>
      <c r="F1739" s="420"/>
      <c r="G1739" s="64" t="s">
        <v>417</v>
      </c>
      <c r="H1739" s="419" t="s">
        <v>437</v>
      </c>
      <c r="I1739" s="420"/>
      <c r="K1739" s="57" t="s">
        <v>705</v>
      </c>
      <c r="L1739" s="57" t="s">
        <v>109</v>
      </c>
      <c r="S1739" s="57">
        <v>0</v>
      </c>
    </row>
    <row r="1740" spans="1:19" ht="11.85" customHeight="1" x14ac:dyDescent="0.2">
      <c r="A1740" s="57" t="s">
        <v>705</v>
      </c>
      <c r="B1740" s="424"/>
      <c r="C1740" s="425"/>
      <c r="D1740" s="426"/>
      <c r="E1740" s="419" t="s">
        <v>403</v>
      </c>
      <c r="F1740" s="420"/>
      <c r="G1740" s="64" t="s">
        <v>417</v>
      </c>
      <c r="H1740" s="419" t="s">
        <v>437</v>
      </c>
      <c r="I1740" s="420"/>
      <c r="K1740" s="57" t="s">
        <v>705</v>
      </c>
      <c r="L1740" s="57" t="s">
        <v>109</v>
      </c>
      <c r="S1740" s="57">
        <v>0</v>
      </c>
    </row>
    <row r="1741" spans="1:19" ht="11.85" customHeight="1" x14ac:dyDescent="0.2">
      <c r="A1741" s="57" t="s">
        <v>705</v>
      </c>
      <c r="B1741" s="416"/>
      <c r="C1741" s="417"/>
      <c r="D1741" s="418"/>
      <c r="E1741" s="419" t="s">
        <v>404</v>
      </c>
      <c r="F1741" s="420"/>
      <c r="G1741" s="64" t="s">
        <v>413</v>
      </c>
      <c r="H1741" s="419" t="s">
        <v>478</v>
      </c>
      <c r="I1741" s="420"/>
      <c r="K1741" s="57" t="s">
        <v>705</v>
      </c>
      <c r="L1741" s="57" t="s">
        <v>109</v>
      </c>
      <c r="S1741" s="57">
        <v>0</v>
      </c>
    </row>
    <row r="1742" spans="1:19" ht="11.85" customHeight="1" x14ac:dyDescent="0.2">
      <c r="A1742" s="57" t="s">
        <v>705</v>
      </c>
      <c r="B1742" s="413" t="s">
        <v>416</v>
      </c>
      <c r="C1742" s="414"/>
      <c r="D1742" s="415"/>
      <c r="E1742" s="419" t="s">
        <v>405</v>
      </c>
      <c r="F1742" s="420"/>
      <c r="G1742" s="64" t="s">
        <v>420</v>
      </c>
      <c r="H1742" s="419" t="s">
        <v>439</v>
      </c>
      <c r="I1742" s="420"/>
      <c r="K1742" s="57" t="s">
        <v>705</v>
      </c>
      <c r="L1742" s="57" t="s">
        <v>109</v>
      </c>
      <c r="S1742" s="57">
        <v>0</v>
      </c>
    </row>
    <row r="1743" spans="1:19" ht="11.85" customHeight="1" x14ac:dyDescent="0.2">
      <c r="A1743" s="57" t="s">
        <v>705</v>
      </c>
      <c r="B1743" s="424"/>
      <c r="C1743" s="425"/>
      <c r="D1743" s="426"/>
      <c r="E1743" s="419" t="s">
        <v>440</v>
      </c>
      <c r="F1743" s="420"/>
      <c r="G1743" s="64" t="s">
        <v>706</v>
      </c>
      <c r="H1743" s="419" t="s">
        <v>423</v>
      </c>
      <c r="I1743" s="420"/>
      <c r="K1743" s="57" t="s">
        <v>705</v>
      </c>
      <c r="L1743" s="57" t="s">
        <v>109</v>
      </c>
      <c r="S1743" s="65">
        <v>44.8</v>
      </c>
    </row>
    <row r="1744" spans="1:19" ht="11.85" customHeight="1" x14ac:dyDescent="0.2">
      <c r="A1744" s="57" t="s">
        <v>705</v>
      </c>
      <c r="B1744" s="416"/>
      <c r="C1744" s="417"/>
      <c r="D1744" s="418"/>
      <c r="E1744" s="419" t="s">
        <v>442</v>
      </c>
      <c r="F1744" s="420"/>
      <c r="G1744" s="64" t="s">
        <v>443</v>
      </c>
      <c r="H1744" s="419" t="s">
        <v>425</v>
      </c>
      <c r="I1744" s="420"/>
      <c r="K1744" s="57" t="s">
        <v>705</v>
      </c>
      <c r="L1744" s="57" t="s">
        <v>109</v>
      </c>
      <c r="S1744" s="57">
        <v>0</v>
      </c>
    </row>
    <row r="1745" spans="1:19" ht="11.1" customHeight="1" x14ac:dyDescent="0.2">
      <c r="A1745" s="57" t="s">
        <v>705</v>
      </c>
      <c r="B1745" s="62"/>
      <c r="C1745" s="411" t="s">
        <v>707</v>
      </c>
      <c r="D1745" s="412"/>
      <c r="E1745" s="412"/>
      <c r="F1745" s="412"/>
      <c r="G1745" s="412"/>
      <c r="H1745" s="412"/>
      <c r="I1745" s="411"/>
      <c r="K1745" s="57" t="s">
        <v>705</v>
      </c>
      <c r="L1745" s="57" t="s">
        <v>109</v>
      </c>
      <c r="S1745" s="57">
        <v>0</v>
      </c>
    </row>
    <row r="1746" spans="1:19" ht="11.85" customHeight="1" x14ac:dyDescent="0.2">
      <c r="A1746" s="57" t="s">
        <v>707</v>
      </c>
      <c r="B1746" s="413" t="s">
        <v>416</v>
      </c>
      <c r="C1746" s="414"/>
      <c r="D1746" s="415"/>
      <c r="E1746" s="419" t="s">
        <v>402</v>
      </c>
      <c r="F1746" s="420"/>
      <c r="G1746" s="64" t="s">
        <v>417</v>
      </c>
      <c r="H1746" s="419" t="s">
        <v>457</v>
      </c>
      <c r="I1746" s="420"/>
      <c r="K1746" s="57" t="s">
        <v>707</v>
      </c>
      <c r="L1746" s="57" t="s">
        <v>175</v>
      </c>
      <c r="S1746" s="57">
        <v>0</v>
      </c>
    </row>
    <row r="1747" spans="1:19" ht="11.85" customHeight="1" x14ac:dyDescent="0.2">
      <c r="A1747" s="57" t="s">
        <v>707</v>
      </c>
      <c r="B1747" s="424"/>
      <c r="C1747" s="425"/>
      <c r="D1747" s="426"/>
      <c r="E1747" s="419" t="s">
        <v>403</v>
      </c>
      <c r="F1747" s="420"/>
      <c r="G1747" s="64" t="s">
        <v>417</v>
      </c>
      <c r="H1747" s="419" t="s">
        <v>457</v>
      </c>
      <c r="I1747" s="420"/>
      <c r="K1747" s="57" t="s">
        <v>707</v>
      </c>
      <c r="L1747" s="57" t="s">
        <v>175</v>
      </c>
      <c r="S1747" s="57">
        <v>0</v>
      </c>
    </row>
    <row r="1748" spans="1:19" ht="11.85" customHeight="1" x14ac:dyDescent="0.2">
      <c r="A1748" s="57" t="s">
        <v>707</v>
      </c>
      <c r="B1748" s="424"/>
      <c r="C1748" s="425"/>
      <c r="D1748" s="426"/>
      <c r="E1748" s="419" t="s">
        <v>404</v>
      </c>
      <c r="F1748" s="420"/>
      <c r="G1748" s="64" t="s">
        <v>413</v>
      </c>
      <c r="H1748" s="419" t="s">
        <v>458</v>
      </c>
      <c r="I1748" s="420"/>
      <c r="K1748" s="57" t="s">
        <v>707</v>
      </c>
      <c r="L1748" s="57" t="s">
        <v>175</v>
      </c>
      <c r="S1748" s="57">
        <v>0</v>
      </c>
    </row>
    <row r="1749" spans="1:19" ht="11.1" customHeight="1" x14ac:dyDescent="0.2">
      <c r="A1749" s="57" t="s">
        <v>707</v>
      </c>
      <c r="B1749" s="424"/>
      <c r="C1749" s="425"/>
      <c r="D1749" s="426"/>
      <c r="E1749" s="419" t="s">
        <v>405</v>
      </c>
      <c r="F1749" s="420"/>
      <c r="G1749" s="64" t="s">
        <v>420</v>
      </c>
      <c r="H1749" s="419" t="s">
        <v>459</v>
      </c>
      <c r="I1749" s="420"/>
      <c r="K1749" s="57" t="s">
        <v>707</v>
      </c>
      <c r="L1749" s="57" t="s">
        <v>175</v>
      </c>
      <c r="S1749" s="57">
        <v>0</v>
      </c>
    </row>
    <row r="1750" spans="1:19" ht="11.85" customHeight="1" x14ac:dyDescent="0.2">
      <c r="A1750" s="57" t="s">
        <v>707</v>
      </c>
      <c r="B1750" s="424"/>
      <c r="C1750" s="425"/>
      <c r="D1750" s="426"/>
      <c r="E1750" s="419" t="s">
        <v>460</v>
      </c>
      <c r="F1750" s="420"/>
      <c r="G1750" s="64" t="s">
        <v>461</v>
      </c>
      <c r="H1750" s="419" t="s">
        <v>423</v>
      </c>
      <c r="I1750" s="420"/>
      <c r="K1750" s="57" t="s">
        <v>707</v>
      </c>
      <c r="L1750" s="57" t="s">
        <v>175</v>
      </c>
      <c r="S1750" s="65">
        <v>33.17</v>
      </c>
    </row>
    <row r="1751" spans="1:19" ht="11.85" customHeight="1" x14ac:dyDescent="0.2">
      <c r="A1751" s="57" t="s">
        <v>707</v>
      </c>
      <c r="B1751" s="416"/>
      <c r="C1751" s="417"/>
      <c r="D1751" s="418"/>
      <c r="E1751" s="419" t="s">
        <v>462</v>
      </c>
      <c r="F1751" s="420"/>
      <c r="G1751" s="64" t="s">
        <v>424</v>
      </c>
      <c r="H1751" s="419" t="s">
        <v>463</v>
      </c>
      <c r="I1751" s="420"/>
      <c r="K1751" s="57" t="s">
        <v>707</v>
      </c>
      <c r="L1751" s="57" t="s">
        <v>175</v>
      </c>
      <c r="S1751" s="57">
        <v>0</v>
      </c>
    </row>
    <row r="1752" spans="1:19" ht="11.85" customHeight="1" x14ac:dyDescent="0.2">
      <c r="A1752" s="57" t="s">
        <v>707</v>
      </c>
      <c r="B1752" s="62"/>
      <c r="C1752" s="411" t="s">
        <v>708</v>
      </c>
      <c r="D1752" s="412"/>
      <c r="E1752" s="412"/>
      <c r="F1752" s="412"/>
      <c r="G1752" s="412"/>
      <c r="H1752" s="412"/>
      <c r="I1752" s="411"/>
      <c r="K1752" s="57" t="s">
        <v>707</v>
      </c>
      <c r="L1752" s="57" t="s">
        <v>175</v>
      </c>
      <c r="S1752" s="57">
        <v>0</v>
      </c>
    </row>
    <row r="1753" spans="1:19" ht="11.1" customHeight="1" x14ac:dyDescent="0.2">
      <c r="A1753" s="57" t="s">
        <v>708</v>
      </c>
      <c r="B1753" s="413" t="s">
        <v>412</v>
      </c>
      <c r="C1753" s="414"/>
      <c r="D1753" s="415"/>
      <c r="E1753" s="419" t="s">
        <v>449</v>
      </c>
      <c r="F1753" s="420"/>
      <c r="G1753" s="64" t="s">
        <v>413</v>
      </c>
      <c r="H1753" s="419" t="s">
        <v>414</v>
      </c>
      <c r="I1753" s="420"/>
      <c r="K1753" s="57" t="s">
        <v>708</v>
      </c>
      <c r="L1753" s="57" t="s">
        <v>176</v>
      </c>
      <c r="S1753" s="57">
        <v>0</v>
      </c>
    </row>
    <row r="1754" spans="1:19" ht="11.85" customHeight="1" x14ac:dyDescent="0.2">
      <c r="A1754" s="57" t="s">
        <v>708</v>
      </c>
      <c r="B1754" s="424"/>
      <c r="C1754" s="425"/>
      <c r="D1754" s="426"/>
      <c r="E1754" s="419" t="s">
        <v>400</v>
      </c>
      <c r="F1754" s="420"/>
      <c r="G1754" s="64" t="s">
        <v>413</v>
      </c>
      <c r="H1754" s="419" t="s">
        <v>414</v>
      </c>
      <c r="I1754" s="420"/>
      <c r="K1754" s="57" t="s">
        <v>708</v>
      </c>
      <c r="L1754" s="57" t="s">
        <v>176</v>
      </c>
      <c r="S1754" s="57">
        <v>0</v>
      </c>
    </row>
    <row r="1755" spans="1:19" ht="11.85" customHeight="1" x14ac:dyDescent="0.2">
      <c r="A1755" s="57" t="s">
        <v>708</v>
      </c>
      <c r="B1755" s="424"/>
      <c r="C1755" s="425"/>
      <c r="D1755" s="426"/>
      <c r="E1755" s="419" t="s">
        <v>450</v>
      </c>
      <c r="F1755" s="420"/>
      <c r="G1755" s="64" t="s">
        <v>413</v>
      </c>
      <c r="H1755" s="419" t="s">
        <v>415</v>
      </c>
      <c r="I1755" s="420"/>
      <c r="K1755" s="57" t="s">
        <v>708</v>
      </c>
      <c r="L1755" s="57" t="s">
        <v>176</v>
      </c>
      <c r="S1755" s="57">
        <v>0</v>
      </c>
    </row>
    <row r="1756" spans="1:19" ht="11.85" customHeight="1" x14ac:dyDescent="0.2">
      <c r="A1756" s="57" t="s">
        <v>708</v>
      </c>
      <c r="B1756" s="416"/>
      <c r="C1756" s="417"/>
      <c r="D1756" s="418"/>
      <c r="E1756" s="419" t="s">
        <v>401</v>
      </c>
      <c r="F1756" s="420"/>
      <c r="G1756" s="64" t="s">
        <v>413</v>
      </c>
      <c r="H1756" s="419" t="s">
        <v>415</v>
      </c>
      <c r="I1756" s="420"/>
      <c r="K1756" s="57" t="s">
        <v>708</v>
      </c>
      <c r="L1756" s="57" t="s">
        <v>176</v>
      </c>
      <c r="S1756" s="57">
        <v>0</v>
      </c>
    </row>
    <row r="1757" spans="1:19" ht="11.1" customHeight="1" x14ac:dyDescent="0.2">
      <c r="A1757" s="57" t="s">
        <v>708</v>
      </c>
      <c r="B1757" s="413" t="s">
        <v>416</v>
      </c>
      <c r="C1757" s="414"/>
      <c r="D1757" s="415"/>
      <c r="E1757" s="419" t="s">
        <v>402</v>
      </c>
      <c r="F1757" s="420"/>
      <c r="G1757" s="64" t="s">
        <v>417</v>
      </c>
      <c r="H1757" s="419" t="s">
        <v>457</v>
      </c>
      <c r="I1757" s="420"/>
      <c r="K1757" s="57" t="s">
        <v>708</v>
      </c>
      <c r="L1757" s="57" t="s">
        <v>176</v>
      </c>
      <c r="S1757" s="57">
        <v>0</v>
      </c>
    </row>
    <row r="1758" spans="1:19" ht="11.85" customHeight="1" x14ac:dyDescent="0.2">
      <c r="A1758" s="57" t="s">
        <v>708</v>
      </c>
      <c r="B1758" s="424"/>
      <c r="C1758" s="425"/>
      <c r="D1758" s="426"/>
      <c r="E1758" s="419" t="s">
        <v>403</v>
      </c>
      <c r="F1758" s="420"/>
      <c r="G1758" s="64" t="s">
        <v>417</v>
      </c>
      <c r="H1758" s="419" t="s">
        <v>457</v>
      </c>
      <c r="I1758" s="420"/>
      <c r="K1758" s="57" t="s">
        <v>708</v>
      </c>
      <c r="L1758" s="57" t="s">
        <v>176</v>
      </c>
      <c r="S1758" s="57">
        <v>0</v>
      </c>
    </row>
    <row r="1759" spans="1:19" ht="11.85" customHeight="1" x14ac:dyDescent="0.2">
      <c r="A1759" s="57" t="s">
        <v>708</v>
      </c>
      <c r="B1759" s="424"/>
      <c r="C1759" s="425"/>
      <c r="D1759" s="426"/>
      <c r="E1759" s="419" t="s">
        <v>404</v>
      </c>
      <c r="F1759" s="420"/>
      <c r="G1759" s="64" t="s">
        <v>413</v>
      </c>
      <c r="H1759" s="419" t="s">
        <v>458</v>
      </c>
      <c r="I1759" s="420"/>
      <c r="K1759" s="57" t="s">
        <v>708</v>
      </c>
      <c r="L1759" s="57" t="s">
        <v>176</v>
      </c>
      <c r="S1759" s="57">
        <v>0</v>
      </c>
    </row>
    <row r="1760" spans="1:19" ht="11.85" customHeight="1" x14ac:dyDescent="0.2">
      <c r="A1760" s="57" t="s">
        <v>708</v>
      </c>
      <c r="B1760" s="424"/>
      <c r="C1760" s="425"/>
      <c r="D1760" s="426"/>
      <c r="E1760" s="419" t="s">
        <v>405</v>
      </c>
      <c r="F1760" s="420"/>
      <c r="G1760" s="64" t="s">
        <v>420</v>
      </c>
      <c r="H1760" s="419" t="s">
        <v>459</v>
      </c>
      <c r="I1760" s="420"/>
      <c r="K1760" s="57" t="s">
        <v>708</v>
      </c>
      <c r="L1760" s="57" t="s">
        <v>176</v>
      </c>
      <c r="S1760" s="57">
        <v>0</v>
      </c>
    </row>
    <row r="1761" spans="1:19" ht="11.1" customHeight="1" x14ac:dyDescent="0.2">
      <c r="A1761" s="57" t="s">
        <v>708</v>
      </c>
      <c r="B1761" s="424"/>
      <c r="C1761" s="425"/>
      <c r="D1761" s="426"/>
      <c r="E1761" s="419" t="s">
        <v>460</v>
      </c>
      <c r="F1761" s="420"/>
      <c r="G1761" s="64" t="s">
        <v>461</v>
      </c>
      <c r="H1761" s="419" t="s">
        <v>423</v>
      </c>
      <c r="I1761" s="420"/>
      <c r="K1761" s="57" t="s">
        <v>708</v>
      </c>
      <c r="L1761" s="57" t="s">
        <v>176</v>
      </c>
      <c r="S1761" s="65">
        <v>33.17</v>
      </c>
    </row>
    <row r="1762" spans="1:19" ht="11.85" customHeight="1" x14ac:dyDescent="0.2">
      <c r="A1762" s="57" t="s">
        <v>708</v>
      </c>
      <c r="B1762" s="416"/>
      <c r="C1762" s="417"/>
      <c r="D1762" s="418"/>
      <c r="E1762" s="419" t="s">
        <v>462</v>
      </c>
      <c r="F1762" s="420"/>
      <c r="G1762" s="64" t="s">
        <v>424</v>
      </c>
      <c r="H1762" s="419" t="s">
        <v>463</v>
      </c>
      <c r="I1762" s="420"/>
      <c r="K1762" s="57" t="s">
        <v>708</v>
      </c>
      <c r="L1762" s="57" t="s">
        <v>176</v>
      </c>
      <c r="S1762" s="57">
        <v>0</v>
      </c>
    </row>
    <row r="1763" spans="1:19" ht="11.85" customHeight="1" x14ac:dyDescent="0.2">
      <c r="A1763" s="57" t="s">
        <v>708</v>
      </c>
      <c r="B1763" s="413" t="s">
        <v>426</v>
      </c>
      <c r="C1763" s="414"/>
      <c r="D1763" s="415"/>
      <c r="E1763" s="419" t="s">
        <v>451</v>
      </c>
      <c r="F1763" s="420"/>
      <c r="G1763" s="64" t="s">
        <v>420</v>
      </c>
      <c r="H1763" s="419" t="s">
        <v>427</v>
      </c>
      <c r="I1763" s="420"/>
      <c r="K1763" s="57" t="s">
        <v>708</v>
      </c>
      <c r="L1763" s="57" t="s">
        <v>176</v>
      </c>
      <c r="S1763" s="57">
        <v>0</v>
      </c>
    </row>
    <row r="1764" spans="1:19" ht="11.85" customHeight="1" x14ac:dyDescent="0.2">
      <c r="A1764" s="57" t="s">
        <v>708</v>
      </c>
      <c r="B1764" s="424"/>
      <c r="C1764" s="425"/>
      <c r="D1764" s="426"/>
      <c r="E1764" s="419" t="s">
        <v>408</v>
      </c>
      <c r="F1764" s="420"/>
      <c r="G1764" s="64" t="s">
        <v>420</v>
      </c>
      <c r="H1764" s="419" t="s">
        <v>427</v>
      </c>
      <c r="I1764" s="420"/>
      <c r="K1764" s="57" t="s">
        <v>708</v>
      </c>
      <c r="L1764" s="57" t="s">
        <v>176</v>
      </c>
      <c r="S1764" s="57">
        <v>0</v>
      </c>
    </row>
    <row r="1765" spans="1:19" ht="11.1" customHeight="1" x14ac:dyDescent="0.2">
      <c r="A1765" s="57" t="s">
        <v>708</v>
      </c>
      <c r="B1765" s="424"/>
      <c r="C1765" s="425"/>
      <c r="D1765" s="426"/>
      <c r="E1765" s="419" t="s">
        <v>452</v>
      </c>
      <c r="F1765" s="420"/>
      <c r="G1765" s="64" t="s">
        <v>417</v>
      </c>
      <c r="H1765" s="419" t="s">
        <v>428</v>
      </c>
      <c r="I1765" s="420"/>
      <c r="K1765" s="57" t="s">
        <v>708</v>
      </c>
      <c r="L1765" s="57" t="s">
        <v>176</v>
      </c>
      <c r="S1765" s="57">
        <v>0</v>
      </c>
    </row>
    <row r="1766" spans="1:19" ht="11.85" customHeight="1" x14ac:dyDescent="0.2">
      <c r="A1766" s="57" t="s">
        <v>708</v>
      </c>
      <c r="B1766" s="424"/>
      <c r="C1766" s="425"/>
      <c r="D1766" s="426"/>
      <c r="E1766" s="419" t="s">
        <v>409</v>
      </c>
      <c r="F1766" s="420"/>
      <c r="G1766" s="64" t="s">
        <v>417</v>
      </c>
      <c r="H1766" s="419" t="s">
        <v>428</v>
      </c>
      <c r="I1766" s="420"/>
      <c r="K1766" s="57" t="s">
        <v>708</v>
      </c>
      <c r="L1766" s="57" t="s">
        <v>176</v>
      </c>
      <c r="S1766" s="57">
        <v>0</v>
      </c>
    </row>
    <row r="1767" spans="1:19" ht="11.85" customHeight="1" x14ac:dyDescent="0.2">
      <c r="A1767" s="57" t="s">
        <v>708</v>
      </c>
      <c r="B1767" s="424"/>
      <c r="C1767" s="425"/>
      <c r="D1767" s="426"/>
      <c r="E1767" s="419" t="s">
        <v>453</v>
      </c>
      <c r="F1767" s="420"/>
      <c r="G1767" s="64" t="s">
        <v>417</v>
      </c>
      <c r="H1767" s="419" t="s">
        <v>415</v>
      </c>
      <c r="I1767" s="420"/>
      <c r="K1767" s="57" t="s">
        <v>708</v>
      </c>
      <c r="L1767" s="57" t="s">
        <v>176</v>
      </c>
      <c r="S1767" s="57">
        <v>0</v>
      </c>
    </row>
    <row r="1768" spans="1:19" ht="11.85" customHeight="1" x14ac:dyDescent="0.2">
      <c r="A1768" s="57" t="s">
        <v>708</v>
      </c>
      <c r="B1768" s="416"/>
      <c r="C1768" s="417"/>
      <c r="D1768" s="418"/>
      <c r="E1768" s="419" t="s">
        <v>410</v>
      </c>
      <c r="F1768" s="420"/>
      <c r="G1768" s="64" t="s">
        <v>417</v>
      </c>
      <c r="H1768" s="419" t="s">
        <v>415</v>
      </c>
      <c r="I1768" s="420"/>
      <c r="K1768" s="57" t="s">
        <v>708</v>
      </c>
      <c r="L1768" s="57" t="s">
        <v>176</v>
      </c>
      <c r="S1768" s="57">
        <v>0</v>
      </c>
    </row>
    <row r="1769" spans="1:19" ht="11.1" customHeight="1" x14ac:dyDescent="0.2">
      <c r="A1769" s="57" t="s">
        <v>708</v>
      </c>
      <c r="B1769" s="62"/>
      <c r="C1769" s="411" t="s">
        <v>709</v>
      </c>
      <c r="D1769" s="412"/>
      <c r="E1769" s="412"/>
      <c r="F1769" s="412"/>
      <c r="G1769" s="412"/>
      <c r="H1769" s="412"/>
      <c r="I1769" s="411"/>
      <c r="K1769" s="57" t="s">
        <v>708</v>
      </c>
      <c r="L1769" s="57" t="s">
        <v>176</v>
      </c>
      <c r="S1769" s="57">
        <v>0</v>
      </c>
    </row>
    <row r="1770" spans="1:19" ht="11.85" customHeight="1" x14ac:dyDescent="0.2">
      <c r="A1770" s="57" t="s">
        <v>709</v>
      </c>
      <c r="B1770" s="413" t="s">
        <v>416</v>
      </c>
      <c r="C1770" s="414"/>
      <c r="D1770" s="415"/>
      <c r="E1770" s="419" t="s">
        <v>402</v>
      </c>
      <c r="F1770" s="420"/>
      <c r="G1770" s="64" t="s">
        <v>417</v>
      </c>
      <c r="H1770" s="419" t="s">
        <v>457</v>
      </c>
      <c r="I1770" s="420"/>
      <c r="K1770" s="57" t="s">
        <v>709</v>
      </c>
      <c r="L1770" s="57" t="s">
        <v>177</v>
      </c>
      <c r="S1770" s="57">
        <v>0</v>
      </c>
    </row>
    <row r="1771" spans="1:19" ht="11.85" customHeight="1" x14ac:dyDescent="0.2">
      <c r="A1771" s="57" t="s">
        <v>709</v>
      </c>
      <c r="B1771" s="424"/>
      <c r="C1771" s="425"/>
      <c r="D1771" s="426"/>
      <c r="E1771" s="419" t="s">
        <v>403</v>
      </c>
      <c r="F1771" s="420"/>
      <c r="G1771" s="64" t="s">
        <v>417</v>
      </c>
      <c r="H1771" s="419" t="s">
        <v>457</v>
      </c>
      <c r="I1771" s="420"/>
      <c r="K1771" s="57" t="s">
        <v>709</v>
      </c>
      <c r="L1771" s="57" t="s">
        <v>177</v>
      </c>
      <c r="S1771" s="57">
        <v>0</v>
      </c>
    </row>
    <row r="1772" spans="1:19" ht="11.85" customHeight="1" x14ac:dyDescent="0.2">
      <c r="A1772" s="57" t="s">
        <v>709</v>
      </c>
      <c r="B1772" s="424"/>
      <c r="C1772" s="425"/>
      <c r="D1772" s="426"/>
      <c r="E1772" s="419" t="s">
        <v>404</v>
      </c>
      <c r="F1772" s="420"/>
      <c r="G1772" s="64" t="s">
        <v>413</v>
      </c>
      <c r="H1772" s="419" t="s">
        <v>458</v>
      </c>
      <c r="I1772" s="420"/>
      <c r="K1772" s="57" t="s">
        <v>709</v>
      </c>
      <c r="L1772" s="57" t="s">
        <v>177</v>
      </c>
      <c r="S1772" s="57">
        <v>0</v>
      </c>
    </row>
    <row r="1773" spans="1:19" ht="11.1" customHeight="1" x14ac:dyDescent="0.2">
      <c r="A1773" s="57" t="s">
        <v>709</v>
      </c>
      <c r="B1773" s="424"/>
      <c r="C1773" s="425"/>
      <c r="D1773" s="426"/>
      <c r="E1773" s="419" t="s">
        <v>405</v>
      </c>
      <c r="F1773" s="420"/>
      <c r="G1773" s="64" t="s">
        <v>420</v>
      </c>
      <c r="H1773" s="419" t="s">
        <v>459</v>
      </c>
      <c r="I1773" s="420"/>
      <c r="K1773" s="57" t="s">
        <v>709</v>
      </c>
      <c r="L1773" s="57" t="s">
        <v>177</v>
      </c>
      <c r="S1773" s="57">
        <v>0</v>
      </c>
    </row>
    <row r="1774" spans="1:19" ht="11.85" customHeight="1" x14ac:dyDescent="0.2">
      <c r="A1774" s="57" t="s">
        <v>709</v>
      </c>
      <c r="B1774" s="424"/>
      <c r="C1774" s="425"/>
      <c r="D1774" s="426"/>
      <c r="E1774" s="419" t="s">
        <v>460</v>
      </c>
      <c r="F1774" s="420"/>
      <c r="G1774" s="64" t="s">
        <v>461</v>
      </c>
      <c r="H1774" s="419" t="s">
        <v>423</v>
      </c>
      <c r="I1774" s="420"/>
      <c r="K1774" s="57" t="s">
        <v>709</v>
      </c>
      <c r="L1774" s="57" t="s">
        <v>177</v>
      </c>
      <c r="S1774" s="65">
        <v>33.17</v>
      </c>
    </row>
    <row r="1775" spans="1:19" ht="11.85" customHeight="1" x14ac:dyDescent="0.2">
      <c r="A1775" s="57" t="s">
        <v>709</v>
      </c>
      <c r="B1775" s="416"/>
      <c r="C1775" s="417"/>
      <c r="D1775" s="418"/>
      <c r="E1775" s="419" t="s">
        <v>462</v>
      </c>
      <c r="F1775" s="420"/>
      <c r="G1775" s="64" t="s">
        <v>424</v>
      </c>
      <c r="H1775" s="419" t="s">
        <v>463</v>
      </c>
      <c r="I1775" s="420"/>
      <c r="K1775" s="57" t="s">
        <v>709</v>
      </c>
      <c r="L1775" s="57" t="s">
        <v>177</v>
      </c>
      <c r="S1775" s="57">
        <v>0</v>
      </c>
    </row>
    <row r="1776" spans="1:19" ht="11.85" customHeight="1" x14ac:dyDescent="0.2">
      <c r="A1776" s="57" t="s">
        <v>709</v>
      </c>
      <c r="B1776" s="62"/>
      <c r="C1776" s="411" t="s">
        <v>710</v>
      </c>
      <c r="D1776" s="412"/>
      <c r="E1776" s="412"/>
      <c r="F1776" s="412"/>
      <c r="G1776" s="412"/>
      <c r="H1776" s="412"/>
      <c r="I1776" s="411"/>
      <c r="K1776" s="57" t="s">
        <v>709</v>
      </c>
      <c r="L1776" s="57" t="s">
        <v>177</v>
      </c>
      <c r="S1776" s="57">
        <v>0</v>
      </c>
    </row>
    <row r="1777" spans="1:19" ht="11.1" customHeight="1" x14ac:dyDescent="0.2">
      <c r="A1777" s="57" t="s">
        <v>710</v>
      </c>
      <c r="B1777" s="413" t="s">
        <v>412</v>
      </c>
      <c r="C1777" s="414"/>
      <c r="D1777" s="415"/>
      <c r="E1777" s="419" t="s">
        <v>400</v>
      </c>
      <c r="F1777" s="420"/>
      <c r="G1777" s="64" t="s">
        <v>413</v>
      </c>
      <c r="H1777" s="419" t="s">
        <v>414</v>
      </c>
      <c r="I1777" s="420"/>
      <c r="K1777" s="57" t="s">
        <v>710</v>
      </c>
      <c r="L1777" s="57" t="s">
        <v>178</v>
      </c>
      <c r="S1777" s="57">
        <v>0</v>
      </c>
    </row>
    <row r="1778" spans="1:19" ht="11.85" customHeight="1" x14ac:dyDescent="0.2">
      <c r="A1778" s="57" t="s">
        <v>710</v>
      </c>
      <c r="B1778" s="416"/>
      <c r="C1778" s="417"/>
      <c r="D1778" s="418"/>
      <c r="E1778" s="419" t="s">
        <v>401</v>
      </c>
      <c r="F1778" s="420"/>
      <c r="G1778" s="64" t="s">
        <v>413</v>
      </c>
      <c r="H1778" s="419" t="s">
        <v>415</v>
      </c>
      <c r="I1778" s="420"/>
      <c r="K1778" s="57" t="s">
        <v>710</v>
      </c>
      <c r="L1778" s="57" t="s">
        <v>178</v>
      </c>
      <c r="S1778" s="57">
        <v>0</v>
      </c>
    </row>
    <row r="1779" spans="1:19" ht="11.85" customHeight="1" x14ac:dyDescent="0.2">
      <c r="A1779" s="57" t="s">
        <v>710</v>
      </c>
      <c r="B1779" s="413" t="s">
        <v>416</v>
      </c>
      <c r="C1779" s="414"/>
      <c r="D1779" s="415"/>
      <c r="E1779" s="419" t="s">
        <v>402</v>
      </c>
      <c r="F1779" s="420"/>
      <c r="G1779" s="64" t="s">
        <v>417</v>
      </c>
      <c r="H1779" s="419" t="s">
        <v>457</v>
      </c>
      <c r="I1779" s="420"/>
      <c r="K1779" s="57" t="s">
        <v>710</v>
      </c>
      <c r="L1779" s="57" t="s">
        <v>178</v>
      </c>
      <c r="S1779" s="57">
        <v>0</v>
      </c>
    </row>
    <row r="1780" spans="1:19" ht="11.85" customHeight="1" x14ac:dyDescent="0.2">
      <c r="A1780" s="57" t="s">
        <v>710</v>
      </c>
      <c r="B1780" s="424"/>
      <c r="C1780" s="425"/>
      <c r="D1780" s="426"/>
      <c r="E1780" s="419" t="s">
        <v>403</v>
      </c>
      <c r="F1780" s="420"/>
      <c r="G1780" s="64" t="s">
        <v>417</v>
      </c>
      <c r="H1780" s="419" t="s">
        <v>457</v>
      </c>
      <c r="I1780" s="420"/>
      <c r="K1780" s="57" t="s">
        <v>710</v>
      </c>
      <c r="L1780" s="57" t="s">
        <v>178</v>
      </c>
      <c r="S1780" s="57">
        <v>0</v>
      </c>
    </row>
    <row r="1781" spans="1:19" ht="11.1" customHeight="1" x14ac:dyDescent="0.2">
      <c r="A1781" s="57" t="s">
        <v>710</v>
      </c>
      <c r="B1781" s="424"/>
      <c r="C1781" s="425"/>
      <c r="D1781" s="426"/>
      <c r="E1781" s="419" t="s">
        <v>404</v>
      </c>
      <c r="F1781" s="420"/>
      <c r="G1781" s="64" t="s">
        <v>413</v>
      </c>
      <c r="H1781" s="419" t="s">
        <v>458</v>
      </c>
      <c r="I1781" s="420"/>
      <c r="K1781" s="57" t="s">
        <v>710</v>
      </c>
      <c r="L1781" s="57" t="s">
        <v>178</v>
      </c>
      <c r="S1781" s="57">
        <v>0</v>
      </c>
    </row>
    <row r="1782" spans="1:19" ht="11.85" customHeight="1" x14ac:dyDescent="0.2">
      <c r="A1782" s="57" t="s">
        <v>710</v>
      </c>
      <c r="B1782" s="424"/>
      <c r="C1782" s="425"/>
      <c r="D1782" s="426"/>
      <c r="E1782" s="419" t="s">
        <v>405</v>
      </c>
      <c r="F1782" s="420"/>
      <c r="G1782" s="64" t="s">
        <v>420</v>
      </c>
      <c r="H1782" s="419" t="s">
        <v>459</v>
      </c>
      <c r="I1782" s="420"/>
      <c r="K1782" s="57" t="s">
        <v>710</v>
      </c>
      <c r="L1782" s="57" t="s">
        <v>178</v>
      </c>
      <c r="S1782" s="57">
        <v>0</v>
      </c>
    </row>
    <row r="1783" spans="1:19" ht="11.85" customHeight="1" x14ac:dyDescent="0.2">
      <c r="A1783" s="57" t="s">
        <v>710</v>
      </c>
      <c r="B1783" s="424"/>
      <c r="C1783" s="425"/>
      <c r="D1783" s="426"/>
      <c r="E1783" s="419" t="s">
        <v>460</v>
      </c>
      <c r="F1783" s="420"/>
      <c r="G1783" s="64" t="s">
        <v>461</v>
      </c>
      <c r="H1783" s="419" t="s">
        <v>423</v>
      </c>
      <c r="I1783" s="420"/>
      <c r="K1783" s="57" t="s">
        <v>710</v>
      </c>
      <c r="L1783" s="57" t="s">
        <v>178</v>
      </c>
      <c r="S1783" s="65">
        <v>33.17</v>
      </c>
    </row>
    <row r="1784" spans="1:19" ht="11.85" customHeight="1" x14ac:dyDescent="0.2">
      <c r="A1784" s="57" t="s">
        <v>710</v>
      </c>
      <c r="B1784" s="416"/>
      <c r="C1784" s="417"/>
      <c r="D1784" s="418"/>
      <c r="E1784" s="419" t="s">
        <v>462</v>
      </c>
      <c r="F1784" s="420"/>
      <c r="G1784" s="64" t="s">
        <v>424</v>
      </c>
      <c r="H1784" s="419" t="s">
        <v>463</v>
      </c>
      <c r="I1784" s="420"/>
      <c r="K1784" s="57" t="s">
        <v>710</v>
      </c>
      <c r="L1784" s="57" t="s">
        <v>178</v>
      </c>
      <c r="S1784" s="57">
        <v>0</v>
      </c>
    </row>
    <row r="1785" spans="1:19" ht="11.1" customHeight="1" x14ac:dyDescent="0.2">
      <c r="A1785" s="57" t="s">
        <v>710</v>
      </c>
      <c r="B1785" s="413" t="s">
        <v>426</v>
      </c>
      <c r="C1785" s="414"/>
      <c r="D1785" s="415"/>
      <c r="E1785" s="419" t="s">
        <v>408</v>
      </c>
      <c r="F1785" s="420"/>
      <c r="G1785" s="64" t="s">
        <v>420</v>
      </c>
      <c r="H1785" s="419" t="s">
        <v>427</v>
      </c>
      <c r="I1785" s="420"/>
      <c r="K1785" s="57" t="s">
        <v>710</v>
      </c>
      <c r="L1785" s="57" t="s">
        <v>178</v>
      </c>
      <c r="S1785" s="57">
        <v>0</v>
      </c>
    </row>
    <row r="1786" spans="1:19" ht="11.85" customHeight="1" x14ac:dyDescent="0.2">
      <c r="A1786" s="57" t="s">
        <v>710</v>
      </c>
      <c r="B1786" s="424"/>
      <c r="C1786" s="425"/>
      <c r="D1786" s="426"/>
      <c r="E1786" s="419" t="s">
        <v>409</v>
      </c>
      <c r="F1786" s="420"/>
      <c r="G1786" s="64" t="s">
        <v>417</v>
      </c>
      <c r="H1786" s="419" t="s">
        <v>428</v>
      </c>
      <c r="I1786" s="420"/>
      <c r="K1786" s="57" t="s">
        <v>710</v>
      </c>
      <c r="L1786" s="57" t="s">
        <v>178</v>
      </c>
      <c r="S1786" s="57">
        <v>0</v>
      </c>
    </row>
    <row r="1787" spans="1:19" ht="11.85" customHeight="1" x14ac:dyDescent="0.2">
      <c r="A1787" s="57" t="s">
        <v>710</v>
      </c>
      <c r="B1787" s="416"/>
      <c r="C1787" s="417"/>
      <c r="D1787" s="418"/>
      <c r="E1787" s="419" t="s">
        <v>410</v>
      </c>
      <c r="F1787" s="420"/>
      <c r="G1787" s="64" t="s">
        <v>417</v>
      </c>
      <c r="H1787" s="419" t="s">
        <v>415</v>
      </c>
      <c r="I1787" s="420"/>
      <c r="K1787" s="57" t="s">
        <v>710</v>
      </c>
      <c r="L1787" s="57" t="s">
        <v>178</v>
      </c>
      <c r="S1787" s="57">
        <v>0</v>
      </c>
    </row>
    <row r="1788" spans="1:19" ht="11.85" customHeight="1" x14ac:dyDescent="0.2">
      <c r="A1788" s="57" t="s">
        <v>710</v>
      </c>
      <c r="B1788" s="62"/>
      <c r="C1788" s="411" t="s">
        <v>711</v>
      </c>
      <c r="D1788" s="412"/>
      <c r="E1788" s="412"/>
      <c r="F1788" s="412"/>
      <c r="G1788" s="412"/>
      <c r="H1788" s="412"/>
      <c r="I1788" s="411"/>
      <c r="K1788" s="57" t="s">
        <v>710</v>
      </c>
      <c r="L1788" s="57" t="s">
        <v>178</v>
      </c>
      <c r="S1788" s="57">
        <v>0</v>
      </c>
    </row>
    <row r="1789" spans="1:19" ht="11.1" customHeight="1" x14ac:dyDescent="0.2">
      <c r="A1789" s="57" t="s">
        <v>711</v>
      </c>
      <c r="B1789" s="413" t="s">
        <v>412</v>
      </c>
      <c r="C1789" s="414"/>
      <c r="D1789" s="415"/>
      <c r="E1789" s="419" t="s">
        <v>400</v>
      </c>
      <c r="F1789" s="420"/>
      <c r="G1789" s="64" t="s">
        <v>413</v>
      </c>
      <c r="H1789" s="419" t="s">
        <v>414</v>
      </c>
      <c r="I1789" s="420"/>
      <c r="K1789" s="57" t="s">
        <v>711</v>
      </c>
      <c r="L1789" s="57" t="s">
        <v>179</v>
      </c>
      <c r="S1789" s="57">
        <v>0</v>
      </c>
    </row>
    <row r="1790" spans="1:19" ht="11.85" customHeight="1" x14ac:dyDescent="0.2">
      <c r="A1790" s="57" t="s">
        <v>711</v>
      </c>
      <c r="B1790" s="416"/>
      <c r="C1790" s="417"/>
      <c r="D1790" s="418"/>
      <c r="E1790" s="419" t="s">
        <v>401</v>
      </c>
      <c r="F1790" s="420"/>
      <c r="G1790" s="64" t="s">
        <v>413</v>
      </c>
      <c r="H1790" s="419" t="s">
        <v>415</v>
      </c>
      <c r="I1790" s="420"/>
      <c r="K1790" s="57" t="s">
        <v>711</v>
      </c>
      <c r="L1790" s="57" t="s">
        <v>179</v>
      </c>
      <c r="S1790" s="57">
        <v>0</v>
      </c>
    </row>
    <row r="1791" spans="1:19" ht="11.85" customHeight="1" x14ac:dyDescent="0.2">
      <c r="A1791" s="57" t="s">
        <v>711</v>
      </c>
      <c r="B1791" s="413" t="s">
        <v>416</v>
      </c>
      <c r="C1791" s="414"/>
      <c r="D1791" s="415"/>
      <c r="E1791" s="419" t="s">
        <v>402</v>
      </c>
      <c r="F1791" s="420"/>
      <c r="G1791" s="64" t="s">
        <v>417</v>
      </c>
      <c r="H1791" s="419" t="s">
        <v>457</v>
      </c>
      <c r="I1791" s="420"/>
      <c r="K1791" s="57" t="s">
        <v>711</v>
      </c>
      <c r="L1791" s="57" t="s">
        <v>179</v>
      </c>
      <c r="S1791" s="57">
        <v>0</v>
      </c>
    </row>
    <row r="1792" spans="1:19" ht="11.85" customHeight="1" x14ac:dyDescent="0.2">
      <c r="A1792" s="57" t="s">
        <v>711</v>
      </c>
      <c r="B1792" s="424"/>
      <c r="C1792" s="425"/>
      <c r="D1792" s="426"/>
      <c r="E1792" s="419" t="s">
        <v>403</v>
      </c>
      <c r="F1792" s="420"/>
      <c r="G1792" s="64" t="s">
        <v>417</v>
      </c>
      <c r="H1792" s="419" t="s">
        <v>457</v>
      </c>
      <c r="I1792" s="420"/>
      <c r="K1792" s="57" t="s">
        <v>711</v>
      </c>
      <c r="L1792" s="57" t="s">
        <v>179</v>
      </c>
      <c r="S1792" s="57">
        <v>0</v>
      </c>
    </row>
    <row r="1793" spans="1:19" ht="11.1" customHeight="1" x14ac:dyDescent="0.2">
      <c r="A1793" s="57" t="s">
        <v>711</v>
      </c>
      <c r="B1793" s="424"/>
      <c r="C1793" s="425"/>
      <c r="D1793" s="426"/>
      <c r="E1793" s="419" t="s">
        <v>404</v>
      </c>
      <c r="F1793" s="420"/>
      <c r="G1793" s="64" t="s">
        <v>413</v>
      </c>
      <c r="H1793" s="419" t="s">
        <v>458</v>
      </c>
      <c r="I1793" s="420"/>
      <c r="K1793" s="57" t="s">
        <v>711</v>
      </c>
      <c r="L1793" s="57" t="s">
        <v>179</v>
      </c>
      <c r="S1793" s="57">
        <v>0</v>
      </c>
    </row>
    <row r="1794" spans="1:19" ht="11.85" customHeight="1" x14ac:dyDescent="0.2">
      <c r="A1794" s="57" t="s">
        <v>711</v>
      </c>
      <c r="B1794" s="424"/>
      <c r="C1794" s="425"/>
      <c r="D1794" s="426"/>
      <c r="E1794" s="419" t="s">
        <v>405</v>
      </c>
      <c r="F1794" s="420"/>
      <c r="G1794" s="64" t="s">
        <v>420</v>
      </c>
      <c r="H1794" s="419" t="s">
        <v>459</v>
      </c>
      <c r="I1794" s="420"/>
      <c r="K1794" s="57" t="s">
        <v>711</v>
      </c>
      <c r="L1794" s="57" t="s">
        <v>179</v>
      </c>
      <c r="S1794" s="57">
        <v>0</v>
      </c>
    </row>
    <row r="1795" spans="1:19" ht="11.85" customHeight="1" x14ac:dyDescent="0.2">
      <c r="A1795" s="57" t="s">
        <v>711</v>
      </c>
      <c r="B1795" s="424"/>
      <c r="C1795" s="425"/>
      <c r="D1795" s="426"/>
      <c r="E1795" s="419" t="s">
        <v>460</v>
      </c>
      <c r="F1795" s="420"/>
      <c r="G1795" s="64" t="s">
        <v>461</v>
      </c>
      <c r="H1795" s="419" t="s">
        <v>423</v>
      </c>
      <c r="I1795" s="420"/>
      <c r="K1795" s="57" t="s">
        <v>711</v>
      </c>
      <c r="L1795" s="57" t="s">
        <v>179</v>
      </c>
      <c r="S1795" s="65">
        <v>33.17</v>
      </c>
    </row>
    <row r="1796" spans="1:19" ht="11.85" customHeight="1" x14ac:dyDescent="0.2">
      <c r="A1796" s="57" t="s">
        <v>711</v>
      </c>
      <c r="B1796" s="416"/>
      <c r="C1796" s="417"/>
      <c r="D1796" s="418"/>
      <c r="E1796" s="419" t="s">
        <v>462</v>
      </c>
      <c r="F1796" s="420"/>
      <c r="G1796" s="64" t="s">
        <v>424</v>
      </c>
      <c r="H1796" s="419" t="s">
        <v>463</v>
      </c>
      <c r="I1796" s="420"/>
      <c r="K1796" s="57" t="s">
        <v>711</v>
      </c>
      <c r="L1796" s="57" t="s">
        <v>179</v>
      </c>
      <c r="S1796" s="57">
        <v>0</v>
      </c>
    </row>
    <row r="1797" spans="1:19" ht="11.1" customHeight="1" x14ac:dyDescent="0.2">
      <c r="A1797" s="57" t="s">
        <v>711</v>
      </c>
      <c r="B1797" s="413" t="s">
        <v>426</v>
      </c>
      <c r="C1797" s="414"/>
      <c r="D1797" s="415"/>
      <c r="E1797" s="419" t="s">
        <v>408</v>
      </c>
      <c r="F1797" s="420"/>
      <c r="G1797" s="64" t="s">
        <v>420</v>
      </c>
      <c r="H1797" s="419" t="s">
        <v>427</v>
      </c>
      <c r="I1797" s="420"/>
      <c r="K1797" s="57" t="s">
        <v>711</v>
      </c>
      <c r="L1797" s="57" t="s">
        <v>179</v>
      </c>
      <c r="S1797" s="57">
        <v>0</v>
      </c>
    </row>
    <row r="1798" spans="1:19" ht="11.85" customHeight="1" x14ac:dyDescent="0.2">
      <c r="A1798" s="57" t="s">
        <v>711</v>
      </c>
      <c r="B1798" s="424"/>
      <c r="C1798" s="425"/>
      <c r="D1798" s="426"/>
      <c r="E1798" s="419" t="s">
        <v>409</v>
      </c>
      <c r="F1798" s="420"/>
      <c r="G1798" s="64" t="s">
        <v>417</v>
      </c>
      <c r="H1798" s="419" t="s">
        <v>428</v>
      </c>
      <c r="I1798" s="420"/>
      <c r="K1798" s="57" t="s">
        <v>711</v>
      </c>
      <c r="L1798" s="57" t="s">
        <v>179</v>
      </c>
      <c r="S1798" s="57">
        <v>0</v>
      </c>
    </row>
    <row r="1799" spans="1:19" ht="11.85" customHeight="1" x14ac:dyDescent="0.2">
      <c r="A1799" s="57" t="s">
        <v>711</v>
      </c>
      <c r="B1799" s="416"/>
      <c r="C1799" s="417"/>
      <c r="D1799" s="418"/>
      <c r="E1799" s="419" t="s">
        <v>410</v>
      </c>
      <c r="F1799" s="420"/>
      <c r="G1799" s="64" t="s">
        <v>417</v>
      </c>
      <c r="H1799" s="419" t="s">
        <v>415</v>
      </c>
      <c r="I1799" s="420"/>
      <c r="K1799" s="57" t="s">
        <v>711</v>
      </c>
      <c r="L1799" s="57" t="s">
        <v>179</v>
      </c>
      <c r="S1799" s="57">
        <v>0</v>
      </c>
    </row>
    <row r="1800" spans="1:19" ht="11.85" customHeight="1" x14ac:dyDescent="0.2">
      <c r="A1800" s="57" t="s">
        <v>711</v>
      </c>
      <c r="B1800" s="62"/>
      <c r="C1800" s="411" t="s">
        <v>712</v>
      </c>
      <c r="D1800" s="412"/>
      <c r="E1800" s="412"/>
      <c r="F1800" s="412"/>
      <c r="G1800" s="412"/>
      <c r="H1800" s="412"/>
      <c r="I1800" s="411"/>
      <c r="K1800" s="57" t="s">
        <v>711</v>
      </c>
      <c r="L1800" s="57" t="s">
        <v>179</v>
      </c>
      <c r="S1800" s="57">
        <v>0</v>
      </c>
    </row>
    <row r="1801" spans="1:19" ht="11.1" customHeight="1" x14ac:dyDescent="0.2">
      <c r="A1801" s="57" t="s">
        <v>712</v>
      </c>
      <c r="B1801" s="413" t="s">
        <v>412</v>
      </c>
      <c r="C1801" s="414"/>
      <c r="D1801" s="415"/>
      <c r="E1801" s="419" t="s">
        <v>400</v>
      </c>
      <c r="F1801" s="420"/>
      <c r="G1801" s="64" t="s">
        <v>413</v>
      </c>
      <c r="H1801" s="419" t="s">
        <v>414</v>
      </c>
      <c r="I1801" s="420"/>
      <c r="K1801" s="57" t="s">
        <v>712</v>
      </c>
      <c r="L1801" s="57" t="s">
        <v>180</v>
      </c>
      <c r="S1801" s="57">
        <v>0</v>
      </c>
    </row>
    <row r="1802" spans="1:19" ht="11.85" customHeight="1" x14ac:dyDescent="0.2">
      <c r="A1802" s="57" t="s">
        <v>712</v>
      </c>
      <c r="B1802" s="416"/>
      <c r="C1802" s="417"/>
      <c r="D1802" s="418"/>
      <c r="E1802" s="419" t="s">
        <v>401</v>
      </c>
      <c r="F1802" s="420"/>
      <c r="G1802" s="64" t="s">
        <v>413</v>
      </c>
      <c r="H1802" s="419" t="s">
        <v>415</v>
      </c>
      <c r="I1802" s="420"/>
      <c r="K1802" s="57" t="s">
        <v>712</v>
      </c>
      <c r="L1802" s="57" t="s">
        <v>180</v>
      </c>
      <c r="S1802" s="57">
        <v>0</v>
      </c>
    </row>
    <row r="1803" spans="1:19" ht="11.85" customHeight="1" x14ac:dyDescent="0.2">
      <c r="A1803" s="57" t="s">
        <v>712</v>
      </c>
      <c r="B1803" s="413" t="s">
        <v>416</v>
      </c>
      <c r="C1803" s="414"/>
      <c r="D1803" s="415"/>
      <c r="E1803" s="419" t="s">
        <v>402</v>
      </c>
      <c r="F1803" s="420"/>
      <c r="G1803" s="64" t="s">
        <v>417</v>
      </c>
      <c r="H1803" s="419" t="s">
        <v>418</v>
      </c>
      <c r="I1803" s="420"/>
      <c r="K1803" s="57" t="s">
        <v>712</v>
      </c>
      <c r="L1803" s="57" t="s">
        <v>180</v>
      </c>
      <c r="S1803" s="57">
        <v>0</v>
      </c>
    </row>
    <row r="1804" spans="1:19" ht="11.85" customHeight="1" x14ac:dyDescent="0.2">
      <c r="A1804" s="57" t="s">
        <v>712</v>
      </c>
      <c r="B1804" s="424"/>
      <c r="C1804" s="425"/>
      <c r="D1804" s="426"/>
      <c r="E1804" s="419" t="s">
        <v>403</v>
      </c>
      <c r="F1804" s="420"/>
      <c r="G1804" s="64" t="s">
        <v>417</v>
      </c>
      <c r="H1804" s="419" t="s">
        <v>418</v>
      </c>
      <c r="I1804" s="420"/>
      <c r="K1804" s="57" t="s">
        <v>712</v>
      </c>
      <c r="L1804" s="57" t="s">
        <v>180</v>
      </c>
      <c r="S1804" s="57">
        <v>0</v>
      </c>
    </row>
    <row r="1805" spans="1:19" ht="11.1" customHeight="1" x14ac:dyDescent="0.2">
      <c r="A1805" s="57" t="s">
        <v>712</v>
      </c>
      <c r="B1805" s="424"/>
      <c r="C1805" s="425"/>
      <c r="D1805" s="426"/>
      <c r="E1805" s="419" t="s">
        <v>404</v>
      </c>
      <c r="F1805" s="420"/>
      <c r="G1805" s="64" t="s">
        <v>413</v>
      </c>
      <c r="H1805" s="419" t="s">
        <v>419</v>
      </c>
      <c r="I1805" s="420"/>
      <c r="K1805" s="57" t="s">
        <v>712</v>
      </c>
      <c r="L1805" s="57" t="s">
        <v>180</v>
      </c>
      <c r="S1805" s="57">
        <v>0</v>
      </c>
    </row>
    <row r="1806" spans="1:19" ht="11.85" customHeight="1" x14ac:dyDescent="0.2">
      <c r="A1806" s="57" t="s">
        <v>712</v>
      </c>
      <c r="B1806" s="424"/>
      <c r="C1806" s="425"/>
      <c r="D1806" s="426"/>
      <c r="E1806" s="419" t="s">
        <v>405</v>
      </c>
      <c r="F1806" s="420"/>
      <c r="G1806" s="64" t="s">
        <v>420</v>
      </c>
      <c r="H1806" s="419" t="s">
        <v>421</v>
      </c>
      <c r="I1806" s="420"/>
      <c r="K1806" s="57" t="s">
        <v>712</v>
      </c>
      <c r="L1806" s="57" t="s">
        <v>180</v>
      </c>
      <c r="S1806" s="57">
        <v>0</v>
      </c>
    </row>
    <row r="1807" spans="1:19" ht="11.85" customHeight="1" x14ac:dyDescent="0.2">
      <c r="A1807" s="57" t="s">
        <v>712</v>
      </c>
      <c r="B1807" s="424"/>
      <c r="C1807" s="425"/>
      <c r="D1807" s="426"/>
      <c r="E1807" s="419" t="s">
        <v>406</v>
      </c>
      <c r="F1807" s="420"/>
      <c r="G1807" s="64" t="s">
        <v>422</v>
      </c>
      <c r="H1807" s="419" t="s">
        <v>423</v>
      </c>
      <c r="I1807" s="420"/>
      <c r="K1807" s="57" t="s">
        <v>712</v>
      </c>
      <c r="L1807" s="57" t="s">
        <v>180</v>
      </c>
      <c r="S1807" s="65">
        <v>48.44</v>
      </c>
    </row>
    <row r="1808" spans="1:19" ht="11.85" customHeight="1" x14ac:dyDescent="0.2">
      <c r="A1808" s="57" t="s">
        <v>712</v>
      </c>
      <c r="B1808" s="416"/>
      <c r="C1808" s="417"/>
      <c r="D1808" s="418"/>
      <c r="E1808" s="419" t="s">
        <v>407</v>
      </c>
      <c r="F1808" s="420"/>
      <c r="G1808" s="64" t="s">
        <v>424</v>
      </c>
      <c r="H1808" s="419" t="s">
        <v>425</v>
      </c>
      <c r="I1808" s="420"/>
      <c r="K1808" s="57" t="s">
        <v>712</v>
      </c>
      <c r="L1808" s="57" t="s">
        <v>180</v>
      </c>
      <c r="S1808" s="57">
        <v>0</v>
      </c>
    </row>
    <row r="1809" spans="1:19" ht="11.85" customHeight="1" x14ac:dyDescent="0.2">
      <c r="A1809" s="57" t="s">
        <v>712</v>
      </c>
      <c r="B1809" s="413" t="s">
        <v>426</v>
      </c>
      <c r="C1809" s="414"/>
      <c r="D1809" s="415"/>
      <c r="E1809" s="419" t="s">
        <v>408</v>
      </c>
      <c r="F1809" s="420"/>
      <c r="G1809" s="64" t="s">
        <v>420</v>
      </c>
      <c r="H1809" s="419" t="s">
        <v>427</v>
      </c>
      <c r="I1809" s="420"/>
      <c r="K1809" s="57" t="s">
        <v>712</v>
      </c>
      <c r="L1809" s="57" t="s">
        <v>180</v>
      </c>
      <c r="S1809" s="57">
        <v>0</v>
      </c>
    </row>
    <row r="1810" spans="1:19" ht="11.85" customHeight="1" x14ac:dyDescent="0.2">
      <c r="A1810" s="57" t="s">
        <v>712</v>
      </c>
      <c r="B1810" s="424"/>
      <c r="C1810" s="425"/>
      <c r="D1810" s="426"/>
      <c r="E1810" s="419" t="s">
        <v>409</v>
      </c>
      <c r="F1810" s="420"/>
      <c r="G1810" s="64" t="s">
        <v>417</v>
      </c>
      <c r="H1810" s="419" t="s">
        <v>428</v>
      </c>
      <c r="I1810" s="420"/>
      <c r="K1810" s="57" t="s">
        <v>712</v>
      </c>
      <c r="L1810" s="57" t="s">
        <v>180</v>
      </c>
      <c r="S1810" s="57">
        <v>0</v>
      </c>
    </row>
    <row r="1811" spans="1:19" ht="11.85" customHeight="1" x14ac:dyDescent="0.2">
      <c r="A1811" s="57" t="s">
        <v>712</v>
      </c>
      <c r="B1811" s="416"/>
      <c r="C1811" s="417"/>
      <c r="D1811" s="418"/>
      <c r="E1811" s="419" t="s">
        <v>410</v>
      </c>
      <c r="F1811" s="420"/>
      <c r="G1811" s="64" t="s">
        <v>417</v>
      </c>
      <c r="H1811" s="419" t="s">
        <v>415</v>
      </c>
      <c r="I1811" s="420"/>
      <c r="K1811" s="57" t="s">
        <v>712</v>
      </c>
      <c r="L1811" s="57" t="s">
        <v>180</v>
      </c>
      <c r="S1811" s="57">
        <v>0</v>
      </c>
    </row>
    <row r="1812" spans="1:19" ht="11.1" customHeight="1" x14ac:dyDescent="0.2">
      <c r="A1812" s="57" t="s">
        <v>712</v>
      </c>
      <c r="B1812" s="62"/>
      <c r="C1812" s="411" t="s">
        <v>713</v>
      </c>
      <c r="D1812" s="412"/>
      <c r="E1812" s="412"/>
      <c r="F1812" s="412"/>
      <c r="G1812" s="412"/>
      <c r="H1812" s="412"/>
      <c r="I1812" s="411"/>
      <c r="K1812" s="57" t="s">
        <v>712</v>
      </c>
      <c r="L1812" s="57" t="s">
        <v>180</v>
      </c>
      <c r="S1812" s="57">
        <v>0</v>
      </c>
    </row>
    <row r="1813" spans="1:19" ht="11.85" customHeight="1" x14ac:dyDescent="0.2">
      <c r="A1813" s="57" t="s">
        <v>713</v>
      </c>
      <c r="B1813" s="413" t="s">
        <v>412</v>
      </c>
      <c r="C1813" s="414"/>
      <c r="D1813" s="415"/>
      <c r="E1813" s="419" t="s">
        <v>400</v>
      </c>
      <c r="F1813" s="420"/>
      <c r="G1813" s="64" t="s">
        <v>413</v>
      </c>
      <c r="H1813" s="419" t="s">
        <v>414</v>
      </c>
      <c r="I1813" s="420"/>
      <c r="K1813" s="57" t="s">
        <v>713</v>
      </c>
      <c r="L1813" s="57" t="s">
        <v>181</v>
      </c>
      <c r="S1813" s="57">
        <v>0</v>
      </c>
    </row>
    <row r="1814" spans="1:19" ht="11.85" customHeight="1" x14ac:dyDescent="0.2">
      <c r="A1814" s="57" t="s">
        <v>713</v>
      </c>
      <c r="B1814" s="416"/>
      <c r="C1814" s="417"/>
      <c r="D1814" s="418"/>
      <c r="E1814" s="419" t="s">
        <v>401</v>
      </c>
      <c r="F1814" s="420"/>
      <c r="G1814" s="64" t="s">
        <v>413</v>
      </c>
      <c r="H1814" s="419" t="s">
        <v>415</v>
      </c>
      <c r="I1814" s="420"/>
      <c r="K1814" s="57" t="s">
        <v>713</v>
      </c>
      <c r="L1814" s="57" t="s">
        <v>181</v>
      </c>
      <c r="S1814" s="57">
        <v>0</v>
      </c>
    </row>
    <row r="1815" spans="1:19" ht="11.85" customHeight="1" x14ac:dyDescent="0.2">
      <c r="A1815" s="57" t="s">
        <v>713</v>
      </c>
      <c r="B1815" s="413" t="s">
        <v>416</v>
      </c>
      <c r="C1815" s="414"/>
      <c r="D1815" s="415"/>
      <c r="E1815" s="419" t="s">
        <v>402</v>
      </c>
      <c r="F1815" s="420"/>
      <c r="G1815" s="64" t="s">
        <v>417</v>
      </c>
      <c r="H1815" s="419" t="s">
        <v>437</v>
      </c>
      <c r="I1815" s="420"/>
      <c r="K1815" s="57" t="s">
        <v>713</v>
      </c>
      <c r="L1815" s="57" t="s">
        <v>181</v>
      </c>
      <c r="S1815" s="57">
        <v>0</v>
      </c>
    </row>
    <row r="1816" spans="1:19" ht="11.1" customHeight="1" x14ac:dyDescent="0.2">
      <c r="A1816" s="57" t="s">
        <v>713</v>
      </c>
      <c r="B1816" s="424"/>
      <c r="C1816" s="425"/>
      <c r="D1816" s="426"/>
      <c r="E1816" s="419" t="s">
        <v>403</v>
      </c>
      <c r="F1816" s="420"/>
      <c r="G1816" s="64" t="s">
        <v>417</v>
      </c>
      <c r="H1816" s="419" t="s">
        <v>437</v>
      </c>
      <c r="I1816" s="420"/>
      <c r="K1816" s="57" t="s">
        <v>713</v>
      </c>
      <c r="L1816" s="57" t="s">
        <v>181</v>
      </c>
      <c r="S1816" s="57">
        <v>0</v>
      </c>
    </row>
    <row r="1817" spans="1:19" ht="11.85" customHeight="1" x14ac:dyDescent="0.2">
      <c r="A1817" s="57" t="s">
        <v>713</v>
      </c>
      <c r="B1817" s="424"/>
      <c r="C1817" s="425"/>
      <c r="D1817" s="426"/>
      <c r="E1817" s="419" t="s">
        <v>404</v>
      </c>
      <c r="F1817" s="420"/>
      <c r="G1817" s="64" t="s">
        <v>413</v>
      </c>
      <c r="H1817" s="419" t="s">
        <v>478</v>
      </c>
      <c r="I1817" s="420"/>
      <c r="K1817" s="57" t="s">
        <v>713</v>
      </c>
      <c r="L1817" s="57" t="s">
        <v>181</v>
      </c>
      <c r="S1817" s="57">
        <v>0</v>
      </c>
    </row>
    <row r="1818" spans="1:19" ht="11.85" customHeight="1" x14ac:dyDescent="0.2">
      <c r="A1818" s="57" t="s">
        <v>713</v>
      </c>
      <c r="B1818" s="424"/>
      <c r="C1818" s="425"/>
      <c r="D1818" s="426"/>
      <c r="E1818" s="419" t="s">
        <v>405</v>
      </c>
      <c r="F1818" s="420"/>
      <c r="G1818" s="64" t="s">
        <v>420</v>
      </c>
      <c r="H1818" s="419" t="s">
        <v>439</v>
      </c>
      <c r="I1818" s="420"/>
      <c r="K1818" s="57" t="s">
        <v>713</v>
      </c>
      <c r="L1818" s="57" t="s">
        <v>181</v>
      </c>
      <c r="S1818" s="57">
        <v>0</v>
      </c>
    </row>
    <row r="1819" spans="1:19" ht="11.85" customHeight="1" x14ac:dyDescent="0.2">
      <c r="A1819" s="57" t="s">
        <v>713</v>
      </c>
      <c r="B1819" s="424"/>
      <c r="C1819" s="425"/>
      <c r="D1819" s="426"/>
      <c r="E1819" s="419" t="s">
        <v>406</v>
      </c>
      <c r="F1819" s="420"/>
      <c r="G1819" s="64" t="s">
        <v>422</v>
      </c>
      <c r="H1819" s="419" t="s">
        <v>423</v>
      </c>
      <c r="I1819" s="420"/>
      <c r="K1819" s="57" t="s">
        <v>713</v>
      </c>
      <c r="L1819" s="57" t="s">
        <v>181</v>
      </c>
      <c r="S1819" s="65">
        <v>48.44</v>
      </c>
    </row>
    <row r="1820" spans="1:19" ht="11.1" customHeight="1" x14ac:dyDescent="0.2">
      <c r="A1820" s="57" t="s">
        <v>713</v>
      </c>
      <c r="B1820" s="416"/>
      <c r="C1820" s="417"/>
      <c r="D1820" s="418"/>
      <c r="E1820" s="419" t="s">
        <v>407</v>
      </c>
      <c r="F1820" s="420"/>
      <c r="G1820" s="64" t="s">
        <v>424</v>
      </c>
      <c r="H1820" s="419" t="s">
        <v>425</v>
      </c>
      <c r="I1820" s="420"/>
      <c r="K1820" s="57" t="s">
        <v>713</v>
      </c>
      <c r="L1820" s="57" t="s">
        <v>181</v>
      </c>
      <c r="S1820" s="57">
        <v>0</v>
      </c>
    </row>
    <row r="1821" spans="1:19" ht="11.85" customHeight="1" x14ac:dyDescent="0.2">
      <c r="A1821" s="57" t="s">
        <v>713</v>
      </c>
      <c r="B1821" s="413" t="s">
        <v>426</v>
      </c>
      <c r="C1821" s="414"/>
      <c r="D1821" s="415"/>
      <c r="E1821" s="419" t="s">
        <v>408</v>
      </c>
      <c r="F1821" s="420"/>
      <c r="G1821" s="64" t="s">
        <v>420</v>
      </c>
      <c r="H1821" s="419" t="s">
        <v>427</v>
      </c>
      <c r="I1821" s="420"/>
      <c r="K1821" s="57" t="s">
        <v>713</v>
      </c>
      <c r="L1821" s="57" t="s">
        <v>181</v>
      </c>
      <c r="S1821" s="57">
        <v>0</v>
      </c>
    </row>
    <row r="1822" spans="1:19" ht="11.85" customHeight="1" x14ac:dyDescent="0.2">
      <c r="A1822" s="57" t="s">
        <v>713</v>
      </c>
      <c r="B1822" s="424"/>
      <c r="C1822" s="425"/>
      <c r="D1822" s="426"/>
      <c r="E1822" s="419" t="s">
        <v>409</v>
      </c>
      <c r="F1822" s="420"/>
      <c r="G1822" s="64" t="s">
        <v>417</v>
      </c>
      <c r="H1822" s="419" t="s">
        <v>428</v>
      </c>
      <c r="I1822" s="420"/>
      <c r="K1822" s="57" t="s">
        <v>713</v>
      </c>
      <c r="L1822" s="57" t="s">
        <v>181</v>
      </c>
      <c r="S1822" s="57">
        <v>0</v>
      </c>
    </row>
    <row r="1823" spans="1:19" ht="11.85" customHeight="1" x14ac:dyDescent="0.2">
      <c r="A1823" s="57" t="s">
        <v>713</v>
      </c>
      <c r="B1823" s="416"/>
      <c r="C1823" s="417"/>
      <c r="D1823" s="418"/>
      <c r="E1823" s="419" t="s">
        <v>410</v>
      </c>
      <c r="F1823" s="420"/>
      <c r="G1823" s="64" t="s">
        <v>417</v>
      </c>
      <c r="H1823" s="419" t="s">
        <v>415</v>
      </c>
      <c r="I1823" s="420"/>
      <c r="K1823" s="57" t="s">
        <v>713</v>
      </c>
      <c r="L1823" s="57" t="s">
        <v>181</v>
      </c>
      <c r="S1823" s="57">
        <v>0</v>
      </c>
    </row>
    <row r="1824" spans="1:19" ht="11.1" customHeight="1" x14ac:dyDescent="0.2">
      <c r="A1824" s="57" t="s">
        <v>713</v>
      </c>
      <c r="B1824" s="62"/>
      <c r="C1824" s="411" t="s">
        <v>714</v>
      </c>
      <c r="D1824" s="412"/>
      <c r="E1824" s="412"/>
      <c r="F1824" s="412"/>
      <c r="G1824" s="412"/>
      <c r="H1824" s="412"/>
      <c r="I1824" s="411"/>
      <c r="K1824" s="57" t="s">
        <v>713</v>
      </c>
      <c r="L1824" s="57" t="s">
        <v>181</v>
      </c>
      <c r="S1824" s="57">
        <v>0</v>
      </c>
    </row>
    <row r="1825" spans="1:19" ht="11.85" customHeight="1" x14ac:dyDescent="0.2">
      <c r="A1825" s="57" t="s">
        <v>714</v>
      </c>
      <c r="B1825" s="413" t="s">
        <v>412</v>
      </c>
      <c r="C1825" s="414"/>
      <c r="D1825" s="415"/>
      <c r="E1825" s="419" t="s">
        <v>400</v>
      </c>
      <c r="F1825" s="420"/>
      <c r="G1825" s="64" t="s">
        <v>413</v>
      </c>
      <c r="H1825" s="419" t="s">
        <v>414</v>
      </c>
      <c r="I1825" s="420"/>
      <c r="K1825" s="57" t="s">
        <v>714</v>
      </c>
      <c r="L1825" s="57" t="s">
        <v>182</v>
      </c>
      <c r="S1825" s="57">
        <v>0</v>
      </c>
    </row>
    <row r="1826" spans="1:19" ht="11.85" customHeight="1" x14ac:dyDescent="0.2">
      <c r="A1826" s="57" t="s">
        <v>714</v>
      </c>
      <c r="B1826" s="416"/>
      <c r="C1826" s="417"/>
      <c r="D1826" s="418"/>
      <c r="E1826" s="419" t="s">
        <v>401</v>
      </c>
      <c r="F1826" s="420"/>
      <c r="G1826" s="64" t="s">
        <v>413</v>
      </c>
      <c r="H1826" s="419" t="s">
        <v>415</v>
      </c>
      <c r="I1826" s="420"/>
      <c r="K1826" s="57" t="s">
        <v>714</v>
      </c>
      <c r="L1826" s="57" t="s">
        <v>182</v>
      </c>
      <c r="S1826" s="57">
        <v>0</v>
      </c>
    </row>
    <row r="1827" spans="1:19" ht="11.85" customHeight="1" x14ac:dyDescent="0.2">
      <c r="A1827" s="57" t="s">
        <v>714</v>
      </c>
      <c r="B1827" s="413" t="s">
        <v>416</v>
      </c>
      <c r="C1827" s="414"/>
      <c r="D1827" s="415"/>
      <c r="E1827" s="419" t="s">
        <v>402</v>
      </c>
      <c r="F1827" s="420"/>
      <c r="G1827" s="64" t="s">
        <v>417</v>
      </c>
      <c r="H1827" s="419" t="s">
        <v>457</v>
      </c>
      <c r="I1827" s="420"/>
      <c r="K1827" s="57" t="s">
        <v>714</v>
      </c>
      <c r="L1827" s="57" t="s">
        <v>182</v>
      </c>
      <c r="S1827" s="57">
        <v>0</v>
      </c>
    </row>
    <row r="1828" spans="1:19" ht="11.1" customHeight="1" x14ac:dyDescent="0.2">
      <c r="A1828" s="57" t="s">
        <v>714</v>
      </c>
      <c r="B1828" s="424"/>
      <c r="C1828" s="425"/>
      <c r="D1828" s="426"/>
      <c r="E1828" s="419" t="s">
        <v>403</v>
      </c>
      <c r="F1828" s="420"/>
      <c r="G1828" s="64" t="s">
        <v>417</v>
      </c>
      <c r="H1828" s="419" t="s">
        <v>457</v>
      </c>
      <c r="I1828" s="420"/>
      <c r="K1828" s="57" t="s">
        <v>714</v>
      </c>
      <c r="L1828" s="57" t="s">
        <v>182</v>
      </c>
      <c r="S1828" s="57">
        <v>0</v>
      </c>
    </row>
    <row r="1829" spans="1:19" ht="11.85" customHeight="1" x14ac:dyDescent="0.2">
      <c r="A1829" s="57" t="s">
        <v>714</v>
      </c>
      <c r="B1829" s="424"/>
      <c r="C1829" s="425"/>
      <c r="D1829" s="426"/>
      <c r="E1829" s="419" t="s">
        <v>404</v>
      </c>
      <c r="F1829" s="420"/>
      <c r="G1829" s="64" t="s">
        <v>413</v>
      </c>
      <c r="H1829" s="419" t="s">
        <v>458</v>
      </c>
      <c r="I1829" s="420"/>
      <c r="K1829" s="57" t="s">
        <v>714</v>
      </c>
      <c r="L1829" s="57" t="s">
        <v>182</v>
      </c>
      <c r="S1829" s="57">
        <v>0</v>
      </c>
    </row>
    <row r="1830" spans="1:19" ht="11.85" customHeight="1" x14ac:dyDescent="0.2">
      <c r="A1830" s="57" t="s">
        <v>714</v>
      </c>
      <c r="B1830" s="424"/>
      <c r="C1830" s="425"/>
      <c r="D1830" s="426"/>
      <c r="E1830" s="419" t="s">
        <v>405</v>
      </c>
      <c r="F1830" s="420"/>
      <c r="G1830" s="64" t="s">
        <v>420</v>
      </c>
      <c r="H1830" s="419" t="s">
        <v>459</v>
      </c>
      <c r="I1830" s="420"/>
      <c r="K1830" s="57" t="s">
        <v>714</v>
      </c>
      <c r="L1830" s="57" t="s">
        <v>182</v>
      </c>
      <c r="S1830" s="57">
        <v>0</v>
      </c>
    </row>
    <row r="1831" spans="1:19" ht="11.85" customHeight="1" x14ac:dyDescent="0.2">
      <c r="A1831" s="57" t="s">
        <v>714</v>
      </c>
      <c r="B1831" s="424"/>
      <c r="C1831" s="425"/>
      <c r="D1831" s="426"/>
      <c r="E1831" s="419" t="s">
        <v>460</v>
      </c>
      <c r="F1831" s="420"/>
      <c r="G1831" s="64" t="s">
        <v>461</v>
      </c>
      <c r="H1831" s="419" t="s">
        <v>423</v>
      </c>
      <c r="I1831" s="420"/>
      <c r="K1831" s="57" t="s">
        <v>714</v>
      </c>
      <c r="L1831" s="57" t="s">
        <v>182</v>
      </c>
      <c r="S1831" s="65">
        <v>33.17</v>
      </c>
    </row>
    <row r="1832" spans="1:19" ht="11.1" customHeight="1" x14ac:dyDescent="0.2">
      <c r="A1832" s="57" t="s">
        <v>714</v>
      </c>
      <c r="B1832" s="416"/>
      <c r="C1832" s="417"/>
      <c r="D1832" s="418"/>
      <c r="E1832" s="419" t="s">
        <v>462</v>
      </c>
      <c r="F1832" s="420"/>
      <c r="G1832" s="64" t="s">
        <v>424</v>
      </c>
      <c r="H1832" s="419" t="s">
        <v>463</v>
      </c>
      <c r="I1832" s="420"/>
      <c r="K1832" s="57" t="s">
        <v>714</v>
      </c>
      <c r="L1832" s="57" t="s">
        <v>182</v>
      </c>
      <c r="S1832" s="57">
        <v>0</v>
      </c>
    </row>
    <row r="1833" spans="1:19" ht="11.85" customHeight="1" x14ac:dyDescent="0.2">
      <c r="A1833" s="57" t="s">
        <v>714</v>
      </c>
      <c r="B1833" s="413" t="s">
        <v>426</v>
      </c>
      <c r="C1833" s="414"/>
      <c r="D1833" s="415"/>
      <c r="E1833" s="419" t="s">
        <v>408</v>
      </c>
      <c r="F1833" s="420"/>
      <c r="G1833" s="64" t="s">
        <v>420</v>
      </c>
      <c r="H1833" s="419" t="s">
        <v>427</v>
      </c>
      <c r="I1833" s="420"/>
      <c r="K1833" s="57" t="s">
        <v>714</v>
      </c>
      <c r="L1833" s="57" t="s">
        <v>182</v>
      </c>
      <c r="S1833" s="57">
        <v>0</v>
      </c>
    </row>
    <row r="1834" spans="1:19" ht="11.85" customHeight="1" x14ac:dyDescent="0.2">
      <c r="A1834" s="57" t="s">
        <v>714</v>
      </c>
      <c r="B1834" s="424"/>
      <c r="C1834" s="425"/>
      <c r="D1834" s="426"/>
      <c r="E1834" s="419" t="s">
        <v>409</v>
      </c>
      <c r="F1834" s="420"/>
      <c r="G1834" s="64" t="s">
        <v>417</v>
      </c>
      <c r="H1834" s="419" t="s">
        <v>428</v>
      </c>
      <c r="I1834" s="420"/>
      <c r="K1834" s="57" t="s">
        <v>714</v>
      </c>
      <c r="L1834" s="57" t="s">
        <v>182</v>
      </c>
      <c r="S1834" s="57">
        <v>0</v>
      </c>
    </row>
    <row r="1835" spans="1:19" ht="11.85" customHeight="1" x14ac:dyDescent="0.2">
      <c r="A1835" s="57" t="s">
        <v>714</v>
      </c>
      <c r="B1835" s="416"/>
      <c r="C1835" s="417"/>
      <c r="D1835" s="418"/>
      <c r="E1835" s="419" t="s">
        <v>410</v>
      </c>
      <c r="F1835" s="420"/>
      <c r="G1835" s="64" t="s">
        <v>417</v>
      </c>
      <c r="H1835" s="419" t="s">
        <v>415</v>
      </c>
      <c r="I1835" s="420"/>
      <c r="K1835" s="57" t="s">
        <v>714</v>
      </c>
      <c r="L1835" s="57" t="s">
        <v>182</v>
      </c>
      <c r="S1835" s="57">
        <v>0</v>
      </c>
    </row>
    <row r="1836" spans="1:19" ht="11.1" customHeight="1" x14ac:dyDescent="0.2">
      <c r="A1836" s="57" t="s">
        <v>714</v>
      </c>
      <c r="B1836" s="62"/>
      <c r="C1836" s="411" t="s">
        <v>715</v>
      </c>
      <c r="D1836" s="412"/>
      <c r="E1836" s="412"/>
      <c r="F1836" s="412"/>
      <c r="G1836" s="412"/>
      <c r="H1836" s="412"/>
      <c r="I1836" s="411"/>
      <c r="K1836" s="57" t="s">
        <v>714</v>
      </c>
      <c r="L1836" s="57" t="s">
        <v>182</v>
      </c>
      <c r="S1836" s="57">
        <v>0</v>
      </c>
    </row>
    <row r="1837" spans="1:19" ht="11.85" customHeight="1" x14ac:dyDescent="0.2">
      <c r="A1837" s="57" t="s">
        <v>715</v>
      </c>
      <c r="B1837" s="413" t="s">
        <v>416</v>
      </c>
      <c r="C1837" s="414"/>
      <c r="D1837" s="415"/>
      <c r="E1837" s="419" t="s">
        <v>402</v>
      </c>
      <c r="F1837" s="420"/>
      <c r="G1837" s="64" t="s">
        <v>417</v>
      </c>
      <c r="H1837" s="419" t="s">
        <v>437</v>
      </c>
      <c r="I1837" s="420"/>
      <c r="K1837" s="57" t="s">
        <v>715</v>
      </c>
      <c r="L1837" s="57" t="s">
        <v>183</v>
      </c>
      <c r="S1837" s="57">
        <v>0</v>
      </c>
    </row>
    <row r="1838" spans="1:19" ht="11.85" customHeight="1" x14ac:dyDescent="0.2">
      <c r="A1838" s="57" t="s">
        <v>715</v>
      </c>
      <c r="B1838" s="424"/>
      <c r="C1838" s="425"/>
      <c r="D1838" s="426"/>
      <c r="E1838" s="419" t="s">
        <v>403</v>
      </c>
      <c r="F1838" s="420"/>
      <c r="G1838" s="64" t="s">
        <v>417</v>
      </c>
      <c r="H1838" s="419" t="s">
        <v>437</v>
      </c>
      <c r="I1838" s="420"/>
      <c r="K1838" s="57" t="s">
        <v>715</v>
      </c>
      <c r="L1838" s="57" t="s">
        <v>183</v>
      </c>
      <c r="S1838" s="57">
        <v>0</v>
      </c>
    </row>
    <row r="1839" spans="1:19" ht="11.85" customHeight="1" x14ac:dyDescent="0.2">
      <c r="A1839" s="57" t="s">
        <v>715</v>
      </c>
      <c r="B1839" s="424"/>
      <c r="C1839" s="425"/>
      <c r="D1839" s="426"/>
      <c r="E1839" s="419" t="s">
        <v>404</v>
      </c>
      <c r="F1839" s="420"/>
      <c r="G1839" s="64" t="s">
        <v>413</v>
      </c>
      <c r="H1839" s="419" t="s">
        <v>478</v>
      </c>
      <c r="I1839" s="420"/>
      <c r="K1839" s="57" t="s">
        <v>715</v>
      </c>
      <c r="L1839" s="57" t="s">
        <v>183</v>
      </c>
      <c r="S1839" s="57">
        <v>0</v>
      </c>
    </row>
    <row r="1840" spans="1:19" ht="11.1" customHeight="1" x14ac:dyDescent="0.2">
      <c r="A1840" s="57" t="s">
        <v>715</v>
      </c>
      <c r="B1840" s="424"/>
      <c r="C1840" s="425"/>
      <c r="D1840" s="426"/>
      <c r="E1840" s="419" t="s">
        <v>405</v>
      </c>
      <c r="F1840" s="420"/>
      <c r="G1840" s="64" t="s">
        <v>420</v>
      </c>
      <c r="H1840" s="419" t="s">
        <v>439</v>
      </c>
      <c r="I1840" s="420"/>
      <c r="K1840" s="57" t="s">
        <v>715</v>
      </c>
      <c r="L1840" s="57" t="s">
        <v>183</v>
      </c>
      <c r="S1840" s="57">
        <v>0</v>
      </c>
    </row>
    <row r="1841" spans="1:19" ht="11.85" customHeight="1" x14ac:dyDescent="0.2">
      <c r="A1841" s="57" t="s">
        <v>715</v>
      </c>
      <c r="B1841" s="424"/>
      <c r="C1841" s="425"/>
      <c r="D1841" s="426"/>
      <c r="E1841" s="419" t="s">
        <v>406</v>
      </c>
      <c r="F1841" s="420"/>
      <c r="G1841" s="64" t="s">
        <v>422</v>
      </c>
      <c r="H1841" s="419" t="s">
        <v>423</v>
      </c>
      <c r="I1841" s="420"/>
      <c r="K1841" s="57" t="s">
        <v>715</v>
      </c>
      <c r="L1841" s="57" t="s">
        <v>183</v>
      </c>
      <c r="S1841" s="65">
        <v>48.44</v>
      </c>
    </row>
    <row r="1842" spans="1:19" ht="11.85" customHeight="1" x14ac:dyDescent="0.2">
      <c r="A1842" s="57" t="s">
        <v>715</v>
      </c>
      <c r="B1842" s="416"/>
      <c r="C1842" s="417"/>
      <c r="D1842" s="418"/>
      <c r="E1842" s="419" t="s">
        <v>407</v>
      </c>
      <c r="F1842" s="420"/>
      <c r="G1842" s="64" t="s">
        <v>424</v>
      </c>
      <c r="H1842" s="419" t="s">
        <v>425</v>
      </c>
      <c r="I1842" s="420"/>
      <c r="K1842" s="57" t="s">
        <v>715</v>
      </c>
      <c r="L1842" s="57" t="s">
        <v>183</v>
      </c>
      <c r="S1842" s="57">
        <v>0</v>
      </c>
    </row>
    <row r="1843" spans="1:19" ht="11.85" customHeight="1" x14ac:dyDescent="0.2">
      <c r="A1843" s="57" t="s">
        <v>715</v>
      </c>
      <c r="B1843" s="62"/>
      <c r="C1843" s="411" t="s">
        <v>716</v>
      </c>
      <c r="D1843" s="412"/>
      <c r="E1843" s="412"/>
      <c r="F1843" s="412"/>
      <c r="G1843" s="412"/>
      <c r="H1843" s="412"/>
      <c r="I1843" s="411"/>
      <c r="K1843" s="57" t="s">
        <v>715</v>
      </c>
      <c r="L1843" s="57" t="s">
        <v>183</v>
      </c>
      <c r="S1843" s="57">
        <v>0</v>
      </c>
    </row>
    <row r="1844" spans="1:19" ht="11.1" customHeight="1" x14ac:dyDescent="0.2">
      <c r="A1844" s="57" t="s">
        <v>716</v>
      </c>
      <c r="B1844" s="413" t="s">
        <v>416</v>
      </c>
      <c r="C1844" s="414"/>
      <c r="D1844" s="415"/>
      <c r="E1844" s="419" t="s">
        <v>402</v>
      </c>
      <c r="F1844" s="420"/>
      <c r="G1844" s="64" t="s">
        <v>417</v>
      </c>
      <c r="H1844" s="419" t="s">
        <v>457</v>
      </c>
      <c r="I1844" s="420"/>
      <c r="K1844" s="57" t="s">
        <v>716</v>
      </c>
      <c r="L1844" s="57" t="s">
        <v>184</v>
      </c>
      <c r="S1844" s="57">
        <v>0</v>
      </c>
    </row>
    <row r="1845" spans="1:19" ht="11.85" customHeight="1" x14ac:dyDescent="0.2">
      <c r="A1845" s="57" t="s">
        <v>716</v>
      </c>
      <c r="B1845" s="424"/>
      <c r="C1845" s="425"/>
      <c r="D1845" s="426"/>
      <c r="E1845" s="419" t="s">
        <v>403</v>
      </c>
      <c r="F1845" s="420"/>
      <c r="G1845" s="64" t="s">
        <v>417</v>
      </c>
      <c r="H1845" s="419" t="s">
        <v>457</v>
      </c>
      <c r="I1845" s="420"/>
      <c r="K1845" s="57" t="s">
        <v>716</v>
      </c>
      <c r="L1845" s="57" t="s">
        <v>184</v>
      </c>
      <c r="S1845" s="57">
        <v>0</v>
      </c>
    </row>
    <row r="1846" spans="1:19" ht="11.85" customHeight="1" x14ac:dyDescent="0.2">
      <c r="A1846" s="57" t="s">
        <v>716</v>
      </c>
      <c r="B1846" s="424"/>
      <c r="C1846" s="425"/>
      <c r="D1846" s="426"/>
      <c r="E1846" s="419" t="s">
        <v>404</v>
      </c>
      <c r="F1846" s="420"/>
      <c r="G1846" s="64" t="s">
        <v>413</v>
      </c>
      <c r="H1846" s="419" t="s">
        <v>458</v>
      </c>
      <c r="I1846" s="420"/>
      <c r="K1846" s="57" t="s">
        <v>716</v>
      </c>
      <c r="L1846" s="57" t="s">
        <v>184</v>
      </c>
      <c r="S1846" s="57">
        <v>0</v>
      </c>
    </row>
    <row r="1847" spans="1:19" ht="11.85" customHeight="1" x14ac:dyDescent="0.2">
      <c r="A1847" s="57" t="s">
        <v>716</v>
      </c>
      <c r="B1847" s="424"/>
      <c r="C1847" s="425"/>
      <c r="D1847" s="426"/>
      <c r="E1847" s="419" t="s">
        <v>405</v>
      </c>
      <c r="F1847" s="420"/>
      <c r="G1847" s="64" t="s">
        <v>420</v>
      </c>
      <c r="H1847" s="419" t="s">
        <v>459</v>
      </c>
      <c r="I1847" s="420"/>
      <c r="K1847" s="57" t="s">
        <v>716</v>
      </c>
      <c r="L1847" s="57" t="s">
        <v>184</v>
      </c>
      <c r="S1847" s="57">
        <v>0</v>
      </c>
    </row>
    <row r="1848" spans="1:19" ht="11.1" customHeight="1" x14ac:dyDescent="0.2">
      <c r="A1848" s="57" t="s">
        <v>716</v>
      </c>
      <c r="B1848" s="424"/>
      <c r="C1848" s="425"/>
      <c r="D1848" s="426"/>
      <c r="E1848" s="419" t="s">
        <v>460</v>
      </c>
      <c r="F1848" s="420"/>
      <c r="G1848" s="64" t="s">
        <v>461</v>
      </c>
      <c r="H1848" s="419" t="s">
        <v>423</v>
      </c>
      <c r="I1848" s="420"/>
      <c r="K1848" s="57" t="s">
        <v>716</v>
      </c>
      <c r="L1848" s="57" t="s">
        <v>184</v>
      </c>
      <c r="S1848" s="65">
        <v>33.17</v>
      </c>
    </row>
    <row r="1849" spans="1:19" ht="11.85" customHeight="1" x14ac:dyDescent="0.2">
      <c r="A1849" s="57" t="s">
        <v>716</v>
      </c>
      <c r="B1849" s="416"/>
      <c r="C1849" s="417"/>
      <c r="D1849" s="418"/>
      <c r="E1849" s="419" t="s">
        <v>462</v>
      </c>
      <c r="F1849" s="420"/>
      <c r="G1849" s="64" t="s">
        <v>424</v>
      </c>
      <c r="H1849" s="419" t="s">
        <v>463</v>
      </c>
      <c r="I1849" s="420"/>
      <c r="K1849" s="57" t="s">
        <v>716</v>
      </c>
      <c r="L1849" s="57" t="s">
        <v>184</v>
      </c>
      <c r="S1849" s="57">
        <v>0</v>
      </c>
    </row>
    <row r="1850" spans="1:19" ht="11.85" customHeight="1" x14ac:dyDescent="0.2">
      <c r="A1850" s="57" t="s">
        <v>716</v>
      </c>
      <c r="B1850" s="62"/>
      <c r="C1850" s="411" t="s">
        <v>717</v>
      </c>
      <c r="D1850" s="412"/>
      <c r="E1850" s="412"/>
      <c r="F1850" s="412"/>
      <c r="G1850" s="412"/>
      <c r="H1850" s="412"/>
      <c r="I1850" s="411"/>
      <c r="K1850" s="57" t="s">
        <v>716</v>
      </c>
      <c r="L1850" s="57" t="s">
        <v>184</v>
      </c>
      <c r="S1850" s="57">
        <v>0</v>
      </c>
    </row>
    <row r="1851" spans="1:19" ht="11.85" customHeight="1" x14ac:dyDescent="0.2">
      <c r="A1851" s="57" t="s">
        <v>717</v>
      </c>
      <c r="B1851" s="413" t="s">
        <v>412</v>
      </c>
      <c r="C1851" s="414"/>
      <c r="D1851" s="415"/>
      <c r="E1851" s="419" t="s">
        <v>400</v>
      </c>
      <c r="F1851" s="420"/>
      <c r="G1851" s="64" t="s">
        <v>413</v>
      </c>
      <c r="H1851" s="419" t="s">
        <v>414</v>
      </c>
      <c r="I1851" s="420"/>
      <c r="K1851" s="57" t="s">
        <v>717</v>
      </c>
      <c r="L1851" s="57" t="s">
        <v>185</v>
      </c>
      <c r="S1851" s="57">
        <v>0</v>
      </c>
    </row>
    <row r="1852" spans="1:19" ht="11.1" customHeight="1" x14ac:dyDescent="0.2">
      <c r="A1852" s="57" t="s">
        <v>717</v>
      </c>
      <c r="B1852" s="416"/>
      <c r="C1852" s="417"/>
      <c r="D1852" s="418"/>
      <c r="E1852" s="419" t="s">
        <v>401</v>
      </c>
      <c r="F1852" s="420"/>
      <c r="G1852" s="64" t="s">
        <v>413</v>
      </c>
      <c r="H1852" s="419" t="s">
        <v>415</v>
      </c>
      <c r="I1852" s="420"/>
      <c r="K1852" s="57" t="s">
        <v>717</v>
      </c>
      <c r="L1852" s="57" t="s">
        <v>185</v>
      </c>
      <c r="S1852" s="57">
        <v>0</v>
      </c>
    </row>
    <row r="1853" spans="1:19" ht="11.85" customHeight="1" x14ac:dyDescent="0.2">
      <c r="A1853" s="57" t="s">
        <v>717</v>
      </c>
      <c r="B1853" s="413" t="s">
        <v>416</v>
      </c>
      <c r="C1853" s="414"/>
      <c r="D1853" s="415"/>
      <c r="E1853" s="419" t="s">
        <v>402</v>
      </c>
      <c r="F1853" s="420"/>
      <c r="G1853" s="64" t="s">
        <v>417</v>
      </c>
      <c r="H1853" s="419" t="s">
        <v>437</v>
      </c>
      <c r="I1853" s="420"/>
      <c r="K1853" s="57" t="s">
        <v>717</v>
      </c>
      <c r="L1853" s="57" t="s">
        <v>185</v>
      </c>
      <c r="S1853" s="57">
        <v>0</v>
      </c>
    </row>
    <row r="1854" spans="1:19" ht="11.85" customHeight="1" x14ac:dyDescent="0.2">
      <c r="A1854" s="57" t="s">
        <v>717</v>
      </c>
      <c r="B1854" s="424"/>
      <c r="C1854" s="425"/>
      <c r="D1854" s="426"/>
      <c r="E1854" s="419" t="s">
        <v>403</v>
      </c>
      <c r="F1854" s="420"/>
      <c r="G1854" s="64" t="s">
        <v>417</v>
      </c>
      <c r="H1854" s="419" t="s">
        <v>437</v>
      </c>
      <c r="I1854" s="420"/>
      <c r="K1854" s="57" t="s">
        <v>717</v>
      </c>
      <c r="L1854" s="57" t="s">
        <v>185</v>
      </c>
      <c r="S1854" s="57">
        <v>0</v>
      </c>
    </row>
    <row r="1855" spans="1:19" ht="11.85" customHeight="1" x14ac:dyDescent="0.2">
      <c r="A1855" s="57" t="s">
        <v>717</v>
      </c>
      <c r="B1855" s="424"/>
      <c r="C1855" s="425"/>
      <c r="D1855" s="426"/>
      <c r="E1855" s="419" t="s">
        <v>404</v>
      </c>
      <c r="F1855" s="420"/>
      <c r="G1855" s="64" t="s">
        <v>413</v>
      </c>
      <c r="H1855" s="419" t="s">
        <v>478</v>
      </c>
      <c r="I1855" s="420"/>
      <c r="K1855" s="57" t="s">
        <v>717</v>
      </c>
      <c r="L1855" s="57" t="s">
        <v>185</v>
      </c>
      <c r="S1855" s="57">
        <v>0</v>
      </c>
    </row>
    <row r="1856" spans="1:19" ht="11.1" customHeight="1" x14ac:dyDescent="0.2">
      <c r="A1856" s="57" t="s">
        <v>717</v>
      </c>
      <c r="B1856" s="424"/>
      <c r="C1856" s="425"/>
      <c r="D1856" s="426"/>
      <c r="E1856" s="419" t="s">
        <v>405</v>
      </c>
      <c r="F1856" s="420"/>
      <c r="G1856" s="64" t="s">
        <v>420</v>
      </c>
      <c r="H1856" s="419" t="s">
        <v>439</v>
      </c>
      <c r="I1856" s="420"/>
      <c r="K1856" s="57" t="s">
        <v>717</v>
      </c>
      <c r="L1856" s="57" t="s">
        <v>185</v>
      </c>
      <c r="S1856" s="57">
        <v>0</v>
      </c>
    </row>
    <row r="1857" spans="1:19" ht="11.85" customHeight="1" x14ac:dyDescent="0.2">
      <c r="A1857" s="57" t="s">
        <v>717</v>
      </c>
      <c r="B1857" s="424"/>
      <c r="C1857" s="425"/>
      <c r="D1857" s="426"/>
      <c r="E1857" s="419" t="s">
        <v>406</v>
      </c>
      <c r="F1857" s="420"/>
      <c r="G1857" s="64" t="s">
        <v>422</v>
      </c>
      <c r="H1857" s="419" t="s">
        <v>423</v>
      </c>
      <c r="I1857" s="420"/>
      <c r="K1857" s="57" t="s">
        <v>717</v>
      </c>
      <c r="L1857" s="57" t="s">
        <v>185</v>
      </c>
      <c r="S1857" s="65">
        <v>48.44</v>
      </c>
    </row>
    <row r="1858" spans="1:19" ht="11.85" customHeight="1" x14ac:dyDescent="0.2">
      <c r="A1858" s="57" t="s">
        <v>717</v>
      </c>
      <c r="B1858" s="416"/>
      <c r="C1858" s="417"/>
      <c r="D1858" s="418"/>
      <c r="E1858" s="419" t="s">
        <v>407</v>
      </c>
      <c r="F1858" s="420"/>
      <c r="G1858" s="64" t="s">
        <v>424</v>
      </c>
      <c r="H1858" s="419" t="s">
        <v>425</v>
      </c>
      <c r="I1858" s="420"/>
      <c r="K1858" s="57" t="s">
        <v>717</v>
      </c>
      <c r="L1858" s="57" t="s">
        <v>185</v>
      </c>
      <c r="S1858" s="57">
        <v>0</v>
      </c>
    </row>
    <row r="1859" spans="1:19" ht="11.85" customHeight="1" x14ac:dyDescent="0.2">
      <c r="A1859" s="57" t="s">
        <v>717</v>
      </c>
      <c r="B1859" s="413" t="s">
        <v>426</v>
      </c>
      <c r="C1859" s="414"/>
      <c r="D1859" s="415"/>
      <c r="E1859" s="419" t="s">
        <v>408</v>
      </c>
      <c r="F1859" s="420"/>
      <c r="G1859" s="64" t="s">
        <v>420</v>
      </c>
      <c r="H1859" s="419" t="s">
        <v>427</v>
      </c>
      <c r="I1859" s="420"/>
      <c r="K1859" s="57" t="s">
        <v>717</v>
      </c>
      <c r="L1859" s="57" t="s">
        <v>185</v>
      </c>
      <c r="S1859" s="57">
        <v>0</v>
      </c>
    </row>
    <row r="1860" spans="1:19" ht="11.1" customHeight="1" x14ac:dyDescent="0.2">
      <c r="A1860" s="57" t="s">
        <v>717</v>
      </c>
      <c r="B1860" s="424"/>
      <c r="C1860" s="425"/>
      <c r="D1860" s="426"/>
      <c r="E1860" s="419" t="s">
        <v>409</v>
      </c>
      <c r="F1860" s="420"/>
      <c r="G1860" s="64" t="s">
        <v>417</v>
      </c>
      <c r="H1860" s="419" t="s">
        <v>428</v>
      </c>
      <c r="I1860" s="420"/>
      <c r="K1860" s="57" t="s">
        <v>717</v>
      </c>
      <c r="L1860" s="57" t="s">
        <v>185</v>
      </c>
      <c r="S1860" s="57">
        <v>0</v>
      </c>
    </row>
    <row r="1861" spans="1:19" ht="11.85" customHeight="1" x14ac:dyDescent="0.2">
      <c r="A1861" s="57" t="s">
        <v>717</v>
      </c>
      <c r="B1861" s="416"/>
      <c r="C1861" s="417"/>
      <c r="D1861" s="418"/>
      <c r="E1861" s="419" t="s">
        <v>410</v>
      </c>
      <c r="F1861" s="420"/>
      <c r="G1861" s="64" t="s">
        <v>417</v>
      </c>
      <c r="H1861" s="419" t="s">
        <v>415</v>
      </c>
      <c r="I1861" s="420"/>
      <c r="K1861" s="57" t="s">
        <v>717</v>
      </c>
      <c r="L1861" s="57" t="s">
        <v>185</v>
      </c>
      <c r="S1861" s="57">
        <v>0</v>
      </c>
    </row>
    <row r="1862" spans="1:19" ht="11.85" customHeight="1" x14ac:dyDescent="0.2">
      <c r="A1862" s="57" t="s">
        <v>717</v>
      </c>
      <c r="B1862" s="62"/>
      <c r="C1862" s="411" t="s">
        <v>718</v>
      </c>
      <c r="D1862" s="412"/>
      <c r="E1862" s="412"/>
      <c r="F1862" s="412"/>
      <c r="G1862" s="412"/>
      <c r="H1862" s="412"/>
      <c r="I1862" s="411"/>
      <c r="K1862" s="57" t="s">
        <v>717</v>
      </c>
      <c r="L1862" s="57" t="s">
        <v>185</v>
      </c>
      <c r="S1862" s="57">
        <v>0</v>
      </c>
    </row>
    <row r="1863" spans="1:19" ht="11.85" customHeight="1" x14ac:dyDescent="0.2">
      <c r="A1863" s="57" t="s">
        <v>718</v>
      </c>
      <c r="B1863" s="413" t="s">
        <v>416</v>
      </c>
      <c r="C1863" s="414"/>
      <c r="D1863" s="415"/>
      <c r="E1863" s="419" t="s">
        <v>402</v>
      </c>
      <c r="F1863" s="420"/>
      <c r="G1863" s="64" t="s">
        <v>417</v>
      </c>
      <c r="H1863" s="419" t="s">
        <v>437</v>
      </c>
      <c r="I1863" s="420"/>
      <c r="K1863" s="57" t="s">
        <v>718</v>
      </c>
      <c r="L1863" s="57" t="s">
        <v>186</v>
      </c>
      <c r="S1863" s="57">
        <v>0</v>
      </c>
    </row>
    <row r="1864" spans="1:19" ht="11.1" customHeight="1" x14ac:dyDescent="0.2">
      <c r="A1864" s="57" t="s">
        <v>718</v>
      </c>
      <c r="B1864" s="424"/>
      <c r="C1864" s="425"/>
      <c r="D1864" s="426"/>
      <c r="E1864" s="419" t="s">
        <v>403</v>
      </c>
      <c r="F1864" s="420"/>
      <c r="G1864" s="64" t="s">
        <v>417</v>
      </c>
      <c r="H1864" s="419" t="s">
        <v>437</v>
      </c>
      <c r="I1864" s="420"/>
      <c r="K1864" s="57" t="s">
        <v>718</v>
      </c>
      <c r="L1864" s="57" t="s">
        <v>186</v>
      </c>
      <c r="S1864" s="57">
        <v>0</v>
      </c>
    </row>
    <row r="1865" spans="1:19" ht="11.85" customHeight="1" x14ac:dyDescent="0.2">
      <c r="A1865" s="57" t="s">
        <v>718</v>
      </c>
      <c r="B1865" s="424"/>
      <c r="C1865" s="425"/>
      <c r="D1865" s="426"/>
      <c r="E1865" s="419" t="s">
        <v>404</v>
      </c>
      <c r="F1865" s="420"/>
      <c r="G1865" s="64" t="s">
        <v>413</v>
      </c>
      <c r="H1865" s="419" t="s">
        <v>478</v>
      </c>
      <c r="I1865" s="420"/>
      <c r="K1865" s="57" t="s">
        <v>718</v>
      </c>
      <c r="L1865" s="57" t="s">
        <v>186</v>
      </c>
      <c r="S1865" s="57">
        <v>0</v>
      </c>
    </row>
    <row r="1866" spans="1:19" ht="11.85" customHeight="1" x14ac:dyDescent="0.2">
      <c r="A1866" s="57" t="s">
        <v>718</v>
      </c>
      <c r="B1866" s="424"/>
      <c r="C1866" s="425"/>
      <c r="D1866" s="426"/>
      <c r="E1866" s="419" t="s">
        <v>405</v>
      </c>
      <c r="F1866" s="420"/>
      <c r="G1866" s="64" t="s">
        <v>420</v>
      </c>
      <c r="H1866" s="419" t="s">
        <v>439</v>
      </c>
      <c r="I1866" s="420"/>
      <c r="K1866" s="57" t="s">
        <v>718</v>
      </c>
      <c r="L1866" s="57" t="s">
        <v>186</v>
      </c>
      <c r="S1866" s="57">
        <v>0</v>
      </c>
    </row>
    <row r="1867" spans="1:19" ht="11.85" customHeight="1" x14ac:dyDescent="0.2">
      <c r="A1867" s="57" t="s">
        <v>718</v>
      </c>
      <c r="B1867" s="424"/>
      <c r="C1867" s="425"/>
      <c r="D1867" s="426"/>
      <c r="E1867" s="419" t="s">
        <v>440</v>
      </c>
      <c r="F1867" s="420"/>
      <c r="G1867" s="64" t="s">
        <v>441</v>
      </c>
      <c r="H1867" s="419" t="s">
        <v>423</v>
      </c>
      <c r="I1867" s="420"/>
      <c r="K1867" s="57" t="s">
        <v>718</v>
      </c>
      <c r="L1867" s="57" t="s">
        <v>186</v>
      </c>
      <c r="S1867" s="65">
        <v>48.16</v>
      </c>
    </row>
    <row r="1868" spans="1:19" ht="11.1" customHeight="1" x14ac:dyDescent="0.2">
      <c r="A1868" s="57" t="s">
        <v>718</v>
      </c>
      <c r="B1868" s="416"/>
      <c r="C1868" s="417"/>
      <c r="D1868" s="418"/>
      <c r="E1868" s="419" t="s">
        <v>442</v>
      </c>
      <c r="F1868" s="420"/>
      <c r="G1868" s="64" t="s">
        <v>443</v>
      </c>
      <c r="H1868" s="419" t="s">
        <v>425</v>
      </c>
      <c r="I1868" s="420"/>
      <c r="K1868" s="57" t="s">
        <v>718</v>
      </c>
      <c r="L1868" s="57" t="s">
        <v>186</v>
      </c>
      <c r="S1868" s="57">
        <v>0</v>
      </c>
    </row>
    <row r="1869" spans="1:19" ht="11.85" customHeight="1" x14ac:dyDescent="0.2">
      <c r="A1869" s="57" t="s">
        <v>718</v>
      </c>
      <c r="B1869" s="62"/>
      <c r="C1869" s="411" t="s">
        <v>719</v>
      </c>
      <c r="D1869" s="412"/>
      <c r="E1869" s="412"/>
      <c r="F1869" s="412"/>
      <c r="G1869" s="412"/>
      <c r="H1869" s="412"/>
      <c r="I1869" s="411"/>
      <c r="K1869" s="57" t="s">
        <v>718</v>
      </c>
      <c r="L1869" s="57" t="s">
        <v>186</v>
      </c>
      <c r="S1869" s="57">
        <v>0</v>
      </c>
    </row>
    <row r="1870" spans="1:19" ht="11.85" customHeight="1" x14ac:dyDescent="0.2">
      <c r="A1870" s="57" t="s">
        <v>719</v>
      </c>
      <c r="B1870" s="413" t="s">
        <v>412</v>
      </c>
      <c r="C1870" s="414"/>
      <c r="D1870" s="415"/>
      <c r="E1870" s="419" t="s">
        <v>400</v>
      </c>
      <c r="F1870" s="420"/>
      <c r="G1870" s="64" t="s">
        <v>413</v>
      </c>
      <c r="H1870" s="419" t="s">
        <v>414</v>
      </c>
      <c r="I1870" s="420"/>
      <c r="K1870" s="57" t="s">
        <v>719</v>
      </c>
      <c r="L1870" s="57" t="s">
        <v>187</v>
      </c>
      <c r="S1870" s="57">
        <v>0</v>
      </c>
    </row>
    <row r="1871" spans="1:19" ht="11.85" customHeight="1" x14ac:dyDescent="0.2">
      <c r="A1871" s="57" t="s">
        <v>719</v>
      </c>
      <c r="B1871" s="416"/>
      <c r="C1871" s="417"/>
      <c r="D1871" s="418"/>
      <c r="E1871" s="419" t="s">
        <v>401</v>
      </c>
      <c r="F1871" s="420"/>
      <c r="G1871" s="64" t="s">
        <v>413</v>
      </c>
      <c r="H1871" s="419" t="s">
        <v>415</v>
      </c>
      <c r="I1871" s="420"/>
      <c r="K1871" s="57" t="s">
        <v>719</v>
      </c>
      <c r="L1871" s="57" t="s">
        <v>187</v>
      </c>
      <c r="S1871" s="57">
        <v>0</v>
      </c>
    </row>
    <row r="1872" spans="1:19" ht="11.1" customHeight="1" x14ac:dyDescent="0.2">
      <c r="A1872" s="57" t="s">
        <v>719</v>
      </c>
      <c r="B1872" s="413" t="s">
        <v>416</v>
      </c>
      <c r="C1872" s="414"/>
      <c r="D1872" s="415"/>
      <c r="E1872" s="419" t="s">
        <v>402</v>
      </c>
      <c r="F1872" s="420"/>
      <c r="G1872" s="64" t="s">
        <v>417</v>
      </c>
      <c r="H1872" s="419" t="s">
        <v>437</v>
      </c>
      <c r="I1872" s="420"/>
      <c r="K1872" s="57" t="s">
        <v>719</v>
      </c>
      <c r="L1872" s="57" t="s">
        <v>187</v>
      </c>
      <c r="S1872" s="57">
        <v>0</v>
      </c>
    </row>
    <row r="1873" spans="1:19" ht="11.85" customHeight="1" x14ac:dyDescent="0.2">
      <c r="A1873" s="57" t="s">
        <v>719</v>
      </c>
      <c r="B1873" s="424"/>
      <c r="C1873" s="425"/>
      <c r="D1873" s="426"/>
      <c r="E1873" s="419" t="s">
        <v>403</v>
      </c>
      <c r="F1873" s="420"/>
      <c r="G1873" s="64" t="s">
        <v>417</v>
      </c>
      <c r="H1873" s="419" t="s">
        <v>437</v>
      </c>
      <c r="I1873" s="420"/>
      <c r="K1873" s="57" t="s">
        <v>719</v>
      </c>
      <c r="L1873" s="57" t="s">
        <v>187</v>
      </c>
      <c r="S1873" s="57">
        <v>0</v>
      </c>
    </row>
    <row r="1874" spans="1:19" ht="11.85" customHeight="1" x14ac:dyDescent="0.2">
      <c r="A1874" s="57" t="s">
        <v>719</v>
      </c>
      <c r="B1874" s="424"/>
      <c r="C1874" s="425"/>
      <c r="D1874" s="426"/>
      <c r="E1874" s="419" t="s">
        <v>404</v>
      </c>
      <c r="F1874" s="420"/>
      <c r="G1874" s="64" t="s">
        <v>413</v>
      </c>
      <c r="H1874" s="419" t="s">
        <v>478</v>
      </c>
      <c r="I1874" s="420"/>
      <c r="K1874" s="57" t="s">
        <v>719</v>
      </c>
      <c r="L1874" s="57" t="s">
        <v>187</v>
      </c>
      <c r="S1874" s="57">
        <v>0</v>
      </c>
    </row>
    <row r="1875" spans="1:19" ht="11.85" customHeight="1" x14ac:dyDescent="0.2">
      <c r="A1875" s="57" t="s">
        <v>719</v>
      </c>
      <c r="B1875" s="416"/>
      <c r="C1875" s="417"/>
      <c r="D1875" s="418"/>
      <c r="E1875" s="419" t="s">
        <v>405</v>
      </c>
      <c r="F1875" s="420"/>
      <c r="G1875" s="64" t="s">
        <v>420</v>
      </c>
      <c r="H1875" s="419" t="s">
        <v>439</v>
      </c>
      <c r="I1875" s="420"/>
      <c r="K1875" s="57" t="s">
        <v>719</v>
      </c>
      <c r="L1875" s="57" t="s">
        <v>187</v>
      </c>
      <c r="S1875" s="57">
        <v>0</v>
      </c>
    </row>
    <row r="1876" spans="1:19" ht="11.85" customHeight="1" x14ac:dyDescent="0.2">
      <c r="A1876" s="57" t="s">
        <v>719</v>
      </c>
      <c r="B1876" s="413" t="s">
        <v>416</v>
      </c>
      <c r="C1876" s="414"/>
      <c r="D1876" s="415"/>
      <c r="E1876" s="419" t="s">
        <v>406</v>
      </c>
      <c r="F1876" s="420"/>
      <c r="G1876" s="64" t="s">
        <v>422</v>
      </c>
      <c r="H1876" s="419" t="s">
        <v>423</v>
      </c>
      <c r="I1876" s="420"/>
      <c r="K1876" s="57" t="s">
        <v>719</v>
      </c>
      <c r="L1876" s="57" t="s">
        <v>187</v>
      </c>
      <c r="S1876" s="65">
        <v>48.44</v>
      </c>
    </row>
    <row r="1877" spans="1:19" ht="11.85" customHeight="1" x14ac:dyDescent="0.2">
      <c r="A1877" s="57" t="s">
        <v>719</v>
      </c>
      <c r="B1877" s="416"/>
      <c r="C1877" s="417"/>
      <c r="D1877" s="418"/>
      <c r="E1877" s="419" t="s">
        <v>407</v>
      </c>
      <c r="F1877" s="420"/>
      <c r="G1877" s="64" t="s">
        <v>424</v>
      </c>
      <c r="H1877" s="419" t="s">
        <v>425</v>
      </c>
      <c r="I1877" s="420"/>
      <c r="K1877" s="57" t="s">
        <v>719</v>
      </c>
      <c r="L1877" s="57" t="s">
        <v>187</v>
      </c>
      <c r="S1877" s="57">
        <v>0</v>
      </c>
    </row>
    <row r="1878" spans="1:19" ht="11.85" customHeight="1" x14ac:dyDescent="0.2">
      <c r="A1878" s="57" t="s">
        <v>719</v>
      </c>
      <c r="B1878" s="413" t="s">
        <v>426</v>
      </c>
      <c r="C1878" s="414"/>
      <c r="D1878" s="415"/>
      <c r="E1878" s="419" t="s">
        <v>408</v>
      </c>
      <c r="F1878" s="420"/>
      <c r="G1878" s="64" t="s">
        <v>420</v>
      </c>
      <c r="H1878" s="419" t="s">
        <v>427</v>
      </c>
      <c r="I1878" s="420"/>
      <c r="K1878" s="57" t="s">
        <v>719</v>
      </c>
      <c r="L1878" s="57" t="s">
        <v>187</v>
      </c>
      <c r="S1878" s="57">
        <v>0</v>
      </c>
    </row>
    <row r="1879" spans="1:19" ht="11.1" customHeight="1" x14ac:dyDescent="0.2">
      <c r="A1879" s="57" t="s">
        <v>719</v>
      </c>
      <c r="B1879" s="424"/>
      <c r="C1879" s="425"/>
      <c r="D1879" s="426"/>
      <c r="E1879" s="419" t="s">
        <v>409</v>
      </c>
      <c r="F1879" s="420"/>
      <c r="G1879" s="64" t="s">
        <v>417</v>
      </c>
      <c r="H1879" s="419" t="s">
        <v>428</v>
      </c>
      <c r="I1879" s="420"/>
      <c r="K1879" s="57" t="s">
        <v>719</v>
      </c>
      <c r="L1879" s="57" t="s">
        <v>187</v>
      </c>
      <c r="S1879" s="57">
        <v>0</v>
      </c>
    </row>
    <row r="1880" spans="1:19" ht="11.85" customHeight="1" x14ac:dyDescent="0.2">
      <c r="A1880" s="57" t="s">
        <v>719</v>
      </c>
      <c r="B1880" s="416"/>
      <c r="C1880" s="417"/>
      <c r="D1880" s="418"/>
      <c r="E1880" s="419" t="s">
        <v>410</v>
      </c>
      <c r="F1880" s="420"/>
      <c r="G1880" s="64" t="s">
        <v>417</v>
      </c>
      <c r="H1880" s="419" t="s">
        <v>415</v>
      </c>
      <c r="I1880" s="420"/>
      <c r="K1880" s="57" t="s">
        <v>719</v>
      </c>
      <c r="L1880" s="57" t="s">
        <v>187</v>
      </c>
      <c r="S1880" s="57">
        <v>0</v>
      </c>
    </row>
    <row r="1881" spans="1:19" ht="11.85" customHeight="1" x14ac:dyDescent="0.2">
      <c r="A1881" s="57" t="s">
        <v>719</v>
      </c>
      <c r="B1881" s="62"/>
      <c r="C1881" s="411" t="s">
        <v>720</v>
      </c>
      <c r="D1881" s="412"/>
      <c r="E1881" s="412"/>
      <c r="F1881" s="412"/>
      <c r="G1881" s="412"/>
      <c r="H1881" s="412"/>
      <c r="I1881" s="411"/>
      <c r="K1881" s="57" t="s">
        <v>719</v>
      </c>
      <c r="L1881" s="57" t="s">
        <v>187</v>
      </c>
      <c r="S1881" s="57">
        <v>0</v>
      </c>
    </row>
    <row r="1882" spans="1:19" ht="11.85" customHeight="1" x14ac:dyDescent="0.2">
      <c r="A1882" s="57" t="s">
        <v>720</v>
      </c>
      <c r="B1882" s="413" t="s">
        <v>412</v>
      </c>
      <c r="C1882" s="414"/>
      <c r="D1882" s="415"/>
      <c r="E1882" s="419" t="s">
        <v>400</v>
      </c>
      <c r="F1882" s="420"/>
      <c r="G1882" s="64" t="s">
        <v>413</v>
      </c>
      <c r="H1882" s="419" t="s">
        <v>414</v>
      </c>
      <c r="I1882" s="420"/>
      <c r="K1882" s="57" t="s">
        <v>720</v>
      </c>
      <c r="L1882" s="57" t="s">
        <v>188</v>
      </c>
      <c r="S1882" s="57">
        <v>0</v>
      </c>
    </row>
    <row r="1883" spans="1:19" ht="11.1" customHeight="1" x14ac:dyDescent="0.2">
      <c r="A1883" s="57" t="s">
        <v>720</v>
      </c>
      <c r="B1883" s="416"/>
      <c r="C1883" s="417"/>
      <c r="D1883" s="418"/>
      <c r="E1883" s="419" t="s">
        <v>401</v>
      </c>
      <c r="F1883" s="420"/>
      <c r="G1883" s="64" t="s">
        <v>413</v>
      </c>
      <c r="H1883" s="419" t="s">
        <v>415</v>
      </c>
      <c r="I1883" s="420"/>
      <c r="K1883" s="57" t="s">
        <v>720</v>
      </c>
      <c r="L1883" s="57" t="s">
        <v>188</v>
      </c>
      <c r="S1883" s="57">
        <v>0</v>
      </c>
    </row>
    <row r="1884" spans="1:19" ht="11.85" customHeight="1" x14ac:dyDescent="0.2">
      <c r="A1884" s="57" t="s">
        <v>720</v>
      </c>
      <c r="B1884" s="413" t="s">
        <v>416</v>
      </c>
      <c r="C1884" s="414"/>
      <c r="D1884" s="415"/>
      <c r="E1884" s="419" t="s">
        <v>402</v>
      </c>
      <c r="F1884" s="420"/>
      <c r="G1884" s="64" t="s">
        <v>417</v>
      </c>
      <c r="H1884" s="419" t="s">
        <v>418</v>
      </c>
      <c r="I1884" s="420"/>
      <c r="K1884" s="57" t="s">
        <v>720</v>
      </c>
      <c r="L1884" s="57" t="s">
        <v>188</v>
      </c>
      <c r="S1884" s="57">
        <v>0</v>
      </c>
    </row>
    <row r="1885" spans="1:19" ht="11.85" customHeight="1" x14ac:dyDescent="0.2">
      <c r="A1885" s="57" t="s">
        <v>720</v>
      </c>
      <c r="B1885" s="424"/>
      <c r="C1885" s="425"/>
      <c r="D1885" s="426"/>
      <c r="E1885" s="419" t="s">
        <v>403</v>
      </c>
      <c r="F1885" s="420"/>
      <c r="G1885" s="64" t="s">
        <v>417</v>
      </c>
      <c r="H1885" s="419" t="s">
        <v>418</v>
      </c>
      <c r="I1885" s="420"/>
      <c r="K1885" s="57" t="s">
        <v>720</v>
      </c>
      <c r="L1885" s="57" t="s">
        <v>188</v>
      </c>
      <c r="S1885" s="57">
        <v>0</v>
      </c>
    </row>
    <row r="1886" spans="1:19" ht="11.85" customHeight="1" x14ac:dyDescent="0.2">
      <c r="A1886" s="57" t="s">
        <v>720</v>
      </c>
      <c r="B1886" s="424"/>
      <c r="C1886" s="425"/>
      <c r="D1886" s="426"/>
      <c r="E1886" s="419" t="s">
        <v>404</v>
      </c>
      <c r="F1886" s="420"/>
      <c r="G1886" s="64" t="s">
        <v>413</v>
      </c>
      <c r="H1886" s="419" t="s">
        <v>419</v>
      </c>
      <c r="I1886" s="420"/>
      <c r="K1886" s="57" t="s">
        <v>720</v>
      </c>
      <c r="L1886" s="57" t="s">
        <v>188</v>
      </c>
      <c r="S1886" s="57">
        <v>0</v>
      </c>
    </row>
    <row r="1887" spans="1:19" ht="11.1" customHeight="1" x14ac:dyDescent="0.2">
      <c r="A1887" s="57" t="s">
        <v>720</v>
      </c>
      <c r="B1887" s="424"/>
      <c r="C1887" s="425"/>
      <c r="D1887" s="426"/>
      <c r="E1887" s="419" t="s">
        <v>405</v>
      </c>
      <c r="F1887" s="420"/>
      <c r="G1887" s="64" t="s">
        <v>420</v>
      </c>
      <c r="H1887" s="419" t="s">
        <v>421</v>
      </c>
      <c r="I1887" s="420"/>
      <c r="K1887" s="57" t="s">
        <v>720</v>
      </c>
      <c r="L1887" s="57" t="s">
        <v>188</v>
      </c>
      <c r="S1887" s="57">
        <v>0</v>
      </c>
    </row>
    <row r="1888" spans="1:19" ht="11.85" customHeight="1" x14ac:dyDescent="0.2">
      <c r="A1888" s="57" t="s">
        <v>720</v>
      </c>
      <c r="B1888" s="424"/>
      <c r="C1888" s="425"/>
      <c r="D1888" s="426"/>
      <c r="E1888" s="419" t="s">
        <v>406</v>
      </c>
      <c r="F1888" s="420"/>
      <c r="G1888" s="64" t="s">
        <v>422</v>
      </c>
      <c r="H1888" s="419" t="s">
        <v>423</v>
      </c>
      <c r="I1888" s="420"/>
      <c r="K1888" s="57" t="s">
        <v>720</v>
      </c>
      <c r="L1888" s="57" t="s">
        <v>188</v>
      </c>
      <c r="S1888" s="65">
        <v>48.44</v>
      </c>
    </row>
    <row r="1889" spans="1:19" ht="11.85" customHeight="1" x14ac:dyDescent="0.2">
      <c r="A1889" s="57" t="s">
        <v>720</v>
      </c>
      <c r="B1889" s="416"/>
      <c r="C1889" s="417"/>
      <c r="D1889" s="418"/>
      <c r="E1889" s="419" t="s">
        <v>407</v>
      </c>
      <c r="F1889" s="420"/>
      <c r="G1889" s="64" t="s">
        <v>424</v>
      </c>
      <c r="H1889" s="419" t="s">
        <v>425</v>
      </c>
      <c r="I1889" s="420"/>
      <c r="K1889" s="57" t="s">
        <v>720</v>
      </c>
      <c r="L1889" s="57" t="s">
        <v>188</v>
      </c>
      <c r="S1889" s="57">
        <v>0</v>
      </c>
    </row>
    <row r="1890" spans="1:19" ht="11.85" customHeight="1" x14ac:dyDescent="0.2">
      <c r="A1890" s="57" t="s">
        <v>720</v>
      </c>
      <c r="B1890" s="413" t="s">
        <v>426</v>
      </c>
      <c r="C1890" s="414"/>
      <c r="D1890" s="415"/>
      <c r="E1890" s="419" t="s">
        <v>408</v>
      </c>
      <c r="F1890" s="420"/>
      <c r="G1890" s="64" t="s">
        <v>420</v>
      </c>
      <c r="H1890" s="419" t="s">
        <v>427</v>
      </c>
      <c r="I1890" s="420"/>
      <c r="K1890" s="57" t="s">
        <v>720</v>
      </c>
      <c r="L1890" s="57" t="s">
        <v>188</v>
      </c>
      <c r="S1890" s="57">
        <v>0</v>
      </c>
    </row>
    <row r="1891" spans="1:19" ht="11.1" customHeight="1" x14ac:dyDescent="0.2">
      <c r="A1891" s="57" t="s">
        <v>720</v>
      </c>
      <c r="B1891" s="424"/>
      <c r="C1891" s="425"/>
      <c r="D1891" s="426"/>
      <c r="E1891" s="419" t="s">
        <v>409</v>
      </c>
      <c r="F1891" s="420"/>
      <c r="G1891" s="64" t="s">
        <v>417</v>
      </c>
      <c r="H1891" s="419" t="s">
        <v>428</v>
      </c>
      <c r="I1891" s="420"/>
      <c r="K1891" s="57" t="s">
        <v>720</v>
      </c>
      <c r="L1891" s="57" t="s">
        <v>188</v>
      </c>
      <c r="S1891" s="57">
        <v>0</v>
      </c>
    </row>
    <row r="1892" spans="1:19" ht="11.85" customHeight="1" x14ac:dyDescent="0.2">
      <c r="A1892" s="57" t="s">
        <v>720</v>
      </c>
      <c r="B1892" s="416"/>
      <c r="C1892" s="417"/>
      <c r="D1892" s="418"/>
      <c r="E1892" s="419" t="s">
        <v>410</v>
      </c>
      <c r="F1892" s="420"/>
      <c r="G1892" s="64" t="s">
        <v>417</v>
      </c>
      <c r="H1892" s="419" t="s">
        <v>415</v>
      </c>
      <c r="I1892" s="420"/>
      <c r="K1892" s="57" t="s">
        <v>720</v>
      </c>
      <c r="L1892" s="57" t="s">
        <v>188</v>
      </c>
      <c r="S1892" s="57">
        <v>0</v>
      </c>
    </row>
    <row r="1893" spans="1:19" ht="11.85" customHeight="1" x14ac:dyDescent="0.2">
      <c r="A1893" s="57" t="s">
        <v>720</v>
      </c>
      <c r="B1893" s="62"/>
      <c r="C1893" s="411" t="s">
        <v>721</v>
      </c>
      <c r="D1893" s="412"/>
      <c r="E1893" s="412"/>
      <c r="F1893" s="412"/>
      <c r="G1893" s="412"/>
      <c r="H1893" s="412"/>
      <c r="I1893" s="411"/>
      <c r="K1893" s="57" t="s">
        <v>720</v>
      </c>
      <c r="L1893" s="57" t="s">
        <v>188</v>
      </c>
      <c r="S1893" s="57">
        <v>0</v>
      </c>
    </row>
    <row r="1894" spans="1:19" ht="11.85" customHeight="1" x14ac:dyDescent="0.2">
      <c r="A1894" s="57" t="s">
        <v>721</v>
      </c>
      <c r="B1894" s="413" t="s">
        <v>412</v>
      </c>
      <c r="C1894" s="414"/>
      <c r="D1894" s="415"/>
      <c r="E1894" s="419" t="s">
        <v>400</v>
      </c>
      <c r="F1894" s="420"/>
      <c r="G1894" s="64" t="s">
        <v>413</v>
      </c>
      <c r="H1894" s="419" t="s">
        <v>414</v>
      </c>
      <c r="I1894" s="420"/>
      <c r="K1894" s="57" t="s">
        <v>721</v>
      </c>
      <c r="L1894" s="57" t="s">
        <v>189</v>
      </c>
      <c r="S1894" s="57">
        <v>0</v>
      </c>
    </row>
    <row r="1895" spans="1:19" ht="11.1" customHeight="1" x14ac:dyDescent="0.2">
      <c r="A1895" s="57" t="s">
        <v>721</v>
      </c>
      <c r="B1895" s="416"/>
      <c r="C1895" s="417"/>
      <c r="D1895" s="418"/>
      <c r="E1895" s="419" t="s">
        <v>401</v>
      </c>
      <c r="F1895" s="420"/>
      <c r="G1895" s="64" t="s">
        <v>413</v>
      </c>
      <c r="H1895" s="419" t="s">
        <v>415</v>
      </c>
      <c r="I1895" s="420"/>
      <c r="K1895" s="57" t="s">
        <v>721</v>
      </c>
      <c r="L1895" s="57" t="s">
        <v>189</v>
      </c>
      <c r="S1895" s="57">
        <v>0</v>
      </c>
    </row>
    <row r="1896" spans="1:19" ht="11.85" customHeight="1" x14ac:dyDescent="0.2">
      <c r="A1896" s="57" t="s">
        <v>721</v>
      </c>
      <c r="B1896" s="413" t="s">
        <v>416</v>
      </c>
      <c r="C1896" s="414"/>
      <c r="D1896" s="415"/>
      <c r="E1896" s="419" t="s">
        <v>402</v>
      </c>
      <c r="F1896" s="420"/>
      <c r="G1896" s="64" t="s">
        <v>417</v>
      </c>
      <c r="H1896" s="419" t="s">
        <v>418</v>
      </c>
      <c r="I1896" s="420"/>
      <c r="K1896" s="57" t="s">
        <v>721</v>
      </c>
      <c r="L1896" s="57" t="s">
        <v>189</v>
      </c>
      <c r="S1896" s="57">
        <v>0</v>
      </c>
    </row>
    <row r="1897" spans="1:19" ht="11.85" customHeight="1" x14ac:dyDescent="0.2">
      <c r="A1897" s="57" t="s">
        <v>721</v>
      </c>
      <c r="B1897" s="424"/>
      <c r="C1897" s="425"/>
      <c r="D1897" s="426"/>
      <c r="E1897" s="419" t="s">
        <v>403</v>
      </c>
      <c r="F1897" s="420"/>
      <c r="G1897" s="64" t="s">
        <v>417</v>
      </c>
      <c r="H1897" s="419" t="s">
        <v>418</v>
      </c>
      <c r="I1897" s="420"/>
      <c r="K1897" s="57" t="s">
        <v>721</v>
      </c>
      <c r="L1897" s="57" t="s">
        <v>189</v>
      </c>
      <c r="S1897" s="57">
        <v>0</v>
      </c>
    </row>
    <row r="1898" spans="1:19" ht="11.85" customHeight="1" x14ac:dyDescent="0.2">
      <c r="A1898" s="57" t="s">
        <v>721</v>
      </c>
      <c r="B1898" s="424"/>
      <c r="C1898" s="425"/>
      <c r="D1898" s="426"/>
      <c r="E1898" s="419" t="s">
        <v>404</v>
      </c>
      <c r="F1898" s="420"/>
      <c r="G1898" s="64" t="s">
        <v>413</v>
      </c>
      <c r="H1898" s="419" t="s">
        <v>419</v>
      </c>
      <c r="I1898" s="420"/>
      <c r="K1898" s="57" t="s">
        <v>721</v>
      </c>
      <c r="L1898" s="57" t="s">
        <v>189</v>
      </c>
      <c r="S1898" s="57">
        <v>0</v>
      </c>
    </row>
    <row r="1899" spans="1:19" ht="11.1" customHeight="1" x14ac:dyDescent="0.2">
      <c r="A1899" s="57" t="s">
        <v>721</v>
      </c>
      <c r="B1899" s="424"/>
      <c r="C1899" s="425"/>
      <c r="D1899" s="426"/>
      <c r="E1899" s="419" t="s">
        <v>405</v>
      </c>
      <c r="F1899" s="420"/>
      <c r="G1899" s="64" t="s">
        <v>420</v>
      </c>
      <c r="H1899" s="419" t="s">
        <v>421</v>
      </c>
      <c r="I1899" s="420"/>
      <c r="K1899" s="57" t="s">
        <v>721</v>
      </c>
      <c r="L1899" s="57" t="s">
        <v>189</v>
      </c>
      <c r="S1899" s="57">
        <v>0</v>
      </c>
    </row>
    <row r="1900" spans="1:19" ht="11.85" customHeight="1" x14ac:dyDescent="0.2">
      <c r="A1900" s="57" t="s">
        <v>721</v>
      </c>
      <c r="B1900" s="424"/>
      <c r="C1900" s="425"/>
      <c r="D1900" s="426"/>
      <c r="E1900" s="419" t="s">
        <v>406</v>
      </c>
      <c r="F1900" s="420"/>
      <c r="G1900" s="64" t="s">
        <v>422</v>
      </c>
      <c r="H1900" s="419" t="s">
        <v>423</v>
      </c>
      <c r="I1900" s="420"/>
      <c r="K1900" s="57" t="s">
        <v>721</v>
      </c>
      <c r="L1900" s="57" t="s">
        <v>189</v>
      </c>
      <c r="S1900" s="65">
        <v>48.44</v>
      </c>
    </row>
    <row r="1901" spans="1:19" ht="11.85" customHeight="1" x14ac:dyDescent="0.2">
      <c r="A1901" s="57" t="s">
        <v>721</v>
      </c>
      <c r="B1901" s="416"/>
      <c r="C1901" s="417"/>
      <c r="D1901" s="418"/>
      <c r="E1901" s="419" t="s">
        <v>407</v>
      </c>
      <c r="F1901" s="420"/>
      <c r="G1901" s="64" t="s">
        <v>424</v>
      </c>
      <c r="H1901" s="419" t="s">
        <v>425</v>
      </c>
      <c r="I1901" s="420"/>
      <c r="K1901" s="57" t="s">
        <v>721</v>
      </c>
      <c r="L1901" s="57" t="s">
        <v>189</v>
      </c>
      <c r="S1901" s="57">
        <v>0</v>
      </c>
    </row>
    <row r="1902" spans="1:19" ht="11.85" customHeight="1" x14ac:dyDescent="0.2">
      <c r="A1902" s="57" t="s">
        <v>721</v>
      </c>
      <c r="B1902" s="413" t="s">
        <v>426</v>
      </c>
      <c r="C1902" s="414"/>
      <c r="D1902" s="415"/>
      <c r="E1902" s="419" t="s">
        <v>408</v>
      </c>
      <c r="F1902" s="420"/>
      <c r="G1902" s="64" t="s">
        <v>420</v>
      </c>
      <c r="H1902" s="419" t="s">
        <v>427</v>
      </c>
      <c r="I1902" s="420"/>
      <c r="K1902" s="57" t="s">
        <v>721</v>
      </c>
      <c r="L1902" s="57" t="s">
        <v>189</v>
      </c>
      <c r="S1902" s="57">
        <v>0</v>
      </c>
    </row>
    <row r="1903" spans="1:19" ht="11.1" customHeight="1" x14ac:dyDescent="0.2">
      <c r="A1903" s="57" t="s">
        <v>721</v>
      </c>
      <c r="B1903" s="424"/>
      <c r="C1903" s="425"/>
      <c r="D1903" s="426"/>
      <c r="E1903" s="419" t="s">
        <v>409</v>
      </c>
      <c r="F1903" s="420"/>
      <c r="G1903" s="64" t="s">
        <v>417</v>
      </c>
      <c r="H1903" s="419" t="s">
        <v>428</v>
      </c>
      <c r="I1903" s="420"/>
      <c r="K1903" s="57" t="s">
        <v>721</v>
      </c>
      <c r="L1903" s="57" t="s">
        <v>189</v>
      </c>
      <c r="S1903" s="57">
        <v>0</v>
      </c>
    </row>
    <row r="1904" spans="1:19" ht="11.85" customHeight="1" x14ac:dyDescent="0.2">
      <c r="A1904" s="57" t="s">
        <v>721</v>
      </c>
      <c r="B1904" s="416"/>
      <c r="C1904" s="417"/>
      <c r="D1904" s="418"/>
      <c r="E1904" s="419" t="s">
        <v>410</v>
      </c>
      <c r="F1904" s="420"/>
      <c r="G1904" s="64" t="s">
        <v>417</v>
      </c>
      <c r="H1904" s="419" t="s">
        <v>415</v>
      </c>
      <c r="I1904" s="420"/>
      <c r="K1904" s="57" t="s">
        <v>721</v>
      </c>
      <c r="L1904" s="57" t="s">
        <v>189</v>
      </c>
      <c r="S1904" s="57">
        <v>0</v>
      </c>
    </row>
    <row r="1905" spans="1:19" ht="11.85" customHeight="1" x14ac:dyDescent="0.2">
      <c r="A1905" s="57" t="s">
        <v>721</v>
      </c>
      <c r="B1905" s="62"/>
      <c r="C1905" s="411" t="s">
        <v>722</v>
      </c>
      <c r="D1905" s="412"/>
      <c r="E1905" s="412"/>
      <c r="F1905" s="412"/>
      <c r="G1905" s="412"/>
      <c r="H1905" s="412"/>
      <c r="I1905" s="411"/>
      <c r="K1905" s="57" t="s">
        <v>721</v>
      </c>
      <c r="L1905" s="57" t="s">
        <v>189</v>
      </c>
      <c r="S1905" s="57">
        <v>0</v>
      </c>
    </row>
    <row r="1906" spans="1:19" ht="11.85" customHeight="1" x14ac:dyDescent="0.2">
      <c r="A1906" s="57" t="s">
        <v>722</v>
      </c>
      <c r="B1906" s="413" t="s">
        <v>412</v>
      </c>
      <c r="C1906" s="414"/>
      <c r="D1906" s="415"/>
      <c r="E1906" s="419" t="s">
        <v>400</v>
      </c>
      <c r="F1906" s="420"/>
      <c r="G1906" s="64" t="s">
        <v>413</v>
      </c>
      <c r="H1906" s="419" t="s">
        <v>414</v>
      </c>
      <c r="I1906" s="420"/>
      <c r="K1906" s="57" t="s">
        <v>722</v>
      </c>
      <c r="L1906" s="57" t="s">
        <v>190</v>
      </c>
      <c r="S1906" s="57">
        <v>0</v>
      </c>
    </row>
    <row r="1907" spans="1:19" ht="11.1" customHeight="1" x14ac:dyDescent="0.2">
      <c r="A1907" s="57" t="s">
        <v>722</v>
      </c>
      <c r="B1907" s="416"/>
      <c r="C1907" s="417"/>
      <c r="D1907" s="418"/>
      <c r="E1907" s="419" t="s">
        <v>401</v>
      </c>
      <c r="F1907" s="420"/>
      <c r="G1907" s="64" t="s">
        <v>413</v>
      </c>
      <c r="H1907" s="419" t="s">
        <v>415</v>
      </c>
      <c r="I1907" s="420"/>
      <c r="K1907" s="57" t="s">
        <v>722</v>
      </c>
      <c r="L1907" s="57" t="s">
        <v>190</v>
      </c>
      <c r="S1907" s="57">
        <v>0</v>
      </c>
    </row>
    <row r="1908" spans="1:19" ht="11.85" customHeight="1" x14ac:dyDescent="0.2">
      <c r="A1908" s="57" t="s">
        <v>722</v>
      </c>
      <c r="B1908" s="413" t="s">
        <v>416</v>
      </c>
      <c r="C1908" s="414"/>
      <c r="D1908" s="415"/>
      <c r="E1908" s="419" t="s">
        <v>402</v>
      </c>
      <c r="F1908" s="420"/>
      <c r="G1908" s="64" t="s">
        <v>417</v>
      </c>
      <c r="H1908" s="419" t="s">
        <v>457</v>
      </c>
      <c r="I1908" s="420"/>
      <c r="K1908" s="57" t="s">
        <v>722</v>
      </c>
      <c r="L1908" s="57" t="s">
        <v>190</v>
      </c>
      <c r="S1908" s="57">
        <v>0</v>
      </c>
    </row>
    <row r="1909" spans="1:19" ht="11.85" customHeight="1" x14ac:dyDescent="0.2">
      <c r="A1909" s="57" t="s">
        <v>722</v>
      </c>
      <c r="B1909" s="424"/>
      <c r="C1909" s="425"/>
      <c r="D1909" s="426"/>
      <c r="E1909" s="419" t="s">
        <v>403</v>
      </c>
      <c r="F1909" s="420"/>
      <c r="G1909" s="64" t="s">
        <v>417</v>
      </c>
      <c r="H1909" s="419" t="s">
        <v>457</v>
      </c>
      <c r="I1909" s="420"/>
      <c r="K1909" s="57" t="s">
        <v>722</v>
      </c>
      <c r="L1909" s="57" t="s">
        <v>190</v>
      </c>
      <c r="S1909" s="57">
        <v>0</v>
      </c>
    </row>
    <row r="1910" spans="1:19" ht="11.85" customHeight="1" x14ac:dyDescent="0.2">
      <c r="A1910" s="57" t="s">
        <v>722</v>
      </c>
      <c r="B1910" s="424"/>
      <c r="C1910" s="425"/>
      <c r="D1910" s="426"/>
      <c r="E1910" s="419" t="s">
        <v>404</v>
      </c>
      <c r="F1910" s="420"/>
      <c r="G1910" s="64" t="s">
        <v>413</v>
      </c>
      <c r="H1910" s="419" t="s">
        <v>458</v>
      </c>
      <c r="I1910" s="420"/>
      <c r="K1910" s="57" t="s">
        <v>722</v>
      </c>
      <c r="L1910" s="57" t="s">
        <v>190</v>
      </c>
      <c r="S1910" s="57">
        <v>0</v>
      </c>
    </row>
    <row r="1911" spans="1:19" ht="11.1" customHeight="1" x14ac:dyDescent="0.2">
      <c r="A1911" s="57" t="s">
        <v>722</v>
      </c>
      <c r="B1911" s="424"/>
      <c r="C1911" s="425"/>
      <c r="D1911" s="426"/>
      <c r="E1911" s="419" t="s">
        <v>405</v>
      </c>
      <c r="F1911" s="420"/>
      <c r="G1911" s="64" t="s">
        <v>420</v>
      </c>
      <c r="H1911" s="419" t="s">
        <v>459</v>
      </c>
      <c r="I1911" s="420"/>
      <c r="K1911" s="57" t="s">
        <v>722</v>
      </c>
      <c r="L1911" s="57" t="s">
        <v>190</v>
      </c>
      <c r="S1911" s="57">
        <v>0</v>
      </c>
    </row>
    <row r="1912" spans="1:19" ht="11.85" customHeight="1" x14ac:dyDescent="0.2">
      <c r="A1912" s="57" t="s">
        <v>722</v>
      </c>
      <c r="B1912" s="424"/>
      <c r="C1912" s="425"/>
      <c r="D1912" s="426"/>
      <c r="E1912" s="419" t="s">
        <v>460</v>
      </c>
      <c r="F1912" s="420"/>
      <c r="G1912" s="64" t="s">
        <v>461</v>
      </c>
      <c r="H1912" s="419" t="s">
        <v>423</v>
      </c>
      <c r="I1912" s="420"/>
      <c r="K1912" s="57" t="s">
        <v>722</v>
      </c>
      <c r="L1912" s="57" t="s">
        <v>190</v>
      </c>
      <c r="S1912" s="65">
        <v>33.17</v>
      </c>
    </row>
    <row r="1913" spans="1:19" ht="11.85" customHeight="1" x14ac:dyDescent="0.2">
      <c r="A1913" s="57" t="s">
        <v>722</v>
      </c>
      <c r="B1913" s="416"/>
      <c r="C1913" s="417"/>
      <c r="D1913" s="418"/>
      <c r="E1913" s="419" t="s">
        <v>462</v>
      </c>
      <c r="F1913" s="420"/>
      <c r="G1913" s="64" t="s">
        <v>424</v>
      </c>
      <c r="H1913" s="419" t="s">
        <v>463</v>
      </c>
      <c r="I1913" s="420"/>
      <c r="K1913" s="57" t="s">
        <v>722</v>
      </c>
      <c r="L1913" s="57" t="s">
        <v>190</v>
      </c>
      <c r="S1913" s="57">
        <v>0</v>
      </c>
    </row>
    <row r="1914" spans="1:19" ht="11.85" customHeight="1" x14ac:dyDescent="0.2">
      <c r="A1914" s="57" t="s">
        <v>722</v>
      </c>
      <c r="B1914" s="413" t="s">
        <v>426</v>
      </c>
      <c r="C1914" s="414"/>
      <c r="D1914" s="415"/>
      <c r="E1914" s="419" t="s">
        <v>408</v>
      </c>
      <c r="F1914" s="420"/>
      <c r="G1914" s="64" t="s">
        <v>420</v>
      </c>
      <c r="H1914" s="419" t="s">
        <v>427</v>
      </c>
      <c r="I1914" s="420"/>
      <c r="K1914" s="57" t="s">
        <v>722</v>
      </c>
      <c r="L1914" s="57" t="s">
        <v>190</v>
      </c>
      <c r="S1914" s="57">
        <v>0</v>
      </c>
    </row>
    <row r="1915" spans="1:19" ht="11.1" customHeight="1" x14ac:dyDescent="0.2">
      <c r="A1915" s="57" t="s">
        <v>722</v>
      </c>
      <c r="B1915" s="424"/>
      <c r="C1915" s="425"/>
      <c r="D1915" s="426"/>
      <c r="E1915" s="419" t="s">
        <v>409</v>
      </c>
      <c r="F1915" s="420"/>
      <c r="G1915" s="64" t="s">
        <v>417</v>
      </c>
      <c r="H1915" s="419" t="s">
        <v>428</v>
      </c>
      <c r="I1915" s="420"/>
      <c r="K1915" s="57" t="s">
        <v>722</v>
      </c>
      <c r="L1915" s="57" t="s">
        <v>190</v>
      </c>
      <c r="S1915" s="57">
        <v>0</v>
      </c>
    </row>
    <row r="1916" spans="1:19" ht="11.85" customHeight="1" x14ac:dyDescent="0.2">
      <c r="A1916" s="57" t="s">
        <v>722</v>
      </c>
      <c r="B1916" s="416"/>
      <c r="C1916" s="417"/>
      <c r="D1916" s="418"/>
      <c r="E1916" s="419" t="s">
        <v>410</v>
      </c>
      <c r="F1916" s="420"/>
      <c r="G1916" s="64" t="s">
        <v>417</v>
      </c>
      <c r="H1916" s="419" t="s">
        <v>415</v>
      </c>
      <c r="I1916" s="420"/>
      <c r="K1916" s="57" t="s">
        <v>722</v>
      </c>
      <c r="L1916" s="57" t="s">
        <v>190</v>
      </c>
      <c r="S1916" s="57">
        <v>0</v>
      </c>
    </row>
    <row r="1917" spans="1:19" ht="11.85" customHeight="1" x14ac:dyDescent="0.2">
      <c r="A1917" s="57" t="s">
        <v>722</v>
      </c>
      <c r="B1917" s="62"/>
      <c r="C1917" s="411" t="s">
        <v>723</v>
      </c>
      <c r="D1917" s="412"/>
      <c r="E1917" s="412"/>
      <c r="F1917" s="412"/>
      <c r="G1917" s="412"/>
      <c r="H1917" s="412"/>
      <c r="I1917" s="411"/>
      <c r="K1917" s="57" t="s">
        <v>722</v>
      </c>
      <c r="L1917" s="57" t="s">
        <v>190</v>
      </c>
      <c r="S1917" s="57">
        <v>0</v>
      </c>
    </row>
    <row r="1918" spans="1:19" ht="11.85" customHeight="1" x14ac:dyDescent="0.2">
      <c r="A1918" s="57" t="s">
        <v>723</v>
      </c>
      <c r="B1918" s="413" t="s">
        <v>412</v>
      </c>
      <c r="C1918" s="414"/>
      <c r="D1918" s="415"/>
      <c r="E1918" s="419" t="s">
        <v>400</v>
      </c>
      <c r="F1918" s="420"/>
      <c r="G1918" s="64" t="s">
        <v>413</v>
      </c>
      <c r="H1918" s="419" t="s">
        <v>414</v>
      </c>
      <c r="I1918" s="420"/>
      <c r="K1918" s="57" t="s">
        <v>723</v>
      </c>
      <c r="L1918" s="57" t="s">
        <v>191</v>
      </c>
      <c r="S1918" s="57">
        <v>0</v>
      </c>
    </row>
    <row r="1919" spans="1:19" ht="11.1" customHeight="1" x14ac:dyDescent="0.2">
      <c r="A1919" s="57" t="s">
        <v>723</v>
      </c>
      <c r="B1919" s="416"/>
      <c r="C1919" s="417"/>
      <c r="D1919" s="418"/>
      <c r="E1919" s="419" t="s">
        <v>401</v>
      </c>
      <c r="F1919" s="420"/>
      <c r="G1919" s="64" t="s">
        <v>413</v>
      </c>
      <c r="H1919" s="419" t="s">
        <v>415</v>
      </c>
      <c r="I1919" s="420"/>
      <c r="K1919" s="57" t="s">
        <v>723</v>
      </c>
      <c r="L1919" s="57" t="s">
        <v>191</v>
      </c>
      <c r="S1919" s="57">
        <v>0</v>
      </c>
    </row>
    <row r="1920" spans="1:19" ht="11.85" customHeight="1" x14ac:dyDescent="0.2">
      <c r="A1920" s="57" t="s">
        <v>723</v>
      </c>
      <c r="B1920" s="413" t="s">
        <v>416</v>
      </c>
      <c r="C1920" s="414"/>
      <c r="D1920" s="415"/>
      <c r="E1920" s="419" t="s">
        <v>402</v>
      </c>
      <c r="F1920" s="420"/>
      <c r="G1920" s="64" t="s">
        <v>417</v>
      </c>
      <c r="H1920" s="419" t="s">
        <v>418</v>
      </c>
      <c r="I1920" s="420"/>
      <c r="K1920" s="57" t="s">
        <v>723</v>
      </c>
      <c r="L1920" s="57" t="s">
        <v>191</v>
      </c>
      <c r="S1920" s="57">
        <v>0</v>
      </c>
    </row>
    <row r="1921" spans="1:19" ht="11.85" customHeight="1" x14ac:dyDescent="0.2">
      <c r="A1921" s="57" t="s">
        <v>723</v>
      </c>
      <c r="B1921" s="424"/>
      <c r="C1921" s="425"/>
      <c r="D1921" s="426"/>
      <c r="E1921" s="419" t="s">
        <v>403</v>
      </c>
      <c r="F1921" s="420"/>
      <c r="G1921" s="64" t="s">
        <v>417</v>
      </c>
      <c r="H1921" s="419" t="s">
        <v>418</v>
      </c>
      <c r="I1921" s="420"/>
      <c r="K1921" s="57" t="s">
        <v>723</v>
      </c>
      <c r="L1921" s="57" t="s">
        <v>191</v>
      </c>
      <c r="S1921" s="57">
        <v>0</v>
      </c>
    </row>
    <row r="1922" spans="1:19" ht="11.85" customHeight="1" x14ac:dyDescent="0.2">
      <c r="A1922" s="57" t="s">
        <v>723</v>
      </c>
      <c r="B1922" s="424"/>
      <c r="C1922" s="425"/>
      <c r="D1922" s="426"/>
      <c r="E1922" s="419" t="s">
        <v>404</v>
      </c>
      <c r="F1922" s="420"/>
      <c r="G1922" s="64" t="s">
        <v>413</v>
      </c>
      <c r="H1922" s="419" t="s">
        <v>419</v>
      </c>
      <c r="I1922" s="420"/>
      <c r="K1922" s="57" t="s">
        <v>723</v>
      </c>
      <c r="L1922" s="57" t="s">
        <v>191</v>
      </c>
      <c r="S1922" s="57">
        <v>0</v>
      </c>
    </row>
    <row r="1923" spans="1:19" ht="11.1" customHeight="1" x14ac:dyDescent="0.2">
      <c r="A1923" s="57" t="s">
        <v>723</v>
      </c>
      <c r="B1923" s="424"/>
      <c r="C1923" s="425"/>
      <c r="D1923" s="426"/>
      <c r="E1923" s="419" t="s">
        <v>405</v>
      </c>
      <c r="F1923" s="420"/>
      <c r="G1923" s="64" t="s">
        <v>420</v>
      </c>
      <c r="H1923" s="419" t="s">
        <v>421</v>
      </c>
      <c r="I1923" s="420"/>
      <c r="K1923" s="57" t="s">
        <v>723</v>
      </c>
      <c r="L1923" s="57" t="s">
        <v>191</v>
      </c>
      <c r="S1923" s="57">
        <v>0</v>
      </c>
    </row>
    <row r="1924" spans="1:19" ht="11.85" customHeight="1" x14ac:dyDescent="0.2">
      <c r="A1924" s="57" t="s">
        <v>723</v>
      </c>
      <c r="B1924" s="424"/>
      <c r="C1924" s="425"/>
      <c r="D1924" s="426"/>
      <c r="E1924" s="419" t="s">
        <v>406</v>
      </c>
      <c r="F1924" s="420"/>
      <c r="G1924" s="64" t="s">
        <v>422</v>
      </c>
      <c r="H1924" s="419" t="s">
        <v>423</v>
      </c>
      <c r="I1924" s="420"/>
      <c r="K1924" s="57" t="s">
        <v>723</v>
      </c>
      <c r="L1924" s="57" t="s">
        <v>191</v>
      </c>
      <c r="S1924" s="65">
        <v>48.44</v>
      </c>
    </row>
    <row r="1925" spans="1:19" ht="11.85" customHeight="1" x14ac:dyDescent="0.2">
      <c r="A1925" s="57" t="s">
        <v>723</v>
      </c>
      <c r="B1925" s="416"/>
      <c r="C1925" s="417"/>
      <c r="D1925" s="418"/>
      <c r="E1925" s="419" t="s">
        <v>407</v>
      </c>
      <c r="F1925" s="420"/>
      <c r="G1925" s="64" t="s">
        <v>424</v>
      </c>
      <c r="H1925" s="419" t="s">
        <v>425</v>
      </c>
      <c r="I1925" s="420"/>
      <c r="K1925" s="57" t="s">
        <v>723</v>
      </c>
      <c r="L1925" s="57" t="s">
        <v>191</v>
      </c>
      <c r="S1925" s="57">
        <v>0</v>
      </c>
    </row>
    <row r="1926" spans="1:19" ht="11.85" customHeight="1" x14ac:dyDescent="0.2">
      <c r="A1926" s="57" t="s">
        <v>723</v>
      </c>
      <c r="B1926" s="413" t="s">
        <v>426</v>
      </c>
      <c r="C1926" s="414"/>
      <c r="D1926" s="415"/>
      <c r="E1926" s="419" t="s">
        <v>408</v>
      </c>
      <c r="F1926" s="420"/>
      <c r="G1926" s="64" t="s">
        <v>420</v>
      </c>
      <c r="H1926" s="419" t="s">
        <v>427</v>
      </c>
      <c r="I1926" s="420"/>
      <c r="K1926" s="57" t="s">
        <v>723</v>
      </c>
      <c r="L1926" s="57" t="s">
        <v>191</v>
      </c>
      <c r="S1926" s="57">
        <v>0</v>
      </c>
    </row>
    <row r="1927" spans="1:19" ht="11.1" customHeight="1" x14ac:dyDescent="0.2">
      <c r="A1927" s="57" t="s">
        <v>723</v>
      </c>
      <c r="B1927" s="424"/>
      <c r="C1927" s="425"/>
      <c r="D1927" s="426"/>
      <c r="E1927" s="419" t="s">
        <v>409</v>
      </c>
      <c r="F1927" s="420"/>
      <c r="G1927" s="64" t="s">
        <v>417</v>
      </c>
      <c r="H1927" s="419" t="s">
        <v>428</v>
      </c>
      <c r="I1927" s="420"/>
      <c r="K1927" s="57" t="s">
        <v>723</v>
      </c>
      <c r="L1927" s="57" t="s">
        <v>191</v>
      </c>
      <c r="S1927" s="57">
        <v>0</v>
      </c>
    </row>
    <row r="1928" spans="1:19" ht="11.85" customHeight="1" x14ac:dyDescent="0.2">
      <c r="A1928" s="57" t="s">
        <v>723</v>
      </c>
      <c r="B1928" s="416"/>
      <c r="C1928" s="417"/>
      <c r="D1928" s="418"/>
      <c r="E1928" s="419" t="s">
        <v>410</v>
      </c>
      <c r="F1928" s="420"/>
      <c r="G1928" s="64" t="s">
        <v>417</v>
      </c>
      <c r="H1928" s="419" t="s">
        <v>415</v>
      </c>
      <c r="I1928" s="420"/>
      <c r="K1928" s="57" t="s">
        <v>723</v>
      </c>
      <c r="L1928" s="57" t="s">
        <v>191</v>
      </c>
      <c r="S1928" s="57">
        <v>0</v>
      </c>
    </row>
    <row r="1929" spans="1:19" ht="11.85" customHeight="1" x14ac:dyDescent="0.2">
      <c r="A1929" s="57" t="s">
        <v>723</v>
      </c>
      <c r="B1929" s="62"/>
      <c r="C1929" s="411" t="s">
        <v>724</v>
      </c>
      <c r="D1929" s="412"/>
      <c r="E1929" s="412"/>
      <c r="F1929" s="412"/>
      <c r="G1929" s="412"/>
      <c r="H1929" s="412"/>
      <c r="I1929" s="411"/>
      <c r="K1929" s="57" t="s">
        <v>723</v>
      </c>
      <c r="L1929" s="57" t="s">
        <v>191</v>
      </c>
      <c r="S1929" s="57">
        <v>0</v>
      </c>
    </row>
    <row r="1930" spans="1:19" ht="11.85" customHeight="1" x14ac:dyDescent="0.2">
      <c r="A1930" s="57" t="s">
        <v>724</v>
      </c>
      <c r="B1930" s="413" t="s">
        <v>412</v>
      </c>
      <c r="C1930" s="414"/>
      <c r="D1930" s="415"/>
      <c r="E1930" s="419" t="s">
        <v>400</v>
      </c>
      <c r="F1930" s="420"/>
      <c r="G1930" s="64" t="s">
        <v>413</v>
      </c>
      <c r="H1930" s="419" t="s">
        <v>414</v>
      </c>
      <c r="I1930" s="420"/>
      <c r="K1930" s="57" t="s">
        <v>724</v>
      </c>
      <c r="L1930" s="57" t="s">
        <v>192</v>
      </c>
      <c r="S1930" s="57">
        <v>0</v>
      </c>
    </row>
    <row r="1931" spans="1:19" ht="11.1" customHeight="1" x14ac:dyDescent="0.2">
      <c r="A1931" s="57" t="s">
        <v>724</v>
      </c>
      <c r="B1931" s="416"/>
      <c r="C1931" s="417"/>
      <c r="D1931" s="418"/>
      <c r="E1931" s="419" t="s">
        <v>401</v>
      </c>
      <c r="F1931" s="420"/>
      <c r="G1931" s="64" t="s">
        <v>413</v>
      </c>
      <c r="H1931" s="419" t="s">
        <v>415</v>
      </c>
      <c r="I1931" s="420"/>
      <c r="K1931" s="57" t="s">
        <v>724</v>
      </c>
      <c r="L1931" s="57" t="s">
        <v>192</v>
      </c>
      <c r="S1931" s="57">
        <v>0</v>
      </c>
    </row>
    <row r="1932" spans="1:19" ht="11.85" customHeight="1" x14ac:dyDescent="0.2">
      <c r="A1932" s="57" t="s">
        <v>724</v>
      </c>
      <c r="B1932" s="413" t="s">
        <v>416</v>
      </c>
      <c r="C1932" s="414"/>
      <c r="D1932" s="415"/>
      <c r="E1932" s="419" t="s">
        <v>402</v>
      </c>
      <c r="F1932" s="420"/>
      <c r="G1932" s="64" t="s">
        <v>417</v>
      </c>
      <c r="H1932" s="419" t="s">
        <v>418</v>
      </c>
      <c r="I1932" s="420"/>
      <c r="K1932" s="57" t="s">
        <v>724</v>
      </c>
      <c r="L1932" s="57" t="s">
        <v>192</v>
      </c>
      <c r="S1932" s="57">
        <v>0</v>
      </c>
    </row>
    <row r="1933" spans="1:19" ht="11.85" customHeight="1" x14ac:dyDescent="0.2">
      <c r="A1933" s="57" t="s">
        <v>724</v>
      </c>
      <c r="B1933" s="424"/>
      <c r="C1933" s="425"/>
      <c r="D1933" s="426"/>
      <c r="E1933" s="419" t="s">
        <v>403</v>
      </c>
      <c r="F1933" s="420"/>
      <c r="G1933" s="64" t="s">
        <v>417</v>
      </c>
      <c r="H1933" s="419" t="s">
        <v>418</v>
      </c>
      <c r="I1933" s="420"/>
      <c r="K1933" s="57" t="s">
        <v>724</v>
      </c>
      <c r="L1933" s="57" t="s">
        <v>192</v>
      </c>
      <c r="S1933" s="57">
        <v>0</v>
      </c>
    </row>
    <row r="1934" spans="1:19" ht="11.85" customHeight="1" x14ac:dyDescent="0.2">
      <c r="A1934" s="57" t="s">
        <v>724</v>
      </c>
      <c r="B1934" s="424"/>
      <c r="C1934" s="425"/>
      <c r="D1934" s="426"/>
      <c r="E1934" s="419" t="s">
        <v>404</v>
      </c>
      <c r="F1934" s="420"/>
      <c r="G1934" s="64" t="s">
        <v>413</v>
      </c>
      <c r="H1934" s="419" t="s">
        <v>419</v>
      </c>
      <c r="I1934" s="420"/>
      <c r="K1934" s="57" t="s">
        <v>724</v>
      </c>
      <c r="L1934" s="57" t="s">
        <v>192</v>
      </c>
      <c r="S1934" s="57">
        <v>0</v>
      </c>
    </row>
    <row r="1935" spans="1:19" ht="11.1" customHeight="1" x14ac:dyDescent="0.2">
      <c r="A1935" s="57" t="s">
        <v>724</v>
      </c>
      <c r="B1935" s="424"/>
      <c r="C1935" s="425"/>
      <c r="D1935" s="426"/>
      <c r="E1935" s="419" t="s">
        <v>405</v>
      </c>
      <c r="F1935" s="420"/>
      <c r="G1935" s="64" t="s">
        <v>420</v>
      </c>
      <c r="H1935" s="419" t="s">
        <v>421</v>
      </c>
      <c r="I1935" s="420"/>
      <c r="K1935" s="57" t="s">
        <v>724</v>
      </c>
      <c r="L1935" s="57" t="s">
        <v>192</v>
      </c>
      <c r="S1935" s="57">
        <v>0</v>
      </c>
    </row>
    <row r="1936" spans="1:19" ht="11.85" customHeight="1" x14ac:dyDescent="0.2">
      <c r="A1936" s="57" t="s">
        <v>724</v>
      </c>
      <c r="B1936" s="424"/>
      <c r="C1936" s="425"/>
      <c r="D1936" s="426"/>
      <c r="E1936" s="419" t="s">
        <v>406</v>
      </c>
      <c r="F1936" s="420"/>
      <c r="G1936" s="64" t="s">
        <v>422</v>
      </c>
      <c r="H1936" s="419" t="s">
        <v>423</v>
      </c>
      <c r="I1936" s="420"/>
      <c r="K1936" s="57" t="s">
        <v>724</v>
      </c>
      <c r="L1936" s="57" t="s">
        <v>192</v>
      </c>
      <c r="S1936" s="65">
        <v>48.44</v>
      </c>
    </row>
    <row r="1937" spans="1:19" ht="11.85" customHeight="1" x14ac:dyDescent="0.2">
      <c r="A1937" s="57" t="s">
        <v>724</v>
      </c>
      <c r="B1937" s="416"/>
      <c r="C1937" s="417"/>
      <c r="D1937" s="418"/>
      <c r="E1937" s="419" t="s">
        <v>407</v>
      </c>
      <c r="F1937" s="420"/>
      <c r="G1937" s="64" t="s">
        <v>424</v>
      </c>
      <c r="H1937" s="419" t="s">
        <v>425</v>
      </c>
      <c r="I1937" s="420"/>
      <c r="K1937" s="57" t="s">
        <v>724</v>
      </c>
      <c r="L1937" s="57" t="s">
        <v>192</v>
      </c>
      <c r="S1937" s="57">
        <v>0</v>
      </c>
    </row>
    <row r="1938" spans="1:19" ht="11.85" customHeight="1" x14ac:dyDescent="0.2">
      <c r="A1938" s="57" t="s">
        <v>724</v>
      </c>
      <c r="B1938" s="413" t="s">
        <v>426</v>
      </c>
      <c r="C1938" s="414"/>
      <c r="D1938" s="415"/>
      <c r="E1938" s="419" t="s">
        <v>408</v>
      </c>
      <c r="F1938" s="420"/>
      <c r="G1938" s="64" t="s">
        <v>420</v>
      </c>
      <c r="H1938" s="419" t="s">
        <v>427</v>
      </c>
      <c r="I1938" s="420"/>
      <c r="K1938" s="57" t="s">
        <v>724</v>
      </c>
      <c r="L1938" s="57" t="s">
        <v>192</v>
      </c>
      <c r="S1938" s="57">
        <v>0</v>
      </c>
    </row>
    <row r="1939" spans="1:19" ht="11.1" customHeight="1" x14ac:dyDescent="0.2">
      <c r="A1939" s="57" t="s">
        <v>724</v>
      </c>
      <c r="B1939" s="424"/>
      <c r="C1939" s="425"/>
      <c r="D1939" s="426"/>
      <c r="E1939" s="419" t="s">
        <v>409</v>
      </c>
      <c r="F1939" s="420"/>
      <c r="G1939" s="64" t="s">
        <v>417</v>
      </c>
      <c r="H1939" s="419" t="s">
        <v>428</v>
      </c>
      <c r="I1939" s="420"/>
      <c r="K1939" s="57" t="s">
        <v>724</v>
      </c>
      <c r="L1939" s="57" t="s">
        <v>192</v>
      </c>
      <c r="S1939" s="57">
        <v>0</v>
      </c>
    </row>
    <row r="1940" spans="1:19" ht="11.85" customHeight="1" x14ac:dyDescent="0.2">
      <c r="A1940" s="57" t="s">
        <v>724</v>
      </c>
      <c r="B1940" s="416"/>
      <c r="C1940" s="417"/>
      <c r="D1940" s="418"/>
      <c r="E1940" s="419" t="s">
        <v>410</v>
      </c>
      <c r="F1940" s="420"/>
      <c r="G1940" s="64" t="s">
        <v>417</v>
      </c>
      <c r="H1940" s="419" t="s">
        <v>415</v>
      </c>
      <c r="I1940" s="420"/>
      <c r="K1940" s="57" t="s">
        <v>724</v>
      </c>
      <c r="L1940" s="57" t="s">
        <v>192</v>
      </c>
      <c r="S1940" s="57">
        <v>0</v>
      </c>
    </row>
    <row r="1941" spans="1:19" ht="11.85" customHeight="1" x14ac:dyDescent="0.2">
      <c r="A1941" s="57" t="s">
        <v>724</v>
      </c>
      <c r="B1941" s="62"/>
      <c r="C1941" s="411" t="s">
        <v>725</v>
      </c>
      <c r="D1941" s="412"/>
      <c r="E1941" s="412"/>
      <c r="F1941" s="412"/>
      <c r="G1941" s="412"/>
      <c r="H1941" s="412"/>
      <c r="I1941" s="411"/>
      <c r="K1941" s="57" t="s">
        <v>724</v>
      </c>
      <c r="L1941" s="57" t="s">
        <v>192</v>
      </c>
      <c r="S1941" s="57">
        <v>0</v>
      </c>
    </row>
    <row r="1942" spans="1:19" ht="11.85" customHeight="1" x14ac:dyDescent="0.2">
      <c r="A1942" s="57" t="s">
        <v>725</v>
      </c>
      <c r="B1942" s="413" t="s">
        <v>416</v>
      </c>
      <c r="C1942" s="427"/>
      <c r="D1942" s="428"/>
      <c r="E1942" s="419" t="s">
        <v>402</v>
      </c>
      <c r="F1942" s="420"/>
      <c r="G1942" s="64" t="s">
        <v>417</v>
      </c>
      <c r="H1942" s="419" t="s">
        <v>437</v>
      </c>
      <c r="I1942" s="420"/>
      <c r="K1942" s="57" t="s">
        <v>725</v>
      </c>
      <c r="L1942" s="57" t="s">
        <v>193</v>
      </c>
      <c r="S1942" s="57">
        <v>0</v>
      </c>
    </row>
    <row r="1943" spans="1:19" ht="11.85" customHeight="1" x14ac:dyDescent="0.2">
      <c r="A1943" s="57" t="s">
        <v>725</v>
      </c>
      <c r="B1943" s="413" t="s">
        <v>416</v>
      </c>
      <c r="C1943" s="414"/>
      <c r="D1943" s="415"/>
      <c r="E1943" s="419" t="s">
        <v>403</v>
      </c>
      <c r="F1943" s="420"/>
      <c r="G1943" s="64" t="s">
        <v>417</v>
      </c>
      <c r="H1943" s="419" t="s">
        <v>437</v>
      </c>
      <c r="I1943" s="420"/>
      <c r="K1943" s="57" t="s">
        <v>725</v>
      </c>
      <c r="L1943" s="57" t="s">
        <v>193</v>
      </c>
      <c r="S1943" s="57">
        <v>0</v>
      </c>
    </row>
    <row r="1944" spans="1:19" ht="11.85" customHeight="1" x14ac:dyDescent="0.2">
      <c r="A1944" s="57" t="s">
        <v>725</v>
      </c>
      <c r="B1944" s="424"/>
      <c r="C1944" s="425"/>
      <c r="D1944" s="426"/>
      <c r="E1944" s="419" t="s">
        <v>404</v>
      </c>
      <c r="F1944" s="420"/>
      <c r="G1944" s="64" t="s">
        <v>413</v>
      </c>
      <c r="H1944" s="419" t="s">
        <v>478</v>
      </c>
      <c r="I1944" s="420"/>
      <c r="K1944" s="57" t="s">
        <v>725</v>
      </c>
      <c r="L1944" s="57" t="s">
        <v>193</v>
      </c>
      <c r="S1944" s="57">
        <v>0</v>
      </c>
    </row>
    <row r="1945" spans="1:19" ht="11.85" customHeight="1" x14ac:dyDescent="0.2">
      <c r="A1945" s="57" t="s">
        <v>725</v>
      </c>
      <c r="B1945" s="424"/>
      <c r="C1945" s="425"/>
      <c r="D1945" s="426"/>
      <c r="E1945" s="419" t="s">
        <v>405</v>
      </c>
      <c r="F1945" s="420"/>
      <c r="G1945" s="64" t="s">
        <v>420</v>
      </c>
      <c r="H1945" s="419" t="s">
        <v>439</v>
      </c>
      <c r="I1945" s="420"/>
      <c r="K1945" s="57" t="s">
        <v>725</v>
      </c>
      <c r="L1945" s="57" t="s">
        <v>193</v>
      </c>
      <c r="S1945" s="57">
        <v>0</v>
      </c>
    </row>
    <row r="1946" spans="1:19" ht="11.1" customHeight="1" x14ac:dyDescent="0.2">
      <c r="A1946" s="57" t="s">
        <v>725</v>
      </c>
      <c r="B1946" s="424"/>
      <c r="C1946" s="425"/>
      <c r="D1946" s="426"/>
      <c r="E1946" s="419" t="s">
        <v>406</v>
      </c>
      <c r="F1946" s="420"/>
      <c r="G1946" s="64" t="s">
        <v>422</v>
      </c>
      <c r="H1946" s="419" t="s">
        <v>423</v>
      </c>
      <c r="I1946" s="420"/>
      <c r="K1946" s="57" t="s">
        <v>725</v>
      </c>
      <c r="L1946" s="57" t="s">
        <v>193</v>
      </c>
      <c r="S1946" s="65">
        <v>48.44</v>
      </c>
    </row>
    <row r="1947" spans="1:19" ht="11.85" customHeight="1" x14ac:dyDescent="0.2">
      <c r="A1947" s="57" t="s">
        <v>725</v>
      </c>
      <c r="B1947" s="416"/>
      <c r="C1947" s="417"/>
      <c r="D1947" s="418"/>
      <c r="E1947" s="419" t="s">
        <v>407</v>
      </c>
      <c r="F1947" s="420"/>
      <c r="G1947" s="64" t="s">
        <v>424</v>
      </c>
      <c r="H1947" s="419" t="s">
        <v>425</v>
      </c>
      <c r="I1947" s="420"/>
      <c r="K1947" s="57" t="s">
        <v>725</v>
      </c>
      <c r="L1947" s="57" t="s">
        <v>193</v>
      </c>
      <c r="S1947" s="57">
        <v>0</v>
      </c>
    </row>
    <row r="1948" spans="1:19" ht="11.85" customHeight="1" x14ac:dyDescent="0.2">
      <c r="A1948" s="57" t="s">
        <v>725</v>
      </c>
      <c r="B1948" s="62"/>
      <c r="C1948" s="411" t="s">
        <v>726</v>
      </c>
      <c r="D1948" s="412"/>
      <c r="E1948" s="412"/>
      <c r="F1948" s="412"/>
      <c r="G1948" s="412"/>
      <c r="H1948" s="412"/>
      <c r="I1948" s="411"/>
      <c r="K1948" s="57" t="s">
        <v>725</v>
      </c>
      <c r="L1948" s="57" t="s">
        <v>193</v>
      </c>
      <c r="S1948" s="57">
        <v>0</v>
      </c>
    </row>
    <row r="1949" spans="1:19" ht="11.85" customHeight="1" x14ac:dyDescent="0.2">
      <c r="A1949" s="57" t="s">
        <v>726</v>
      </c>
      <c r="B1949" s="413" t="s">
        <v>412</v>
      </c>
      <c r="C1949" s="414"/>
      <c r="D1949" s="415"/>
      <c r="E1949" s="419" t="s">
        <v>400</v>
      </c>
      <c r="F1949" s="420"/>
      <c r="G1949" s="64" t="s">
        <v>413</v>
      </c>
      <c r="H1949" s="419" t="s">
        <v>414</v>
      </c>
      <c r="I1949" s="420"/>
      <c r="K1949" s="57" t="s">
        <v>726</v>
      </c>
      <c r="L1949" s="57" t="s">
        <v>194</v>
      </c>
      <c r="S1949" s="57">
        <v>0</v>
      </c>
    </row>
    <row r="1950" spans="1:19" ht="11.1" customHeight="1" x14ac:dyDescent="0.2">
      <c r="A1950" s="57" t="s">
        <v>726</v>
      </c>
      <c r="B1950" s="416"/>
      <c r="C1950" s="417"/>
      <c r="D1950" s="418"/>
      <c r="E1950" s="419" t="s">
        <v>401</v>
      </c>
      <c r="F1950" s="420"/>
      <c r="G1950" s="64" t="s">
        <v>413</v>
      </c>
      <c r="H1950" s="419" t="s">
        <v>415</v>
      </c>
      <c r="I1950" s="420"/>
      <c r="K1950" s="57" t="s">
        <v>726</v>
      </c>
      <c r="L1950" s="57" t="s">
        <v>194</v>
      </c>
      <c r="S1950" s="57">
        <v>0</v>
      </c>
    </row>
    <row r="1951" spans="1:19" ht="11.85" customHeight="1" x14ac:dyDescent="0.2">
      <c r="A1951" s="57" t="s">
        <v>726</v>
      </c>
      <c r="B1951" s="413" t="s">
        <v>416</v>
      </c>
      <c r="C1951" s="414"/>
      <c r="D1951" s="415"/>
      <c r="E1951" s="419" t="s">
        <v>402</v>
      </c>
      <c r="F1951" s="420"/>
      <c r="G1951" s="64" t="s">
        <v>417</v>
      </c>
      <c r="H1951" s="419" t="s">
        <v>418</v>
      </c>
      <c r="I1951" s="420"/>
      <c r="K1951" s="57" t="s">
        <v>726</v>
      </c>
      <c r="L1951" s="57" t="s">
        <v>194</v>
      </c>
      <c r="S1951" s="57">
        <v>0</v>
      </c>
    </row>
    <row r="1952" spans="1:19" ht="11.85" customHeight="1" x14ac:dyDescent="0.2">
      <c r="A1952" s="57" t="s">
        <v>726</v>
      </c>
      <c r="B1952" s="424"/>
      <c r="C1952" s="425"/>
      <c r="D1952" s="426"/>
      <c r="E1952" s="419" t="s">
        <v>403</v>
      </c>
      <c r="F1952" s="420"/>
      <c r="G1952" s="64" t="s">
        <v>417</v>
      </c>
      <c r="H1952" s="419" t="s">
        <v>418</v>
      </c>
      <c r="I1952" s="420"/>
      <c r="K1952" s="57" t="s">
        <v>726</v>
      </c>
      <c r="L1952" s="57" t="s">
        <v>194</v>
      </c>
      <c r="S1952" s="57">
        <v>0</v>
      </c>
    </row>
    <row r="1953" spans="1:19" ht="11.85" customHeight="1" x14ac:dyDescent="0.2">
      <c r="A1953" s="57" t="s">
        <v>726</v>
      </c>
      <c r="B1953" s="424"/>
      <c r="C1953" s="425"/>
      <c r="D1953" s="426"/>
      <c r="E1953" s="419" t="s">
        <v>404</v>
      </c>
      <c r="F1953" s="420"/>
      <c r="G1953" s="64" t="s">
        <v>413</v>
      </c>
      <c r="H1953" s="419" t="s">
        <v>419</v>
      </c>
      <c r="I1953" s="420"/>
      <c r="K1953" s="57" t="s">
        <v>726</v>
      </c>
      <c r="L1953" s="57" t="s">
        <v>194</v>
      </c>
      <c r="S1953" s="57">
        <v>0</v>
      </c>
    </row>
    <row r="1954" spans="1:19" ht="11.1" customHeight="1" x14ac:dyDescent="0.2">
      <c r="A1954" s="57" t="s">
        <v>726</v>
      </c>
      <c r="B1954" s="424"/>
      <c r="C1954" s="425"/>
      <c r="D1954" s="426"/>
      <c r="E1954" s="419" t="s">
        <v>405</v>
      </c>
      <c r="F1954" s="420"/>
      <c r="G1954" s="64" t="s">
        <v>420</v>
      </c>
      <c r="H1954" s="419" t="s">
        <v>421</v>
      </c>
      <c r="I1954" s="420"/>
      <c r="K1954" s="57" t="s">
        <v>726</v>
      </c>
      <c r="L1954" s="57" t="s">
        <v>194</v>
      </c>
      <c r="S1954" s="57">
        <v>0</v>
      </c>
    </row>
    <row r="1955" spans="1:19" ht="11.85" customHeight="1" x14ac:dyDescent="0.2">
      <c r="A1955" s="57" t="s">
        <v>726</v>
      </c>
      <c r="B1955" s="424"/>
      <c r="C1955" s="425"/>
      <c r="D1955" s="426"/>
      <c r="E1955" s="419" t="s">
        <v>406</v>
      </c>
      <c r="F1955" s="420"/>
      <c r="G1955" s="64" t="s">
        <v>422</v>
      </c>
      <c r="H1955" s="419" t="s">
        <v>423</v>
      </c>
      <c r="I1955" s="420"/>
      <c r="K1955" s="57" t="s">
        <v>726</v>
      </c>
      <c r="L1955" s="57" t="s">
        <v>194</v>
      </c>
      <c r="S1955" s="65">
        <v>48.44</v>
      </c>
    </row>
    <row r="1956" spans="1:19" ht="11.85" customHeight="1" x14ac:dyDescent="0.2">
      <c r="A1956" s="57" t="s">
        <v>726</v>
      </c>
      <c r="B1956" s="416"/>
      <c r="C1956" s="417"/>
      <c r="D1956" s="418"/>
      <c r="E1956" s="419" t="s">
        <v>407</v>
      </c>
      <c r="F1956" s="420"/>
      <c r="G1956" s="64" t="s">
        <v>424</v>
      </c>
      <c r="H1956" s="419" t="s">
        <v>425</v>
      </c>
      <c r="I1956" s="420"/>
      <c r="K1956" s="57" t="s">
        <v>726</v>
      </c>
      <c r="L1956" s="57" t="s">
        <v>194</v>
      </c>
      <c r="S1956" s="57">
        <v>0</v>
      </c>
    </row>
    <row r="1957" spans="1:19" ht="11.85" customHeight="1" x14ac:dyDescent="0.2">
      <c r="A1957" s="57" t="s">
        <v>726</v>
      </c>
      <c r="B1957" s="413" t="s">
        <v>426</v>
      </c>
      <c r="C1957" s="414"/>
      <c r="D1957" s="415"/>
      <c r="E1957" s="419" t="s">
        <v>408</v>
      </c>
      <c r="F1957" s="420"/>
      <c r="G1957" s="64" t="s">
        <v>420</v>
      </c>
      <c r="H1957" s="419" t="s">
        <v>427</v>
      </c>
      <c r="I1957" s="420"/>
      <c r="K1957" s="57" t="s">
        <v>726</v>
      </c>
      <c r="L1957" s="57" t="s">
        <v>194</v>
      </c>
      <c r="S1957" s="57">
        <v>0</v>
      </c>
    </row>
    <row r="1958" spans="1:19" ht="11.1" customHeight="1" x14ac:dyDescent="0.2">
      <c r="A1958" s="57" t="s">
        <v>726</v>
      </c>
      <c r="B1958" s="424"/>
      <c r="C1958" s="425"/>
      <c r="D1958" s="426"/>
      <c r="E1958" s="419" t="s">
        <v>409</v>
      </c>
      <c r="F1958" s="420"/>
      <c r="G1958" s="64" t="s">
        <v>417</v>
      </c>
      <c r="H1958" s="419" t="s">
        <v>428</v>
      </c>
      <c r="I1958" s="420"/>
      <c r="K1958" s="57" t="s">
        <v>726</v>
      </c>
      <c r="L1958" s="57" t="s">
        <v>194</v>
      </c>
      <c r="S1958" s="57">
        <v>0</v>
      </c>
    </row>
    <row r="1959" spans="1:19" ht="11.85" customHeight="1" x14ac:dyDescent="0.2">
      <c r="A1959" s="57" t="s">
        <v>726</v>
      </c>
      <c r="B1959" s="416"/>
      <c r="C1959" s="417"/>
      <c r="D1959" s="418"/>
      <c r="E1959" s="419" t="s">
        <v>410</v>
      </c>
      <c r="F1959" s="420"/>
      <c r="G1959" s="64" t="s">
        <v>417</v>
      </c>
      <c r="H1959" s="419" t="s">
        <v>415</v>
      </c>
      <c r="I1959" s="420"/>
      <c r="K1959" s="57" t="s">
        <v>726</v>
      </c>
      <c r="L1959" s="57" t="s">
        <v>194</v>
      </c>
      <c r="S1959" s="57">
        <v>0</v>
      </c>
    </row>
    <row r="1960" spans="1:19" ht="11.85" customHeight="1" x14ac:dyDescent="0.2">
      <c r="A1960" s="57" t="s">
        <v>726</v>
      </c>
      <c r="B1960" s="62"/>
      <c r="C1960" s="411" t="s">
        <v>727</v>
      </c>
      <c r="D1960" s="412"/>
      <c r="E1960" s="412"/>
      <c r="F1960" s="412"/>
      <c r="G1960" s="412"/>
      <c r="H1960" s="412"/>
      <c r="I1960" s="411"/>
      <c r="K1960" s="57" t="s">
        <v>726</v>
      </c>
      <c r="L1960" s="57" t="s">
        <v>194</v>
      </c>
      <c r="S1960" s="57">
        <v>0</v>
      </c>
    </row>
    <row r="1961" spans="1:19" ht="11.85" customHeight="1" x14ac:dyDescent="0.2">
      <c r="A1961" s="57" t="s">
        <v>727</v>
      </c>
      <c r="B1961" s="413" t="s">
        <v>412</v>
      </c>
      <c r="C1961" s="414"/>
      <c r="D1961" s="415"/>
      <c r="E1961" s="419" t="s">
        <v>400</v>
      </c>
      <c r="F1961" s="420"/>
      <c r="G1961" s="64" t="s">
        <v>413</v>
      </c>
      <c r="H1961" s="419" t="s">
        <v>414</v>
      </c>
      <c r="I1961" s="420"/>
      <c r="K1961" s="57" t="s">
        <v>727</v>
      </c>
      <c r="L1961" s="57" t="s">
        <v>195</v>
      </c>
      <c r="S1961" s="57">
        <v>0</v>
      </c>
    </row>
    <row r="1962" spans="1:19" ht="11.1" customHeight="1" x14ac:dyDescent="0.2">
      <c r="A1962" s="57" t="s">
        <v>727</v>
      </c>
      <c r="B1962" s="416"/>
      <c r="C1962" s="417"/>
      <c r="D1962" s="418"/>
      <c r="E1962" s="419" t="s">
        <v>401</v>
      </c>
      <c r="F1962" s="420"/>
      <c r="G1962" s="64" t="s">
        <v>413</v>
      </c>
      <c r="H1962" s="419" t="s">
        <v>415</v>
      </c>
      <c r="I1962" s="420"/>
      <c r="K1962" s="57" t="s">
        <v>727</v>
      </c>
      <c r="L1962" s="57" t="s">
        <v>195</v>
      </c>
      <c r="S1962" s="57">
        <v>0</v>
      </c>
    </row>
    <row r="1963" spans="1:19" ht="11.85" customHeight="1" x14ac:dyDescent="0.2">
      <c r="A1963" s="57" t="s">
        <v>727</v>
      </c>
      <c r="B1963" s="413" t="s">
        <v>416</v>
      </c>
      <c r="C1963" s="414"/>
      <c r="D1963" s="415"/>
      <c r="E1963" s="419" t="s">
        <v>402</v>
      </c>
      <c r="F1963" s="420"/>
      <c r="G1963" s="64" t="s">
        <v>417</v>
      </c>
      <c r="H1963" s="419" t="s">
        <v>418</v>
      </c>
      <c r="I1963" s="420"/>
      <c r="K1963" s="57" t="s">
        <v>727</v>
      </c>
      <c r="L1963" s="57" t="s">
        <v>195</v>
      </c>
      <c r="S1963" s="57">
        <v>0</v>
      </c>
    </row>
    <row r="1964" spans="1:19" ht="11.85" customHeight="1" x14ac:dyDescent="0.2">
      <c r="A1964" s="57" t="s">
        <v>727</v>
      </c>
      <c r="B1964" s="424"/>
      <c r="C1964" s="425"/>
      <c r="D1964" s="426"/>
      <c r="E1964" s="419" t="s">
        <v>403</v>
      </c>
      <c r="F1964" s="420"/>
      <c r="G1964" s="64" t="s">
        <v>417</v>
      </c>
      <c r="H1964" s="419" t="s">
        <v>418</v>
      </c>
      <c r="I1964" s="420"/>
      <c r="K1964" s="57" t="s">
        <v>727</v>
      </c>
      <c r="L1964" s="57" t="s">
        <v>195</v>
      </c>
      <c r="S1964" s="57">
        <v>0</v>
      </c>
    </row>
    <row r="1965" spans="1:19" ht="11.85" customHeight="1" x14ac:dyDescent="0.2">
      <c r="A1965" s="57" t="s">
        <v>727</v>
      </c>
      <c r="B1965" s="424"/>
      <c r="C1965" s="425"/>
      <c r="D1965" s="426"/>
      <c r="E1965" s="419" t="s">
        <v>404</v>
      </c>
      <c r="F1965" s="420"/>
      <c r="G1965" s="64" t="s">
        <v>413</v>
      </c>
      <c r="H1965" s="419" t="s">
        <v>419</v>
      </c>
      <c r="I1965" s="420"/>
      <c r="K1965" s="57" t="s">
        <v>727</v>
      </c>
      <c r="L1965" s="57" t="s">
        <v>195</v>
      </c>
      <c r="S1965" s="57">
        <v>0</v>
      </c>
    </row>
    <row r="1966" spans="1:19" ht="11.1" customHeight="1" x14ac:dyDescent="0.2">
      <c r="A1966" s="57" t="s">
        <v>727</v>
      </c>
      <c r="B1966" s="424"/>
      <c r="C1966" s="425"/>
      <c r="D1966" s="426"/>
      <c r="E1966" s="419" t="s">
        <v>405</v>
      </c>
      <c r="F1966" s="420"/>
      <c r="G1966" s="64" t="s">
        <v>420</v>
      </c>
      <c r="H1966" s="419" t="s">
        <v>421</v>
      </c>
      <c r="I1966" s="420"/>
      <c r="K1966" s="57" t="s">
        <v>727</v>
      </c>
      <c r="L1966" s="57" t="s">
        <v>195</v>
      </c>
      <c r="S1966" s="57">
        <v>0</v>
      </c>
    </row>
    <row r="1967" spans="1:19" ht="11.85" customHeight="1" x14ac:dyDescent="0.2">
      <c r="A1967" s="57" t="s">
        <v>727</v>
      </c>
      <c r="B1967" s="424"/>
      <c r="C1967" s="425"/>
      <c r="D1967" s="426"/>
      <c r="E1967" s="419" t="s">
        <v>406</v>
      </c>
      <c r="F1967" s="420"/>
      <c r="G1967" s="64" t="s">
        <v>422</v>
      </c>
      <c r="H1967" s="419" t="s">
        <v>423</v>
      </c>
      <c r="I1967" s="420"/>
      <c r="K1967" s="57" t="s">
        <v>727</v>
      </c>
      <c r="L1967" s="57" t="s">
        <v>195</v>
      </c>
      <c r="S1967" s="65">
        <v>48.44</v>
      </c>
    </row>
    <row r="1968" spans="1:19" ht="11.85" customHeight="1" x14ac:dyDescent="0.2">
      <c r="A1968" s="57" t="s">
        <v>727</v>
      </c>
      <c r="B1968" s="416"/>
      <c r="C1968" s="417"/>
      <c r="D1968" s="418"/>
      <c r="E1968" s="419" t="s">
        <v>407</v>
      </c>
      <c r="F1968" s="420"/>
      <c r="G1968" s="64" t="s">
        <v>424</v>
      </c>
      <c r="H1968" s="419" t="s">
        <v>425</v>
      </c>
      <c r="I1968" s="420"/>
      <c r="K1968" s="57" t="s">
        <v>727</v>
      </c>
      <c r="L1968" s="57" t="s">
        <v>195</v>
      </c>
      <c r="S1968" s="57">
        <v>0</v>
      </c>
    </row>
    <row r="1969" spans="1:19" ht="11.85" customHeight="1" x14ac:dyDescent="0.2">
      <c r="A1969" s="57" t="s">
        <v>727</v>
      </c>
      <c r="B1969" s="413" t="s">
        <v>426</v>
      </c>
      <c r="C1969" s="414"/>
      <c r="D1969" s="415"/>
      <c r="E1969" s="419" t="s">
        <v>408</v>
      </c>
      <c r="F1969" s="420"/>
      <c r="G1969" s="64" t="s">
        <v>420</v>
      </c>
      <c r="H1969" s="419" t="s">
        <v>427</v>
      </c>
      <c r="I1969" s="420"/>
      <c r="K1969" s="57" t="s">
        <v>727</v>
      </c>
      <c r="L1969" s="57" t="s">
        <v>195</v>
      </c>
      <c r="S1969" s="57">
        <v>0</v>
      </c>
    </row>
    <row r="1970" spans="1:19" ht="11.1" customHeight="1" x14ac:dyDescent="0.2">
      <c r="A1970" s="57" t="s">
        <v>727</v>
      </c>
      <c r="B1970" s="424"/>
      <c r="C1970" s="425"/>
      <c r="D1970" s="426"/>
      <c r="E1970" s="419" t="s">
        <v>409</v>
      </c>
      <c r="F1970" s="420"/>
      <c r="G1970" s="64" t="s">
        <v>417</v>
      </c>
      <c r="H1970" s="419" t="s">
        <v>428</v>
      </c>
      <c r="I1970" s="420"/>
      <c r="K1970" s="57" t="s">
        <v>727</v>
      </c>
      <c r="L1970" s="57" t="s">
        <v>195</v>
      </c>
      <c r="S1970" s="57">
        <v>0</v>
      </c>
    </row>
    <row r="1971" spans="1:19" ht="11.85" customHeight="1" x14ac:dyDescent="0.2">
      <c r="A1971" s="57" t="s">
        <v>727</v>
      </c>
      <c r="B1971" s="416"/>
      <c r="C1971" s="417"/>
      <c r="D1971" s="418"/>
      <c r="E1971" s="419" t="s">
        <v>410</v>
      </c>
      <c r="F1971" s="420"/>
      <c r="G1971" s="64" t="s">
        <v>417</v>
      </c>
      <c r="H1971" s="419" t="s">
        <v>415</v>
      </c>
      <c r="I1971" s="420"/>
      <c r="K1971" s="57" t="s">
        <v>727</v>
      </c>
      <c r="L1971" s="57" t="s">
        <v>195</v>
      </c>
      <c r="S1971" s="57">
        <v>0</v>
      </c>
    </row>
    <row r="1972" spans="1:19" ht="11.85" customHeight="1" x14ac:dyDescent="0.2">
      <c r="A1972" s="57" t="s">
        <v>727</v>
      </c>
      <c r="B1972" s="62"/>
      <c r="C1972" s="411" t="s">
        <v>728</v>
      </c>
      <c r="D1972" s="412"/>
      <c r="E1972" s="412"/>
      <c r="F1972" s="412"/>
      <c r="G1972" s="412"/>
      <c r="H1972" s="412"/>
      <c r="I1972" s="411"/>
      <c r="K1972" s="57" t="s">
        <v>727</v>
      </c>
      <c r="L1972" s="57" t="s">
        <v>195</v>
      </c>
      <c r="S1972" s="57">
        <v>0</v>
      </c>
    </row>
    <row r="1973" spans="1:19" ht="11.85" customHeight="1" x14ac:dyDescent="0.2">
      <c r="A1973" s="57" t="s">
        <v>728</v>
      </c>
      <c r="B1973" s="413" t="s">
        <v>412</v>
      </c>
      <c r="C1973" s="414"/>
      <c r="D1973" s="415"/>
      <c r="E1973" s="419" t="s">
        <v>400</v>
      </c>
      <c r="F1973" s="420"/>
      <c r="G1973" s="64" t="s">
        <v>413</v>
      </c>
      <c r="H1973" s="419" t="s">
        <v>414</v>
      </c>
      <c r="I1973" s="420"/>
      <c r="K1973" s="57" t="s">
        <v>728</v>
      </c>
      <c r="L1973" s="57" t="s">
        <v>196</v>
      </c>
      <c r="S1973" s="57">
        <v>0</v>
      </c>
    </row>
    <row r="1974" spans="1:19" ht="11.1" customHeight="1" x14ac:dyDescent="0.2">
      <c r="A1974" s="57" t="s">
        <v>728</v>
      </c>
      <c r="B1974" s="416"/>
      <c r="C1974" s="417"/>
      <c r="D1974" s="418"/>
      <c r="E1974" s="419" t="s">
        <v>401</v>
      </c>
      <c r="F1974" s="420"/>
      <c r="G1974" s="64" t="s">
        <v>413</v>
      </c>
      <c r="H1974" s="419" t="s">
        <v>415</v>
      </c>
      <c r="I1974" s="420"/>
      <c r="K1974" s="57" t="s">
        <v>728</v>
      </c>
      <c r="L1974" s="57" t="s">
        <v>196</v>
      </c>
      <c r="S1974" s="57">
        <v>0</v>
      </c>
    </row>
    <row r="1975" spans="1:19" ht="11.85" customHeight="1" x14ac:dyDescent="0.2">
      <c r="A1975" s="57" t="s">
        <v>728</v>
      </c>
      <c r="B1975" s="413" t="s">
        <v>416</v>
      </c>
      <c r="C1975" s="414"/>
      <c r="D1975" s="415"/>
      <c r="E1975" s="419" t="s">
        <v>402</v>
      </c>
      <c r="F1975" s="420"/>
      <c r="G1975" s="64" t="s">
        <v>417</v>
      </c>
      <c r="H1975" s="419" t="s">
        <v>418</v>
      </c>
      <c r="I1975" s="420"/>
      <c r="K1975" s="57" t="s">
        <v>728</v>
      </c>
      <c r="L1975" s="57" t="s">
        <v>196</v>
      </c>
      <c r="S1975" s="57">
        <v>0</v>
      </c>
    </row>
    <row r="1976" spans="1:19" ht="11.85" customHeight="1" x14ac:dyDescent="0.2">
      <c r="A1976" s="57" t="s">
        <v>728</v>
      </c>
      <c r="B1976" s="424"/>
      <c r="C1976" s="425"/>
      <c r="D1976" s="426"/>
      <c r="E1976" s="419" t="s">
        <v>403</v>
      </c>
      <c r="F1976" s="420"/>
      <c r="G1976" s="64" t="s">
        <v>417</v>
      </c>
      <c r="H1976" s="419" t="s">
        <v>418</v>
      </c>
      <c r="I1976" s="420"/>
      <c r="K1976" s="57" t="s">
        <v>728</v>
      </c>
      <c r="L1976" s="57" t="s">
        <v>196</v>
      </c>
      <c r="S1976" s="57">
        <v>0</v>
      </c>
    </row>
    <row r="1977" spans="1:19" ht="11.85" customHeight="1" x14ac:dyDescent="0.2">
      <c r="A1977" s="57" t="s">
        <v>728</v>
      </c>
      <c r="B1977" s="424"/>
      <c r="C1977" s="425"/>
      <c r="D1977" s="426"/>
      <c r="E1977" s="419" t="s">
        <v>404</v>
      </c>
      <c r="F1977" s="420"/>
      <c r="G1977" s="64" t="s">
        <v>413</v>
      </c>
      <c r="H1977" s="419" t="s">
        <v>419</v>
      </c>
      <c r="I1977" s="420"/>
      <c r="K1977" s="57" t="s">
        <v>728</v>
      </c>
      <c r="L1977" s="57" t="s">
        <v>196</v>
      </c>
      <c r="S1977" s="57">
        <v>0</v>
      </c>
    </row>
    <row r="1978" spans="1:19" ht="11.1" customHeight="1" x14ac:dyDescent="0.2">
      <c r="A1978" s="57" t="s">
        <v>728</v>
      </c>
      <c r="B1978" s="424"/>
      <c r="C1978" s="425"/>
      <c r="D1978" s="426"/>
      <c r="E1978" s="419" t="s">
        <v>405</v>
      </c>
      <c r="F1978" s="420"/>
      <c r="G1978" s="64" t="s">
        <v>420</v>
      </c>
      <c r="H1978" s="419" t="s">
        <v>421</v>
      </c>
      <c r="I1978" s="420"/>
      <c r="K1978" s="57" t="s">
        <v>728</v>
      </c>
      <c r="L1978" s="57" t="s">
        <v>196</v>
      </c>
      <c r="S1978" s="57">
        <v>0</v>
      </c>
    </row>
    <row r="1979" spans="1:19" ht="11.85" customHeight="1" x14ac:dyDescent="0.2">
      <c r="A1979" s="57" t="s">
        <v>728</v>
      </c>
      <c r="B1979" s="424"/>
      <c r="C1979" s="425"/>
      <c r="D1979" s="426"/>
      <c r="E1979" s="419" t="s">
        <v>406</v>
      </c>
      <c r="F1979" s="420"/>
      <c r="G1979" s="64" t="s">
        <v>422</v>
      </c>
      <c r="H1979" s="419" t="s">
        <v>423</v>
      </c>
      <c r="I1979" s="420"/>
      <c r="K1979" s="57" t="s">
        <v>728</v>
      </c>
      <c r="L1979" s="57" t="s">
        <v>196</v>
      </c>
      <c r="S1979" s="65">
        <v>48.44</v>
      </c>
    </row>
    <row r="1980" spans="1:19" ht="11.85" customHeight="1" x14ac:dyDescent="0.2">
      <c r="A1980" s="57" t="s">
        <v>728</v>
      </c>
      <c r="B1980" s="416"/>
      <c r="C1980" s="417"/>
      <c r="D1980" s="418"/>
      <c r="E1980" s="419" t="s">
        <v>407</v>
      </c>
      <c r="F1980" s="420"/>
      <c r="G1980" s="64" t="s">
        <v>424</v>
      </c>
      <c r="H1980" s="419" t="s">
        <v>425</v>
      </c>
      <c r="I1980" s="420"/>
      <c r="K1980" s="57" t="s">
        <v>728</v>
      </c>
      <c r="L1980" s="57" t="s">
        <v>196</v>
      </c>
      <c r="S1980" s="57">
        <v>0</v>
      </c>
    </row>
    <row r="1981" spans="1:19" ht="11.85" customHeight="1" x14ac:dyDescent="0.2">
      <c r="A1981" s="57" t="s">
        <v>728</v>
      </c>
      <c r="B1981" s="413" t="s">
        <v>426</v>
      </c>
      <c r="C1981" s="414"/>
      <c r="D1981" s="415"/>
      <c r="E1981" s="419" t="s">
        <v>408</v>
      </c>
      <c r="F1981" s="420"/>
      <c r="G1981" s="64" t="s">
        <v>420</v>
      </c>
      <c r="H1981" s="419" t="s">
        <v>427</v>
      </c>
      <c r="I1981" s="420"/>
      <c r="K1981" s="57" t="s">
        <v>728</v>
      </c>
      <c r="L1981" s="57" t="s">
        <v>196</v>
      </c>
      <c r="S1981" s="57">
        <v>0</v>
      </c>
    </row>
    <row r="1982" spans="1:19" ht="11.1" customHeight="1" x14ac:dyDescent="0.2">
      <c r="A1982" s="57" t="s">
        <v>728</v>
      </c>
      <c r="B1982" s="424"/>
      <c r="C1982" s="425"/>
      <c r="D1982" s="426"/>
      <c r="E1982" s="419" t="s">
        <v>409</v>
      </c>
      <c r="F1982" s="420"/>
      <c r="G1982" s="64" t="s">
        <v>417</v>
      </c>
      <c r="H1982" s="419" t="s">
        <v>428</v>
      </c>
      <c r="I1982" s="420"/>
      <c r="K1982" s="57" t="s">
        <v>728</v>
      </c>
      <c r="L1982" s="57" t="s">
        <v>196</v>
      </c>
      <c r="S1982" s="57">
        <v>0</v>
      </c>
    </row>
    <row r="1983" spans="1:19" ht="11.85" customHeight="1" x14ac:dyDescent="0.2">
      <c r="A1983" s="57" t="s">
        <v>728</v>
      </c>
      <c r="B1983" s="416"/>
      <c r="C1983" s="417"/>
      <c r="D1983" s="418"/>
      <c r="E1983" s="419" t="s">
        <v>410</v>
      </c>
      <c r="F1983" s="420"/>
      <c r="G1983" s="64" t="s">
        <v>417</v>
      </c>
      <c r="H1983" s="419" t="s">
        <v>415</v>
      </c>
      <c r="I1983" s="420"/>
      <c r="K1983" s="57" t="s">
        <v>728</v>
      </c>
      <c r="L1983" s="57" t="s">
        <v>196</v>
      </c>
      <c r="S1983" s="57">
        <v>0</v>
      </c>
    </row>
    <row r="1984" spans="1:19" ht="11.85" customHeight="1" x14ac:dyDescent="0.2">
      <c r="A1984" s="57" t="s">
        <v>728</v>
      </c>
      <c r="B1984" s="62"/>
      <c r="C1984" s="411" t="s">
        <v>729</v>
      </c>
      <c r="D1984" s="412"/>
      <c r="E1984" s="412"/>
      <c r="F1984" s="412"/>
      <c r="G1984" s="412"/>
      <c r="H1984" s="412"/>
      <c r="I1984" s="411"/>
      <c r="K1984" s="57" t="s">
        <v>728</v>
      </c>
      <c r="L1984" s="57" t="s">
        <v>196</v>
      </c>
      <c r="S1984" s="57">
        <v>0</v>
      </c>
    </row>
    <row r="1985" spans="1:19" ht="11.85" customHeight="1" x14ac:dyDescent="0.2">
      <c r="A1985" s="57" t="s">
        <v>729</v>
      </c>
      <c r="B1985" s="413" t="s">
        <v>412</v>
      </c>
      <c r="C1985" s="414"/>
      <c r="D1985" s="415"/>
      <c r="E1985" s="419" t="s">
        <v>400</v>
      </c>
      <c r="F1985" s="420"/>
      <c r="G1985" s="64" t="s">
        <v>413</v>
      </c>
      <c r="H1985" s="419" t="s">
        <v>414</v>
      </c>
      <c r="I1985" s="420"/>
      <c r="K1985" s="57" t="s">
        <v>729</v>
      </c>
      <c r="L1985" s="57" t="s">
        <v>197</v>
      </c>
      <c r="S1985" s="57">
        <v>0</v>
      </c>
    </row>
    <row r="1986" spans="1:19" ht="11.1" customHeight="1" x14ac:dyDescent="0.2">
      <c r="A1986" s="57" t="s">
        <v>729</v>
      </c>
      <c r="B1986" s="416"/>
      <c r="C1986" s="417"/>
      <c r="D1986" s="418"/>
      <c r="E1986" s="419" t="s">
        <v>401</v>
      </c>
      <c r="F1986" s="420"/>
      <c r="G1986" s="64" t="s">
        <v>413</v>
      </c>
      <c r="H1986" s="419" t="s">
        <v>415</v>
      </c>
      <c r="I1986" s="420"/>
      <c r="K1986" s="57" t="s">
        <v>729</v>
      </c>
      <c r="L1986" s="57" t="s">
        <v>197</v>
      </c>
      <c r="S1986" s="57">
        <v>0</v>
      </c>
    </row>
    <row r="1987" spans="1:19" ht="11.85" customHeight="1" x14ac:dyDescent="0.2">
      <c r="A1987" s="57" t="s">
        <v>729</v>
      </c>
      <c r="B1987" s="413" t="s">
        <v>416</v>
      </c>
      <c r="C1987" s="414"/>
      <c r="D1987" s="415"/>
      <c r="E1987" s="419" t="s">
        <v>402</v>
      </c>
      <c r="F1987" s="420"/>
      <c r="G1987" s="64" t="s">
        <v>417</v>
      </c>
      <c r="H1987" s="419" t="s">
        <v>457</v>
      </c>
      <c r="I1987" s="420"/>
      <c r="K1987" s="57" t="s">
        <v>729</v>
      </c>
      <c r="L1987" s="57" t="s">
        <v>197</v>
      </c>
      <c r="S1987" s="57">
        <v>0</v>
      </c>
    </row>
    <row r="1988" spans="1:19" ht="11.85" customHeight="1" x14ac:dyDescent="0.2">
      <c r="A1988" s="57" t="s">
        <v>729</v>
      </c>
      <c r="B1988" s="424"/>
      <c r="C1988" s="425"/>
      <c r="D1988" s="426"/>
      <c r="E1988" s="419" t="s">
        <v>403</v>
      </c>
      <c r="F1988" s="420"/>
      <c r="G1988" s="64" t="s">
        <v>417</v>
      </c>
      <c r="H1988" s="419" t="s">
        <v>457</v>
      </c>
      <c r="I1988" s="420"/>
      <c r="K1988" s="57" t="s">
        <v>729</v>
      </c>
      <c r="L1988" s="57" t="s">
        <v>197</v>
      </c>
      <c r="S1988" s="57">
        <v>0</v>
      </c>
    </row>
    <row r="1989" spans="1:19" ht="11.85" customHeight="1" x14ac:dyDescent="0.2">
      <c r="A1989" s="57" t="s">
        <v>729</v>
      </c>
      <c r="B1989" s="424"/>
      <c r="C1989" s="425"/>
      <c r="D1989" s="426"/>
      <c r="E1989" s="419" t="s">
        <v>404</v>
      </c>
      <c r="F1989" s="420"/>
      <c r="G1989" s="64" t="s">
        <v>413</v>
      </c>
      <c r="H1989" s="419" t="s">
        <v>458</v>
      </c>
      <c r="I1989" s="420"/>
      <c r="K1989" s="57" t="s">
        <v>729</v>
      </c>
      <c r="L1989" s="57" t="s">
        <v>197</v>
      </c>
      <c r="S1989" s="57">
        <v>0</v>
      </c>
    </row>
    <row r="1990" spans="1:19" ht="11.1" customHeight="1" x14ac:dyDescent="0.2">
      <c r="A1990" s="57" t="s">
        <v>729</v>
      </c>
      <c r="B1990" s="424"/>
      <c r="C1990" s="425"/>
      <c r="D1990" s="426"/>
      <c r="E1990" s="419" t="s">
        <v>405</v>
      </c>
      <c r="F1990" s="420"/>
      <c r="G1990" s="64" t="s">
        <v>420</v>
      </c>
      <c r="H1990" s="419" t="s">
        <v>459</v>
      </c>
      <c r="I1990" s="420"/>
      <c r="K1990" s="57" t="s">
        <v>729</v>
      </c>
      <c r="L1990" s="57" t="s">
        <v>197</v>
      </c>
      <c r="S1990" s="57">
        <v>0</v>
      </c>
    </row>
    <row r="1991" spans="1:19" ht="11.85" customHeight="1" x14ac:dyDescent="0.2">
      <c r="A1991" s="57" t="s">
        <v>729</v>
      </c>
      <c r="B1991" s="424"/>
      <c r="C1991" s="425"/>
      <c r="D1991" s="426"/>
      <c r="E1991" s="419" t="s">
        <v>460</v>
      </c>
      <c r="F1991" s="420"/>
      <c r="G1991" s="64" t="s">
        <v>461</v>
      </c>
      <c r="H1991" s="419" t="s">
        <v>423</v>
      </c>
      <c r="I1991" s="420"/>
      <c r="K1991" s="57" t="s">
        <v>729</v>
      </c>
      <c r="L1991" s="57" t="s">
        <v>197</v>
      </c>
      <c r="S1991" s="65">
        <v>33.17</v>
      </c>
    </row>
    <row r="1992" spans="1:19" ht="11.85" customHeight="1" x14ac:dyDescent="0.2">
      <c r="A1992" s="57" t="s">
        <v>729</v>
      </c>
      <c r="B1992" s="416"/>
      <c r="C1992" s="417"/>
      <c r="D1992" s="418"/>
      <c r="E1992" s="419" t="s">
        <v>462</v>
      </c>
      <c r="F1992" s="420"/>
      <c r="G1992" s="64" t="s">
        <v>424</v>
      </c>
      <c r="H1992" s="419" t="s">
        <v>463</v>
      </c>
      <c r="I1992" s="420"/>
      <c r="K1992" s="57" t="s">
        <v>729</v>
      </c>
      <c r="L1992" s="57" t="s">
        <v>197</v>
      </c>
      <c r="S1992" s="57">
        <v>0</v>
      </c>
    </row>
    <row r="1993" spans="1:19" ht="11.85" customHeight="1" x14ac:dyDescent="0.2">
      <c r="A1993" s="57" t="s">
        <v>729</v>
      </c>
      <c r="B1993" s="413" t="s">
        <v>426</v>
      </c>
      <c r="C1993" s="414"/>
      <c r="D1993" s="415"/>
      <c r="E1993" s="419" t="s">
        <v>408</v>
      </c>
      <c r="F1993" s="420"/>
      <c r="G1993" s="64" t="s">
        <v>420</v>
      </c>
      <c r="H1993" s="419" t="s">
        <v>427</v>
      </c>
      <c r="I1993" s="420"/>
      <c r="K1993" s="57" t="s">
        <v>729</v>
      </c>
      <c r="L1993" s="57" t="s">
        <v>197</v>
      </c>
      <c r="S1993" s="57">
        <v>0</v>
      </c>
    </row>
    <row r="1994" spans="1:19" ht="11.1" customHeight="1" x14ac:dyDescent="0.2">
      <c r="A1994" s="57" t="s">
        <v>729</v>
      </c>
      <c r="B1994" s="424"/>
      <c r="C1994" s="425"/>
      <c r="D1994" s="426"/>
      <c r="E1994" s="419" t="s">
        <v>409</v>
      </c>
      <c r="F1994" s="420"/>
      <c r="G1994" s="64" t="s">
        <v>417</v>
      </c>
      <c r="H1994" s="419" t="s">
        <v>428</v>
      </c>
      <c r="I1994" s="420"/>
      <c r="K1994" s="57" t="s">
        <v>729</v>
      </c>
      <c r="L1994" s="57" t="s">
        <v>197</v>
      </c>
      <c r="S1994" s="57">
        <v>0</v>
      </c>
    </row>
    <row r="1995" spans="1:19" ht="11.85" customHeight="1" x14ac:dyDescent="0.2">
      <c r="A1995" s="57" t="s">
        <v>729</v>
      </c>
      <c r="B1995" s="416"/>
      <c r="C1995" s="417"/>
      <c r="D1995" s="418"/>
      <c r="E1995" s="419" t="s">
        <v>410</v>
      </c>
      <c r="F1995" s="420"/>
      <c r="G1995" s="64" t="s">
        <v>417</v>
      </c>
      <c r="H1995" s="419" t="s">
        <v>415</v>
      </c>
      <c r="I1995" s="420"/>
      <c r="K1995" s="57" t="s">
        <v>729</v>
      </c>
      <c r="L1995" s="57" t="s">
        <v>197</v>
      </c>
      <c r="S1995" s="57">
        <v>0</v>
      </c>
    </row>
    <row r="1996" spans="1:19" ht="11.85" customHeight="1" x14ac:dyDescent="0.2">
      <c r="A1996" s="57" t="s">
        <v>729</v>
      </c>
      <c r="B1996" s="62"/>
      <c r="C1996" s="411" t="s">
        <v>730</v>
      </c>
      <c r="D1996" s="412"/>
      <c r="E1996" s="412"/>
      <c r="F1996" s="412"/>
      <c r="G1996" s="412"/>
      <c r="H1996" s="412"/>
      <c r="I1996" s="411"/>
      <c r="K1996" s="57" t="s">
        <v>729</v>
      </c>
      <c r="L1996" s="57" t="s">
        <v>197</v>
      </c>
      <c r="S1996" s="57">
        <v>0</v>
      </c>
    </row>
    <row r="1997" spans="1:19" ht="11.85" customHeight="1" x14ac:dyDescent="0.2">
      <c r="A1997" s="57" t="s">
        <v>730</v>
      </c>
      <c r="B1997" s="413" t="s">
        <v>412</v>
      </c>
      <c r="C1997" s="414"/>
      <c r="D1997" s="415"/>
      <c r="E1997" s="419" t="s">
        <v>400</v>
      </c>
      <c r="F1997" s="420"/>
      <c r="G1997" s="64" t="s">
        <v>413</v>
      </c>
      <c r="H1997" s="419" t="s">
        <v>414</v>
      </c>
      <c r="I1997" s="420"/>
      <c r="K1997" s="57" t="s">
        <v>730</v>
      </c>
      <c r="L1997" s="57" t="s">
        <v>198</v>
      </c>
      <c r="S1997" s="57">
        <v>0</v>
      </c>
    </row>
    <row r="1998" spans="1:19" ht="11.1" customHeight="1" x14ac:dyDescent="0.2">
      <c r="A1998" s="57" t="s">
        <v>730</v>
      </c>
      <c r="B1998" s="416"/>
      <c r="C1998" s="417"/>
      <c r="D1998" s="418"/>
      <c r="E1998" s="419" t="s">
        <v>401</v>
      </c>
      <c r="F1998" s="420"/>
      <c r="G1998" s="64" t="s">
        <v>413</v>
      </c>
      <c r="H1998" s="419" t="s">
        <v>415</v>
      </c>
      <c r="I1998" s="420"/>
      <c r="K1998" s="57" t="s">
        <v>730</v>
      </c>
      <c r="L1998" s="57" t="s">
        <v>198</v>
      </c>
      <c r="S1998" s="57">
        <v>0</v>
      </c>
    </row>
    <row r="1999" spans="1:19" ht="11.85" customHeight="1" x14ac:dyDescent="0.2">
      <c r="A1999" s="57" t="s">
        <v>730</v>
      </c>
      <c r="B1999" s="413" t="s">
        <v>416</v>
      </c>
      <c r="C1999" s="414"/>
      <c r="D1999" s="415"/>
      <c r="E1999" s="419" t="s">
        <v>402</v>
      </c>
      <c r="F1999" s="420"/>
      <c r="G1999" s="64" t="s">
        <v>417</v>
      </c>
      <c r="H1999" s="419" t="s">
        <v>457</v>
      </c>
      <c r="I1999" s="420"/>
      <c r="K1999" s="57" t="s">
        <v>730</v>
      </c>
      <c r="L1999" s="57" t="s">
        <v>198</v>
      </c>
      <c r="S1999" s="57">
        <v>0</v>
      </c>
    </row>
    <row r="2000" spans="1:19" ht="11.85" customHeight="1" x14ac:dyDescent="0.2">
      <c r="A2000" s="57" t="s">
        <v>730</v>
      </c>
      <c r="B2000" s="424"/>
      <c r="C2000" s="425"/>
      <c r="D2000" s="426"/>
      <c r="E2000" s="419" t="s">
        <v>403</v>
      </c>
      <c r="F2000" s="420"/>
      <c r="G2000" s="64" t="s">
        <v>417</v>
      </c>
      <c r="H2000" s="419" t="s">
        <v>457</v>
      </c>
      <c r="I2000" s="420"/>
      <c r="K2000" s="57" t="s">
        <v>730</v>
      </c>
      <c r="L2000" s="57" t="s">
        <v>198</v>
      </c>
      <c r="S2000" s="57">
        <v>0</v>
      </c>
    </row>
    <row r="2001" spans="1:19" ht="11.85" customHeight="1" x14ac:dyDescent="0.2">
      <c r="A2001" s="57" t="s">
        <v>730</v>
      </c>
      <c r="B2001" s="424"/>
      <c r="C2001" s="425"/>
      <c r="D2001" s="426"/>
      <c r="E2001" s="419" t="s">
        <v>404</v>
      </c>
      <c r="F2001" s="420"/>
      <c r="G2001" s="64" t="s">
        <v>413</v>
      </c>
      <c r="H2001" s="419" t="s">
        <v>458</v>
      </c>
      <c r="I2001" s="420"/>
      <c r="K2001" s="57" t="s">
        <v>730</v>
      </c>
      <c r="L2001" s="57" t="s">
        <v>198</v>
      </c>
      <c r="S2001" s="57">
        <v>0</v>
      </c>
    </row>
    <row r="2002" spans="1:19" ht="11.1" customHeight="1" x14ac:dyDescent="0.2">
      <c r="A2002" s="57" t="s">
        <v>730</v>
      </c>
      <c r="B2002" s="424"/>
      <c r="C2002" s="425"/>
      <c r="D2002" s="426"/>
      <c r="E2002" s="419" t="s">
        <v>405</v>
      </c>
      <c r="F2002" s="420"/>
      <c r="G2002" s="64" t="s">
        <v>420</v>
      </c>
      <c r="H2002" s="419" t="s">
        <v>459</v>
      </c>
      <c r="I2002" s="420"/>
      <c r="K2002" s="57" t="s">
        <v>730</v>
      </c>
      <c r="L2002" s="57" t="s">
        <v>198</v>
      </c>
      <c r="S2002" s="57">
        <v>0</v>
      </c>
    </row>
    <row r="2003" spans="1:19" ht="11.85" customHeight="1" x14ac:dyDescent="0.2">
      <c r="A2003" s="57" t="s">
        <v>730</v>
      </c>
      <c r="B2003" s="424"/>
      <c r="C2003" s="425"/>
      <c r="D2003" s="426"/>
      <c r="E2003" s="419" t="s">
        <v>460</v>
      </c>
      <c r="F2003" s="420"/>
      <c r="G2003" s="64" t="s">
        <v>461</v>
      </c>
      <c r="H2003" s="419" t="s">
        <v>423</v>
      </c>
      <c r="I2003" s="420"/>
      <c r="K2003" s="57" t="s">
        <v>730</v>
      </c>
      <c r="L2003" s="57" t="s">
        <v>198</v>
      </c>
      <c r="S2003" s="65">
        <v>33.17</v>
      </c>
    </row>
    <row r="2004" spans="1:19" ht="11.85" customHeight="1" x14ac:dyDescent="0.2">
      <c r="A2004" s="57" t="s">
        <v>730</v>
      </c>
      <c r="B2004" s="416"/>
      <c r="C2004" s="417"/>
      <c r="D2004" s="418"/>
      <c r="E2004" s="419" t="s">
        <v>462</v>
      </c>
      <c r="F2004" s="420"/>
      <c r="G2004" s="64" t="s">
        <v>424</v>
      </c>
      <c r="H2004" s="419" t="s">
        <v>463</v>
      </c>
      <c r="I2004" s="420"/>
      <c r="K2004" s="57" t="s">
        <v>730</v>
      </c>
      <c r="L2004" s="57" t="s">
        <v>198</v>
      </c>
      <c r="S2004" s="57">
        <v>0</v>
      </c>
    </row>
    <row r="2005" spans="1:19" ht="11.85" customHeight="1" x14ac:dyDescent="0.2">
      <c r="A2005" s="57" t="s">
        <v>730</v>
      </c>
      <c r="B2005" s="413" t="s">
        <v>426</v>
      </c>
      <c r="C2005" s="414"/>
      <c r="D2005" s="415"/>
      <c r="E2005" s="419" t="s">
        <v>408</v>
      </c>
      <c r="F2005" s="420"/>
      <c r="G2005" s="64" t="s">
        <v>420</v>
      </c>
      <c r="H2005" s="419" t="s">
        <v>427</v>
      </c>
      <c r="I2005" s="420"/>
      <c r="K2005" s="57" t="s">
        <v>730</v>
      </c>
      <c r="L2005" s="57" t="s">
        <v>198</v>
      </c>
      <c r="S2005" s="57">
        <v>0</v>
      </c>
    </row>
    <row r="2006" spans="1:19" ht="11.1" customHeight="1" x14ac:dyDescent="0.2">
      <c r="A2006" s="57" t="s">
        <v>730</v>
      </c>
      <c r="B2006" s="424"/>
      <c r="C2006" s="425"/>
      <c r="D2006" s="426"/>
      <c r="E2006" s="419" t="s">
        <v>409</v>
      </c>
      <c r="F2006" s="420"/>
      <c r="G2006" s="64" t="s">
        <v>417</v>
      </c>
      <c r="H2006" s="419" t="s">
        <v>428</v>
      </c>
      <c r="I2006" s="420"/>
      <c r="K2006" s="57" t="s">
        <v>730</v>
      </c>
      <c r="L2006" s="57" t="s">
        <v>198</v>
      </c>
      <c r="S2006" s="57">
        <v>0</v>
      </c>
    </row>
    <row r="2007" spans="1:19" ht="11.85" customHeight="1" x14ac:dyDescent="0.2">
      <c r="A2007" s="57" t="s">
        <v>730</v>
      </c>
      <c r="B2007" s="416"/>
      <c r="C2007" s="417"/>
      <c r="D2007" s="418"/>
      <c r="E2007" s="419" t="s">
        <v>410</v>
      </c>
      <c r="F2007" s="420"/>
      <c r="G2007" s="64" t="s">
        <v>417</v>
      </c>
      <c r="H2007" s="419" t="s">
        <v>415</v>
      </c>
      <c r="I2007" s="420"/>
      <c r="K2007" s="57" t="s">
        <v>730</v>
      </c>
      <c r="L2007" s="57" t="s">
        <v>198</v>
      </c>
      <c r="S2007" s="57">
        <v>0</v>
      </c>
    </row>
    <row r="2008" spans="1:19" ht="11.85" customHeight="1" x14ac:dyDescent="0.2">
      <c r="A2008" s="57" t="s">
        <v>730</v>
      </c>
      <c r="B2008" s="62"/>
      <c r="C2008" s="411" t="s">
        <v>731</v>
      </c>
      <c r="D2008" s="412"/>
      <c r="E2008" s="412"/>
      <c r="F2008" s="412"/>
      <c r="G2008" s="412"/>
      <c r="H2008" s="412"/>
      <c r="I2008" s="411"/>
      <c r="K2008" s="57" t="s">
        <v>730</v>
      </c>
      <c r="L2008" s="57" t="s">
        <v>198</v>
      </c>
      <c r="S2008" s="57">
        <v>0</v>
      </c>
    </row>
    <row r="2009" spans="1:19" ht="11.85" customHeight="1" x14ac:dyDescent="0.2">
      <c r="A2009" s="57" t="s">
        <v>731</v>
      </c>
      <c r="B2009" s="413" t="s">
        <v>412</v>
      </c>
      <c r="C2009" s="427"/>
      <c r="D2009" s="428"/>
      <c r="E2009" s="419" t="s">
        <v>400</v>
      </c>
      <c r="F2009" s="420"/>
      <c r="G2009" s="64" t="s">
        <v>413</v>
      </c>
      <c r="H2009" s="419" t="s">
        <v>414</v>
      </c>
      <c r="I2009" s="420"/>
      <c r="K2009" s="57" t="s">
        <v>731</v>
      </c>
      <c r="L2009" s="57" t="s">
        <v>199</v>
      </c>
      <c r="S2009" s="57">
        <v>0</v>
      </c>
    </row>
    <row r="2010" spans="1:19" ht="11.85" customHeight="1" x14ac:dyDescent="0.2">
      <c r="A2010" s="57" t="s">
        <v>731</v>
      </c>
      <c r="B2010" s="413" t="s">
        <v>412</v>
      </c>
      <c r="C2010" s="427"/>
      <c r="D2010" s="428"/>
      <c r="E2010" s="419" t="s">
        <v>401</v>
      </c>
      <c r="F2010" s="420"/>
      <c r="G2010" s="64" t="s">
        <v>413</v>
      </c>
      <c r="H2010" s="419" t="s">
        <v>415</v>
      </c>
      <c r="I2010" s="420"/>
      <c r="K2010" s="57" t="s">
        <v>731</v>
      </c>
      <c r="L2010" s="57" t="s">
        <v>199</v>
      </c>
      <c r="S2010" s="57">
        <v>0</v>
      </c>
    </row>
    <row r="2011" spans="1:19" ht="11.85" customHeight="1" x14ac:dyDescent="0.2">
      <c r="A2011" s="57" t="s">
        <v>731</v>
      </c>
      <c r="B2011" s="413" t="s">
        <v>416</v>
      </c>
      <c r="C2011" s="414"/>
      <c r="D2011" s="415"/>
      <c r="E2011" s="419" t="s">
        <v>402</v>
      </c>
      <c r="F2011" s="420"/>
      <c r="G2011" s="64" t="s">
        <v>417</v>
      </c>
      <c r="H2011" s="419" t="s">
        <v>457</v>
      </c>
      <c r="I2011" s="420"/>
      <c r="K2011" s="57" t="s">
        <v>731</v>
      </c>
      <c r="L2011" s="57" t="s">
        <v>199</v>
      </c>
      <c r="S2011" s="57">
        <v>0</v>
      </c>
    </row>
    <row r="2012" spans="1:19" ht="11.85" customHeight="1" x14ac:dyDescent="0.2">
      <c r="A2012" s="57" t="s">
        <v>731</v>
      </c>
      <c r="B2012" s="424"/>
      <c r="C2012" s="425"/>
      <c r="D2012" s="426"/>
      <c r="E2012" s="419" t="s">
        <v>403</v>
      </c>
      <c r="F2012" s="420"/>
      <c r="G2012" s="64" t="s">
        <v>417</v>
      </c>
      <c r="H2012" s="419" t="s">
        <v>457</v>
      </c>
      <c r="I2012" s="420"/>
      <c r="K2012" s="57" t="s">
        <v>731</v>
      </c>
      <c r="L2012" s="57" t="s">
        <v>199</v>
      </c>
      <c r="S2012" s="57">
        <v>0</v>
      </c>
    </row>
    <row r="2013" spans="1:19" ht="11.1" customHeight="1" x14ac:dyDescent="0.2">
      <c r="A2013" s="57" t="s">
        <v>731</v>
      </c>
      <c r="B2013" s="424"/>
      <c r="C2013" s="425"/>
      <c r="D2013" s="426"/>
      <c r="E2013" s="419" t="s">
        <v>404</v>
      </c>
      <c r="F2013" s="420"/>
      <c r="G2013" s="64" t="s">
        <v>413</v>
      </c>
      <c r="H2013" s="419" t="s">
        <v>458</v>
      </c>
      <c r="I2013" s="420"/>
      <c r="K2013" s="57" t="s">
        <v>731</v>
      </c>
      <c r="L2013" s="57" t="s">
        <v>199</v>
      </c>
      <c r="S2013" s="57">
        <v>0</v>
      </c>
    </row>
    <row r="2014" spans="1:19" ht="11.85" customHeight="1" x14ac:dyDescent="0.2">
      <c r="A2014" s="57" t="s">
        <v>731</v>
      </c>
      <c r="B2014" s="424"/>
      <c r="C2014" s="425"/>
      <c r="D2014" s="426"/>
      <c r="E2014" s="419" t="s">
        <v>405</v>
      </c>
      <c r="F2014" s="420"/>
      <c r="G2014" s="64" t="s">
        <v>420</v>
      </c>
      <c r="H2014" s="419" t="s">
        <v>459</v>
      </c>
      <c r="I2014" s="420"/>
      <c r="K2014" s="57" t="s">
        <v>731</v>
      </c>
      <c r="L2014" s="57" t="s">
        <v>199</v>
      </c>
      <c r="S2014" s="57">
        <v>0</v>
      </c>
    </row>
    <row r="2015" spans="1:19" ht="11.85" customHeight="1" x14ac:dyDescent="0.2">
      <c r="A2015" s="57" t="s">
        <v>731</v>
      </c>
      <c r="B2015" s="424"/>
      <c r="C2015" s="425"/>
      <c r="D2015" s="426"/>
      <c r="E2015" s="419" t="s">
        <v>460</v>
      </c>
      <c r="F2015" s="420"/>
      <c r="G2015" s="64" t="s">
        <v>461</v>
      </c>
      <c r="H2015" s="419" t="s">
        <v>423</v>
      </c>
      <c r="I2015" s="420"/>
      <c r="K2015" s="57" t="s">
        <v>731</v>
      </c>
      <c r="L2015" s="57" t="s">
        <v>199</v>
      </c>
      <c r="S2015" s="65">
        <v>33.17</v>
      </c>
    </row>
    <row r="2016" spans="1:19" ht="11.85" customHeight="1" x14ac:dyDescent="0.2">
      <c r="A2016" s="57" t="s">
        <v>731</v>
      </c>
      <c r="B2016" s="416"/>
      <c r="C2016" s="417"/>
      <c r="D2016" s="418"/>
      <c r="E2016" s="419" t="s">
        <v>462</v>
      </c>
      <c r="F2016" s="420"/>
      <c r="G2016" s="64" t="s">
        <v>424</v>
      </c>
      <c r="H2016" s="419" t="s">
        <v>463</v>
      </c>
      <c r="I2016" s="420"/>
      <c r="K2016" s="57" t="s">
        <v>731</v>
      </c>
      <c r="L2016" s="57" t="s">
        <v>199</v>
      </c>
      <c r="S2016" s="57">
        <v>0</v>
      </c>
    </row>
    <row r="2017" spans="1:19" ht="11.1" customHeight="1" x14ac:dyDescent="0.2">
      <c r="A2017" s="57" t="s">
        <v>731</v>
      </c>
      <c r="B2017" s="413" t="s">
        <v>426</v>
      </c>
      <c r="C2017" s="414"/>
      <c r="D2017" s="415"/>
      <c r="E2017" s="419" t="s">
        <v>408</v>
      </c>
      <c r="F2017" s="420"/>
      <c r="G2017" s="64" t="s">
        <v>420</v>
      </c>
      <c r="H2017" s="419" t="s">
        <v>427</v>
      </c>
      <c r="I2017" s="420"/>
      <c r="K2017" s="57" t="s">
        <v>731</v>
      </c>
      <c r="L2017" s="57" t="s">
        <v>199</v>
      </c>
      <c r="S2017" s="57">
        <v>0</v>
      </c>
    </row>
    <row r="2018" spans="1:19" ht="11.85" customHeight="1" x14ac:dyDescent="0.2">
      <c r="A2018" s="57" t="s">
        <v>731</v>
      </c>
      <c r="B2018" s="424"/>
      <c r="C2018" s="425"/>
      <c r="D2018" s="426"/>
      <c r="E2018" s="419" t="s">
        <v>409</v>
      </c>
      <c r="F2018" s="420"/>
      <c r="G2018" s="64" t="s">
        <v>417</v>
      </c>
      <c r="H2018" s="419" t="s">
        <v>428</v>
      </c>
      <c r="I2018" s="420"/>
      <c r="K2018" s="57" t="s">
        <v>731</v>
      </c>
      <c r="L2018" s="57" t="s">
        <v>199</v>
      </c>
      <c r="S2018" s="57">
        <v>0</v>
      </c>
    </row>
    <row r="2019" spans="1:19" ht="11.85" customHeight="1" x14ac:dyDescent="0.2">
      <c r="A2019" s="57" t="s">
        <v>731</v>
      </c>
      <c r="B2019" s="416"/>
      <c r="C2019" s="417"/>
      <c r="D2019" s="418"/>
      <c r="E2019" s="419" t="s">
        <v>410</v>
      </c>
      <c r="F2019" s="420"/>
      <c r="G2019" s="64" t="s">
        <v>417</v>
      </c>
      <c r="H2019" s="419" t="s">
        <v>415</v>
      </c>
      <c r="I2019" s="420"/>
      <c r="K2019" s="57" t="s">
        <v>731</v>
      </c>
      <c r="L2019" s="57" t="s">
        <v>199</v>
      </c>
      <c r="S2019" s="57">
        <v>0</v>
      </c>
    </row>
    <row r="2020" spans="1:19" ht="11.85" customHeight="1" x14ac:dyDescent="0.2">
      <c r="A2020" s="57" t="s">
        <v>731</v>
      </c>
      <c r="B2020" s="62"/>
      <c r="C2020" s="411" t="s">
        <v>732</v>
      </c>
      <c r="D2020" s="412"/>
      <c r="E2020" s="412"/>
      <c r="F2020" s="412"/>
      <c r="G2020" s="412"/>
      <c r="H2020" s="412"/>
      <c r="I2020" s="411"/>
      <c r="K2020" s="57" t="s">
        <v>731</v>
      </c>
      <c r="L2020" s="57" t="s">
        <v>199</v>
      </c>
      <c r="S2020" s="57">
        <v>0</v>
      </c>
    </row>
    <row r="2021" spans="1:19" ht="11.1" customHeight="1" x14ac:dyDescent="0.2">
      <c r="A2021" s="57" t="s">
        <v>732</v>
      </c>
      <c r="B2021" s="413" t="s">
        <v>412</v>
      </c>
      <c r="C2021" s="414"/>
      <c r="D2021" s="415"/>
      <c r="E2021" s="419" t="s">
        <v>400</v>
      </c>
      <c r="F2021" s="420"/>
      <c r="G2021" s="64" t="s">
        <v>413</v>
      </c>
      <c r="H2021" s="419" t="s">
        <v>414</v>
      </c>
      <c r="I2021" s="420"/>
      <c r="K2021" s="57" t="s">
        <v>732</v>
      </c>
      <c r="L2021" s="57" t="s">
        <v>200</v>
      </c>
      <c r="S2021" s="57">
        <v>0</v>
      </c>
    </row>
    <row r="2022" spans="1:19" ht="11.85" customHeight="1" x14ac:dyDescent="0.2">
      <c r="A2022" s="57" t="s">
        <v>732</v>
      </c>
      <c r="B2022" s="416"/>
      <c r="C2022" s="417"/>
      <c r="D2022" s="418"/>
      <c r="E2022" s="419" t="s">
        <v>401</v>
      </c>
      <c r="F2022" s="420"/>
      <c r="G2022" s="64" t="s">
        <v>413</v>
      </c>
      <c r="H2022" s="419" t="s">
        <v>415</v>
      </c>
      <c r="I2022" s="420"/>
      <c r="K2022" s="57" t="s">
        <v>732</v>
      </c>
      <c r="L2022" s="57" t="s">
        <v>200</v>
      </c>
      <c r="S2022" s="57">
        <v>0</v>
      </c>
    </row>
    <row r="2023" spans="1:19" ht="11.85" customHeight="1" x14ac:dyDescent="0.2">
      <c r="A2023" s="57" t="s">
        <v>732</v>
      </c>
      <c r="B2023" s="413" t="s">
        <v>416</v>
      </c>
      <c r="C2023" s="414"/>
      <c r="D2023" s="415"/>
      <c r="E2023" s="419" t="s">
        <v>402</v>
      </c>
      <c r="F2023" s="420"/>
      <c r="G2023" s="64" t="s">
        <v>417</v>
      </c>
      <c r="H2023" s="419" t="s">
        <v>457</v>
      </c>
      <c r="I2023" s="420"/>
      <c r="K2023" s="57" t="s">
        <v>732</v>
      </c>
      <c r="L2023" s="57" t="s">
        <v>200</v>
      </c>
      <c r="S2023" s="57">
        <v>0</v>
      </c>
    </row>
    <row r="2024" spans="1:19" ht="11.85" customHeight="1" x14ac:dyDescent="0.2">
      <c r="A2024" s="57" t="s">
        <v>732</v>
      </c>
      <c r="B2024" s="424"/>
      <c r="C2024" s="425"/>
      <c r="D2024" s="426"/>
      <c r="E2024" s="419" t="s">
        <v>403</v>
      </c>
      <c r="F2024" s="420"/>
      <c r="G2024" s="64" t="s">
        <v>417</v>
      </c>
      <c r="H2024" s="419" t="s">
        <v>457</v>
      </c>
      <c r="I2024" s="420"/>
      <c r="K2024" s="57" t="s">
        <v>732</v>
      </c>
      <c r="L2024" s="57" t="s">
        <v>200</v>
      </c>
      <c r="S2024" s="57">
        <v>0</v>
      </c>
    </row>
    <row r="2025" spans="1:19" ht="11.1" customHeight="1" x14ac:dyDescent="0.2">
      <c r="A2025" s="57" t="s">
        <v>732</v>
      </c>
      <c r="B2025" s="424"/>
      <c r="C2025" s="425"/>
      <c r="D2025" s="426"/>
      <c r="E2025" s="419" t="s">
        <v>404</v>
      </c>
      <c r="F2025" s="420"/>
      <c r="G2025" s="64" t="s">
        <v>413</v>
      </c>
      <c r="H2025" s="419" t="s">
        <v>458</v>
      </c>
      <c r="I2025" s="420"/>
      <c r="K2025" s="57" t="s">
        <v>732</v>
      </c>
      <c r="L2025" s="57" t="s">
        <v>200</v>
      </c>
      <c r="S2025" s="57">
        <v>0</v>
      </c>
    </row>
    <row r="2026" spans="1:19" ht="11.85" customHeight="1" x14ac:dyDescent="0.2">
      <c r="A2026" s="57" t="s">
        <v>732</v>
      </c>
      <c r="B2026" s="424"/>
      <c r="C2026" s="425"/>
      <c r="D2026" s="426"/>
      <c r="E2026" s="419" t="s">
        <v>405</v>
      </c>
      <c r="F2026" s="420"/>
      <c r="G2026" s="64" t="s">
        <v>420</v>
      </c>
      <c r="H2026" s="419" t="s">
        <v>459</v>
      </c>
      <c r="I2026" s="420"/>
      <c r="K2026" s="57" t="s">
        <v>732</v>
      </c>
      <c r="L2026" s="57" t="s">
        <v>200</v>
      </c>
      <c r="S2026" s="57">
        <v>0</v>
      </c>
    </row>
    <row r="2027" spans="1:19" ht="11.85" customHeight="1" x14ac:dyDescent="0.2">
      <c r="A2027" s="57" t="s">
        <v>732</v>
      </c>
      <c r="B2027" s="424"/>
      <c r="C2027" s="425"/>
      <c r="D2027" s="426"/>
      <c r="E2027" s="419" t="s">
        <v>460</v>
      </c>
      <c r="F2027" s="420"/>
      <c r="G2027" s="64" t="s">
        <v>461</v>
      </c>
      <c r="H2027" s="419" t="s">
        <v>423</v>
      </c>
      <c r="I2027" s="420"/>
      <c r="K2027" s="57" t="s">
        <v>732</v>
      </c>
      <c r="L2027" s="57" t="s">
        <v>200</v>
      </c>
      <c r="S2027" s="65">
        <v>33.17</v>
      </c>
    </row>
    <row r="2028" spans="1:19" ht="11.85" customHeight="1" x14ac:dyDescent="0.2">
      <c r="A2028" s="57" t="s">
        <v>732</v>
      </c>
      <c r="B2028" s="416"/>
      <c r="C2028" s="417"/>
      <c r="D2028" s="418"/>
      <c r="E2028" s="419" t="s">
        <v>462</v>
      </c>
      <c r="F2028" s="420"/>
      <c r="G2028" s="64" t="s">
        <v>424</v>
      </c>
      <c r="H2028" s="419" t="s">
        <v>463</v>
      </c>
      <c r="I2028" s="420"/>
      <c r="K2028" s="57" t="s">
        <v>732</v>
      </c>
      <c r="L2028" s="57" t="s">
        <v>200</v>
      </c>
      <c r="S2028" s="57">
        <v>0</v>
      </c>
    </row>
    <row r="2029" spans="1:19" ht="11.1" customHeight="1" x14ac:dyDescent="0.2">
      <c r="A2029" s="57" t="s">
        <v>732</v>
      </c>
      <c r="B2029" s="413" t="s">
        <v>426</v>
      </c>
      <c r="C2029" s="414"/>
      <c r="D2029" s="415"/>
      <c r="E2029" s="419" t="s">
        <v>408</v>
      </c>
      <c r="F2029" s="420"/>
      <c r="G2029" s="64" t="s">
        <v>420</v>
      </c>
      <c r="H2029" s="419" t="s">
        <v>427</v>
      </c>
      <c r="I2029" s="420"/>
      <c r="K2029" s="57" t="s">
        <v>732</v>
      </c>
      <c r="L2029" s="57" t="s">
        <v>200</v>
      </c>
      <c r="S2029" s="57">
        <v>0</v>
      </c>
    </row>
    <row r="2030" spans="1:19" ht="11.85" customHeight="1" x14ac:dyDescent="0.2">
      <c r="A2030" s="57" t="s">
        <v>732</v>
      </c>
      <c r="B2030" s="424"/>
      <c r="C2030" s="425"/>
      <c r="D2030" s="426"/>
      <c r="E2030" s="419" t="s">
        <v>409</v>
      </c>
      <c r="F2030" s="420"/>
      <c r="G2030" s="64" t="s">
        <v>417</v>
      </c>
      <c r="H2030" s="419" t="s">
        <v>428</v>
      </c>
      <c r="I2030" s="420"/>
      <c r="K2030" s="57" t="s">
        <v>732</v>
      </c>
      <c r="L2030" s="57" t="s">
        <v>200</v>
      </c>
      <c r="S2030" s="57">
        <v>0</v>
      </c>
    </row>
    <row r="2031" spans="1:19" ht="11.85" customHeight="1" x14ac:dyDescent="0.2">
      <c r="A2031" s="57" t="s">
        <v>732</v>
      </c>
      <c r="B2031" s="416"/>
      <c r="C2031" s="417"/>
      <c r="D2031" s="418"/>
      <c r="E2031" s="419" t="s">
        <v>410</v>
      </c>
      <c r="F2031" s="420"/>
      <c r="G2031" s="64" t="s">
        <v>417</v>
      </c>
      <c r="H2031" s="419" t="s">
        <v>415</v>
      </c>
      <c r="I2031" s="420"/>
      <c r="K2031" s="57" t="s">
        <v>732</v>
      </c>
      <c r="L2031" s="57" t="s">
        <v>200</v>
      </c>
      <c r="S2031" s="57">
        <v>0</v>
      </c>
    </row>
    <row r="2032" spans="1:19" ht="11.85" customHeight="1" x14ac:dyDescent="0.2">
      <c r="A2032" s="57" t="s">
        <v>732</v>
      </c>
      <c r="B2032" s="62"/>
      <c r="C2032" s="411" t="s">
        <v>733</v>
      </c>
      <c r="D2032" s="412"/>
      <c r="E2032" s="412"/>
      <c r="F2032" s="412"/>
      <c r="G2032" s="412"/>
      <c r="H2032" s="412"/>
      <c r="I2032" s="411"/>
      <c r="K2032" s="57" t="s">
        <v>732</v>
      </c>
      <c r="L2032" s="57" t="s">
        <v>200</v>
      </c>
      <c r="S2032" s="57">
        <v>0</v>
      </c>
    </row>
    <row r="2033" spans="1:19" ht="11.1" customHeight="1" x14ac:dyDescent="0.2">
      <c r="A2033" s="57" t="s">
        <v>733</v>
      </c>
      <c r="B2033" s="413" t="s">
        <v>412</v>
      </c>
      <c r="C2033" s="414"/>
      <c r="D2033" s="415"/>
      <c r="E2033" s="419" t="s">
        <v>400</v>
      </c>
      <c r="F2033" s="420"/>
      <c r="G2033" s="64" t="s">
        <v>413</v>
      </c>
      <c r="H2033" s="419" t="s">
        <v>414</v>
      </c>
      <c r="I2033" s="420"/>
      <c r="K2033" s="57" t="s">
        <v>733</v>
      </c>
      <c r="L2033" s="57" t="s">
        <v>201</v>
      </c>
      <c r="S2033" s="57">
        <v>0</v>
      </c>
    </row>
    <row r="2034" spans="1:19" ht="11.85" customHeight="1" x14ac:dyDescent="0.2">
      <c r="A2034" s="57" t="s">
        <v>733</v>
      </c>
      <c r="B2034" s="416"/>
      <c r="C2034" s="417"/>
      <c r="D2034" s="418"/>
      <c r="E2034" s="419" t="s">
        <v>401</v>
      </c>
      <c r="F2034" s="420"/>
      <c r="G2034" s="64" t="s">
        <v>413</v>
      </c>
      <c r="H2034" s="419" t="s">
        <v>415</v>
      </c>
      <c r="I2034" s="420"/>
      <c r="K2034" s="57" t="s">
        <v>733</v>
      </c>
      <c r="L2034" s="57" t="s">
        <v>201</v>
      </c>
      <c r="S2034" s="57">
        <v>0</v>
      </c>
    </row>
    <row r="2035" spans="1:19" ht="11.85" customHeight="1" x14ac:dyDescent="0.2">
      <c r="A2035" s="57" t="s">
        <v>733</v>
      </c>
      <c r="B2035" s="413" t="s">
        <v>416</v>
      </c>
      <c r="C2035" s="414"/>
      <c r="D2035" s="415"/>
      <c r="E2035" s="419" t="s">
        <v>402</v>
      </c>
      <c r="F2035" s="420"/>
      <c r="G2035" s="64" t="s">
        <v>417</v>
      </c>
      <c r="H2035" s="419" t="s">
        <v>457</v>
      </c>
      <c r="I2035" s="420"/>
      <c r="K2035" s="57" t="s">
        <v>733</v>
      </c>
      <c r="L2035" s="57" t="s">
        <v>201</v>
      </c>
      <c r="S2035" s="57">
        <v>0</v>
      </c>
    </row>
    <row r="2036" spans="1:19" ht="11.85" customHeight="1" x14ac:dyDescent="0.2">
      <c r="A2036" s="57" t="s">
        <v>733</v>
      </c>
      <c r="B2036" s="424"/>
      <c r="C2036" s="425"/>
      <c r="D2036" s="426"/>
      <c r="E2036" s="419" t="s">
        <v>403</v>
      </c>
      <c r="F2036" s="420"/>
      <c r="G2036" s="64" t="s">
        <v>417</v>
      </c>
      <c r="H2036" s="419" t="s">
        <v>457</v>
      </c>
      <c r="I2036" s="420"/>
      <c r="K2036" s="57" t="s">
        <v>733</v>
      </c>
      <c r="L2036" s="57" t="s">
        <v>201</v>
      </c>
      <c r="S2036" s="57">
        <v>0</v>
      </c>
    </row>
    <row r="2037" spans="1:19" ht="11.1" customHeight="1" x14ac:dyDescent="0.2">
      <c r="A2037" s="57" t="s">
        <v>733</v>
      </c>
      <c r="B2037" s="424"/>
      <c r="C2037" s="425"/>
      <c r="D2037" s="426"/>
      <c r="E2037" s="419" t="s">
        <v>404</v>
      </c>
      <c r="F2037" s="420"/>
      <c r="G2037" s="64" t="s">
        <v>413</v>
      </c>
      <c r="H2037" s="419" t="s">
        <v>458</v>
      </c>
      <c r="I2037" s="420"/>
      <c r="K2037" s="57" t="s">
        <v>733</v>
      </c>
      <c r="L2037" s="57" t="s">
        <v>201</v>
      </c>
      <c r="S2037" s="57">
        <v>0</v>
      </c>
    </row>
    <row r="2038" spans="1:19" ht="11.85" customHeight="1" x14ac:dyDescent="0.2">
      <c r="A2038" s="57" t="s">
        <v>733</v>
      </c>
      <c r="B2038" s="424"/>
      <c r="C2038" s="425"/>
      <c r="D2038" s="426"/>
      <c r="E2038" s="419" t="s">
        <v>405</v>
      </c>
      <c r="F2038" s="420"/>
      <c r="G2038" s="64" t="s">
        <v>420</v>
      </c>
      <c r="H2038" s="419" t="s">
        <v>459</v>
      </c>
      <c r="I2038" s="420"/>
      <c r="K2038" s="57" t="s">
        <v>733</v>
      </c>
      <c r="L2038" s="57" t="s">
        <v>201</v>
      </c>
      <c r="S2038" s="57">
        <v>0</v>
      </c>
    </row>
    <row r="2039" spans="1:19" ht="11.85" customHeight="1" x14ac:dyDescent="0.2">
      <c r="A2039" s="57" t="s">
        <v>733</v>
      </c>
      <c r="B2039" s="424"/>
      <c r="C2039" s="425"/>
      <c r="D2039" s="426"/>
      <c r="E2039" s="419" t="s">
        <v>460</v>
      </c>
      <c r="F2039" s="420"/>
      <c r="G2039" s="64" t="s">
        <v>461</v>
      </c>
      <c r="H2039" s="419" t="s">
        <v>423</v>
      </c>
      <c r="I2039" s="420"/>
      <c r="K2039" s="57" t="s">
        <v>733</v>
      </c>
      <c r="L2039" s="57" t="s">
        <v>201</v>
      </c>
      <c r="S2039" s="65">
        <v>33.17</v>
      </c>
    </row>
    <row r="2040" spans="1:19" ht="11.85" customHeight="1" x14ac:dyDescent="0.2">
      <c r="A2040" s="57" t="s">
        <v>733</v>
      </c>
      <c r="B2040" s="416"/>
      <c r="C2040" s="417"/>
      <c r="D2040" s="418"/>
      <c r="E2040" s="419" t="s">
        <v>462</v>
      </c>
      <c r="F2040" s="420"/>
      <c r="G2040" s="64" t="s">
        <v>424</v>
      </c>
      <c r="H2040" s="419" t="s">
        <v>463</v>
      </c>
      <c r="I2040" s="420"/>
      <c r="K2040" s="57" t="s">
        <v>733</v>
      </c>
      <c r="L2040" s="57" t="s">
        <v>201</v>
      </c>
      <c r="S2040" s="57">
        <v>0</v>
      </c>
    </row>
    <row r="2041" spans="1:19" ht="11.1" customHeight="1" x14ac:dyDescent="0.2">
      <c r="A2041" s="57" t="s">
        <v>733</v>
      </c>
      <c r="B2041" s="413" t="s">
        <v>426</v>
      </c>
      <c r="C2041" s="414"/>
      <c r="D2041" s="415"/>
      <c r="E2041" s="419" t="s">
        <v>408</v>
      </c>
      <c r="F2041" s="420"/>
      <c r="G2041" s="64" t="s">
        <v>420</v>
      </c>
      <c r="H2041" s="419" t="s">
        <v>427</v>
      </c>
      <c r="I2041" s="420"/>
      <c r="K2041" s="57" t="s">
        <v>733</v>
      </c>
      <c r="L2041" s="57" t="s">
        <v>201</v>
      </c>
      <c r="S2041" s="57">
        <v>0</v>
      </c>
    </row>
    <row r="2042" spans="1:19" ht="11.85" customHeight="1" x14ac:dyDescent="0.2">
      <c r="A2042" s="57" t="s">
        <v>733</v>
      </c>
      <c r="B2042" s="424"/>
      <c r="C2042" s="425"/>
      <c r="D2042" s="426"/>
      <c r="E2042" s="419" t="s">
        <v>409</v>
      </c>
      <c r="F2042" s="420"/>
      <c r="G2042" s="64" t="s">
        <v>417</v>
      </c>
      <c r="H2042" s="419" t="s">
        <v>428</v>
      </c>
      <c r="I2042" s="420"/>
      <c r="K2042" s="57" t="s">
        <v>733</v>
      </c>
      <c r="L2042" s="57" t="s">
        <v>201</v>
      </c>
      <c r="S2042" s="57">
        <v>0</v>
      </c>
    </row>
    <row r="2043" spans="1:19" ht="11.85" customHeight="1" x14ac:dyDescent="0.2">
      <c r="A2043" s="57" t="s">
        <v>733</v>
      </c>
      <c r="B2043" s="416"/>
      <c r="C2043" s="417"/>
      <c r="D2043" s="418"/>
      <c r="E2043" s="419" t="s">
        <v>410</v>
      </c>
      <c r="F2043" s="420"/>
      <c r="G2043" s="64" t="s">
        <v>417</v>
      </c>
      <c r="H2043" s="419" t="s">
        <v>415</v>
      </c>
      <c r="I2043" s="420"/>
      <c r="K2043" s="57" t="s">
        <v>733</v>
      </c>
      <c r="L2043" s="57" t="s">
        <v>201</v>
      </c>
      <c r="S2043" s="57">
        <v>0</v>
      </c>
    </row>
    <row r="2044" spans="1:19" ht="11.85" customHeight="1" x14ac:dyDescent="0.2">
      <c r="A2044" s="57" t="s">
        <v>733</v>
      </c>
      <c r="B2044" s="62"/>
      <c r="C2044" s="411" t="s">
        <v>734</v>
      </c>
      <c r="D2044" s="412"/>
      <c r="E2044" s="412"/>
      <c r="F2044" s="412"/>
      <c r="G2044" s="412"/>
      <c r="H2044" s="412"/>
      <c r="I2044" s="411"/>
      <c r="K2044" s="57" t="s">
        <v>733</v>
      </c>
      <c r="L2044" s="57" t="s">
        <v>201</v>
      </c>
      <c r="S2044" s="57">
        <v>0</v>
      </c>
    </row>
    <row r="2045" spans="1:19" ht="11.1" customHeight="1" x14ac:dyDescent="0.2">
      <c r="A2045" s="57" t="s">
        <v>734</v>
      </c>
      <c r="B2045" s="413" t="s">
        <v>412</v>
      </c>
      <c r="C2045" s="414"/>
      <c r="D2045" s="415"/>
      <c r="E2045" s="419" t="s">
        <v>400</v>
      </c>
      <c r="F2045" s="420"/>
      <c r="G2045" s="64" t="s">
        <v>413</v>
      </c>
      <c r="H2045" s="419" t="s">
        <v>414</v>
      </c>
      <c r="I2045" s="420"/>
      <c r="K2045" s="57" t="s">
        <v>734</v>
      </c>
      <c r="L2045" s="57" t="s">
        <v>202</v>
      </c>
      <c r="S2045" s="57">
        <v>0</v>
      </c>
    </row>
    <row r="2046" spans="1:19" ht="11.85" customHeight="1" x14ac:dyDescent="0.2">
      <c r="A2046" s="57" t="s">
        <v>734</v>
      </c>
      <c r="B2046" s="416"/>
      <c r="C2046" s="417"/>
      <c r="D2046" s="418"/>
      <c r="E2046" s="419" t="s">
        <v>401</v>
      </c>
      <c r="F2046" s="420"/>
      <c r="G2046" s="64" t="s">
        <v>413</v>
      </c>
      <c r="H2046" s="419" t="s">
        <v>415</v>
      </c>
      <c r="I2046" s="420"/>
      <c r="K2046" s="57" t="s">
        <v>734</v>
      </c>
      <c r="L2046" s="57" t="s">
        <v>202</v>
      </c>
      <c r="S2046" s="57">
        <v>0</v>
      </c>
    </row>
    <row r="2047" spans="1:19" ht="11.85" customHeight="1" x14ac:dyDescent="0.2">
      <c r="A2047" s="57" t="s">
        <v>734</v>
      </c>
      <c r="B2047" s="413" t="s">
        <v>416</v>
      </c>
      <c r="C2047" s="414"/>
      <c r="D2047" s="415"/>
      <c r="E2047" s="419" t="s">
        <v>402</v>
      </c>
      <c r="F2047" s="420"/>
      <c r="G2047" s="64" t="s">
        <v>417</v>
      </c>
      <c r="H2047" s="419" t="s">
        <v>457</v>
      </c>
      <c r="I2047" s="420"/>
      <c r="K2047" s="57" t="s">
        <v>734</v>
      </c>
      <c r="L2047" s="57" t="s">
        <v>202</v>
      </c>
      <c r="S2047" s="57">
        <v>0</v>
      </c>
    </row>
    <row r="2048" spans="1:19" ht="11.85" customHeight="1" x14ac:dyDescent="0.2">
      <c r="A2048" s="57" t="s">
        <v>734</v>
      </c>
      <c r="B2048" s="424"/>
      <c r="C2048" s="425"/>
      <c r="D2048" s="426"/>
      <c r="E2048" s="419" t="s">
        <v>403</v>
      </c>
      <c r="F2048" s="420"/>
      <c r="G2048" s="64" t="s">
        <v>417</v>
      </c>
      <c r="H2048" s="419" t="s">
        <v>457</v>
      </c>
      <c r="I2048" s="420"/>
      <c r="K2048" s="57" t="s">
        <v>734</v>
      </c>
      <c r="L2048" s="57" t="s">
        <v>202</v>
      </c>
      <c r="S2048" s="57">
        <v>0</v>
      </c>
    </row>
    <row r="2049" spans="1:19" ht="11.1" customHeight="1" x14ac:dyDescent="0.2">
      <c r="A2049" s="57" t="s">
        <v>734</v>
      </c>
      <c r="B2049" s="424"/>
      <c r="C2049" s="425"/>
      <c r="D2049" s="426"/>
      <c r="E2049" s="419" t="s">
        <v>404</v>
      </c>
      <c r="F2049" s="420"/>
      <c r="G2049" s="64" t="s">
        <v>413</v>
      </c>
      <c r="H2049" s="419" t="s">
        <v>458</v>
      </c>
      <c r="I2049" s="420"/>
      <c r="K2049" s="57" t="s">
        <v>734</v>
      </c>
      <c r="L2049" s="57" t="s">
        <v>202</v>
      </c>
      <c r="S2049" s="57">
        <v>0</v>
      </c>
    </row>
    <row r="2050" spans="1:19" ht="11.85" customHeight="1" x14ac:dyDescent="0.2">
      <c r="A2050" s="57" t="s">
        <v>734</v>
      </c>
      <c r="B2050" s="424"/>
      <c r="C2050" s="425"/>
      <c r="D2050" s="426"/>
      <c r="E2050" s="419" t="s">
        <v>405</v>
      </c>
      <c r="F2050" s="420"/>
      <c r="G2050" s="64" t="s">
        <v>420</v>
      </c>
      <c r="H2050" s="419" t="s">
        <v>459</v>
      </c>
      <c r="I2050" s="420"/>
      <c r="K2050" s="57" t="s">
        <v>734</v>
      </c>
      <c r="L2050" s="57" t="s">
        <v>202</v>
      </c>
      <c r="S2050" s="57">
        <v>0</v>
      </c>
    </row>
    <row r="2051" spans="1:19" ht="11.85" customHeight="1" x14ac:dyDescent="0.2">
      <c r="A2051" s="57" t="s">
        <v>734</v>
      </c>
      <c r="B2051" s="424"/>
      <c r="C2051" s="425"/>
      <c r="D2051" s="426"/>
      <c r="E2051" s="419" t="s">
        <v>460</v>
      </c>
      <c r="F2051" s="420"/>
      <c r="G2051" s="64" t="s">
        <v>461</v>
      </c>
      <c r="H2051" s="419" t="s">
        <v>423</v>
      </c>
      <c r="I2051" s="420"/>
      <c r="K2051" s="57" t="s">
        <v>734</v>
      </c>
      <c r="L2051" s="57" t="s">
        <v>202</v>
      </c>
      <c r="S2051" s="65">
        <v>33.17</v>
      </c>
    </row>
    <row r="2052" spans="1:19" ht="11.85" customHeight="1" x14ac:dyDescent="0.2">
      <c r="A2052" s="57" t="s">
        <v>734</v>
      </c>
      <c r="B2052" s="416"/>
      <c r="C2052" s="417"/>
      <c r="D2052" s="418"/>
      <c r="E2052" s="419" t="s">
        <v>462</v>
      </c>
      <c r="F2052" s="420"/>
      <c r="G2052" s="64" t="s">
        <v>424</v>
      </c>
      <c r="H2052" s="419" t="s">
        <v>463</v>
      </c>
      <c r="I2052" s="420"/>
      <c r="K2052" s="57" t="s">
        <v>734</v>
      </c>
      <c r="L2052" s="57" t="s">
        <v>202</v>
      </c>
      <c r="S2052" s="57">
        <v>0</v>
      </c>
    </row>
    <row r="2053" spans="1:19" ht="11.1" customHeight="1" x14ac:dyDescent="0.2">
      <c r="A2053" s="57" t="s">
        <v>734</v>
      </c>
      <c r="B2053" s="413" t="s">
        <v>426</v>
      </c>
      <c r="C2053" s="414"/>
      <c r="D2053" s="415"/>
      <c r="E2053" s="419" t="s">
        <v>408</v>
      </c>
      <c r="F2053" s="420"/>
      <c r="G2053" s="64" t="s">
        <v>420</v>
      </c>
      <c r="H2053" s="419" t="s">
        <v>427</v>
      </c>
      <c r="I2053" s="420"/>
      <c r="K2053" s="57" t="s">
        <v>734</v>
      </c>
      <c r="L2053" s="57" t="s">
        <v>202</v>
      </c>
      <c r="S2053" s="57">
        <v>0</v>
      </c>
    </row>
    <row r="2054" spans="1:19" ht="11.85" customHeight="1" x14ac:dyDescent="0.2">
      <c r="A2054" s="57" t="s">
        <v>734</v>
      </c>
      <c r="B2054" s="424"/>
      <c r="C2054" s="425"/>
      <c r="D2054" s="426"/>
      <c r="E2054" s="419" t="s">
        <v>409</v>
      </c>
      <c r="F2054" s="420"/>
      <c r="G2054" s="64" t="s">
        <v>417</v>
      </c>
      <c r="H2054" s="419" t="s">
        <v>428</v>
      </c>
      <c r="I2054" s="420"/>
      <c r="K2054" s="57" t="s">
        <v>734</v>
      </c>
      <c r="L2054" s="57" t="s">
        <v>202</v>
      </c>
      <c r="S2054" s="57">
        <v>0</v>
      </c>
    </row>
    <row r="2055" spans="1:19" ht="11.85" customHeight="1" x14ac:dyDescent="0.2">
      <c r="A2055" s="57" t="s">
        <v>734</v>
      </c>
      <c r="B2055" s="416"/>
      <c r="C2055" s="417"/>
      <c r="D2055" s="418"/>
      <c r="E2055" s="419" t="s">
        <v>410</v>
      </c>
      <c r="F2055" s="420"/>
      <c r="G2055" s="64" t="s">
        <v>417</v>
      </c>
      <c r="H2055" s="419" t="s">
        <v>415</v>
      </c>
      <c r="I2055" s="420"/>
      <c r="K2055" s="57" t="s">
        <v>734</v>
      </c>
      <c r="L2055" s="57" t="s">
        <v>202</v>
      </c>
      <c r="S2055" s="57">
        <v>0</v>
      </c>
    </row>
    <row r="2056" spans="1:19" ht="11.85" customHeight="1" x14ac:dyDescent="0.2">
      <c r="A2056" s="57" t="s">
        <v>734</v>
      </c>
      <c r="B2056" s="62"/>
      <c r="C2056" s="411" t="s">
        <v>735</v>
      </c>
      <c r="D2056" s="412"/>
      <c r="E2056" s="412"/>
      <c r="F2056" s="412"/>
      <c r="G2056" s="412"/>
      <c r="H2056" s="412"/>
      <c r="I2056" s="411"/>
      <c r="K2056" s="57" t="s">
        <v>734</v>
      </c>
      <c r="L2056" s="57" t="s">
        <v>202</v>
      </c>
      <c r="S2056" s="57">
        <v>0</v>
      </c>
    </row>
    <row r="2057" spans="1:19" ht="11.1" customHeight="1" x14ac:dyDescent="0.2">
      <c r="A2057" s="57" t="s">
        <v>735</v>
      </c>
      <c r="B2057" s="413" t="s">
        <v>416</v>
      </c>
      <c r="C2057" s="414"/>
      <c r="D2057" s="415"/>
      <c r="E2057" s="419" t="s">
        <v>402</v>
      </c>
      <c r="F2057" s="420"/>
      <c r="G2057" s="64" t="s">
        <v>417</v>
      </c>
      <c r="H2057" s="419" t="s">
        <v>457</v>
      </c>
      <c r="I2057" s="420"/>
      <c r="K2057" s="57" t="s">
        <v>735</v>
      </c>
      <c r="L2057" s="57" t="s">
        <v>203</v>
      </c>
      <c r="S2057" s="57">
        <v>0</v>
      </c>
    </row>
    <row r="2058" spans="1:19" ht="11.85" customHeight="1" x14ac:dyDescent="0.2">
      <c r="A2058" s="57" t="s">
        <v>735</v>
      </c>
      <c r="B2058" s="424"/>
      <c r="C2058" s="425"/>
      <c r="D2058" s="426"/>
      <c r="E2058" s="419" t="s">
        <v>403</v>
      </c>
      <c r="F2058" s="420"/>
      <c r="G2058" s="64" t="s">
        <v>417</v>
      </c>
      <c r="H2058" s="419" t="s">
        <v>457</v>
      </c>
      <c r="I2058" s="420"/>
      <c r="K2058" s="57" t="s">
        <v>735</v>
      </c>
      <c r="L2058" s="57" t="s">
        <v>203</v>
      </c>
      <c r="S2058" s="57">
        <v>0</v>
      </c>
    </row>
    <row r="2059" spans="1:19" ht="11.85" customHeight="1" x14ac:dyDescent="0.2">
      <c r="A2059" s="57" t="s">
        <v>735</v>
      </c>
      <c r="B2059" s="424"/>
      <c r="C2059" s="425"/>
      <c r="D2059" s="426"/>
      <c r="E2059" s="419" t="s">
        <v>404</v>
      </c>
      <c r="F2059" s="420"/>
      <c r="G2059" s="64" t="s">
        <v>413</v>
      </c>
      <c r="H2059" s="419" t="s">
        <v>458</v>
      </c>
      <c r="I2059" s="420"/>
      <c r="K2059" s="57" t="s">
        <v>735</v>
      </c>
      <c r="L2059" s="57" t="s">
        <v>203</v>
      </c>
      <c r="S2059" s="57">
        <v>0</v>
      </c>
    </row>
    <row r="2060" spans="1:19" ht="11.85" customHeight="1" x14ac:dyDescent="0.2">
      <c r="A2060" s="57" t="s">
        <v>735</v>
      </c>
      <c r="B2060" s="424"/>
      <c r="C2060" s="425"/>
      <c r="D2060" s="426"/>
      <c r="E2060" s="419" t="s">
        <v>405</v>
      </c>
      <c r="F2060" s="420"/>
      <c r="G2060" s="64" t="s">
        <v>420</v>
      </c>
      <c r="H2060" s="419" t="s">
        <v>459</v>
      </c>
      <c r="I2060" s="420"/>
      <c r="K2060" s="57" t="s">
        <v>735</v>
      </c>
      <c r="L2060" s="57" t="s">
        <v>203</v>
      </c>
      <c r="S2060" s="57">
        <v>0</v>
      </c>
    </row>
    <row r="2061" spans="1:19" ht="11.1" customHeight="1" x14ac:dyDescent="0.2">
      <c r="A2061" s="57" t="s">
        <v>735</v>
      </c>
      <c r="B2061" s="424"/>
      <c r="C2061" s="425"/>
      <c r="D2061" s="426"/>
      <c r="E2061" s="419" t="s">
        <v>460</v>
      </c>
      <c r="F2061" s="420"/>
      <c r="G2061" s="64" t="s">
        <v>461</v>
      </c>
      <c r="H2061" s="419" t="s">
        <v>423</v>
      </c>
      <c r="I2061" s="420"/>
      <c r="K2061" s="57" t="s">
        <v>735</v>
      </c>
      <c r="L2061" s="57" t="s">
        <v>203</v>
      </c>
      <c r="S2061" s="65">
        <v>33.17</v>
      </c>
    </row>
    <row r="2062" spans="1:19" ht="11.85" customHeight="1" x14ac:dyDescent="0.2">
      <c r="A2062" s="57" t="s">
        <v>735</v>
      </c>
      <c r="B2062" s="416"/>
      <c r="C2062" s="417"/>
      <c r="D2062" s="418"/>
      <c r="E2062" s="419" t="s">
        <v>462</v>
      </c>
      <c r="F2062" s="420"/>
      <c r="G2062" s="64" t="s">
        <v>424</v>
      </c>
      <c r="H2062" s="419" t="s">
        <v>463</v>
      </c>
      <c r="I2062" s="420"/>
      <c r="K2062" s="57" t="s">
        <v>735</v>
      </c>
      <c r="L2062" s="57" t="s">
        <v>203</v>
      </c>
      <c r="S2062" s="57">
        <v>0</v>
      </c>
    </row>
    <row r="2063" spans="1:19" ht="11.85" customHeight="1" x14ac:dyDescent="0.2">
      <c r="A2063" s="57" t="s">
        <v>735</v>
      </c>
      <c r="B2063" s="413" t="s">
        <v>426</v>
      </c>
      <c r="C2063" s="414"/>
      <c r="D2063" s="415"/>
      <c r="E2063" s="419" t="s">
        <v>408</v>
      </c>
      <c r="F2063" s="420"/>
      <c r="G2063" s="64" t="s">
        <v>420</v>
      </c>
      <c r="H2063" s="419" t="s">
        <v>427</v>
      </c>
      <c r="I2063" s="420"/>
      <c r="K2063" s="57" t="s">
        <v>735</v>
      </c>
      <c r="L2063" s="57" t="s">
        <v>203</v>
      </c>
      <c r="S2063" s="57">
        <v>0</v>
      </c>
    </row>
    <row r="2064" spans="1:19" ht="11.85" customHeight="1" x14ac:dyDescent="0.2">
      <c r="A2064" s="57" t="s">
        <v>735</v>
      </c>
      <c r="B2064" s="416"/>
      <c r="C2064" s="417"/>
      <c r="D2064" s="418"/>
      <c r="E2064" s="419" t="s">
        <v>409</v>
      </c>
      <c r="F2064" s="420"/>
      <c r="G2064" s="64" t="s">
        <v>417</v>
      </c>
      <c r="H2064" s="419" t="s">
        <v>428</v>
      </c>
      <c r="I2064" s="420"/>
      <c r="K2064" s="57" t="s">
        <v>735</v>
      </c>
      <c r="L2064" s="57" t="s">
        <v>203</v>
      </c>
      <c r="S2064" s="57">
        <v>0</v>
      </c>
    </row>
    <row r="2065" spans="1:19" ht="11.1" customHeight="1" x14ac:dyDescent="0.2">
      <c r="A2065" s="57" t="s">
        <v>735</v>
      </c>
      <c r="B2065" s="62"/>
      <c r="C2065" s="411" t="s">
        <v>736</v>
      </c>
      <c r="D2065" s="412"/>
      <c r="E2065" s="412"/>
      <c r="F2065" s="412"/>
      <c r="G2065" s="412"/>
      <c r="H2065" s="412"/>
      <c r="I2065" s="411"/>
      <c r="K2065" s="57" t="s">
        <v>735</v>
      </c>
      <c r="L2065" s="57" t="s">
        <v>203</v>
      </c>
      <c r="S2065" s="57">
        <v>0</v>
      </c>
    </row>
    <row r="2066" spans="1:19" ht="11.85" customHeight="1" x14ac:dyDescent="0.2">
      <c r="A2066" s="57" t="s">
        <v>736</v>
      </c>
      <c r="B2066" s="413" t="s">
        <v>412</v>
      </c>
      <c r="C2066" s="414"/>
      <c r="D2066" s="415"/>
      <c r="E2066" s="419" t="s">
        <v>400</v>
      </c>
      <c r="F2066" s="420"/>
      <c r="G2066" s="64" t="s">
        <v>413</v>
      </c>
      <c r="H2066" s="419" t="s">
        <v>414</v>
      </c>
      <c r="I2066" s="420"/>
      <c r="K2066" s="57" t="s">
        <v>736</v>
      </c>
      <c r="L2066" s="57" t="s">
        <v>204</v>
      </c>
      <c r="S2066" s="57">
        <v>0</v>
      </c>
    </row>
    <row r="2067" spans="1:19" ht="11.85" customHeight="1" x14ac:dyDescent="0.2">
      <c r="A2067" s="57" t="s">
        <v>736</v>
      </c>
      <c r="B2067" s="416"/>
      <c r="C2067" s="417"/>
      <c r="D2067" s="418"/>
      <c r="E2067" s="419" t="s">
        <v>401</v>
      </c>
      <c r="F2067" s="420"/>
      <c r="G2067" s="64" t="s">
        <v>413</v>
      </c>
      <c r="H2067" s="419" t="s">
        <v>415</v>
      </c>
      <c r="I2067" s="420"/>
      <c r="K2067" s="57" t="s">
        <v>736</v>
      </c>
      <c r="L2067" s="57" t="s">
        <v>204</v>
      </c>
      <c r="S2067" s="57">
        <v>0</v>
      </c>
    </row>
    <row r="2068" spans="1:19" ht="11.85" customHeight="1" x14ac:dyDescent="0.2">
      <c r="A2068" s="57" t="s">
        <v>736</v>
      </c>
      <c r="B2068" s="413" t="s">
        <v>416</v>
      </c>
      <c r="C2068" s="414"/>
      <c r="D2068" s="415"/>
      <c r="E2068" s="419" t="s">
        <v>402</v>
      </c>
      <c r="F2068" s="420"/>
      <c r="G2068" s="64" t="s">
        <v>417</v>
      </c>
      <c r="H2068" s="419" t="s">
        <v>457</v>
      </c>
      <c r="I2068" s="420"/>
      <c r="K2068" s="57" t="s">
        <v>736</v>
      </c>
      <c r="L2068" s="57" t="s">
        <v>204</v>
      </c>
      <c r="S2068" s="57">
        <v>0</v>
      </c>
    </row>
    <row r="2069" spans="1:19" ht="11.1" customHeight="1" x14ac:dyDescent="0.2">
      <c r="A2069" s="57" t="s">
        <v>736</v>
      </c>
      <c r="B2069" s="424"/>
      <c r="C2069" s="425"/>
      <c r="D2069" s="426"/>
      <c r="E2069" s="419" t="s">
        <v>403</v>
      </c>
      <c r="F2069" s="420"/>
      <c r="G2069" s="64" t="s">
        <v>417</v>
      </c>
      <c r="H2069" s="419" t="s">
        <v>457</v>
      </c>
      <c r="I2069" s="420"/>
      <c r="K2069" s="57" t="s">
        <v>736</v>
      </c>
      <c r="L2069" s="57" t="s">
        <v>204</v>
      </c>
      <c r="S2069" s="57">
        <v>0</v>
      </c>
    </row>
    <row r="2070" spans="1:19" ht="11.85" customHeight="1" x14ac:dyDescent="0.2">
      <c r="A2070" s="57" t="s">
        <v>736</v>
      </c>
      <c r="B2070" s="424"/>
      <c r="C2070" s="425"/>
      <c r="D2070" s="426"/>
      <c r="E2070" s="419" t="s">
        <v>404</v>
      </c>
      <c r="F2070" s="420"/>
      <c r="G2070" s="64" t="s">
        <v>413</v>
      </c>
      <c r="H2070" s="419" t="s">
        <v>458</v>
      </c>
      <c r="I2070" s="420"/>
      <c r="K2070" s="57" t="s">
        <v>736</v>
      </c>
      <c r="L2070" s="57" t="s">
        <v>204</v>
      </c>
      <c r="S2070" s="57">
        <v>0</v>
      </c>
    </row>
    <row r="2071" spans="1:19" ht="11.85" customHeight="1" x14ac:dyDescent="0.2">
      <c r="A2071" s="57" t="s">
        <v>736</v>
      </c>
      <c r="B2071" s="424"/>
      <c r="C2071" s="425"/>
      <c r="D2071" s="426"/>
      <c r="E2071" s="419" t="s">
        <v>405</v>
      </c>
      <c r="F2071" s="420"/>
      <c r="G2071" s="64" t="s">
        <v>420</v>
      </c>
      <c r="H2071" s="419" t="s">
        <v>459</v>
      </c>
      <c r="I2071" s="420"/>
      <c r="K2071" s="57" t="s">
        <v>736</v>
      </c>
      <c r="L2071" s="57" t="s">
        <v>204</v>
      </c>
      <c r="S2071" s="57">
        <v>0</v>
      </c>
    </row>
    <row r="2072" spans="1:19" ht="11.85" customHeight="1" x14ac:dyDescent="0.2">
      <c r="A2072" s="57" t="s">
        <v>736</v>
      </c>
      <c r="B2072" s="424"/>
      <c r="C2072" s="425"/>
      <c r="D2072" s="426"/>
      <c r="E2072" s="419" t="s">
        <v>460</v>
      </c>
      <c r="F2072" s="420"/>
      <c r="G2072" s="64" t="s">
        <v>461</v>
      </c>
      <c r="H2072" s="419" t="s">
        <v>423</v>
      </c>
      <c r="I2072" s="420"/>
      <c r="K2072" s="57" t="s">
        <v>736</v>
      </c>
      <c r="L2072" s="57" t="s">
        <v>204</v>
      </c>
      <c r="S2072" s="65">
        <v>33.17</v>
      </c>
    </row>
    <row r="2073" spans="1:19" ht="11.1" customHeight="1" x14ac:dyDescent="0.2">
      <c r="A2073" s="57" t="s">
        <v>736</v>
      </c>
      <c r="B2073" s="416"/>
      <c r="C2073" s="417"/>
      <c r="D2073" s="418"/>
      <c r="E2073" s="419" t="s">
        <v>462</v>
      </c>
      <c r="F2073" s="420"/>
      <c r="G2073" s="64" t="s">
        <v>424</v>
      </c>
      <c r="H2073" s="419" t="s">
        <v>463</v>
      </c>
      <c r="I2073" s="420"/>
      <c r="K2073" s="57" t="s">
        <v>736</v>
      </c>
      <c r="L2073" s="57" t="s">
        <v>204</v>
      </c>
      <c r="S2073" s="57">
        <v>0</v>
      </c>
    </row>
    <row r="2074" spans="1:19" ht="11.85" customHeight="1" x14ac:dyDescent="0.2">
      <c r="A2074" s="57" t="s">
        <v>736</v>
      </c>
      <c r="B2074" s="413" t="s">
        <v>426</v>
      </c>
      <c r="C2074" s="414"/>
      <c r="D2074" s="415"/>
      <c r="E2074" s="419" t="s">
        <v>408</v>
      </c>
      <c r="F2074" s="420"/>
      <c r="G2074" s="64" t="s">
        <v>420</v>
      </c>
      <c r="H2074" s="419" t="s">
        <v>427</v>
      </c>
      <c r="I2074" s="420"/>
      <c r="K2074" s="57" t="s">
        <v>736</v>
      </c>
      <c r="L2074" s="57" t="s">
        <v>204</v>
      </c>
      <c r="S2074" s="57">
        <v>0</v>
      </c>
    </row>
    <row r="2075" spans="1:19" ht="11.85" customHeight="1" x14ac:dyDescent="0.2">
      <c r="A2075" s="57" t="s">
        <v>736</v>
      </c>
      <c r="B2075" s="424"/>
      <c r="C2075" s="425"/>
      <c r="D2075" s="426"/>
      <c r="E2075" s="419" t="s">
        <v>409</v>
      </c>
      <c r="F2075" s="420"/>
      <c r="G2075" s="64" t="s">
        <v>417</v>
      </c>
      <c r="H2075" s="419" t="s">
        <v>428</v>
      </c>
      <c r="I2075" s="420"/>
      <c r="K2075" s="57" t="s">
        <v>736</v>
      </c>
      <c r="L2075" s="57" t="s">
        <v>204</v>
      </c>
      <c r="S2075" s="57">
        <v>0</v>
      </c>
    </row>
    <row r="2076" spans="1:19" ht="11.85" customHeight="1" x14ac:dyDescent="0.2">
      <c r="A2076" s="57" t="s">
        <v>736</v>
      </c>
      <c r="B2076" s="416"/>
      <c r="C2076" s="417"/>
      <c r="D2076" s="418"/>
      <c r="E2076" s="419" t="s">
        <v>410</v>
      </c>
      <c r="F2076" s="420"/>
      <c r="G2076" s="64" t="s">
        <v>417</v>
      </c>
      <c r="H2076" s="419" t="s">
        <v>415</v>
      </c>
      <c r="I2076" s="420"/>
      <c r="K2076" s="57" t="s">
        <v>736</v>
      </c>
      <c r="L2076" s="57" t="s">
        <v>204</v>
      </c>
      <c r="S2076" s="57">
        <v>0</v>
      </c>
    </row>
    <row r="2077" spans="1:19" ht="11.85" customHeight="1" x14ac:dyDescent="0.2">
      <c r="A2077" s="57" t="s">
        <v>736</v>
      </c>
      <c r="B2077" s="62"/>
      <c r="C2077" s="411" t="s">
        <v>737</v>
      </c>
      <c r="D2077" s="412"/>
      <c r="E2077" s="412"/>
      <c r="F2077" s="412"/>
      <c r="G2077" s="412"/>
      <c r="H2077" s="412"/>
      <c r="I2077" s="411"/>
      <c r="K2077" s="57" t="s">
        <v>736</v>
      </c>
      <c r="L2077" s="57" t="s">
        <v>204</v>
      </c>
      <c r="S2077" s="57">
        <v>0</v>
      </c>
    </row>
    <row r="2078" spans="1:19" ht="11.85" customHeight="1" x14ac:dyDescent="0.2">
      <c r="A2078" s="57" t="s">
        <v>737</v>
      </c>
      <c r="B2078" s="413" t="s">
        <v>412</v>
      </c>
      <c r="C2078" s="414"/>
      <c r="D2078" s="415"/>
      <c r="E2078" s="419" t="s">
        <v>400</v>
      </c>
      <c r="F2078" s="420"/>
      <c r="G2078" s="64" t="s">
        <v>413</v>
      </c>
      <c r="H2078" s="419" t="s">
        <v>414</v>
      </c>
      <c r="I2078" s="420"/>
      <c r="K2078" s="57" t="s">
        <v>737</v>
      </c>
      <c r="L2078" s="57" t="s">
        <v>205</v>
      </c>
      <c r="S2078" s="57">
        <v>0</v>
      </c>
    </row>
    <row r="2079" spans="1:19" ht="11.85" customHeight="1" x14ac:dyDescent="0.2">
      <c r="A2079" s="57" t="s">
        <v>737</v>
      </c>
      <c r="B2079" s="416"/>
      <c r="C2079" s="417"/>
      <c r="D2079" s="418"/>
      <c r="E2079" s="419" t="s">
        <v>401</v>
      </c>
      <c r="F2079" s="420"/>
      <c r="G2079" s="64" t="s">
        <v>413</v>
      </c>
      <c r="H2079" s="419" t="s">
        <v>415</v>
      </c>
      <c r="I2079" s="420"/>
      <c r="K2079" s="57" t="s">
        <v>737</v>
      </c>
      <c r="L2079" s="57" t="s">
        <v>205</v>
      </c>
      <c r="S2079" s="57">
        <v>0</v>
      </c>
    </row>
    <row r="2080" spans="1:19" ht="11.1" customHeight="1" x14ac:dyDescent="0.2">
      <c r="A2080" s="57" t="s">
        <v>737</v>
      </c>
      <c r="B2080" s="413" t="s">
        <v>416</v>
      </c>
      <c r="C2080" s="414"/>
      <c r="D2080" s="415"/>
      <c r="E2080" s="419" t="s">
        <v>402</v>
      </c>
      <c r="F2080" s="420"/>
      <c r="G2080" s="64" t="s">
        <v>417</v>
      </c>
      <c r="H2080" s="419" t="s">
        <v>457</v>
      </c>
      <c r="I2080" s="420"/>
      <c r="K2080" s="57" t="s">
        <v>737</v>
      </c>
      <c r="L2080" s="57" t="s">
        <v>205</v>
      </c>
      <c r="S2080" s="57">
        <v>0</v>
      </c>
    </row>
    <row r="2081" spans="1:19" ht="11.85" customHeight="1" x14ac:dyDescent="0.2">
      <c r="A2081" s="57" t="s">
        <v>737</v>
      </c>
      <c r="B2081" s="424"/>
      <c r="C2081" s="425"/>
      <c r="D2081" s="426"/>
      <c r="E2081" s="419" t="s">
        <v>403</v>
      </c>
      <c r="F2081" s="420"/>
      <c r="G2081" s="64" t="s">
        <v>417</v>
      </c>
      <c r="H2081" s="419" t="s">
        <v>457</v>
      </c>
      <c r="I2081" s="420"/>
      <c r="K2081" s="57" t="s">
        <v>737</v>
      </c>
      <c r="L2081" s="57" t="s">
        <v>205</v>
      </c>
      <c r="S2081" s="57">
        <v>0</v>
      </c>
    </row>
    <row r="2082" spans="1:19" ht="11.85" customHeight="1" x14ac:dyDescent="0.2">
      <c r="A2082" s="57" t="s">
        <v>737</v>
      </c>
      <c r="B2082" s="424"/>
      <c r="C2082" s="425"/>
      <c r="D2082" s="426"/>
      <c r="E2082" s="419" t="s">
        <v>404</v>
      </c>
      <c r="F2082" s="420"/>
      <c r="G2082" s="64" t="s">
        <v>413</v>
      </c>
      <c r="H2082" s="419" t="s">
        <v>458</v>
      </c>
      <c r="I2082" s="420"/>
      <c r="K2082" s="57" t="s">
        <v>737</v>
      </c>
      <c r="L2082" s="57" t="s">
        <v>205</v>
      </c>
      <c r="S2082" s="57">
        <v>0</v>
      </c>
    </row>
    <row r="2083" spans="1:19" ht="11.85" customHeight="1" x14ac:dyDescent="0.2">
      <c r="A2083" s="57" t="s">
        <v>737</v>
      </c>
      <c r="B2083" s="424"/>
      <c r="C2083" s="425"/>
      <c r="D2083" s="426"/>
      <c r="E2083" s="419" t="s">
        <v>405</v>
      </c>
      <c r="F2083" s="420"/>
      <c r="G2083" s="64" t="s">
        <v>420</v>
      </c>
      <c r="H2083" s="419" t="s">
        <v>459</v>
      </c>
      <c r="I2083" s="420"/>
      <c r="K2083" s="57" t="s">
        <v>737</v>
      </c>
      <c r="L2083" s="57" t="s">
        <v>205</v>
      </c>
      <c r="S2083" s="57">
        <v>0</v>
      </c>
    </row>
    <row r="2084" spans="1:19" ht="11.1" customHeight="1" x14ac:dyDescent="0.2">
      <c r="A2084" s="57" t="s">
        <v>737</v>
      </c>
      <c r="B2084" s="424"/>
      <c r="C2084" s="425"/>
      <c r="D2084" s="426"/>
      <c r="E2084" s="419" t="s">
        <v>738</v>
      </c>
      <c r="F2084" s="420"/>
      <c r="G2084" s="64" t="s">
        <v>739</v>
      </c>
      <c r="H2084" s="419" t="s">
        <v>423</v>
      </c>
      <c r="I2084" s="420"/>
      <c r="K2084" s="57" t="s">
        <v>737</v>
      </c>
      <c r="L2084" s="57" t="s">
        <v>205</v>
      </c>
      <c r="S2084" s="65">
        <v>37.57</v>
      </c>
    </row>
    <row r="2085" spans="1:19" ht="11.85" customHeight="1" x14ac:dyDescent="0.2">
      <c r="A2085" s="57" t="s">
        <v>737</v>
      </c>
      <c r="B2085" s="416"/>
      <c r="C2085" s="417"/>
      <c r="D2085" s="418"/>
      <c r="E2085" s="419" t="s">
        <v>462</v>
      </c>
      <c r="F2085" s="420"/>
      <c r="G2085" s="64" t="s">
        <v>424</v>
      </c>
      <c r="H2085" s="419" t="s">
        <v>463</v>
      </c>
      <c r="I2085" s="420"/>
      <c r="K2085" s="57" t="s">
        <v>737</v>
      </c>
      <c r="L2085" s="57" t="s">
        <v>205</v>
      </c>
      <c r="S2085" s="57">
        <v>0</v>
      </c>
    </row>
    <row r="2086" spans="1:19" ht="11.85" customHeight="1" x14ac:dyDescent="0.2">
      <c r="A2086" s="57" t="s">
        <v>737</v>
      </c>
      <c r="B2086" s="413" t="s">
        <v>426</v>
      </c>
      <c r="C2086" s="414"/>
      <c r="D2086" s="415"/>
      <c r="E2086" s="419" t="s">
        <v>408</v>
      </c>
      <c r="F2086" s="420"/>
      <c r="G2086" s="64" t="s">
        <v>420</v>
      </c>
      <c r="H2086" s="419" t="s">
        <v>427</v>
      </c>
      <c r="I2086" s="420"/>
      <c r="K2086" s="57" t="s">
        <v>737</v>
      </c>
      <c r="L2086" s="57" t="s">
        <v>205</v>
      </c>
      <c r="S2086" s="57">
        <v>0</v>
      </c>
    </row>
    <row r="2087" spans="1:19" ht="11.85" customHeight="1" x14ac:dyDescent="0.2">
      <c r="A2087" s="57" t="s">
        <v>737</v>
      </c>
      <c r="B2087" s="424"/>
      <c r="C2087" s="425"/>
      <c r="D2087" s="426"/>
      <c r="E2087" s="419" t="s">
        <v>409</v>
      </c>
      <c r="F2087" s="420"/>
      <c r="G2087" s="64" t="s">
        <v>417</v>
      </c>
      <c r="H2087" s="419" t="s">
        <v>428</v>
      </c>
      <c r="I2087" s="420"/>
      <c r="K2087" s="57" t="s">
        <v>737</v>
      </c>
      <c r="L2087" s="57" t="s">
        <v>205</v>
      </c>
      <c r="S2087" s="57">
        <v>0</v>
      </c>
    </row>
    <row r="2088" spans="1:19" ht="11.1" customHeight="1" x14ac:dyDescent="0.2">
      <c r="A2088" s="57" t="s">
        <v>737</v>
      </c>
      <c r="B2088" s="416"/>
      <c r="C2088" s="417"/>
      <c r="D2088" s="418"/>
      <c r="E2088" s="419" t="s">
        <v>410</v>
      </c>
      <c r="F2088" s="420"/>
      <c r="G2088" s="64" t="s">
        <v>417</v>
      </c>
      <c r="H2088" s="419" t="s">
        <v>415</v>
      </c>
      <c r="I2088" s="420"/>
      <c r="K2088" s="57" t="s">
        <v>737</v>
      </c>
      <c r="L2088" s="57" t="s">
        <v>205</v>
      </c>
      <c r="S2088" s="57">
        <v>0</v>
      </c>
    </row>
    <row r="2089" spans="1:19" ht="11.85" customHeight="1" x14ac:dyDescent="0.2">
      <c r="A2089" s="57" t="s">
        <v>737</v>
      </c>
      <c r="B2089" s="62"/>
      <c r="C2089" s="411" t="s">
        <v>740</v>
      </c>
      <c r="D2089" s="412"/>
      <c r="E2089" s="412"/>
      <c r="F2089" s="412"/>
      <c r="G2089" s="412"/>
      <c r="H2089" s="412"/>
      <c r="I2089" s="411"/>
      <c r="K2089" s="57" t="s">
        <v>737</v>
      </c>
      <c r="L2089" s="57" t="s">
        <v>205</v>
      </c>
      <c r="S2089" s="57">
        <v>0</v>
      </c>
    </row>
    <row r="2090" spans="1:19" ht="11.85" customHeight="1" x14ac:dyDescent="0.2">
      <c r="A2090" s="57" t="s">
        <v>740</v>
      </c>
      <c r="B2090" s="413" t="s">
        <v>412</v>
      </c>
      <c r="C2090" s="414"/>
      <c r="D2090" s="415"/>
      <c r="E2090" s="419" t="s">
        <v>400</v>
      </c>
      <c r="F2090" s="420"/>
      <c r="G2090" s="64" t="s">
        <v>413</v>
      </c>
      <c r="H2090" s="419" t="s">
        <v>414</v>
      </c>
      <c r="I2090" s="420"/>
      <c r="K2090" s="57" t="s">
        <v>740</v>
      </c>
      <c r="L2090" s="57" t="s">
        <v>206</v>
      </c>
      <c r="S2090" s="57">
        <v>0</v>
      </c>
    </row>
    <row r="2091" spans="1:19" ht="11.85" customHeight="1" x14ac:dyDescent="0.2">
      <c r="A2091" s="57" t="s">
        <v>740</v>
      </c>
      <c r="B2091" s="416"/>
      <c r="C2091" s="417"/>
      <c r="D2091" s="418"/>
      <c r="E2091" s="419" t="s">
        <v>401</v>
      </c>
      <c r="F2091" s="420"/>
      <c r="G2091" s="64" t="s">
        <v>413</v>
      </c>
      <c r="H2091" s="419" t="s">
        <v>415</v>
      </c>
      <c r="I2091" s="420"/>
      <c r="K2091" s="57" t="s">
        <v>740</v>
      </c>
      <c r="L2091" s="57" t="s">
        <v>206</v>
      </c>
      <c r="S2091" s="57">
        <v>0</v>
      </c>
    </row>
    <row r="2092" spans="1:19" ht="11.1" customHeight="1" x14ac:dyDescent="0.2">
      <c r="A2092" s="57" t="s">
        <v>740</v>
      </c>
      <c r="B2092" s="413" t="s">
        <v>416</v>
      </c>
      <c r="C2092" s="414"/>
      <c r="D2092" s="415"/>
      <c r="E2092" s="419" t="s">
        <v>402</v>
      </c>
      <c r="F2092" s="420"/>
      <c r="G2092" s="64" t="s">
        <v>417</v>
      </c>
      <c r="H2092" s="419" t="s">
        <v>457</v>
      </c>
      <c r="I2092" s="420"/>
      <c r="K2092" s="57" t="s">
        <v>740</v>
      </c>
      <c r="L2092" s="57" t="s">
        <v>206</v>
      </c>
      <c r="S2092" s="57">
        <v>0</v>
      </c>
    </row>
    <row r="2093" spans="1:19" ht="11.85" customHeight="1" x14ac:dyDescent="0.2">
      <c r="A2093" s="57" t="s">
        <v>740</v>
      </c>
      <c r="B2093" s="424"/>
      <c r="C2093" s="425"/>
      <c r="D2093" s="426"/>
      <c r="E2093" s="419" t="s">
        <v>403</v>
      </c>
      <c r="F2093" s="420"/>
      <c r="G2093" s="64" t="s">
        <v>417</v>
      </c>
      <c r="H2093" s="419" t="s">
        <v>457</v>
      </c>
      <c r="I2093" s="420"/>
      <c r="K2093" s="57" t="s">
        <v>740</v>
      </c>
      <c r="L2093" s="57" t="s">
        <v>206</v>
      </c>
      <c r="S2093" s="57">
        <v>0</v>
      </c>
    </row>
    <row r="2094" spans="1:19" ht="11.85" customHeight="1" x14ac:dyDescent="0.2">
      <c r="A2094" s="57" t="s">
        <v>740</v>
      </c>
      <c r="B2094" s="424"/>
      <c r="C2094" s="425"/>
      <c r="D2094" s="426"/>
      <c r="E2094" s="419" t="s">
        <v>404</v>
      </c>
      <c r="F2094" s="420"/>
      <c r="G2094" s="64" t="s">
        <v>413</v>
      </c>
      <c r="H2094" s="419" t="s">
        <v>458</v>
      </c>
      <c r="I2094" s="420"/>
      <c r="K2094" s="57" t="s">
        <v>740</v>
      </c>
      <c r="L2094" s="57" t="s">
        <v>206</v>
      </c>
      <c r="S2094" s="57">
        <v>0</v>
      </c>
    </row>
    <row r="2095" spans="1:19" ht="11.85" customHeight="1" x14ac:dyDescent="0.2">
      <c r="A2095" s="57" t="s">
        <v>740</v>
      </c>
      <c r="B2095" s="424"/>
      <c r="C2095" s="425"/>
      <c r="D2095" s="426"/>
      <c r="E2095" s="419" t="s">
        <v>405</v>
      </c>
      <c r="F2095" s="420"/>
      <c r="G2095" s="64" t="s">
        <v>420</v>
      </c>
      <c r="H2095" s="419" t="s">
        <v>459</v>
      </c>
      <c r="I2095" s="420"/>
      <c r="K2095" s="57" t="s">
        <v>740</v>
      </c>
      <c r="L2095" s="57" t="s">
        <v>206</v>
      </c>
      <c r="S2095" s="57">
        <v>0</v>
      </c>
    </row>
    <row r="2096" spans="1:19" ht="11.1" customHeight="1" x14ac:dyDescent="0.2">
      <c r="A2096" s="57" t="s">
        <v>740</v>
      </c>
      <c r="B2096" s="424"/>
      <c r="C2096" s="425"/>
      <c r="D2096" s="426"/>
      <c r="E2096" s="419" t="s">
        <v>738</v>
      </c>
      <c r="F2096" s="420"/>
      <c r="G2096" s="64" t="s">
        <v>739</v>
      </c>
      <c r="H2096" s="419" t="s">
        <v>423</v>
      </c>
      <c r="I2096" s="420"/>
      <c r="K2096" s="57" t="s">
        <v>740</v>
      </c>
      <c r="L2096" s="57" t="s">
        <v>206</v>
      </c>
      <c r="S2096" s="65">
        <v>37.57</v>
      </c>
    </row>
    <row r="2097" spans="1:19" ht="11.85" customHeight="1" x14ac:dyDescent="0.2">
      <c r="A2097" s="57" t="s">
        <v>740</v>
      </c>
      <c r="B2097" s="416"/>
      <c r="C2097" s="417"/>
      <c r="D2097" s="418"/>
      <c r="E2097" s="419" t="s">
        <v>462</v>
      </c>
      <c r="F2097" s="420"/>
      <c r="G2097" s="64" t="s">
        <v>424</v>
      </c>
      <c r="H2097" s="419" t="s">
        <v>463</v>
      </c>
      <c r="I2097" s="420"/>
      <c r="K2097" s="57" t="s">
        <v>740</v>
      </c>
      <c r="L2097" s="57" t="s">
        <v>206</v>
      </c>
      <c r="S2097" s="57">
        <v>0</v>
      </c>
    </row>
    <row r="2098" spans="1:19" ht="11.85" customHeight="1" x14ac:dyDescent="0.2">
      <c r="A2098" s="57" t="s">
        <v>740</v>
      </c>
      <c r="B2098" s="413" t="s">
        <v>426</v>
      </c>
      <c r="C2098" s="414"/>
      <c r="D2098" s="415"/>
      <c r="E2098" s="419" t="s">
        <v>408</v>
      </c>
      <c r="F2098" s="420"/>
      <c r="G2098" s="64" t="s">
        <v>420</v>
      </c>
      <c r="H2098" s="419" t="s">
        <v>427</v>
      </c>
      <c r="I2098" s="420"/>
      <c r="K2098" s="57" t="s">
        <v>740</v>
      </c>
      <c r="L2098" s="57" t="s">
        <v>206</v>
      </c>
      <c r="S2098" s="57">
        <v>0</v>
      </c>
    </row>
    <row r="2099" spans="1:19" ht="11.85" customHeight="1" x14ac:dyDescent="0.2">
      <c r="A2099" s="57" t="s">
        <v>740</v>
      </c>
      <c r="B2099" s="424"/>
      <c r="C2099" s="425"/>
      <c r="D2099" s="426"/>
      <c r="E2099" s="419" t="s">
        <v>409</v>
      </c>
      <c r="F2099" s="420"/>
      <c r="G2099" s="64" t="s">
        <v>417</v>
      </c>
      <c r="H2099" s="419" t="s">
        <v>428</v>
      </c>
      <c r="I2099" s="420"/>
      <c r="K2099" s="57" t="s">
        <v>740</v>
      </c>
      <c r="L2099" s="57" t="s">
        <v>206</v>
      </c>
      <c r="S2099" s="57">
        <v>0</v>
      </c>
    </row>
    <row r="2100" spans="1:19" ht="11.1" customHeight="1" x14ac:dyDescent="0.2">
      <c r="A2100" s="57" t="s">
        <v>740</v>
      </c>
      <c r="B2100" s="416"/>
      <c r="C2100" s="417"/>
      <c r="D2100" s="418"/>
      <c r="E2100" s="419" t="s">
        <v>410</v>
      </c>
      <c r="F2100" s="420"/>
      <c r="G2100" s="64" t="s">
        <v>417</v>
      </c>
      <c r="H2100" s="419" t="s">
        <v>415</v>
      </c>
      <c r="I2100" s="420"/>
      <c r="K2100" s="57" t="s">
        <v>740</v>
      </c>
      <c r="L2100" s="57" t="s">
        <v>206</v>
      </c>
      <c r="S2100" s="57">
        <v>0</v>
      </c>
    </row>
    <row r="2101" spans="1:19" ht="11.85" customHeight="1" x14ac:dyDescent="0.2">
      <c r="A2101" s="57" t="s">
        <v>740</v>
      </c>
      <c r="B2101" s="62"/>
      <c r="C2101" s="411" t="s">
        <v>741</v>
      </c>
      <c r="D2101" s="412"/>
      <c r="E2101" s="412"/>
      <c r="F2101" s="412"/>
      <c r="G2101" s="412"/>
      <c r="H2101" s="412"/>
      <c r="I2101" s="411"/>
      <c r="K2101" s="57" t="s">
        <v>740</v>
      </c>
      <c r="L2101" s="57" t="s">
        <v>206</v>
      </c>
      <c r="S2101" s="57">
        <v>0</v>
      </c>
    </row>
    <row r="2102" spans="1:19" ht="11.85" customHeight="1" x14ac:dyDescent="0.2">
      <c r="A2102" s="57" t="s">
        <v>741</v>
      </c>
      <c r="B2102" s="413" t="s">
        <v>412</v>
      </c>
      <c r="C2102" s="414"/>
      <c r="D2102" s="415"/>
      <c r="E2102" s="419" t="s">
        <v>400</v>
      </c>
      <c r="F2102" s="420"/>
      <c r="G2102" s="64" t="s">
        <v>413</v>
      </c>
      <c r="H2102" s="419" t="s">
        <v>414</v>
      </c>
      <c r="I2102" s="420"/>
      <c r="K2102" s="57" t="s">
        <v>741</v>
      </c>
      <c r="L2102" s="57" t="s">
        <v>207</v>
      </c>
      <c r="S2102" s="57">
        <v>0</v>
      </c>
    </row>
    <row r="2103" spans="1:19" ht="11.85" customHeight="1" x14ac:dyDescent="0.2">
      <c r="A2103" s="57" t="s">
        <v>741</v>
      </c>
      <c r="B2103" s="416"/>
      <c r="C2103" s="417"/>
      <c r="D2103" s="418"/>
      <c r="E2103" s="419" t="s">
        <v>401</v>
      </c>
      <c r="F2103" s="420"/>
      <c r="G2103" s="64" t="s">
        <v>413</v>
      </c>
      <c r="H2103" s="419" t="s">
        <v>415</v>
      </c>
      <c r="I2103" s="420"/>
      <c r="K2103" s="57" t="s">
        <v>741</v>
      </c>
      <c r="L2103" s="57" t="s">
        <v>207</v>
      </c>
      <c r="S2103" s="57">
        <v>0</v>
      </c>
    </row>
    <row r="2104" spans="1:19" ht="11.1" customHeight="1" x14ac:dyDescent="0.2">
      <c r="A2104" s="57" t="s">
        <v>741</v>
      </c>
      <c r="B2104" s="413" t="s">
        <v>416</v>
      </c>
      <c r="C2104" s="414"/>
      <c r="D2104" s="415"/>
      <c r="E2104" s="419" t="s">
        <v>402</v>
      </c>
      <c r="F2104" s="420"/>
      <c r="G2104" s="64" t="s">
        <v>417</v>
      </c>
      <c r="H2104" s="419" t="s">
        <v>457</v>
      </c>
      <c r="I2104" s="420"/>
      <c r="K2104" s="57" t="s">
        <v>741</v>
      </c>
      <c r="L2104" s="57" t="s">
        <v>207</v>
      </c>
      <c r="S2104" s="57">
        <v>0</v>
      </c>
    </row>
    <row r="2105" spans="1:19" ht="11.85" customHeight="1" x14ac:dyDescent="0.2">
      <c r="A2105" s="57" t="s">
        <v>741</v>
      </c>
      <c r="B2105" s="424"/>
      <c r="C2105" s="425"/>
      <c r="D2105" s="426"/>
      <c r="E2105" s="419" t="s">
        <v>403</v>
      </c>
      <c r="F2105" s="420"/>
      <c r="G2105" s="64" t="s">
        <v>417</v>
      </c>
      <c r="H2105" s="419" t="s">
        <v>457</v>
      </c>
      <c r="I2105" s="420"/>
      <c r="K2105" s="57" t="s">
        <v>741</v>
      </c>
      <c r="L2105" s="57" t="s">
        <v>207</v>
      </c>
      <c r="S2105" s="57">
        <v>0</v>
      </c>
    </row>
    <row r="2106" spans="1:19" ht="11.85" customHeight="1" x14ac:dyDescent="0.2">
      <c r="A2106" s="57" t="s">
        <v>741</v>
      </c>
      <c r="B2106" s="424"/>
      <c r="C2106" s="425"/>
      <c r="D2106" s="426"/>
      <c r="E2106" s="419" t="s">
        <v>404</v>
      </c>
      <c r="F2106" s="420"/>
      <c r="G2106" s="64" t="s">
        <v>413</v>
      </c>
      <c r="H2106" s="419" t="s">
        <v>458</v>
      </c>
      <c r="I2106" s="420"/>
      <c r="K2106" s="57" t="s">
        <v>741</v>
      </c>
      <c r="L2106" s="57" t="s">
        <v>207</v>
      </c>
      <c r="S2106" s="57">
        <v>0</v>
      </c>
    </row>
    <row r="2107" spans="1:19" ht="11.85" customHeight="1" x14ac:dyDescent="0.2">
      <c r="A2107" s="57" t="s">
        <v>741</v>
      </c>
      <c r="B2107" s="424"/>
      <c r="C2107" s="425"/>
      <c r="D2107" s="426"/>
      <c r="E2107" s="419" t="s">
        <v>405</v>
      </c>
      <c r="F2107" s="420"/>
      <c r="G2107" s="64" t="s">
        <v>420</v>
      </c>
      <c r="H2107" s="419" t="s">
        <v>459</v>
      </c>
      <c r="I2107" s="420"/>
      <c r="K2107" s="57" t="s">
        <v>741</v>
      </c>
      <c r="L2107" s="57" t="s">
        <v>207</v>
      </c>
      <c r="S2107" s="57">
        <v>0</v>
      </c>
    </row>
    <row r="2108" spans="1:19" ht="11.1" customHeight="1" x14ac:dyDescent="0.2">
      <c r="A2108" s="57" t="s">
        <v>741</v>
      </c>
      <c r="B2108" s="424"/>
      <c r="C2108" s="425"/>
      <c r="D2108" s="426"/>
      <c r="E2108" s="419" t="s">
        <v>460</v>
      </c>
      <c r="F2108" s="420"/>
      <c r="G2108" s="64" t="s">
        <v>461</v>
      </c>
      <c r="H2108" s="419" t="s">
        <v>423</v>
      </c>
      <c r="I2108" s="420"/>
      <c r="K2108" s="57" t="s">
        <v>741</v>
      </c>
      <c r="L2108" s="57" t="s">
        <v>207</v>
      </c>
      <c r="S2108" s="65">
        <v>33.17</v>
      </c>
    </row>
    <row r="2109" spans="1:19" ht="11.85" customHeight="1" x14ac:dyDescent="0.2">
      <c r="A2109" s="57" t="s">
        <v>741</v>
      </c>
      <c r="B2109" s="416"/>
      <c r="C2109" s="417"/>
      <c r="D2109" s="418"/>
      <c r="E2109" s="419" t="s">
        <v>462</v>
      </c>
      <c r="F2109" s="420"/>
      <c r="G2109" s="64" t="s">
        <v>424</v>
      </c>
      <c r="H2109" s="419" t="s">
        <v>463</v>
      </c>
      <c r="I2109" s="420"/>
      <c r="K2109" s="57" t="s">
        <v>741</v>
      </c>
      <c r="L2109" s="57" t="s">
        <v>207</v>
      </c>
      <c r="S2109" s="57">
        <v>0</v>
      </c>
    </row>
    <row r="2110" spans="1:19" ht="11.85" customHeight="1" x14ac:dyDescent="0.2">
      <c r="A2110" s="57" t="s">
        <v>741</v>
      </c>
      <c r="B2110" s="413" t="s">
        <v>426</v>
      </c>
      <c r="C2110" s="414"/>
      <c r="D2110" s="415"/>
      <c r="E2110" s="419" t="s">
        <v>408</v>
      </c>
      <c r="F2110" s="420"/>
      <c r="G2110" s="64" t="s">
        <v>420</v>
      </c>
      <c r="H2110" s="419" t="s">
        <v>427</v>
      </c>
      <c r="I2110" s="420"/>
      <c r="K2110" s="57" t="s">
        <v>741</v>
      </c>
      <c r="L2110" s="57" t="s">
        <v>207</v>
      </c>
      <c r="S2110" s="57">
        <v>0</v>
      </c>
    </row>
    <row r="2111" spans="1:19" ht="11.85" customHeight="1" x14ac:dyDescent="0.2">
      <c r="A2111" s="57" t="s">
        <v>741</v>
      </c>
      <c r="B2111" s="424"/>
      <c r="C2111" s="425"/>
      <c r="D2111" s="426"/>
      <c r="E2111" s="419" t="s">
        <v>409</v>
      </c>
      <c r="F2111" s="420"/>
      <c r="G2111" s="64" t="s">
        <v>417</v>
      </c>
      <c r="H2111" s="419" t="s">
        <v>428</v>
      </c>
      <c r="I2111" s="420"/>
      <c r="K2111" s="57" t="s">
        <v>741</v>
      </c>
      <c r="L2111" s="57" t="s">
        <v>207</v>
      </c>
      <c r="S2111" s="57">
        <v>0</v>
      </c>
    </row>
    <row r="2112" spans="1:19" ht="11.1" customHeight="1" x14ac:dyDescent="0.2">
      <c r="A2112" s="57" t="s">
        <v>741</v>
      </c>
      <c r="B2112" s="416"/>
      <c r="C2112" s="417"/>
      <c r="D2112" s="418"/>
      <c r="E2112" s="419" t="s">
        <v>410</v>
      </c>
      <c r="F2112" s="420"/>
      <c r="G2112" s="64" t="s">
        <v>417</v>
      </c>
      <c r="H2112" s="419" t="s">
        <v>415</v>
      </c>
      <c r="I2112" s="420"/>
      <c r="K2112" s="57" t="s">
        <v>741</v>
      </c>
      <c r="L2112" s="57" t="s">
        <v>207</v>
      </c>
      <c r="S2112" s="57">
        <v>0</v>
      </c>
    </row>
    <row r="2113" spans="1:19" ht="11.85" customHeight="1" x14ac:dyDescent="0.2">
      <c r="A2113" s="57" t="s">
        <v>741</v>
      </c>
      <c r="B2113" s="62"/>
      <c r="C2113" s="411" t="s">
        <v>742</v>
      </c>
      <c r="D2113" s="412"/>
      <c r="E2113" s="412"/>
      <c r="F2113" s="412"/>
      <c r="G2113" s="412"/>
      <c r="H2113" s="412"/>
      <c r="I2113" s="411"/>
      <c r="K2113" s="57" t="s">
        <v>741</v>
      </c>
      <c r="L2113" s="57" t="s">
        <v>207</v>
      </c>
      <c r="S2113" s="57">
        <v>0</v>
      </c>
    </row>
    <row r="2114" spans="1:19" ht="11.85" customHeight="1" x14ac:dyDescent="0.2">
      <c r="A2114" s="57" t="s">
        <v>742</v>
      </c>
      <c r="B2114" s="413" t="s">
        <v>416</v>
      </c>
      <c r="C2114" s="414"/>
      <c r="D2114" s="415"/>
      <c r="E2114" s="419" t="s">
        <v>402</v>
      </c>
      <c r="F2114" s="420"/>
      <c r="G2114" s="64" t="s">
        <v>417</v>
      </c>
      <c r="H2114" s="419" t="s">
        <v>457</v>
      </c>
      <c r="I2114" s="420"/>
      <c r="K2114" s="57" t="s">
        <v>742</v>
      </c>
      <c r="L2114" s="57" t="s">
        <v>208</v>
      </c>
      <c r="S2114" s="57">
        <v>0</v>
      </c>
    </row>
    <row r="2115" spans="1:19" ht="11.85" customHeight="1" x14ac:dyDescent="0.2">
      <c r="A2115" s="57" t="s">
        <v>742</v>
      </c>
      <c r="B2115" s="424"/>
      <c r="C2115" s="425"/>
      <c r="D2115" s="426"/>
      <c r="E2115" s="419" t="s">
        <v>403</v>
      </c>
      <c r="F2115" s="420"/>
      <c r="G2115" s="64" t="s">
        <v>417</v>
      </c>
      <c r="H2115" s="419" t="s">
        <v>457</v>
      </c>
      <c r="I2115" s="420"/>
      <c r="K2115" s="57" t="s">
        <v>742</v>
      </c>
      <c r="L2115" s="57" t="s">
        <v>208</v>
      </c>
      <c r="S2115" s="57">
        <v>0</v>
      </c>
    </row>
    <row r="2116" spans="1:19" ht="11.1" customHeight="1" x14ac:dyDescent="0.2">
      <c r="A2116" s="57" t="s">
        <v>742</v>
      </c>
      <c r="B2116" s="424"/>
      <c r="C2116" s="425"/>
      <c r="D2116" s="426"/>
      <c r="E2116" s="419" t="s">
        <v>404</v>
      </c>
      <c r="F2116" s="420"/>
      <c r="G2116" s="64" t="s">
        <v>413</v>
      </c>
      <c r="H2116" s="419" t="s">
        <v>458</v>
      </c>
      <c r="I2116" s="420"/>
      <c r="K2116" s="57" t="s">
        <v>742</v>
      </c>
      <c r="L2116" s="57" t="s">
        <v>208</v>
      </c>
      <c r="S2116" s="57">
        <v>0</v>
      </c>
    </row>
    <row r="2117" spans="1:19" ht="11.85" customHeight="1" x14ac:dyDescent="0.2">
      <c r="A2117" s="57" t="s">
        <v>742</v>
      </c>
      <c r="B2117" s="424"/>
      <c r="C2117" s="425"/>
      <c r="D2117" s="426"/>
      <c r="E2117" s="419" t="s">
        <v>405</v>
      </c>
      <c r="F2117" s="420"/>
      <c r="G2117" s="64" t="s">
        <v>420</v>
      </c>
      <c r="H2117" s="419" t="s">
        <v>459</v>
      </c>
      <c r="I2117" s="420"/>
      <c r="K2117" s="57" t="s">
        <v>742</v>
      </c>
      <c r="L2117" s="57" t="s">
        <v>208</v>
      </c>
      <c r="S2117" s="57">
        <v>0</v>
      </c>
    </row>
    <row r="2118" spans="1:19" ht="11.85" customHeight="1" x14ac:dyDescent="0.2">
      <c r="A2118" s="57" t="s">
        <v>742</v>
      </c>
      <c r="B2118" s="424"/>
      <c r="C2118" s="425"/>
      <c r="D2118" s="426"/>
      <c r="E2118" s="419" t="s">
        <v>460</v>
      </c>
      <c r="F2118" s="420"/>
      <c r="G2118" s="64" t="s">
        <v>461</v>
      </c>
      <c r="H2118" s="419" t="s">
        <v>423</v>
      </c>
      <c r="I2118" s="420"/>
      <c r="K2118" s="57" t="s">
        <v>742</v>
      </c>
      <c r="L2118" s="57" t="s">
        <v>208</v>
      </c>
      <c r="S2118" s="65">
        <v>33.17</v>
      </c>
    </row>
    <row r="2119" spans="1:19" ht="11.85" customHeight="1" x14ac:dyDescent="0.2">
      <c r="A2119" s="57" t="s">
        <v>742</v>
      </c>
      <c r="B2119" s="416"/>
      <c r="C2119" s="417"/>
      <c r="D2119" s="418"/>
      <c r="E2119" s="419" t="s">
        <v>462</v>
      </c>
      <c r="F2119" s="420"/>
      <c r="G2119" s="64" t="s">
        <v>424</v>
      </c>
      <c r="H2119" s="419" t="s">
        <v>463</v>
      </c>
      <c r="I2119" s="420"/>
      <c r="K2119" s="57" t="s">
        <v>742</v>
      </c>
      <c r="L2119" s="57" t="s">
        <v>208</v>
      </c>
      <c r="S2119" s="57">
        <v>0</v>
      </c>
    </row>
    <row r="2120" spans="1:19" ht="11.1" customHeight="1" x14ac:dyDescent="0.2">
      <c r="A2120" s="57" t="s">
        <v>742</v>
      </c>
      <c r="B2120" s="62"/>
      <c r="C2120" s="411" t="s">
        <v>743</v>
      </c>
      <c r="D2120" s="412"/>
      <c r="E2120" s="412"/>
      <c r="F2120" s="412"/>
      <c r="G2120" s="412"/>
      <c r="H2120" s="412"/>
      <c r="I2120" s="411"/>
      <c r="K2120" s="57" t="s">
        <v>742</v>
      </c>
      <c r="L2120" s="57" t="s">
        <v>208</v>
      </c>
      <c r="S2120" s="57">
        <v>0</v>
      </c>
    </row>
    <row r="2121" spans="1:19" ht="11.85" customHeight="1" x14ac:dyDescent="0.2">
      <c r="A2121" s="57" t="s">
        <v>743</v>
      </c>
      <c r="B2121" s="413" t="s">
        <v>416</v>
      </c>
      <c r="C2121" s="414"/>
      <c r="D2121" s="415"/>
      <c r="E2121" s="419" t="s">
        <v>402</v>
      </c>
      <c r="F2121" s="420"/>
      <c r="G2121" s="64" t="s">
        <v>417</v>
      </c>
      <c r="H2121" s="419" t="s">
        <v>457</v>
      </c>
      <c r="I2121" s="420"/>
      <c r="K2121" s="57" t="s">
        <v>743</v>
      </c>
      <c r="L2121" s="57" t="s">
        <v>209</v>
      </c>
      <c r="S2121" s="57">
        <v>0</v>
      </c>
    </row>
    <row r="2122" spans="1:19" ht="11.85" customHeight="1" x14ac:dyDescent="0.2">
      <c r="A2122" s="57" t="s">
        <v>743</v>
      </c>
      <c r="B2122" s="424"/>
      <c r="C2122" s="425"/>
      <c r="D2122" s="426"/>
      <c r="E2122" s="419" t="s">
        <v>403</v>
      </c>
      <c r="F2122" s="420"/>
      <c r="G2122" s="64" t="s">
        <v>417</v>
      </c>
      <c r="H2122" s="419" t="s">
        <v>457</v>
      </c>
      <c r="I2122" s="420"/>
      <c r="K2122" s="57" t="s">
        <v>743</v>
      </c>
      <c r="L2122" s="57" t="s">
        <v>209</v>
      </c>
      <c r="S2122" s="57">
        <v>0</v>
      </c>
    </row>
    <row r="2123" spans="1:19" ht="11.85" customHeight="1" x14ac:dyDescent="0.2">
      <c r="A2123" s="57" t="s">
        <v>743</v>
      </c>
      <c r="B2123" s="424"/>
      <c r="C2123" s="425"/>
      <c r="D2123" s="426"/>
      <c r="E2123" s="419" t="s">
        <v>404</v>
      </c>
      <c r="F2123" s="420"/>
      <c r="G2123" s="64" t="s">
        <v>413</v>
      </c>
      <c r="H2123" s="419" t="s">
        <v>458</v>
      </c>
      <c r="I2123" s="420"/>
      <c r="K2123" s="57" t="s">
        <v>743</v>
      </c>
      <c r="L2123" s="57" t="s">
        <v>209</v>
      </c>
      <c r="S2123" s="57">
        <v>0</v>
      </c>
    </row>
    <row r="2124" spans="1:19" ht="11.1" customHeight="1" x14ac:dyDescent="0.2">
      <c r="A2124" s="57" t="s">
        <v>743</v>
      </c>
      <c r="B2124" s="424"/>
      <c r="C2124" s="425"/>
      <c r="D2124" s="426"/>
      <c r="E2124" s="419" t="s">
        <v>405</v>
      </c>
      <c r="F2124" s="420"/>
      <c r="G2124" s="64" t="s">
        <v>420</v>
      </c>
      <c r="H2124" s="419" t="s">
        <v>459</v>
      </c>
      <c r="I2124" s="420"/>
      <c r="K2124" s="57" t="s">
        <v>743</v>
      </c>
      <c r="L2124" s="57" t="s">
        <v>209</v>
      </c>
      <c r="S2124" s="57">
        <v>0</v>
      </c>
    </row>
    <row r="2125" spans="1:19" ht="11.85" customHeight="1" x14ac:dyDescent="0.2">
      <c r="A2125" s="57" t="s">
        <v>743</v>
      </c>
      <c r="B2125" s="424"/>
      <c r="C2125" s="425"/>
      <c r="D2125" s="426"/>
      <c r="E2125" s="419" t="s">
        <v>460</v>
      </c>
      <c r="F2125" s="420"/>
      <c r="G2125" s="64" t="s">
        <v>461</v>
      </c>
      <c r="H2125" s="419" t="s">
        <v>423</v>
      </c>
      <c r="I2125" s="420"/>
      <c r="K2125" s="57" t="s">
        <v>743</v>
      </c>
      <c r="L2125" s="57" t="s">
        <v>209</v>
      </c>
      <c r="S2125" s="65">
        <v>33.17</v>
      </c>
    </row>
    <row r="2126" spans="1:19" ht="11.85" customHeight="1" x14ac:dyDescent="0.2">
      <c r="A2126" s="57" t="s">
        <v>743</v>
      </c>
      <c r="B2126" s="416"/>
      <c r="C2126" s="417"/>
      <c r="D2126" s="418"/>
      <c r="E2126" s="419" t="s">
        <v>462</v>
      </c>
      <c r="F2126" s="420"/>
      <c r="G2126" s="64" t="s">
        <v>424</v>
      </c>
      <c r="H2126" s="419" t="s">
        <v>463</v>
      </c>
      <c r="I2126" s="420"/>
      <c r="K2126" s="57" t="s">
        <v>743</v>
      </c>
      <c r="L2126" s="57" t="s">
        <v>209</v>
      </c>
      <c r="S2126" s="57">
        <v>0</v>
      </c>
    </row>
    <row r="2127" spans="1:19" ht="11.85" customHeight="1" x14ac:dyDescent="0.2">
      <c r="A2127" s="57" t="s">
        <v>743</v>
      </c>
      <c r="B2127" s="413" t="s">
        <v>426</v>
      </c>
      <c r="C2127" s="414"/>
      <c r="D2127" s="415"/>
      <c r="E2127" s="419" t="s">
        <v>408</v>
      </c>
      <c r="F2127" s="420"/>
      <c r="G2127" s="64" t="s">
        <v>420</v>
      </c>
      <c r="H2127" s="419" t="s">
        <v>427</v>
      </c>
      <c r="I2127" s="420"/>
      <c r="K2127" s="57" t="s">
        <v>743</v>
      </c>
      <c r="L2127" s="57" t="s">
        <v>209</v>
      </c>
      <c r="S2127" s="57">
        <v>0</v>
      </c>
    </row>
    <row r="2128" spans="1:19" ht="11.1" customHeight="1" x14ac:dyDescent="0.2">
      <c r="A2128" s="57" t="s">
        <v>743</v>
      </c>
      <c r="B2128" s="416"/>
      <c r="C2128" s="417"/>
      <c r="D2128" s="418"/>
      <c r="E2128" s="419" t="s">
        <v>409</v>
      </c>
      <c r="F2128" s="420"/>
      <c r="G2128" s="64" t="s">
        <v>417</v>
      </c>
      <c r="H2128" s="419" t="s">
        <v>428</v>
      </c>
      <c r="I2128" s="420"/>
      <c r="K2128" s="57" t="s">
        <v>743</v>
      </c>
      <c r="L2128" s="57" t="s">
        <v>209</v>
      </c>
      <c r="S2128" s="57">
        <v>0</v>
      </c>
    </row>
    <row r="2129" spans="1:19" ht="11.85" customHeight="1" x14ac:dyDescent="0.2">
      <c r="A2129" s="57" t="s">
        <v>743</v>
      </c>
      <c r="B2129" s="62"/>
      <c r="C2129" s="411" t="s">
        <v>744</v>
      </c>
      <c r="D2129" s="412"/>
      <c r="E2129" s="412"/>
      <c r="F2129" s="412"/>
      <c r="G2129" s="412"/>
      <c r="H2129" s="412"/>
      <c r="I2129" s="411"/>
      <c r="K2129" s="57" t="s">
        <v>743</v>
      </c>
      <c r="L2129" s="57" t="s">
        <v>209</v>
      </c>
      <c r="S2129" s="57">
        <v>0</v>
      </c>
    </row>
    <row r="2130" spans="1:19" ht="11.85" customHeight="1" x14ac:dyDescent="0.2">
      <c r="A2130" s="57" t="s">
        <v>744</v>
      </c>
      <c r="B2130" s="413" t="s">
        <v>416</v>
      </c>
      <c r="C2130" s="414"/>
      <c r="D2130" s="415"/>
      <c r="E2130" s="419" t="s">
        <v>402</v>
      </c>
      <c r="F2130" s="420"/>
      <c r="G2130" s="64" t="s">
        <v>417</v>
      </c>
      <c r="H2130" s="419" t="s">
        <v>418</v>
      </c>
      <c r="I2130" s="420"/>
      <c r="K2130" s="57" t="s">
        <v>744</v>
      </c>
      <c r="L2130" s="57" t="s">
        <v>210</v>
      </c>
      <c r="S2130" s="57">
        <v>0</v>
      </c>
    </row>
    <row r="2131" spans="1:19" ht="11.85" customHeight="1" x14ac:dyDescent="0.2">
      <c r="A2131" s="57" t="s">
        <v>744</v>
      </c>
      <c r="B2131" s="424"/>
      <c r="C2131" s="425"/>
      <c r="D2131" s="426"/>
      <c r="E2131" s="419" t="s">
        <v>403</v>
      </c>
      <c r="F2131" s="420"/>
      <c r="G2131" s="64" t="s">
        <v>417</v>
      </c>
      <c r="H2131" s="419" t="s">
        <v>418</v>
      </c>
      <c r="I2131" s="420"/>
      <c r="K2131" s="57" t="s">
        <v>744</v>
      </c>
      <c r="L2131" s="57" t="s">
        <v>210</v>
      </c>
      <c r="S2131" s="57">
        <v>0</v>
      </c>
    </row>
    <row r="2132" spans="1:19" ht="11.1" customHeight="1" x14ac:dyDescent="0.2">
      <c r="A2132" s="57" t="s">
        <v>744</v>
      </c>
      <c r="B2132" s="424"/>
      <c r="C2132" s="425"/>
      <c r="D2132" s="426"/>
      <c r="E2132" s="419" t="s">
        <v>404</v>
      </c>
      <c r="F2132" s="420"/>
      <c r="G2132" s="64" t="s">
        <v>413</v>
      </c>
      <c r="H2132" s="419" t="s">
        <v>419</v>
      </c>
      <c r="I2132" s="420"/>
      <c r="K2132" s="57" t="s">
        <v>744</v>
      </c>
      <c r="L2132" s="57" t="s">
        <v>210</v>
      </c>
      <c r="S2132" s="57">
        <v>0</v>
      </c>
    </row>
    <row r="2133" spans="1:19" ht="11.85" customHeight="1" x14ac:dyDescent="0.2">
      <c r="A2133" s="57" t="s">
        <v>744</v>
      </c>
      <c r="B2133" s="424"/>
      <c r="C2133" s="425"/>
      <c r="D2133" s="426"/>
      <c r="E2133" s="419" t="s">
        <v>405</v>
      </c>
      <c r="F2133" s="420"/>
      <c r="G2133" s="64" t="s">
        <v>420</v>
      </c>
      <c r="H2133" s="419" t="s">
        <v>421</v>
      </c>
      <c r="I2133" s="420"/>
      <c r="K2133" s="57" t="s">
        <v>744</v>
      </c>
      <c r="L2133" s="57" t="s">
        <v>210</v>
      </c>
      <c r="S2133" s="57">
        <v>0</v>
      </c>
    </row>
    <row r="2134" spans="1:19" ht="11.85" customHeight="1" x14ac:dyDescent="0.2">
      <c r="A2134" s="57" t="s">
        <v>744</v>
      </c>
      <c r="B2134" s="424"/>
      <c r="C2134" s="425"/>
      <c r="D2134" s="426"/>
      <c r="E2134" s="419" t="s">
        <v>440</v>
      </c>
      <c r="F2134" s="420"/>
      <c r="G2134" s="64" t="s">
        <v>441</v>
      </c>
      <c r="H2134" s="419" t="s">
        <v>423</v>
      </c>
      <c r="I2134" s="420"/>
      <c r="K2134" s="57" t="s">
        <v>744</v>
      </c>
      <c r="L2134" s="57" t="s">
        <v>210</v>
      </c>
      <c r="S2134" s="65">
        <v>48.16</v>
      </c>
    </row>
    <row r="2135" spans="1:19" ht="11.85" customHeight="1" x14ac:dyDescent="0.2">
      <c r="A2135" s="57" t="s">
        <v>744</v>
      </c>
      <c r="B2135" s="416"/>
      <c r="C2135" s="417"/>
      <c r="D2135" s="418"/>
      <c r="E2135" s="419" t="s">
        <v>442</v>
      </c>
      <c r="F2135" s="420"/>
      <c r="G2135" s="64" t="s">
        <v>443</v>
      </c>
      <c r="H2135" s="419" t="s">
        <v>425</v>
      </c>
      <c r="I2135" s="420"/>
      <c r="K2135" s="57" t="s">
        <v>744</v>
      </c>
      <c r="L2135" s="57" t="s">
        <v>210</v>
      </c>
      <c r="S2135" s="57">
        <v>0</v>
      </c>
    </row>
    <row r="2136" spans="1:19" ht="11.1" customHeight="1" x14ac:dyDescent="0.2">
      <c r="A2136" s="57" t="s">
        <v>744</v>
      </c>
      <c r="B2136" s="62"/>
      <c r="C2136" s="411" t="s">
        <v>745</v>
      </c>
      <c r="D2136" s="412"/>
      <c r="E2136" s="412"/>
      <c r="F2136" s="412"/>
      <c r="G2136" s="412"/>
      <c r="H2136" s="412"/>
      <c r="I2136" s="411"/>
      <c r="K2136" s="57" t="s">
        <v>744</v>
      </c>
      <c r="L2136" s="57" t="s">
        <v>210</v>
      </c>
      <c r="S2136" s="57">
        <v>0</v>
      </c>
    </row>
    <row r="2137" spans="1:19" ht="11.85" customHeight="1" x14ac:dyDescent="0.2">
      <c r="A2137" s="57" t="s">
        <v>745</v>
      </c>
      <c r="B2137" s="413" t="s">
        <v>416</v>
      </c>
      <c r="C2137" s="414"/>
      <c r="D2137" s="415"/>
      <c r="E2137" s="419" t="s">
        <v>402</v>
      </c>
      <c r="F2137" s="420"/>
      <c r="G2137" s="64" t="s">
        <v>417</v>
      </c>
      <c r="H2137" s="419" t="s">
        <v>457</v>
      </c>
      <c r="I2137" s="420"/>
      <c r="K2137" s="57" t="s">
        <v>745</v>
      </c>
      <c r="L2137" s="57" t="s">
        <v>211</v>
      </c>
      <c r="S2137" s="57">
        <v>0</v>
      </c>
    </row>
    <row r="2138" spans="1:19" ht="11.85" customHeight="1" x14ac:dyDescent="0.2">
      <c r="A2138" s="57" t="s">
        <v>745</v>
      </c>
      <c r="B2138" s="424"/>
      <c r="C2138" s="425"/>
      <c r="D2138" s="426"/>
      <c r="E2138" s="419" t="s">
        <v>403</v>
      </c>
      <c r="F2138" s="420"/>
      <c r="G2138" s="64" t="s">
        <v>417</v>
      </c>
      <c r="H2138" s="419" t="s">
        <v>457</v>
      </c>
      <c r="I2138" s="420"/>
      <c r="K2138" s="57" t="s">
        <v>745</v>
      </c>
      <c r="L2138" s="57" t="s">
        <v>211</v>
      </c>
      <c r="S2138" s="57">
        <v>0</v>
      </c>
    </row>
    <row r="2139" spans="1:19" ht="11.85" customHeight="1" x14ac:dyDescent="0.2">
      <c r="A2139" s="57" t="s">
        <v>745</v>
      </c>
      <c r="B2139" s="424"/>
      <c r="C2139" s="425"/>
      <c r="D2139" s="426"/>
      <c r="E2139" s="419" t="s">
        <v>404</v>
      </c>
      <c r="F2139" s="420"/>
      <c r="G2139" s="64" t="s">
        <v>413</v>
      </c>
      <c r="H2139" s="419" t="s">
        <v>458</v>
      </c>
      <c r="I2139" s="420"/>
      <c r="K2139" s="57" t="s">
        <v>745</v>
      </c>
      <c r="L2139" s="57" t="s">
        <v>211</v>
      </c>
      <c r="S2139" s="57">
        <v>0</v>
      </c>
    </row>
    <row r="2140" spans="1:19" ht="11.1" customHeight="1" x14ac:dyDescent="0.2">
      <c r="A2140" s="57" t="s">
        <v>745</v>
      </c>
      <c r="B2140" s="424"/>
      <c r="C2140" s="425"/>
      <c r="D2140" s="426"/>
      <c r="E2140" s="419" t="s">
        <v>405</v>
      </c>
      <c r="F2140" s="420"/>
      <c r="G2140" s="64" t="s">
        <v>420</v>
      </c>
      <c r="H2140" s="419" t="s">
        <v>459</v>
      </c>
      <c r="I2140" s="420"/>
      <c r="K2140" s="57" t="s">
        <v>745</v>
      </c>
      <c r="L2140" s="57" t="s">
        <v>211</v>
      </c>
      <c r="S2140" s="57">
        <v>0</v>
      </c>
    </row>
    <row r="2141" spans="1:19" ht="11.85" customHeight="1" x14ac:dyDescent="0.2">
      <c r="A2141" s="57" t="s">
        <v>745</v>
      </c>
      <c r="B2141" s="424"/>
      <c r="C2141" s="425"/>
      <c r="D2141" s="426"/>
      <c r="E2141" s="419" t="s">
        <v>460</v>
      </c>
      <c r="F2141" s="420"/>
      <c r="G2141" s="64" t="s">
        <v>461</v>
      </c>
      <c r="H2141" s="419" t="s">
        <v>423</v>
      </c>
      <c r="I2141" s="420"/>
      <c r="K2141" s="57" t="s">
        <v>745</v>
      </c>
      <c r="L2141" s="57" t="s">
        <v>211</v>
      </c>
      <c r="S2141" s="65">
        <v>33.17</v>
      </c>
    </row>
    <row r="2142" spans="1:19" ht="11.85" customHeight="1" x14ac:dyDescent="0.2">
      <c r="A2142" s="57" t="s">
        <v>745</v>
      </c>
      <c r="B2142" s="416"/>
      <c r="C2142" s="417"/>
      <c r="D2142" s="418"/>
      <c r="E2142" s="419" t="s">
        <v>462</v>
      </c>
      <c r="F2142" s="420"/>
      <c r="G2142" s="64" t="s">
        <v>424</v>
      </c>
      <c r="H2142" s="419" t="s">
        <v>463</v>
      </c>
      <c r="I2142" s="420"/>
      <c r="K2142" s="57" t="s">
        <v>745</v>
      </c>
      <c r="L2142" s="57" t="s">
        <v>211</v>
      </c>
      <c r="S2142" s="57">
        <v>0</v>
      </c>
    </row>
    <row r="2143" spans="1:19" ht="11.85" customHeight="1" x14ac:dyDescent="0.2">
      <c r="A2143" s="57" t="s">
        <v>745</v>
      </c>
      <c r="B2143" s="62"/>
      <c r="C2143" s="411" t="s">
        <v>746</v>
      </c>
      <c r="D2143" s="412"/>
      <c r="E2143" s="412"/>
      <c r="F2143" s="412"/>
      <c r="G2143" s="412"/>
      <c r="H2143" s="412"/>
      <c r="I2143" s="411"/>
      <c r="K2143" s="57" t="s">
        <v>745</v>
      </c>
      <c r="L2143" s="57" t="s">
        <v>211</v>
      </c>
      <c r="S2143" s="57">
        <v>0</v>
      </c>
    </row>
    <row r="2144" spans="1:19" ht="11.85" customHeight="1" x14ac:dyDescent="0.2">
      <c r="A2144" s="57" t="s">
        <v>746</v>
      </c>
      <c r="B2144" s="413" t="s">
        <v>416</v>
      </c>
      <c r="C2144" s="414"/>
      <c r="D2144" s="415"/>
      <c r="E2144" s="419" t="s">
        <v>402</v>
      </c>
      <c r="F2144" s="420"/>
      <c r="G2144" s="64" t="s">
        <v>417</v>
      </c>
      <c r="H2144" s="419" t="s">
        <v>457</v>
      </c>
      <c r="I2144" s="420"/>
      <c r="K2144" s="57" t="s">
        <v>746</v>
      </c>
      <c r="L2144" s="57" t="s">
        <v>212</v>
      </c>
      <c r="S2144" s="57">
        <v>0</v>
      </c>
    </row>
    <row r="2145" spans="1:19" ht="11.85" customHeight="1" x14ac:dyDescent="0.2">
      <c r="A2145" s="57" t="s">
        <v>746</v>
      </c>
      <c r="B2145" s="424"/>
      <c r="C2145" s="425"/>
      <c r="D2145" s="426"/>
      <c r="E2145" s="419" t="s">
        <v>403</v>
      </c>
      <c r="F2145" s="420"/>
      <c r="G2145" s="64" t="s">
        <v>417</v>
      </c>
      <c r="H2145" s="419" t="s">
        <v>457</v>
      </c>
      <c r="I2145" s="420"/>
      <c r="K2145" s="57" t="s">
        <v>746</v>
      </c>
      <c r="L2145" s="57" t="s">
        <v>212</v>
      </c>
      <c r="S2145" s="57">
        <v>0</v>
      </c>
    </row>
    <row r="2146" spans="1:19" ht="11.1" customHeight="1" x14ac:dyDescent="0.2">
      <c r="A2146" s="57" t="s">
        <v>746</v>
      </c>
      <c r="B2146" s="424"/>
      <c r="C2146" s="425"/>
      <c r="D2146" s="426"/>
      <c r="E2146" s="419" t="s">
        <v>404</v>
      </c>
      <c r="F2146" s="420"/>
      <c r="G2146" s="64" t="s">
        <v>413</v>
      </c>
      <c r="H2146" s="419" t="s">
        <v>458</v>
      </c>
      <c r="I2146" s="420"/>
      <c r="K2146" s="57" t="s">
        <v>746</v>
      </c>
      <c r="L2146" s="57" t="s">
        <v>212</v>
      </c>
      <c r="S2146" s="57">
        <v>0</v>
      </c>
    </row>
    <row r="2147" spans="1:19" ht="11.85" customHeight="1" x14ac:dyDescent="0.2">
      <c r="A2147" s="57" t="s">
        <v>746</v>
      </c>
      <c r="B2147" s="424"/>
      <c r="C2147" s="425"/>
      <c r="D2147" s="426"/>
      <c r="E2147" s="419" t="s">
        <v>405</v>
      </c>
      <c r="F2147" s="420"/>
      <c r="G2147" s="64" t="s">
        <v>420</v>
      </c>
      <c r="H2147" s="419" t="s">
        <v>459</v>
      </c>
      <c r="I2147" s="420"/>
      <c r="K2147" s="57" t="s">
        <v>746</v>
      </c>
      <c r="L2147" s="57" t="s">
        <v>212</v>
      </c>
      <c r="S2147" s="57">
        <v>0</v>
      </c>
    </row>
    <row r="2148" spans="1:19" ht="11.85" customHeight="1" x14ac:dyDescent="0.2">
      <c r="A2148" s="57" t="s">
        <v>746</v>
      </c>
      <c r="B2148" s="424"/>
      <c r="C2148" s="425"/>
      <c r="D2148" s="426"/>
      <c r="E2148" s="419" t="s">
        <v>460</v>
      </c>
      <c r="F2148" s="420"/>
      <c r="G2148" s="64" t="s">
        <v>461</v>
      </c>
      <c r="H2148" s="419" t="s">
        <v>423</v>
      </c>
      <c r="I2148" s="420"/>
      <c r="K2148" s="57" t="s">
        <v>746</v>
      </c>
      <c r="L2148" s="57" t="s">
        <v>212</v>
      </c>
      <c r="S2148" s="65">
        <v>33.17</v>
      </c>
    </row>
    <row r="2149" spans="1:19" ht="11.85" customHeight="1" x14ac:dyDescent="0.2">
      <c r="A2149" s="57" t="s">
        <v>746</v>
      </c>
      <c r="B2149" s="416"/>
      <c r="C2149" s="417"/>
      <c r="D2149" s="418"/>
      <c r="E2149" s="419" t="s">
        <v>462</v>
      </c>
      <c r="F2149" s="420"/>
      <c r="G2149" s="64" t="s">
        <v>424</v>
      </c>
      <c r="H2149" s="419" t="s">
        <v>463</v>
      </c>
      <c r="I2149" s="420"/>
      <c r="K2149" s="57" t="s">
        <v>746</v>
      </c>
      <c r="L2149" s="57" t="s">
        <v>212</v>
      </c>
      <c r="S2149" s="57">
        <v>0</v>
      </c>
    </row>
    <row r="2150" spans="1:19" ht="11.1" customHeight="1" x14ac:dyDescent="0.2">
      <c r="A2150" s="57" t="s">
        <v>746</v>
      </c>
      <c r="B2150" s="62"/>
      <c r="C2150" s="411" t="s">
        <v>747</v>
      </c>
      <c r="D2150" s="412"/>
      <c r="E2150" s="412"/>
      <c r="F2150" s="412"/>
      <c r="G2150" s="412"/>
      <c r="H2150" s="412"/>
      <c r="I2150" s="411"/>
      <c r="K2150" s="57" t="s">
        <v>746</v>
      </c>
      <c r="L2150" s="57" t="s">
        <v>212</v>
      </c>
      <c r="S2150" s="57">
        <v>0</v>
      </c>
    </row>
    <row r="2151" spans="1:19" ht="11.85" customHeight="1" x14ac:dyDescent="0.2">
      <c r="A2151" s="57" t="s">
        <v>747</v>
      </c>
      <c r="B2151" s="413" t="s">
        <v>412</v>
      </c>
      <c r="C2151" s="414"/>
      <c r="D2151" s="415"/>
      <c r="E2151" s="419" t="s">
        <v>400</v>
      </c>
      <c r="F2151" s="420"/>
      <c r="G2151" s="64" t="s">
        <v>413</v>
      </c>
      <c r="H2151" s="419" t="s">
        <v>414</v>
      </c>
      <c r="I2151" s="420"/>
      <c r="K2151" s="57" t="s">
        <v>747</v>
      </c>
      <c r="L2151" s="57" t="s">
        <v>213</v>
      </c>
      <c r="S2151" s="57">
        <v>0</v>
      </c>
    </row>
    <row r="2152" spans="1:19" ht="11.85" customHeight="1" x14ac:dyDescent="0.2">
      <c r="A2152" s="57" t="s">
        <v>747</v>
      </c>
      <c r="B2152" s="416"/>
      <c r="C2152" s="417"/>
      <c r="D2152" s="418"/>
      <c r="E2152" s="419" t="s">
        <v>401</v>
      </c>
      <c r="F2152" s="420"/>
      <c r="G2152" s="64" t="s">
        <v>413</v>
      </c>
      <c r="H2152" s="419" t="s">
        <v>415</v>
      </c>
      <c r="I2152" s="420"/>
      <c r="K2152" s="57" t="s">
        <v>747</v>
      </c>
      <c r="L2152" s="57" t="s">
        <v>213</v>
      </c>
      <c r="S2152" s="57">
        <v>0</v>
      </c>
    </row>
    <row r="2153" spans="1:19" ht="11.85" customHeight="1" x14ac:dyDescent="0.2">
      <c r="A2153" s="57" t="s">
        <v>747</v>
      </c>
      <c r="B2153" s="413" t="s">
        <v>416</v>
      </c>
      <c r="C2153" s="414"/>
      <c r="D2153" s="415"/>
      <c r="E2153" s="419" t="s">
        <v>402</v>
      </c>
      <c r="F2153" s="420"/>
      <c r="G2153" s="64" t="s">
        <v>417</v>
      </c>
      <c r="H2153" s="419" t="s">
        <v>457</v>
      </c>
      <c r="I2153" s="420"/>
      <c r="K2153" s="57" t="s">
        <v>747</v>
      </c>
      <c r="L2153" s="57" t="s">
        <v>213</v>
      </c>
      <c r="S2153" s="57">
        <v>0</v>
      </c>
    </row>
    <row r="2154" spans="1:19" ht="11.1" customHeight="1" x14ac:dyDescent="0.2">
      <c r="A2154" s="57" t="s">
        <v>747</v>
      </c>
      <c r="B2154" s="424"/>
      <c r="C2154" s="425"/>
      <c r="D2154" s="426"/>
      <c r="E2154" s="419" t="s">
        <v>403</v>
      </c>
      <c r="F2154" s="420"/>
      <c r="G2154" s="64" t="s">
        <v>417</v>
      </c>
      <c r="H2154" s="419" t="s">
        <v>457</v>
      </c>
      <c r="I2154" s="420"/>
      <c r="K2154" s="57" t="s">
        <v>747</v>
      </c>
      <c r="L2154" s="57" t="s">
        <v>213</v>
      </c>
      <c r="S2154" s="57">
        <v>0</v>
      </c>
    </row>
    <row r="2155" spans="1:19" ht="11.85" customHeight="1" x14ac:dyDescent="0.2">
      <c r="A2155" s="57" t="s">
        <v>747</v>
      </c>
      <c r="B2155" s="424"/>
      <c r="C2155" s="425"/>
      <c r="D2155" s="426"/>
      <c r="E2155" s="419" t="s">
        <v>404</v>
      </c>
      <c r="F2155" s="420"/>
      <c r="G2155" s="64" t="s">
        <v>413</v>
      </c>
      <c r="H2155" s="419" t="s">
        <v>458</v>
      </c>
      <c r="I2155" s="420"/>
      <c r="K2155" s="57" t="s">
        <v>747</v>
      </c>
      <c r="L2155" s="57" t="s">
        <v>213</v>
      </c>
      <c r="S2155" s="57">
        <v>0</v>
      </c>
    </row>
    <row r="2156" spans="1:19" ht="11.85" customHeight="1" x14ac:dyDescent="0.2">
      <c r="A2156" s="57" t="s">
        <v>747</v>
      </c>
      <c r="B2156" s="424"/>
      <c r="C2156" s="425"/>
      <c r="D2156" s="426"/>
      <c r="E2156" s="419" t="s">
        <v>405</v>
      </c>
      <c r="F2156" s="420"/>
      <c r="G2156" s="64" t="s">
        <v>420</v>
      </c>
      <c r="H2156" s="419" t="s">
        <v>459</v>
      </c>
      <c r="I2156" s="420"/>
      <c r="K2156" s="57" t="s">
        <v>747</v>
      </c>
      <c r="L2156" s="57" t="s">
        <v>213</v>
      </c>
      <c r="S2156" s="57">
        <v>0</v>
      </c>
    </row>
    <row r="2157" spans="1:19" ht="11.85" customHeight="1" x14ac:dyDescent="0.2">
      <c r="A2157" s="57" t="s">
        <v>747</v>
      </c>
      <c r="B2157" s="424"/>
      <c r="C2157" s="425"/>
      <c r="D2157" s="426"/>
      <c r="E2157" s="419" t="s">
        <v>460</v>
      </c>
      <c r="F2157" s="420"/>
      <c r="G2157" s="64" t="s">
        <v>461</v>
      </c>
      <c r="H2157" s="419" t="s">
        <v>423</v>
      </c>
      <c r="I2157" s="420"/>
      <c r="K2157" s="57" t="s">
        <v>747</v>
      </c>
      <c r="L2157" s="57" t="s">
        <v>213</v>
      </c>
      <c r="S2157" s="65">
        <v>33.17</v>
      </c>
    </row>
    <row r="2158" spans="1:19" ht="11.1" customHeight="1" x14ac:dyDescent="0.2">
      <c r="A2158" s="57" t="s">
        <v>747</v>
      </c>
      <c r="B2158" s="416"/>
      <c r="C2158" s="417"/>
      <c r="D2158" s="418"/>
      <c r="E2158" s="419" t="s">
        <v>462</v>
      </c>
      <c r="F2158" s="420"/>
      <c r="G2158" s="64" t="s">
        <v>424</v>
      </c>
      <c r="H2158" s="419" t="s">
        <v>463</v>
      </c>
      <c r="I2158" s="420"/>
      <c r="K2158" s="57" t="s">
        <v>747</v>
      </c>
      <c r="L2158" s="57" t="s">
        <v>213</v>
      </c>
      <c r="S2158" s="57">
        <v>0</v>
      </c>
    </row>
    <row r="2159" spans="1:19" ht="11.85" customHeight="1" x14ac:dyDescent="0.2">
      <c r="A2159" s="57" t="s">
        <v>747</v>
      </c>
      <c r="B2159" s="413" t="s">
        <v>426</v>
      </c>
      <c r="C2159" s="414"/>
      <c r="D2159" s="415"/>
      <c r="E2159" s="419" t="s">
        <v>408</v>
      </c>
      <c r="F2159" s="420"/>
      <c r="G2159" s="64" t="s">
        <v>420</v>
      </c>
      <c r="H2159" s="419" t="s">
        <v>427</v>
      </c>
      <c r="I2159" s="420"/>
      <c r="K2159" s="57" t="s">
        <v>747</v>
      </c>
      <c r="L2159" s="57" t="s">
        <v>213</v>
      </c>
      <c r="S2159" s="57">
        <v>0</v>
      </c>
    </row>
    <row r="2160" spans="1:19" ht="11.85" customHeight="1" x14ac:dyDescent="0.2">
      <c r="A2160" s="57" t="s">
        <v>747</v>
      </c>
      <c r="B2160" s="424"/>
      <c r="C2160" s="425"/>
      <c r="D2160" s="426"/>
      <c r="E2160" s="419" t="s">
        <v>409</v>
      </c>
      <c r="F2160" s="420"/>
      <c r="G2160" s="64" t="s">
        <v>417</v>
      </c>
      <c r="H2160" s="419" t="s">
        <v>428</v>
      </c>
      <c r="I2160" s="420"/>
      <c r="K2160" s="57" t="s">
        <v>747</v>
      </c>
      <c r="L2160" s="57" t="s">
        <v>213</v>
      </c>
      <c r="S2160" s="57">
        <v>0</v>
      </c>
    </row>
    <row r="2161" spans="1:19" ht="11.85" customHeight="1" x14ac:dyDescent="0.2">
      <c r="A2161" s="57" t="s">
        <v>747</v>
      </c>
      <c r="B2161" s="416"/>
      <c r="C2161" s="417"/>
      <c r="D2161" s="418"/>
      <c r="E2161" s="419" t="s">
        <v>410</v>
      </c>
      <c r="F2161" s="420"/>
      <c r="G2161" s="64" t="s">
        <v>417</v>
      </c>
      <c r="H2161" s="419" t="s">
        <v>415</v>
      </c>
      <c r="I2161" s="420"/>
      <c r="K2161" s="57" t="s">
        <v>747</v>
      </c>
      <c r="L2161" s="57" t="s">
        <v>213</v>
      </c>
      <c r="S2161" s="57">
        <v>0</v>
      </c>
    </row>
    <row r="2162" spans="1:19" ht="11.1" customHeight="1" x14ac:dyDescent="0.2">
      <c r="A2162" s="57" t="s">
        <v>747</v>
      </c>
      <c r="B2162" s="62"/>
      <c r="C2162" s="411" t="s">
        <v>748</v>
      </c>
      <c r="D2162" s="412"/>
      <c r="E2162" s="412"/>
      <c r="F2162" s="412"/>
      <c r="G2162" s="412"/>
      <c r="H2162" s="412"/>
      <c r="I2162" s="411"/>
      <c r="K2162" s="57" t="s">
        <v>747</v>
      </c>
      <c r="L2162" s="57" t="s">
        <v>213</v>
      </c>
      <c r="S2162" s="57">
        <v>0</v>
      </c>
    </row>
    <row r="2163" spans="1:19" ht="11.85" customHeight="1" x14ac:dyDescent="0.2">
      <c r="A2163" s="57" t="s">
        <v>748</v>
      </c>
      <c r="B2163" s="413" t="s">
        <v>412</v>
      </c>
      <c r="C2163" s="414"/>
      <c r="D2163" s="415"/>
      <c r="E2163" s="419" t="s">
        <v>400</v>
      </c>
      <c r="F2163" s="420"/>
      <c r="G2163" s="64" t="s">
        <v>413</v>
      </c>
      <c r="H2163" s="419" t="s">
        <v>414</v>
      </c>
      <c r="I2163" s="420"/>
      <c r="K2163" s="57" t="s">
        <v>748</v>
      </c>
      <c r="L2163" s="57" t="s">
        <v>214</v>
      </c>
      <c r="S2163" s="57">
        <v>0</v>
      </c>
    </row>
    <row r="2164" spans="1:19" ht="11.85" customHeight="1" x14ac:dyDescent="0.2">
      <c r="A2164" s="57" t="s">
        <v>748</v>
      </c>
      <c r="B2164" s="416"/>
      <c r="C2164" s="417"/>
      <c r="D2164" s="418"/>
      <c r="E2164" s="419" t="s">
        <v>401</v>
      </c>
      <c r="F2164" s="420"/>
      <c r="G2164" s="64" t="s">
        <v>413</v>
      </c>
      <c r="H2164" s="419" t="s">
        <v>415</v>
      </c>
      <c r="I2164" s="420"/>
      <c r="K2164" s="57" t="s">
        <v>748</v>
      </c>
      <c r="L2164" s="57" t="s">
        <v>214</v>
      </c>
      <c r="S2164" s="57">
        <v>0</v>
      </c>
    </row>
    <row r="2165" spans="1:19" ht="11.85" customHeight="1" x14ac:dyDescent="0.2">
      <c r="A2165" s="57" t="s">
        <v>748</v>
      </c>
      <c r="B2165" s="413" t="s">
        <v>416</v>
      </c>
      <c r="C2165" s="414"/>
      <c r="D2165" s="415"/>
      <c r="E2165" s="419" t="s">
        <v>402</v>
      </c>
      <c r="F2165" s="420"/>
      <c r="G2165" s="64" t="s">
        <v>417</v>
      </c>
      <c r="H2165" s="419" t="s">
        <v>457</v>
      </c>
      <c r="I2165" s="420"/>
      <c r="K2165" s="57" t="s">
        <v>748</v>
      </c>
      <c r="L2165" s="57" t="s">
        <v>214</v>
      </c>
      <c r="S2165" s="57">
        <v>0</v>
      </c>
    </row>
    <row r="2166" spans="1:19" ht="11.1" customHeight="1" x14ac:dyDescent="0.2">
      <c r="A2166" s="57" t="s">
        <v>748</v>
      </c>
      <c r="B2166" s="424"/>
      <c r="C2166" s="425"/>
      <c r="D2166" s="426"/>
      <c r="E2166" s="419" t="s">
        <v>403</v>
      </c>
      <c r="F2166" s="420"/>
      <c r="G2166" s="64" t="s">
        <v>417</v>
      </c>
      <c r="H2166" s="419" t="s">
        <v>457</v>
      </c>
      <c r="I2166" s="420"/>
      <c r="K2166" s="57" t="s">
        <v>748</v>
      </c>
      <c r="L2166" s="57" t="s">
        <v>214</v>
      </c>
      <c r="S2166" s="57">
        <v>0</v>
      </c>
    </row>
    <row r="2167" spans="1:19" ht="11.85" customHeight="1" x14ac:dyDescent="0.2">
      <c r="A2167" s="57" t="s">
        <v>748</v>
      </c>
      <c r="B2167" s="424"/>
      <c r="C2167" s="425"/>
      <c r="D2167" s="426"/>
      <c r="E2167" s="419" t="s">
        <v>404</v>
      </c>
      <c r="F2167" s="420"/>
      <c r="G2167" s="64" t="s">
        <v>413</v>
      </c>
      <c r="H2167" s="419" t="s">
        <v>458</v>
      </c>
      <c r="I2167" s="420"/>
      <c r="K2167" s="57" t="s">
        <v>748</v>
      </c>
      <c r="L2167" s="57" t="s">
        <v>214</v>
      </c>
      <c r="S2167" s="57">
        <v>0</v>
      </c>
    </row>
    <row r="2168" spans="1:19" ht="11.85" customHeight="1" x14ac:dyDescent="0.2">
      <c r="A2168" s="57" t="s">
        <v>748</v>
      </c>
      <c r="B2168" s="424"/>
      <c r="C2168" s="425"/>
      <c r="D2168" s="426"/>
      <c r="E2168" s="419" t="s">
        <v>405</v>
      </c>
      <c r="F2168" s="420"/>
      <c r="G2168" s="64" t="s">
        <v>420</v>
      </c>
      <c r="H2168" s="419" t="s">
        <v>459</v>
      </c>
      <c r="I2168" s="420"/>
      <c r="K2168" s="57" t="s">
        <v>748</v>
      </c>
      <c r="L2168" s="57" t="s">
        <v>214</v>
      </c>
      <c r="S2168" s="57">
        <v>0</v>
      </c>
    </row>
    <row r="2169" spans="1:19" ht="11.85" customHeight="1" x14ac:dyDescent="0.2">
      <c r="A2169" s="57" t="s">
        <v>748</v>
      </c>
      <c r="B2169" s="424"/>
      <c r="C2169" s="425"/>
      <c r="D2169" s="426"/>
      <c r="E2169" s="419" t="s">
        <v>460</v>
      </c>
      <c r="F2169" s="420"/>
      <c r="G2169" s="64" t="s">
        <v>461</v>
      </c>
      <c r="H2169" s="419" t="s">
        <v>423</v>
      </c>
      <c r="I2169" s="420"/>
      <c r="K2169" s="57" t="s">
        <v>748</v>
      </c>
      <c r="L2169" s="57" t="s">
        <v>214</v>
      </c>
      <c r="S2169" s="65">
        <v>33.17</v>
      </c>
    </row>
    <row r="2170" spans="1:19" ht="11.1" customHeight="1" x14ac:dyDescent="0.2">
      <c r="A2170" s="57" t="s">
        <v>748</v>
      </c>
      <c r="B2170" s="416"/>
      <c r="C2170" s="417"/>
      <c r="D2170" s="418"/>
      <c r="E2170" s="419" t="s">
        <v>462</v>
      </c>
      <c r="F2170" s="420"/>
      <c r="G2170" s="64" t="s">
        <v>424</v>
      </c>
      <c r="H2170" s="419" t="s">
        <v>463</v>
      </c>
      <c r="I2170" s="420"/>
      <c r="K2170" s="57" t="s">
        <v>748</v>
      </c>
      <c r="L2170" s="57" t="s">
        <v>214</v>
      </c>
      <c r="S2170" s="57">
        <v>0</v>
      </c>
    </row>
    <row r="2171" spans="1:19" ht="11.85" customHeight="1" x14ac:dyDescent="0.2">
      <c r="A2171" s="57" t="s">
        <v>748</v>
      </c>
      <c r="B2171" s="413" t="s">
        <v>426</v>
      </c>
      <c r="C2171" s="414"/>
      <c r="D2171" s="415"/>
      <c r="E2171" s="419" t="s">
        <v>408</v>
      </c>
      <c r="F2171" s="420"/>
      <c r="G2171" s="64" t="s">
        <v>420</v>
      </c>
      <c r="H2171" s="419" t="s">
        <v>427</v>
      </c>
      <c r="I2171" s="420"/>
      <c r="K2171" s="57" t="s">
        <v>748</v>
      </c>
      <c r="L2171" s="57" t="s">
        <v>214</v>
      </c>
      <c r="S2171" s="57">
        <v>0</v>
      </c>
    </row>
    <row r="2172" spans="1:19" ht="11.85" customHeight="1" x14ac:dyDescent="0.2">
      <c r="A2172" s="57" t="s">
        <v>748</v>
      </c>
      <c r="B2172" s="424"/>
      <c r="C2172" s="425"/>
      <c r="D2172" s="426"/>
      <c r="E2172" s="419" t="s">
        <v>409</v>
      </c>
      <c r="F2172" s="420"/>
      <c r="G2172" s="64" t="s">
        <v>417</v>
      </c>
      <c r="H2172" s="419" t="s">
        <v>428</v>
      </c>
      <c r="I2172" s="420"/>
      <c r="K2172" s="57" t="s">
        <v>748</v>
      </c>
      <c r="L2172" s="57" t="s">
        <v>214</v>
      </c>
      <c r="S2172" s="57">
        <v>0</v>
      </c>
    </row>
    <row r="2173" spans="1:19" ht="11.85" customHeight="1" x14ac:dyDescent="0.2">
      <c r="A2173" s="57" t="s">
        <v>748</v>
      </c>
      <c r="B2173" s="416"/>
      <c r="C2173" s="417"/>
      <c r="D2173" s="418"/>
      <c r="E2173" s="419" t="s">
        <v>410</v>
      </c>
      <c r="F2173" s="420"/>
      <c r="G2173" s="64" t="s">
        <v>417</v>
      </c>
      <c r="H2173" s="419" t="s">
        <v>415</v>
      </c>
      <c r="I2173" s="420"/>
      <c r="K2173" s="57" t="s">
        <v>748</v>
      </c>
      <c r="L2173" s="57" t="s">
        <v>214</v>
      </c>
      <c r="S2173" s="57">
        <v>0</v>
      </c>
    </row>
    <row r="2174" spans="1:19" ht="11.1" customHeight="1" x14ac:dyDescent="0.2">
      <c r="A2174" s="57" t="s">
        <v>748</v>
      </c>
      <c r="B2174" s="62"/>
      <c r="C2174" s="411" t="s">
        <v>749</v>
      </c>
      <c r="D2174" s="412"/>
      <c r="E2174" s="412"/>
      <c r="F2174" s="412"/>
      <c r="G2174" s="412"/>
      <c r="H2174" s="412"/>
      <c r="I2174" s="411"/>
      <c r="K2174" s="57" t="s">
        <v>748</v>
      </c>
      <c r="L2174" s="57" t="s">
        <v>214</v>
      </c>
      <c r="S2174" s="57">
        <v>0</v>
      </c>
    </row>
    <row r="2175" spans="1:19" ht="11.85" customHeight="1" x14ac:dyDescent="0.2">
      <c r="A2175" s="57" t="s">
        <v>749</v>
      </c>
      <c r="B2175" s="413" t="s">
        <v>412</v>
      </c>
      <c r="C2175" s="414"/>
      <c r="D2175" s="415"/>
      <c r="E2175" s="419" t="s">
        <v>449</v>
      </c>
      <c r="F2175" s="420"/>
      <c r="G2175" s="64" t="s">
        <v>413</v>
      </c>
      <c r="H2175" s="419" t="s">
        <v>414</v>
      </c>
      <c r="I2175" s="420"/>
      <c r="K2175" s="57" t="s">
        <v>749</v>
      </c>
      <c r="L2175" s="57" t="s">
        <v>215</v>
      </c>
      <c r="S2175" s="57">
        <v>0</v>
      </c>
    </row>
    <row r="2176" spans="1:19" ht="11.85" customHeight="1" x14ac:dyDescent="0.2">
      <c r="A2176" s="57" t="s">
        <v>749</v>
      </c>
      <c r="B2176" s="424"/>
      <c r="C2176" s="425"/>
      <c r="D2176" s="426"/>
      <c r="E2176" s="419" t="s">
        <v>400</v>
      </c>
      <c r="F2176" s="420"/>
      <c r="G2176" s="64" t="s">
        <v>413</v>
      </c>
      <c r="H2176" s="419" t="s">
        <v>414</v>
      </c>
      <c r="I2176" s="420"/>
      <c r="K2176" s="57" t="s">
        <v>749</v>
      </c>
      <c r="L2176" s="57" t="s">
        <v>215</v>
      </c>
      <c r="S2176" s="57">
        <v>0</v>
      </c>
    </row>
    <row r="2177" spans="1:19" ht="11.85" customHeight="1" x14ac:dyDescent="0.2">
      <c r="A2177" s="57" t="s">
        <v>749</v>
      </c>
      <c r="B2177" s="424"/>
      <c r="C2177" s="425"/>
      <c r="D2177" s="426"/>
      <c r="E2177" s="419" t="s">
        <v>450</v>
      </c>
      <c r="F2177" s="420"/>
      <c r="G2177" s="64" t="s">
        <v>413</v>
      </c>
      <c r="H2177" s="419" t="s">
        <v>415</v>
      </c>
      <c r="I2177" s="420"/>
      <c r="K2177" s="57" t="s">
        <v>749</v>
      </c>
      <c r="L2177" s="57" t="s">
        <v>215</v>
      </c>
      <c r="S2177" s="57">
        <v>0</v>
      </c>
    </row>
    <row r="2178" spans="1:19" ht="11.1" customHeight="1" x14ac:dyDescent="0.2">
      <c r="A2178" s="57" t="s">
        <v>749</v>
      </c>
      <c r="B2178" s="416"/>
      <c r="C2178" s="417"/>
      <c r="D2178" s="418"/>
      <c r="E2178" s="419" t="s">
        <v>401</v>
      </c>
      <c r="F2178" s="420"/>
      <c r="G2178" s="64" t="s">
        <v>413</v>
      </c>
      <c r="H2178" s="419" t="s">
        <v>415</v>
      </c>
      <c r="I2178" s="420"/>
      <c r="K2178" s="57" t="s">
        <v>749</v>
      </c>
      <c r="L2178" s="57" t="s">
        <v>215</v>
      </c>
      <c r="S2178" s="57">
        <v>0</v>
      </c>
    </row>
    <row r="2179" spans="1:19" ht="11.85" customHeight="1" x14ac:dyDescent="0.2">
      <c r="A2179" s="57" t="s">
        <v>749</v>
      </c>
      <c r="B2179" s="413" t="s">
        <v>416</v>
      </c>
      <c r="C2179" s="414"/>
      <c r="D2179" s="415"/>
      <c r="E2179" s="419" t="s">
        <v>402</v>
      </c>
      <c r="F2179" s="420"/>
      <c r="G2179" s="64" t="s">
        <v>417</v>
      </c>
      <c r="H2179" s="419" t="s">
        <v>457</v>
      </c>
      <c r="I2179" s="420"/>
      <c r="K2179" s="57" t="s">
        <v>749</v>
      </c>
      <c r="L2179" s="57" t="s">
        <v>215</v>
      </c>
      <c r="S2179" s="57">
        <v>0</v>
      </c>
    </row>
    <row r="2180" spans="1:19" ht="11.85" customHeight="1" x14ac:dyDescent="0.2">
      <c r="A2180" s="57" t="s">
        <v>749</v>
      </c>
      <c r="B2180" s="424"/>
      <c r="C2180" s="425"/>
      <c r="D2180" s="426"/>
      <c r="E2180" s="419" t="s">
        <v>403</v>
      </c>
      <c r="F2180" s="420"/>
      <c r="G2180" s="64" t="s">
        <v>417</v>
      </c>
      <c r="H2180" s="419" t="s">
        <v>457</v>
      </c>
      <c r="I2180" s="420"/>
      <c r="K2180" s="57" t="s">
        <v>749</v>
      </c>
      <c r="L2180" s="57" t="s">
        <v>215</v>
      </c>
      <c r="S2180" s="57">
        <v>0</v>
      </c>
    </row>
    <row r="2181" spans="1:19" ht="11.85" customHeight="1" x14ac:dyDescent="0.2">
      <c r="A2181" s="57" t="s">
        <v>749</v>
      </c>
      <c r="B2181" s="424"/>
      <c r="C2181" s="425"/>
      <c r="D2181" s="426"/>
      <c r="E2181" s="419" t="s">
        <v>404</v>
      </c>
      <c r="F2181" s="420"/>
      <c r="G2181" s="64" t="s">
        <v>413</v>
      </c>
      <c r="H2181" s="419" t="s">
        <v>458</v>
      </c>
      <c r="I2181" s="420"/>
      <c r="K2181" s="57" t="s">
        <v>749</v>
      </c>
      <c r="L2181" s="57" t="s">
        <v>215</v>
      </c>
      <c r="S2181" s="57">
        <v>0</v>
      </c>
    </row>
    <row r="2182" spans="1:19" ht="11.1" customHeight="1" x14ac:dyDescent="0.2">
      <c r="A2182" s="57" t="s">
        <v>749</v>
      </c>
      <c r="B2182" s="424"/>
      <c r="C2182" s="425"/>
      <c r="D2182" s="426"/>
      <c r="E2182" s="419" t="s">
        <v>405</v>
      </c>
      <c r="F2182" s="420"/>
      <c r="G2182" s="64" t="s">
        <v>420</v>
      </c>
      <c r="H2182" s="419" t="s">
        <v>459</v>
      </c>
      <c r="I2182" s="420"/>
      <c r="K2182" s="57" t="s">
        <v>749</v>
      </c>
      <c r="L2182" s="57" t="s">
        <v>215</v>
      </c>
      <c r="S2182" s="57">
        <v>0</v>
      </c>
    </row>
    <row r="2183" spans="1:19" ht="11.85" customHeight="1" x14ac:dyDescent="0.2">
      <c r="A2183" s="57" t="s">
        <v>749</v>
      </c>
      <c r="B2183" s="424"/>
      <c r="C2183" s="425"/>
      <c r="D2183" s="426"/>
      <c r="E2183" s="419" t="s">
        <v>460</v>
      </c>
      <c r="F2183" s="420"/>
      <c r="G2183" s="64" t="s">
        <v>461</v>
      </c>
      <c r="H2183" s="419" t="s">
        <v>423</v>
      </c>
      <c r="I2183" s="420"/>
      <c r="K2183" s="57" t="s">
        <v>749</v>
      </c>
      <c r="L2183" s="57" t="s">
        <v>215</v>
      </c>
      <c r="S2183" s="65">
        <v>33.17</v>
      </c>
    </row>
    <row r="2184" spans="1:19" ht="11.85" customHeight="1" x14ac:dyDescent="0.2">
      <c r="A2184" s="57" t="s">
        <v>749</v>
      </c>
      <c r="B2184" s="416"/>
      <c r="C2184" s="417"/>
      <c r="D2184" s="418"/>
      <c r="E2184" s="419" t="s">
        <v>462</v>
      </c>
      <c r="F2184" s="420"/>
      <c r="G2184" s="64" t="s">
        <v>424</v>
      </c>
      <c r="H2184" s="419" t="s">
        <v>463</v>
      </c>
      <c r="I2184" s="420"/>
      <c r="K2184" s="57" t="s">
        <v>749</v>
      </c>
      <c r="L2184" s="57" t="s">
        <v>215</v>
      </c>
      <c r="S2184" s="57">
        <v>0</v>
      </c>
    </row>
    <row r="2185" spans="1:19" ht="11.85" customHeight="1" x14ac:dyDescent="0.2">
      <c r="A2185" s="57" t="s">
        <v>749</v>
      </c>
      <c r="B2185" s="413" t="s">
        <v>426</v>
      </c>
      <c r="C2185" s="414"/>
      <c r="D2185" s="415"/>
      <c r="E2185" s="419" t="s">
        <v>451</v>
      </c>
      <c r="F2185" s="420"/>
      <c r="G2185" s="64" t="s">
        <v>420</v>
      </c>
      <c r="H2185" s="419" t="s">
        <v>427</v>
      </c>
      <c r="I2185" s="420"/>
      <c r="K2185" s="57" t="s">
        <v>749</v>
      </c>
      <c r="L2185" s="57" t="s">
        <v>215</v>
      </c>
      <c r="S2185" s="57">
        <v>0</v>
      </c>
    </row>
    <row r="2186" spans="1:19" ht="11.1" customHeight="1" x14ac:dyDescent="0.2">
      <c r="A2186" s="57" t="s">
        <v>749</v>
      </c>
      <c r="B2186" s="424"/>
      <c r="C2186" s="425"/>
      <c r="D2186" s="426"/>
      <c r="E2186" s="419" t="s">
        <v>408</v>
      </c>
      <c r="F2186" s="420"/>
      <c r="G2186" s="64" t="s">
        <v>420</v>
      </c>
      <c r="H2186" s="419" t="s">
        <v>427</v>
      </c>
      <c r="I2186" s="420"/>
      <c r="K2186" s="57" t="s">
        <v>749</v>
      </c>
      <c r="L2186" s="57" t="s">
        <v>215</v>
      </c>
      <c r="S2186" s="57">
        <v>0</v>
      </c>
    </row>
    <row r="2187" spans="1:19" ht="11.85" customHeight="1" x14ac:dyDescent="0.2">
      <c r="A2187" s="57" t="s">
        <v>749</v>
      </c>
      <c r="B2187" s="424"/>
      <c r="C2187" s="425"/>
      <c r="D2187" s="426"/>
      <c r="E2187" s="419" t="s">
        <v>452</v>
      </c>
      <c r="F2187" s="420"/>
      <c r="G2187" s="64" t="s">
        <v>417</v>
      </c>
      <c r="H2187" s="419" t="s">
        <v>428</v>
      </c>
      <c r="I2187" s="420"/>
      <c r="K2187" s="57" t="s">
        <v>749</v>
      </c>
      <c r="L2187" s="57" t="s">
        <v>215</v>
      </c>
      <c r="S2187" s="57">
        <v>0</v>
      </c>
    </row>
    <row r="2188" spans="1:19" ht="11.85" customHeight="1" x14ac:dyDescent="0.2">
      <c r="A2188" s="57" t="s">
        <v>749</v>
      </c>
      <c r="B2188" s="424"/>
      <c r="C2188" s="425"/>
      <c r="D2188" s="426"/>
      <c r="E2188" s="419" t="s">
        <v>409</v>
      </c>
      <c r="F2188" s="420"/>
      <c r="G2188" s="64" t="s">
        <v>417</v>
      </c>
      <c r="H2188" s="419" t="s">
        <v>428</v>
      </c>
      <c r="I2188" s="420"/>
      <c r="K2188" s="57" t="s">
        <v>749</v>
      </c>
      <c r="L2188" s="57" t="s">
        <v>215</v>
      </c>
      <c r="S2188" s="57">
        <v>0</v>
      </c>
    </row>
    <row r="2189" spans="1:19" ht="11.85" customHeight="1" x14ac:dyDescent="0.2">
      <c r="A2189" s="57" t="s">
        <v>749</v>
      </c>
      <c r="B2189" s="424"/>
      <c r="C2189" s="425"/>
      <c r="D2189" s="426"/>
      <c r="E2189" s="419" t="s">
        <v>453</v>
      </c>
      <c r="F2189" s="420"/>
      <c r="G2189" s="64" t="s">
        <v>417</v>
      </c>
      <c r="H2189" s="419" t="s">
        <v>415</v>
      </c>
      <c r="I2189" s="420"/>
      <c r="K2189" s="57" t="s">
        <v>749</v>
      </c>
      <c r="L2189" s="57" t="s">
        <v>215</v>
      </c>
      <c r="S2189" s="57">
        <v>0</v>
      </c>
    </row>
    <row r="2190" spans="1:19" ht="11.1" customHeight="1" x14ac:dyDescent="0.2">
      <c r="A2190" s="57" t="s">
        <v>749</v>
      </c>
      <c r="B2190" s="416"/>
      <c r="C2190" s="417"/>
      <c r="D2190" s="418"/>
      <c r="E2190" s="419" t="s">
        <v>410</v>
      </c>
      <c r="F2190" s="420"/>
      <c r="G2190" s="64" t="s">
        <v>417</v>
      </c>
      <c r="H2190" s="419" t="s">
        <v>415</v>
      </c>
      <c r="I2190" s="420"/>
      <c r="K2190" s="57" t="s">
        <v>749</v>
      </c>
      <c r="L2190" s="57" t="s">
        <v>215</v>
      </c>
      <c r="S2190" s="57">
        <v>0</v>
      </c>
    </row>
    <row r="2191" spans="1:19" ht="11.85" customHeight="1" x14ac:dyDescent="0.2">
      <c r="A2191" s="57" t="s">
        <v>749</v>
      </c>
      <c r="B2191" s="62"/>
      <c r="C2191" s="411" t="s">
        <v>750</v>
      </c>
      <c r="D2191" s="412"/>
      <c r="E2191" s="412"/>
      <c r="F2191" s="412"/>
      <c r="G2191" s="412"/>
      <c r="H2191" s="412"/>
      <c r="I2191" s="411"/>
      <c r="K2191" s="57" t="s">
        <v>749</v>
      </c>
      <c r="L2191" s="57" t="s">
        <v>215</v>
      </c>
      <c r="S2191" s="57">
        <v>0</v>
      </c>
    </row>
    <row r="2192" spans="1:19" ht="11.85" customHeight="1" x14ac:dyDescent="0.2">
      <c r="A2192" s="57" t="s">
        <v>750</v>
      </c>
      <c r="B2192" s="413" t="s">
        <v>416</v>
      </c>
      <c r="C2192" s="414"/>
      <c r="D2192" s="415"/>
      <c r="E2192" s="419" t="s">
        <v>402</v>
      </c>
      <c r="F2192" s="420"/>
      <c r="G2192" s="64" t="s">
        <v>417</v>
      </c>
      <c r="H2192" s="419" t="s">
        <v>516</v>
      </c>
      <c r="I2192" s="420"/>
      <c r="K2192" s="57" t="s">
        <v>750</v>
      </c>
      <c r="L2192" s="57" t="s">
        <v>216</v>
      </c>
      <c r="S2192" s="57">
        <v>0</v>
      </c>
    </row>
    <row r="2193" spans="1:19" ht="11.85" customHeight="1" x14ac:dyDescent="0.2">
      <c r="A2193" s="57" t="s">
        <v>750</v>
      </c>
      <c r="B2193" s="424"/>
      <c r="C2193" s="425"/>
      <c r="D2193" s="426"/>
      <c r="E2193" s="419" t="s">
        <v>405</v>
      </c>
      <c r="F2193" s="420"/>
      <c r="G2193" s="64" t="s">
        <v>420</v>
      </c>
      <c r="H2193" s="419" t="s">
        <v>516</v>
      </c>
      <c r="I2193" s="420"/>
      <c r="K2193" s="57" t="s">
        <v>750</v>
      </c>
      <c r="L2193" s="57" t="s">
        <v>216</v>
      </c>
      <c r="S2193" s="57">
        <v>0</v>
      </c>
    </row>
    <row r="2194" spans="1:19" ht="11.1" customHeight="1" x14ac:dyDescent="0.2">
      <c r="A2194" s="57" t="s">
        <v>750</v>
      </c>
      <c r="B2194" s="424"/>
      <c r="C2194" s="425"/>
      <c r="D2194" s="426"/>
      <c r="E2194" s="419" t="s">
        <v>751</v>
      </c>
      <c r="F2194" s="420"/>
      <c r="G2194" s="64" t="s">
        <v>518</v>
      </c>
      <c r="H2194" s="419" t="s">
        <v>423</v>
      </c>
      <c r="I2194" s="420"/>
      <c r="K2194" s="57" t="s">
        <v>750</v>
      </c>
      <c r="L2194" s="57" t="s">
        <v>216</v>
      </c>
      <c r="S2194" s="65">
        <v>26.91</v>
      </c>
    </row>
    <row r="2195" spans="1:19" ht="11.85" customHeight="1" x14ac:dyDescent="0.2">
      <c r="A2195" s="57" t="s">
        <v>750</v>
      </c>
      <c r="B2195" s="416"/>
      <c r="C2195" s="417"/>
      <c r="D2195" s="418"/>
      <c r="E2195" s="419" t="s">
        <v>462</v>
      </c>
      <c r="F2195" s="420"/>
      <c r="G2195" s="64" t="s">
        <v>424</v>
      </c>
      <c r="H2195" s="419" t="s">
        <v>463</v>
      </c>
      <c r="I2195" s="420"/>
      <c r="K2195" s="57" t="s">
        <v>750</v>
      </c>
      <c r="L2195" s="57" t="s">
        <v>216</v>
      </c>
      <c r="S2195" s="57">
        <v>0</v>
      </c>
    </row>
    <row r="2196" spans="1:19" ht="11.85" customHeight="1" x14ac:dyDescent="0.2">
      <c r="A2196" s="57" t="s">
        <v>750</v>
      </c>
      <c r="B2196" s="62"/>
      <c r="C2196" s="411" t="s">
        <v>752</v>
      </c>
      <c r="D2196" s="412"/>
      <c r="E2196" s="412"/>
      <c r="F2196" s="412"/>
      <c r="G2196" s="412"/>
      <c r="H2196" s="412"/>
      <c r="I2196" s="411"/>
      <c r="K2196" s="57" t="s">
        <v>750</v>
      </c>
      <c r="L2196" s="57" t="s">
        <v>216</v>
      </c>
      <c r="S2196" s="57">
        <v>0</v>
      </c>
    </row>
    <row r="2197" spans="1:19" ht="11.85" customHeight="1" x14ac:dyDescent="0.2">
      <c r="A2197" s="57" t="s">
        <v>752</v>
      </c>
      <c r="B2197" s="413" t="s">
        <v>412</v>
      </c>
      <c r="C2197" s="414"/>
      <c r="D2197" s="415"/>
      <c r="E2197" s="419" t="s">
        <v>400</v>
      </c>
      <c r="F2197" s="420"/>
      <c r="G2197" s="64" t="s">
        <v>413</v>
      </c>
      <c r="H2197" s="419" t="s">
        <v>414</v>
      </c>
      <c r="I2197" s="420"/>
      <c r="K2197" s="57" t="s">
        <v>752</v>
      </c>
      <c r="L2197" s="57" t="s">
        <v>217</v>
      </c>
      <c r="S2197" s="57">
        <v>0</v>
      </c>
    </row>
    <row r="2198" spans="1:19" ht="11.1" customHeight="1" x14ac:dyDescent="0.2">
      <c r="A2198" s="57" t="s">
        <v>752</v>
      </c>
      <c r="B2198" s="416"/>
      <c r="C2198" s="417"/>
      <c r="D2198" s="418"/>
      <c r="E2198" s="419" t="s">
        <v>401</v>
      </c>
      <c r="F2198" s="420"/>
      <c r="G2198" s="64" t="s">
        <v>413</v>
      </c>
      <c r="H2198" s="419" t="s">
        <v>415</v>
      </c>
      <c r="I2198" s="420"/>
      <c r="K2198" s="57" t="s">
        <v>752</v>
      </c>
      <c r="L2198" s="57" t="s">
        <v>217</v>
      </c>
      <c r="S2198" s="57">
        <v>0</v>
      </c>
    </row>
    <row r="2199" spans="1:19" ht="11.85" customHeight="1" x14ac:dyDescent="0.2">
      <c r="A2199" s="57" t="s">
        <v>752</v>
      </c>
      <c r="B2199" s="413" t="s">
        <v>416</v>
      </c>
      <c r="C2199" s="414"/>
      <c r="D2199" s="415"/>
      <c r="E2199" s="419" t="s">
        <v>402</v>
      </c>
      <c r="F2199" s="420"/>
      <c r="G2199" s="64" t="s">
        <v>417</v>
      </c>
      <c r="H2199" s="419" t="s">
        <v>437</v>
      </c>
      <c r="I2199" s="420"/>
      <c r="K2199" s="57" t="s">
        <v>752</v>
      </c>
      <c r="L2199" s="57" t="s">
        <v>217</v>
      </c>
      <c r="S2199" s="57">
        <v>0</v>
      </c>
    </row>
    <row r="2200" spans="1:19" ht="11.85" customHeight="1" x14ac:dyDescent="0.2">
      <c r="A2200" s="57" t="s">
        <v>752</v>
      </c>
      <c r="B2200" s="424"/>
      <c r="C2200" s="425"/>
      <c r="D2200" s="426"/>
      <c r="E2200" s="419" t="s">
        <v>403</v>
      </c>
      <c r="F2200" s="420"/>
      <c r="G2200" s="64" t="s">
        <v>417</v>
      </c>
      <c r="H2200" s="419" t="s">
        <v>437</v>
      </c>
      <c r="I2200" s="420"/>
      <c r="K2200" s="57" t="s">
        <v>752</v>
      </c>
      <c r="L2200" s="57" t="s">
        <v>217</v>
      </c>
      <c r="S2200" s="57">
        <v>0</v>
      </c>
    </row>
    <row r="2201" spans="1:19" ht="11.85" customHeight="1" x14ac:dyDescent="0.2">
      <c r="A2201" s="57" t="s">
        <v>752</v>
      </c>
      <c r="B2201" s="424"/>
      <c r="C2201" s="425"/>
      <c r="D2201" s="426"/>
      <c r="E2201" s="419" t="s">
        <v>404</v>
      </c>
      <c r="F2201" s="420"/>
      <c r="G2201" s="64" t="s">
        <v>413</v>
      </c>
      <c r="H2201" s="419" t="s">
        <v>478</v>
      </c>
      <c r="I2201" s="420"/>
      <c r="K2201" s="57" t="s">
        <v>752</v>
      </c>
      <c r="L2201" s="57" t="s">
        <v>217</v>
      </c>
      <c r="S2201" s="57">
        <v>0</v>
      </c>
    </row>
    <row r="2202" spans="1:19" ht="11.1" customHeight="1" x14ac:dyDescent="0.2">
      <c r="A2202" s="57" t="s">
        <v>752</v>
      </c>
      <c r="B2202" s="424"/>
      <c r="C2202" s="425"/>
      <c r="D2202" s="426"/>
      <c r="E2202" s="419" t="s">
        <v>405</v>
      </c>
      <c r="F2202" s="420"/>
      <c r="G2202" s="64" t="s">
        <v>420</v>
      </c>
      <c r="H2202" s="419" t="s">
        <v>439</v>
      </c>
      <c r="I2202" s="420"/>
      <c r="K2202" s="57" t="s">
        <v>752</v>
      </c>
      <c r="L2202" s="57" t="s">
        <v>217</v>
      </c>
      <c r="S2202" s="57">
        <v>0</v>
      </c>
    </row>
    <row r="2203" spans="1:19" ht="11.85" customHeight="1" x14ac:dyDescent="0.2">
      <c r="A2203" s="57" t="s">
        <v>752</v>
      </c>
      <c r="B2203" s="424"/>
      <c r="C2203" s="425"/>
      <c r="D2203" s="426"/>
      <c r="E2203" s="419" t="s">
        <v>440</v>
      </c>
      <c r="F2203" s="420"/>
      <c r="G2203" s="64" t="s">
        <v>441</v>
      </c>
      <c r="H2203" s="419" t="s">
        <v>423</v>
      </c>
      <c r="I2203" s="420"/>
      <c r="K2203" s="57" t="s">
        <v>752</v>
      </c>
      <c r="L2203" s="57" t="s">
        <v>217</v>
      </c>
      <c r="S2203" s="65">
        <v>48.16</v>
      </c>
    </row>
    <row r="2204" spans="1:19" ht="11.85" customHeight="1" x14ac:dyDescent="0.2">
      <c r="A2204" s="57" t="s">
        <v>752</v>
      </c>
      <c r="B2204" s="416"/>
      <c r="C2204" s="417"/>
      <c r="D2204" s="418"/>
      <c r="E2204" s="419" t="s">
        <v>442</v>
      </c>
      <c r="F2204" s="420"/>
      <c r="G2204" s="64" t="s">
        <v>443</v>
      </c>
      <c r="H2204" s="419" t="s">
        <v>425</v>
      </c>
      <c r="I2204" s="420"/>
      <c r="K2204" s="57" t="s">
        <v>752</v>
      </c>
      <c r="L2204" s="57" t="s">
        <v>217</v>
      </c>
      <c r="S2204" s="57">
        <v>0</v>
      </c>
    </row>
    <row r="2205" spans="1:19" ht="11.85" customHeight="1" x14ac:dyDescent="0.2">
      <c r="A2205" s="57" t="s">
        <v>752</v>
      </c>
      <c r="B2205" s="413" t="s">
        <v>426</v>
      </c>
      <c r="C2205" s="414"/>
      <c r="D2205" s="415"/>
      <c r="E2205" s="419" t="s">
        <v>408</v>
      </c>
      <c r="F2205" s="420"/>
      <c r="G2205" s="64" t="s">
        <v>420</v>
      </c>
      <c r="H2205" s="419" t="s">
        <v>427</v>
      </c>
      <c r="I2205" s="420"/>
      <c r="K2205" s="57" t="s">
        <v>752</v>
      </c>
      <c r="L2205" s="57" t="s">
        <v>217</v>
      </c>
      <c r="S2205" s="57">
        <v>0</v>
      </c>
    </row>
    <row r="2206" spans="1:19" ht="11.1" customHeight="1" x14ac:dyDescent="0.2">
      <c r="A2206" s="57" t="s">
        <v>752</v>
      </c>
      <c r="B2206" s="424"/>
      <c r="C2206" s="425"/>
      <c r="D2206" s="426"/>
      <c r="E2206" s="419" t="s">
        <v>409</v>
      </c>
      <c r="F2206" s="420"/>
      <c r="G2206" s="64" t="s">
        <v>417</v>
      </c>
      <c r="H2206" s="419" t="s">
        <v>428</v>
      </c>
      <c r="I2206" s="420"/>
      <c r="K2206" s="57" t="s">
        <v>752</v>
      </c>
      <c r="L2206" s="57" t="s">
        <v>217</v>
      </c>
      <c r="S2206" s="57">
        <v>0</v>
      </c>
    </row>
    <row r="2207" spans="1:19" ht="11.85" customHeight="1" x14ac:dyDescent="0.2">
      <c r="A2207" s="57" t="s">
        <v>752</v>
      </c>
      <c r="B2207" s="416"/>
      <c r="C2207" s="417"/>
      <c r="D2207" s="418"/>
      <c r="E2207" s="419" t="s">
        <v>410</v>
      </c>
      <c r="F2207" s="420"/>
      <c r="G2207" s="64" t="s">
        <v>417</v>
      </c>
      <c r="H2207" s="419" t="s">
        <v>415</v>
      </c>
      <c r="I2207" s="420"/>
      <c r="K2207" s="57" t="s">
        <v>752</v>
      </c>
      <c r="L2207" s="57" t="s">
        <v>217</v>
      </c>
      <c r="S2207" s="57">
        <v>0</v>
      </c>
    </row>
    <row r="2208" spans="1:19" ht="11.85" customHeight="1" x14ac:dyDescent="0.2">
      <c r="A2208" s="57" t="s">
        <v>752</v>
      </c>
      <c r="B2208" s="62"/>
      <c r="C2208" s="411" t="s">
        <v>753</v>
      </c>
      <c r="D2208" s="412"/>
      <c r="E2208" s="412"/>
      <c r="F2208" s="412"/>
      <c r="G2208" s="412"/>
      <c r="H2208" s="412"/>
      <c r="I2208" s="411"/>
      <c r="K2208" s="57" t="s">
        <v>752</v>
      </c>
      <c r="L2208" s="57" t="s">
        <v>217</v>
      </c>
      <c r="S2208" s="57">
        <v>0</v>
      </c>
    </row>
    <row r="2209" spans="1:19" ht="11.85" customHeight="1" x14ac:dyDescent="0.2">
      <c r="A2209" s="57" t="s">
        <v>753</v>
      </c>
      <c r="B2209" s="413" t="s">
        <v>416</v>
      </c>
      <c r="C2209" s="427"/>
      <c r="D2209" s="428"/>
      <c r="E2209" s="419" t="s">
        <v>402</v>
      </c>
      <c r="F2209" s="420"/>
      <c r="G2209" s="64" t="s">
        <v>417</v>
      </c>
      <c r="H2209" s="419" t="s">
        <v>437</v>
      </c>
      <c r="I2209" s="420"/>
      <c r="K2209" s="57" t="s">
        <v>753</v>
      </c>
      <c r="L2209" s="57" t="s">
        <v>218</v>
      </c>
      <c r="S2209" s="57">
        <v>0</v>
      </c>
    </row>
    <row r="2210" spans="1:19" ht="11.85" customHeight="1" x14ac:dyDescent="0.2">
      <c r="A2210" s="57" t="s">
        <v>753</v>
      </c>
      <c r="B2210" s="413" t="s">
        <v>416</v>
      </c>
      <c r="C2210" s="414"/>
      <c r="D2210" s="415"/>
      <c r="E2210" s="419" t="s">
        <v>403</v>
      </c>
      <c r="F2210" s="420"/>
      <c r="G2210" s="64" t="s">
        <v>417</v>
      </c>
      <c r="H2210" s="419" t="s">
        <v>437</v>
      </c>
      <c r="I2210" s="420"/>
      <c r="K2210" s="57" t="s">
        <v>753</v>
      </c>
      <c r="L2210" s="57" t="s">
        <v>218</v>
      </c>
      <c r="S2210" s="57">
        <v>0</v>
      </c>
    </row>
    <row r="2211" spans="1:19" ht="11.85" customHeight="1" x14ac:dyDescent="0.2">
      <c r="A2211" s="57" t="s">
        <v>753</v>
      </c>
      <c r="B2211" s="424"/>
      <c r="C2211" s="425"/>
      <c r="D2211" s="426"/>
      <c r="E2211" s="419" t="s">
        <v>404</v>
      </c>
      <c r="F2211" s="420"/>
      <c r="G2211" s="64" t="s">
        <v>413</v>
      </c>
      <c r="H2211" s="419" t="s">
        <v>478</v>
      </c>
      <c r="I2211" s="420"/>
      <c r="K2211" s="57" t="s">
        <v>753</v>
      </c>
      <c r="L2211" s="57" t="s">
        <v>218</v>
      </c>
      <c r="S2211" s="57">
        <v>0</v>
      </c>
    </row>
    <row r="2212" spans="1:19" ht="11.85" customHeight="1" x14ac:dyDescent="0.2">
      <c r="A2212" s="57" t="s">
        <v>753</v>
      </c>
      <c r="B2212" s="424"/>
      <c r="C2212" s="425"/>
      <c r="D2212" s="426"/>
      <c r="E2212" s="419" t="s">
        <v>405</v>
      </c>
      <c r="F2212" s="420"/>
      <c r="G2212" s="64" t="s">
        <v>420</v>
      </c>
      <c r="H2212" s="419" t="s">
        <v>439</v>
      </c>
      <c r="I2212" s="420"/>
      <c r="K2212" s="57" t="s">
        <v>753</v>
      </c>
      <c r="L2212" s="57" t="s">
        <v>218</v>
      </c>
      <c r="S2212" s="57">
        <v>0</v>
      </c>
    </row>
    <row r="2213" spans="1:19" ht="11.1" customHeight="1" x14ac:dyDescent="0.2">
      <c r="A2213" s="57" t="s">
        <v>753</v>
      </c>
      <c r="B2213" s="424"/>
      <c r="C2213" s="425"/>
      <c r="D2213" s="426"/>
      <c r="E2213" s="419" t="s">
        <v>406</v>
      </c>
      <c r="F2213" s="420"/>
      <c r="G2213" s="64" t="s">
        <v>422</v>
      </c>
      <c r="H2213" s="419" t="s">
        <v>423</v>
      </c>
      <c r="I2213" s="420"/>
      <c r="K2213" s="57" t="s">
        <v>753</v>
      </c>
      <c r="L2213" s="57" t="s">
        <v>218</v>
      </c>
      <c r="S2213" s="65">
        <v>48.44</v>
      </c>
    </row>
    <row r="2214" spans="1:19" ht="11.85" customHeight="1" x14ac:dyDescent="0.2">
      <c r="A2214" s="57" t="s">
        <v>753</v>
      </c>
      <c r="B2214" s="416"/>
      <c r="C2214" s="417"/>
      <c r="D2214" s="418"/>
      <c r="E2214" s="419" t="s">
        <v>407</v>
      </c>
      <c r="F2214" s="420"/>
      <c r="G2214" s="64" t="s">
        <v>424</v>
      </c>
      <c r="H2214" s="419" t="s">
        <v>425</v>
      </c>
      <c r="I2214" s="420"/>
      <c r="K2214" s="57" t="s">
        <v>753</v>
      </c>
      <c r="L2214" s="57" t="s">
        <v>218</v>
      </c>
      <c r="S2214" s="57">
        <v>0</v>
      </c>
    </row>
    <row r="2215" spans="1:19" ht="11.85" customHeight="1" x14ac:dyDescent="0.2">
      <c r="A2215" s="57" t="s">
        <v>753</v>
      </c>
      <c r="B2215" s="62"/>
      <c r="C2215" s="411" t="s">
        <v>754</v>
      </c>
      <c r="D2215" s="412"/>
      <c r="E2215" s="412"/>
      <c r="F2215" s="412"/>
      <c r="G2215" s="412"/>
      <c r="H2215" s="412"/>
      <c r="I2215" s="411"/>
      <c r="K2215" s="57" t="s">
        <v>753</v>
      </c>
      <c r="L2215" s="57" t="s">
        <v>218</v>
      </c>
      <c r="S2215" s="57">
        <v>0</v>
      </c>
    </row>
    <row r="2216" spans="1:19" ht="11.85" customHeight="1" x14ac:dyDescent="0.2">
      <c r="A2216" s="57" t="s">
        <v>754</v>
      </c>
      <c r="B2216" s="413" t="s">
        <v>416</v>
      </c>
      <c r="C2216" s="414"/>
      <c r="D2216" s="415"/>
      <c r="E2216" s="419" t="s">
        <v>402</v>
      </c>
      <c r="F2216" s="420"/>
      <c r="G2216" s="64" t="s">
        <v>417</v>
      </c>
      <c r="H2216" s="419" t="s">
        <v>437</v>
      </c>
      <c r="I2216" s="420"/>
      <c r="K2216" s="57" t="s">
        <v>754</v>
      </c>
      <c r="L2216" s="57" t="s">
        <v>219</v>
      </c>
      <c r="S2216" s="57">
        <v>0</v>
      </c>
    </row>
    <row r="2217" spans="1:19" ht="11.1" customHeight="1" x14ac:dyDescent="0.2">
      <c r="A2217" s="57" t="s">
        <v>754</v>
      </c>
      <c r="B2217" s="424"/>
      <c r="C2217" s="425"/>
      <c r="D2217" s="426"/>
      <c r="E2217" s="419" t="s">
        <v>403</v>
      </c>
      <c r="F2217" s="420"/>
      <c r="G2217" s="64" t="s">
        <v>417</v>
      </c>
      <c r="H2217" s="419" t="s">
        <v>437</v>
      </c>
      <c r="I2217" s="420"/>
      <c r="K2217" s="57" t="s">
        <v>754</v>
      </c>
      <c r="L2217" s="57" t="s">
        <v>219</v>
      </c>
      <c r="S2217" s="57">
        <v>0</v>
      </c>
    </row>
    <row r="2218" spans="1:19" ht="11.85" customHeight="1" x14ac:dyDescent="0.2">
      <c r="A2218" s="57" t="s">
        <v>754</v>
      </c>
      <c r="B2218" s="424"/>
      <c r="C2218" s="425"/>
      <c r="D2218" s="426"/>
      <c r="E2218" s="419" t="s">
        <v>404</v>
      </c>
      <c r="F2218" s="420"/>
      <c r="G2218" s="64" t="s">
        <v>413</v>
      </c>
      <c r="H2218" s="419" t="s">
        <v>478</v>
      </c>
      <c r="I2218" s="420"/>
      <c r="K2218" s="57" t="s">
        <v>754</v>
      </c>
      <c r="L2218" s="57" t="s">
        <v>219</v>
      </c>
      <c r="S2218" s="57">
        <v>0</v>
      </c>
    </row>
    <row r="2219" spans="1:19" ht="11.85" customHeight="1" x14ac:dyDescent="0.2">
      <c r="A2219" s="57" t="s">
        <v>754</v>
      </c>
      <c r="B2219" s="424"/>
      <c r="C2219" s="425"/>
      <c r="D2219" s="426"/>
      <c r="E2219" s="419" t="s">
        <v>405</v>
      </c>
      <c r="F2219" s="420"/>
      <c r="G2219" s="64" t="s">
        <v>420</v>
      </c>
      <c r="H2219" s="419" t="s">
        <v>439</v>
      </c>
      <c r="I2219" s="420"/>
      <c r="K2219" s="57" t="s">
        <v>754</v>
      </c>
      <c r="L2219" s="57" t="s">
        <v>219</v>
      </c>
      <c r="S2219" s="57">
        <v>0</v>
      </c>
    </row>
    <row r="2220" spans="1:19" ht="11.85" customHeight="1" x14ac:dyDescent="0.2">
      <c r="A2220" s="57" t="s">
        <v>754</v>
      </c>
      <c r="B2220" s="424"/>
      <c r="C2220" s="425"/>
      <c r="D2220" s="426"/>
      <c r="E2220" s="419" t="s">
        <v>406</v>
      </c>
      <c r="F2220" s="420"/>
      <c r="G2220" s="64" t="s">
        <v>422</v>
      </c>
      <c r="H2220" s="419" t="s">
        <v>423</v>
      </c>
      <c r="I2220" s="420"/>
      <c r="K2220" s="57" t="s">
        <v>754</v>
      </c>
      <c r="L2220" s="57" t="s">
        <v>219</v>
      </c>
      <c r="S2220" s="65">
        <v>48.44</v>
      </c>
    </row>
    <row r="2221" spans="1:19" ht="11.1" customHeight="1" x14ac:dyDescent="0.2">
      <c r="A2221" s="57" t="s">
        <v>754</v>
      </c>
      <c r="B2221" s="416"/>
      <c r="C2221" s="417"/>
      <c r="D2221" s="418"/>
      <c r="E2221" s="419" t="s">
        <v>407</v>
      </c>
      <c r="F2221" s="420"/>
      <c r="G2221" s="64" t="s">
        <v>424</v>
      </c>
      <c r="H2221" s="419" t="s">
        <v>425</v>
      </c>
      <c r="I2221" s="420"/>
      <c r="K2221" s="57" t="s">
        <v>754</v>
      </c>
      <c r="L2221" s="57" t="s">
        <v>219</v>
      </c>
      <c r="S2221" s="57">
        <v>0</v>
      </c>
    </row>
    <row r="2222" spans="1:19" ht="11.85" customHeight="1" x14ac:dyDescent="0.2">
      <c r="A2222" s="57" t="s">
        <v>754</v>
      </c>
      <c r="B2222" s="62"/>
      <c r="C2222" s="411" t="s">
        <v>755</v>
      </c>
      <c r="D2222" s="412"/>
      <c r="E2222" s="412"/>
      <c r="F2222" s="412"/>
      <c r="G2222" s="412"/>
      <c r="H2222" s="412"/>
      <c r="I2222" s="411"/>
      <c r="K2222" s="57" t="s">
        <v>754</v>
      </c>
      <c r="L2222" s="57" t="s">
        <v>219</v>
      </c>
      <c r="S2222" s="57">
        <v>0</v>
      </c>
    </row>
    <row r="2223" spans="1:19" ht="11.85" customHeight="1" x14ac:dyDescent="0.2">
      <c r="A2223" s="57" t="s">
        <v>755</v>
      </c>
      <c r="B2223" s="413" t="s">
        <v>412</v>
      </c>
      <c r="C2223" s="414"/>
      <c r="D2223" s="415"/>
      <c r="E2223" s="419" t="s">
        <v>449</v>
      </c>
      <c r="F2223" s="420"/>
      <c r="G2223" s="64" t="s">
        <v>413</v>
      </c>
      <c r="H2223" s="419" t="s">
        <v>414</v>
      </c>
      <c r="I2223" s="420"/>
      <c r="K2223" s="57" t="s">
        <v>755</v>
      </c>
      <c r="L2223" s="57" t="s">
        <v>220</v>
      </c>
      <c r="S2223" s="57">
        <v>0</v>
      </c>
    </row>
    <row r="2224" spans="1:19" ht="11.85" customHeight="1" x14ac:dyDescent="0.2">
      <c r="A2224" s="57" t="s">
        <v>755</v>
      </c>
      <c r="B2224" s="424"/>
      <c r="C2224" s="425"/>
      <c r="D2224" s="426"/>
      <c r="E2224" s="419" t="s">
        <v>400</v>
      </c>
      <c r="F2224" s="420"/>
      <c r="G2224" s="64" t="s">
        <v>413</v>
      </c>
      <c r="H2224" s="419" t="s">
        <v>414</v>
      </c>
      <c r="I2224" s="420"/>
      <c r="K2224" s="57" t="s">
        <v>755</v>
      </c>
      <c r="L2224" s="57" t="s">
        <v>220</v>
      </c>
      <c r="S2224" s="57">
        <v>0</v>
      </c>
    </row>
    <row r="2225" spans="1:19" ht="11.1" customHeight="1" x14ac:dyDescent="0.2">
      <c r="A2225" s="57" t="s">
        <v>755</v>
      </c>
      <c r="B2225" s="424"/>
      <c r="C2225" s="425"/>
      <c r="D2225" s="426"/>
      <c r="E2225" s="419" t="s">
        <v>450</v>
      </c>
      <c r="F2225" s="420"/>
      <c r="G2225" s="64" t="s">
        <v>413</v>
      </c>
      <c r="H2225" s="419" t="s">
        <v>415</v>
      </c>
      <c r="I2225" s="420"/>
      <c r="K2225" s="57" t="s">
        <v>755</v>
      </c>
      <c r="L2225" s="57" t="s">
        <v>220</v>
      </c>
      <c r="S2225" s="57">
        <v>0</v>
      </c>
    </row>
    <row r="2226" spans="1:19" ht="11.85" customHeight="1" x14ac:dyDescent="0.2">
      <c r="A2226" s="57" t="s">
        <v>755</v>
      </c>
      <c r="B2226" s="416"/>
      <c r="C2226" s="417"/>
      <c r="D2226" s="418"/>
      <c r="E2226" s="419" t="s">
        <v>401</v>
      </c>
      <c r="F2226" s="420"/>
      <c r="G2226" s="64" t="s">
        <v>413</v>
      </c>
      <c r="H2226" s="419" t="s">
        <v>415</v>
      </c>
      <c r="I2226" s="420"/>
      <c r="K2226" s="57" t="s">
        <v>755</v>
      </c>
      <c r="L2226" s="57" t="s">
        <v>220</v>
      </c>
      <c r="S2226" s="57">
        <v>0</v>
      </c>
    </row>
    <row r="2227" spans="1:19" ht="11.85" customHeight="1" x14ac:dyDescent="0.2">
      <c r="A2227" s="57" t="s">
        <v>755</v>
      </c>
      <c r="B2227" s="413" t="s">
        <v>416</v>
      </c>
      <c r="C2227" s="414"/>
      <c r="D2227" s="415"/>
      <c r="E2227" s="419" t="s">
        <v>402</v>
      </c>
      <c r="F2227" s="420"/>
      <c r="G2227" s="64" t="s">
        <v>417</v>
      </c>
      <c r="H2227" s="419" t="s">
        <v>437</v>
      </c>
      <c r="I2227" s="420"/>
      <c r="K2227" s="57" t="s">
        <v>755</v>
      </c>
      <c r="L2227" s="57" t="s">
        <v>220</v>
      </c>
      <c r="S2227" s="57">
        <v>0</v>
      </c>
    </row>
    <row r="2228" spans="1:19" ht="11.85" customHeight="1" x14ac:dyDescent="0.2">
      <c r="A2228" s="57" t="s">
        <v>755</v>
      </c>
      <c r="B2228" s="424"/>
      <c r="C2228" s="425"/>
      <c r="D2228" s="426"/>
      <c r="E2228" s="419" t="s">
        <v>403</v>
      </c>
      <c r="F2228" s="420"/>
      <c r="G2228" s="64" t="s">
        <v>417</v>
      </c>
      <c r="H2228" s="419" t="s">
        <v>437</v>
      </c>
      <c r="I2228" s="420"/>
      <c r="K2228" s="57" t="s">
        <v>755</v>
      </c>
      <c r="L2228" s="57" t="s">
        <v>220</v>
      </c>
      <c r="S2228" s="57">
        <v>0</v>
      </c>
    </row>
    <row r="2229" spans="1:19" ht="11.1" customHeight="1" x14ac:dyDescent="0.2">
      <c r="A2229" s="57" t="s">
        <v>755</v>
      </c>
      <c r="B2229" s="424"/>
      <c r="C2229" s="425"/>
      <c r="D2229" s="426"/>
      <c r="E2229" s="419" t="s">
        <v>404</v>
      </c>
      <c r="F2229" s="420"/>
      <c r="G2229" s="64" t="s">
        <v>413</v>
      </c>
      <c r="H2229" s="419" t="s">
        <v>478</v>
      </c>
      <c r="I2229" s="420"/>
      <c r="K2229" s="57" t="s">
        <v>755</v>
      </c>
      <c r="L2229" s="57" t="s">
        <v>220</v>
      </c>
      <c r="S2229" s="57">
        <v>0</v>
      </c>
    </row>
    <row r="2230" spans="1:19" ht="11.85" customHeight="1" x14ac:dyDescent="0.2">
      <c r="A2230" s="57" t="s">
        <v>755</v>
      </c>
      <c r="B2230" s="424"/>
      <c r="C2230" s="425"/>
      <c r="D2230" s="426"/>
      <c r="E2230" s="419" t="s">
        <v>405</v>
      </c>
      <c r="F2230" s="420"/>
      <c r="G2230" s="64" t="s">
        <v>420</v>
      </c>
      <c r="H2230" s="419" t="s">
        <v>439</v>
      </c>
      <c r="I2230" s="420"/>
      <c r="K2230" s="57" t="s">
        <v>755</v>
      </c>
      <c r="L2230" s="57" t="s">
        <v>220</v>
      </c>
      <c r="S2230" s="57">
        <v>0</v>
      </c>
    </row>
    <row r="2231" spans="1:19" ht="11.85" customHeight="1" x14ac:dyDescent="0.2">
      <c r="A2231" s="57" t="s">
        <v>755</v>
      </c>
      <c r="B2231" s="424"/>
      <c r="C2231" s="425"/>
      <c r="D2231" s="426"/>
      <c r="E2231" s="419" t="s">
        <v>440</v>
      </c>
      <c r="F2231" s="420"/>
      <c r="G2231" s="64" t="s">
        <v>441</v>
      </c>
      <c r="H2231" s="419" t="s">
        <v>423</v>
      </c>
      <c r="I2231" s="420"/>
      <c r="K2231" s="57" t="s">
        <v>755</v>
      </c>
      <c r="L2231" s="57" t="s">
        <v>220</v>
      </c>
      <c r="S2231" s="65">
        <v>48.16</v>
      </c>
    </row>
    <row r="2232" spans="1:19" ht="11.85" customHeight="1" x14ac:dyDescent="0.2">
      <c r="A2232" s="57" t="s">
        <v>755</v>
      </c>
      <c r="B2232" s="416"/>
      <c r="C2232" s="417"/>
      <c r="D2232" s="418"/>
      <c r="E2232" s="419" t="s">
        <v>442</v>
      </c>
      <c r="F2232" s="420"/>
      <c r="G2232" s="64" t="s">
        <v>443</v>
      </c>
      <c r="H2232" s="419" t="s">
        <v>425</v>
      </c>
      <c r="I2232" s="420"/>
      <c r="K2232" s="57" t="s">
        <v>755</v>
      </c>
      <c r="L2232" s="57" t="s">
        <v>220</v>
      </c>
      <c r="S2232" s="57">
        <v>0</v>
      </c>
    </row>
    <row r="2233" spans="1:19" ht="11.1" customHeight="1" x14ac:dyDescent="0.2">
      <c r="A2233" s="57" t="s">
        <v>755</v>
      </c>
      <c r="B2233" s="413" t="s">
        <v>426</v>
      </c>
      <c r="C2233" s="414"/>
      <c r="D2233" s="415"/>
      <c r="E2233" s="419" t="s">
        <v>451</v>
      </c>
      <c r="F2233" s="420"/>
      <c r="G2233" s="64" t="s">
        <v>420</v>
      </c>
      <c r="H2233" s="419" t="s">
        <v>427</v>
      </c>
      <c r="I2233" s="420"/>
      <c r="K2233" s="57" t="s">
        <v>755</v>
      </c>
      <c r="L2233" s="57" t="s">
        <v>220</v>
      </c>
      <c r="S2233" s="57">
        <v>0</v>
      </c>
    </row>
    <row r="2234" spans="1:19" ht="11.85" customHeight="1" x14ac:dyDescent="0.2">
      <c r="A2234" s="57" t="s">
        <v>755</v>
      </c>
      <c r="B2234" s="424"/>
      <c r="C2234" s="425"/>
      <c r="D2234" s="426"/>
      <c r="E2234" s="419" t="s">
        <v>408</v>
      </c>
      <c r="F2234" s="420"/>
      <c r="G2234" s="64" t="s">
        <v>420</v>
      </c>
      <c r="H2234" s="419" t="s">
        <v>427</v>
      </c>
      <c r="I2234" s="420"/>
      <c r="K2234" s="57" t="s">
        <v>755</v>
      </c>
      <c r="L2234" s="57" t="s">
        <v>220</v>
      </c>
      <c r="S2234" s="57">
        <v>0</v>
      </c>
    </row>
    <row r="2235" spans="1:19" ht="11.85" customHeight="1" x14ac:dyDescent="0.2">
      <c r="A2235" s="57" t="s">
        <v>755</v>
      </c>
      <c r="B2235" s="424"/>
      <c r="C2235" s="425"/>
      <c r="D2235" s="426"/>
      <c r="E2235" s="419" t="s">
        <v>452</v>
      </c>
      <c r="F2235" s="420"/>
      <c r="G2235" s="64" t="s">
        <v>417</v>
      </c>
      <c r="H2235" s="419" t="s">
        <v>428</v>
      </c>
      <c r="I2235" s="420"/>
      <c r="K2235" s="57" t="s">
        <v>755</v>
      </c>
      <c r="L2235" s="57" t="s">
        <v>220</v>
      </c>
      <c r="S2235" s="57">
        <v>0</v>
      </c>
    </row>
    <row r="2236" spans="1:19" ht="11.85" customHeight="1" x14ac:dyDescent="0.2">
      <c r="A2236" s="57" t="s">
        <v>755</v>
      </c>
      <c r="B2236" s="424"/>
      <c r="C2236" s="425"/>
      <c r="D2236" s="426"/>
      <c r="E2236" s="419" t="s">
        <v>409</v>
      </c>
      <c r="F2236" s="420"/>
      <c r="G2236" s="64" t="s">
        <v>417</v>
      </c>
      <c r="H2236" s="419" t="s">
        <v>428</v>
      </c>
      <c r="I2236" s="420"/>
      <c r="K2236" s="57" t="s">
        <v>755</v>
      </c>
      <c r="L2236" s="57" t="s">
        <v>220</v>
      </c>
      <c r="S2236" s="57">
        <v>0</v>
      </c>
    </row>
    <row r="2237" spans="1:19" ht="11.1" customHeight="1" x14ac:dyDescent="0.2">
      <c r="A2237" s="57" t="s">
        <v>755</v>
      </c>
      <c r="B2237" s="424"/>
      <c r="C2237" s="425"/>
      <c r="D2237" s="426"/>
      <c r="E2237" s="419" t="s">
        <v>453</v>
      </c>
      <c r="F2237" s="420"/>
      <c r="G2237" s="64" t="s">
        <v>417</v>
      </c>
      <c r="H2237" s="419" t="s">
        <v>415</v>
      </c>
      <c r="I2237" s="420"/>
      <c r="K2237" s="57" t="s">
        <v>755</v>
      </c>
      <c r="L2237" s="57" t="s">
        <v>220</v>
      </c>
      <c r="S2237" s="57">
        <v>0</v>
      </c>
    </row>
    <row r="2238" spans="1:19" ht="11.85" customHeight="1" x14ac:dyDescent="0.2">
      <c r="A2238" s="57" t="s">
        <v>755</v>
      </c>
      <c r="B2238" s="416"/>
      <c r="C2238" s="417"/>
      <c r="D2238" s="418"/>
      <c r="E2238" s="419" t="s">
        <v>410</v>
      </c>
      <c r="F2238" s="420"/>
      <c r="G2238" s="64" t="s">
        <v>417</v>
      </c>
      <c r="H2238" s="419" t="s">
        <v>415</v>
      </c>
      <c r="I2238" s="420"/>
      <c r="K2238" s="57" t="s">
        <v>755</v>
      </c>
      <c r="L2238" s="57" t="s">
        <v>220</v>
      </c>
      <c r="S2238" s="57">
        <v>0</v>
      </c>
    </row>
    <row r="2239" spans="1:19" ht="11.85" customHeight="1" x14ac:dyDescent="0.2">
      <c r="A2239" s="57" t="s">
        <v>755</v>
      </c>
      <c r="B2239" s="62"/>
      <c r="C2239" s="411" t="s">
        <v>756</v>
      </c>
      <c r="D2239" s="412"/>
      <c r="E2239" s="412"/>
      <c r="F2239" s="412"/>
      <c r="G2239" s="412"/>
      <c r="H2239" s="412"/>
      <c r="I2239" s="411"/>
      <c r="K2239" s="57" t="s">
        <v>755</v>
      </c>
      <c r="L2239" s="57" t="s">
        <v>220</v>
      </c>
      <c r="S2239" s="57">
        <v>0</v>
      </c>
    </row>
    <row r="2240" spans="1:19" ht="11.85" customHeight="1" x14ac:dyDescent="0.2">
      <c r="A2240" s="57" t="s">
        <v>756</v>
      </c>
      <c r="B2240" s="413" t="s">
        <v>488</v>
      </c>
      <c r="C2240" s="427"/>
      <c r="D2240" s="428"/>
      <c r="E2240" s="419" t="s">
        <v>757</v>
      </c>
      <c r="F2240" s="420"/>
      <c r="G2240" s="64" t="s">
        <v>758</v>
      </c>
      <c r="H2240" s="419" t="s">
        <v>423</v>
      </c>
      <c r="I2240" s="420"/>
      <c r="K2240" s="57" t="s">
        <v>756</v>
      </c>
      <c r="L2240" s="57" t="s">
        <v>331</v>
      </c>
      <c r="S2240" s="57">
        <v>0</v>
      </c>
    </row>
    <row r="2241" spans="1:19" ht="11.1" customHeight="1" x14ac:dyDescent="0.2">
      <c r="A2241" s="57" t="s">
        <v>756</v>
      </c>
      <c r="B2241" s="413" t="s">
        <v>416</v>
      </c>
      <c r="C2241" s="414"/>
      <c r="D2241" s="415"/>
      <c r="E2241" s="419" t="s">
        <v>759</v>
      </c>
      <c r="F2241" s="420"/>
      <c r="G2241" s="64" t="s">
        <v>760</v>
      </c>
      <c r="H2241" s="419" t="s">
        <v>423</v>
      </c>
      <c r="I2241" s="420"/>
      <c r="K2241" s="57" t="s">
        <v>756</v>
      </c>
      <c r="L2241" s="57" t="s">
        <v>331</v>
      </c>
      <c r="S2241" s="65">
        <v>34.979999999999997</v>
      </c>
    </row>
    <row r="2242" spans="1:19" ht="11.85" customHeight="1" x14ac:dyDescent="0.2">
      <c r="A2242" s="57" t="s">
        <v>756</v>
      </c>
      <c r="B2242" s="424"/>
      <c r="C2242" s="425"/>
      <c r="D2242" s="426"/>
      <c r="E2242" s="419" t="s">
        <v>761</v>
      </c>
      <c r="F2242" s="420"/>
      <c r="G2242" s="64" t="s">
        <v>420</v>
      </c>
      <c r="H2242" s="419" t="s">
        <v>421</v>
      </c>
      <c r="I2242" s="420"/>
      <c r="K2242" s="57" t="s">
        <v>756</v>
      </c>
      <c r="L2242" s="57" t="s">
        <v>331</v>
      </c>
      <c r="S2242" s="57">
        <v>0</v>
      </c>
    </row>
    <row r="2243" spans="1:19" ht="11.85" customHeight="1" x14ac:dyDescent="0.2">
      <c r="A2243" s="57" t="s">
        <v>756</v>
      </c>
      <c r="B2243" s="424"/>
      <c r="C2243" s="425"/>
      <c r="D2243" s="426"/>
      <c r="E2243" s="419" t="s">
        <v>762</v>
      </c>
      <c r="F2243" s="420"/>
      <c r="G2243" s="64" t="s">
        <v>417</v>
      </c>
      <c r="H2243" s="419" t="s">
        <v>418</v>
      </c>
      <c r="I2243" s="420"/>
      <c r="K2243" s="57" t="s">
        <v>756</v>
      </c>
      <c r="L2243" s="57" t="s">
        <v>331</v>
      </c>
      <c r="S2243" s="57">
        <v>0</v>
      </c>
    </row>
    <row r="2244" spans="1:19" ht="11.85" customHeight="1" x14ac:dyDescent="0.2">
      <c r="A2244" s="57" t="s">
        <v>756</v>
      </c>
      <c r="B2244" s="424"/>
      <c r="C2244" s="425"/>
      <c r="D2244" s="426"/>
      <c r="E2244" s="419" t="s">
        <v>763</v>
      </c>
      <c r="F2244" s="420"/>
      <c r="G2244" s="64" t="s">
        <v>413</v>
      </c>
      <c r="H2244" s="419" t="s">
        <v>419</v>
      </c>
      <c r="I2244" s="420"/>
      <c r="K2244" s="57" t="s">
        <v>756</v>
      </c>
      <c r="L2244" s="57" t="s">
        <v>331</v>
      </c>
      <c r="S2244" s="57">
        <v>0</v>
      </c>
    </row>
    <row r="2245" spans="1:19" ht="11.1" customHeight="1" x14ac:dyDescent="0.2">
      <c r="A2245" s="57" t="s">
        <v>756</v>
      </c>
      <c r="B2245" s="424"/>
      <c r="C2245" s="425"/>
      <c r="D2245" s="426"/>
      <c r="E2245" s="419" t="s">
        <v>764</v>
      </c>
      <c r="F2245" s="420"/>
      <c r="G2245" s="64" t="s">
        <v>417</v>
      </c>
      <c r="H2245" s="419" t="s">
        <v>418</v>
      </c>
      <c r="I2245" s="420"/>
      <c r="K2245" s="57" t="s">
        <v>756</v>
      </c>
      <c r="L2245" s="57" t="s">
        <v>331</v>
      </c>
      <c r="S2245" s="57">
        <v>0</v>
      </c>
    </row>
    <row r="2246" spans="1:19" ht="11.85" customHeight="1" x14ac:dyDescent="0.2">
      <c r="A2246" s="57" t="s">
        <v>756</v>
      </c>
      <c r="B2246" s="416"/>
      <c r="C2246" s="417"/>
      <c r="D2246" s="418"/>
      <c r="E2246" s="419" t="s">
        <v>765</v>
      </c>
      <c r="F2246" s="420"/>
      <c r="G2246" s="64" t="s">
        <v>758</v>
      </c>
      <c r="H2246" s="419" t="s">
        <v>425</v>
      </c>
      <c r="I2246" s="420"/>
      <c r="K2246" s="57" t="s">
        <v>756</v>
      </c>
      <c r="L2246" s="57" t="s">
        <v>331</v>
      </c>
      <c r="S2246" s="57">
        <v>0</v>
      </c>
    </row>
    <row r="2247" spans="1:19" ht="11.85" customHeight="1" x14ac:dyDescent="0.2">
      <c r="A2247" s="57" t="s">
        <v>756</v>
      </c>
      <c r="B2247" s="62"/>
      <c r="C2247" s="411" t="s">
        <v>766</v>
      </c>
      <c r="D2247" s="412"/>
      <c r="E2247" s="412"/>
      <c r="F2247" s="412"/>
      <c r="G2247" s="412"/>
      <c r="H2247" s="412"/>
      <c r="I2247" s="411"/>
      <c r="K2247" s="57" t="s">
        <v>756</v>
      </c>
      <c r="L2247" s="57" t="s">
        <v>331</v>
      </c>
      <c r="S2247" s="57">
        <v>0</v>
      </c>
    </row>
    <row r="2248" spans="1:19" ht="11.85" customHeight="1" x14ac:dyDescent="0.2">
      <c r="A2248" s="57" t="s">
        <v>766</v>
      </c>
      <c r="B2248" s="413" t="s">
        <v>767</v>
      </c>
      <c r="C2248" s="414"/>
      <c r="D2248" s="415"/>
      <c r="E2248" s="419" t="s">
        <v>768</v>
      </c>
      <c r="F2248" s="420"/>
      <c r="G2248" s="64" t="s">
        <v>417</v>
      </c>
      <c r="H2248" s="419" t="s">
        <v>425</v>
      </c>
      <c r="I2248" s="420"/>
      <c r="K2248" s="57" t="s">
        <v>766</v>
      </c>
      <c r="L2248" s="57" t="s">
        <v>332</v>
      </c>
      <c r="S2248" s="57">
        <v>0</v>
      </c>
    </row>
    <row r="2249" spans="1:19" ht="11.1" customHeight="1" x14ac:dyDescent="0.2">
      <c r="A2249" s="57" t="s">
        <v>766</v>
      </c>
      <c r="B2249" s="424"/>
      <c r="C2249" s="425"/>
      <c r="D2249" s="426"/>
      <c r="E2249" s="419" t="s">
        <v>769</v>
      </c>
      <c r="F2249" s="420"/>
      <c r="G2249" s="64" t="s">
        <v>420</v>
      </c>
      <c r="H2249" s="419" t="s">
        <v>770</v>
      </c>
      <c r="I2249" s="420"/>
      <c r="K2249" s="57" t="s">
        <v>766</v>
      </c>
      <c r="L2249" s="57" t="s">
        <v>332</v>
      </c>
      <c r="S2249" s="57">
        <v>0</v>
      </c>
    </row>
    <row r="2250" spans="1:19" ht="11.85" customHeight="1" x14ac:dyDescent="0.2">
      <c r="A2250" s="57" t="s">
        <v>766</v>
      </c>
      <c r="B2250" s="416"/>
      <c r="C2250" s="417"/>
      <c r="D2250" s="418"/>
      <c r="E2250" s="419" t="s">
        <v>771</v>
      </c>
      <c r="F2250" s="420"/>
      <c r="G2250" s="64" t="s">
        <v>417</v>
      </c>
      <c r="H2250" s="419" t="s">
        <v>772</v>
      </c>
      <c r="I2250" s="420"/>
      <c r="K2250" s="57" t="s">
        <v>766</v>
      </c>
      <c r="L2250" s="57" t="s">
        <v>332</v>
      </c>
      <c r="S2250" s="57">
        <v>0</v>
      </c>
    </row>
    <row r="2251" spans="1:19" ht="11.85" customHeight="1" x14ac:dyDescent="0.2">
      <c r="A2251" s="57" t="s">
        <v>766</v>
      </c>
      <c r="B2251" s="413" t="s">
        <v>416</v>
      </c>
      <c r="C2251" s="414"/>
      <c r="D2251" s="415"/>
      <c r="E2251" s="419" t="s">
        <v>773</v>
      </c>
      <c r="F2251" s="420"/>
      <c r="G2251" s="64" t="s">
        <v>774</v>
      </c>
      <c r="H2251" s="419" t="s">
        <v>423</v>
      </c>
      <c r="I2251" s="420"/>
      <c r="K2251" s="57" t="s">
        <v>766</v>
      </c>
      <c r="L2251" s="57" t="s">
        <v>332</v>
      </c>
      <c r="S2251" s="65">
        <v>40.33</v>
      </c>
    </row>
    <row r="2252" spans="1:19" ht="11.85" customHeight="1" x14ac:dyDescent="0.2">
      <c r="A2252" s="57" t="s">
        <v>766</v>
      </c>
      <c r="B2252" s="424"/>
      <c r="C2252" s="425"/>
      <c r="D2252" s="426"/>
      <c r="E2252" s="419" t="s">
        <v>761</v>
      </c>
      <c r="F2252" s="420"/>
      <c r="G2252" s="64" t="s">
        <v>420</v>
      </c>
      <c r="H2252" s="419" t="s">
        <v>421</v>
      </c>
      <c r="I2252" s="420"/>
      <c r="K2252" s="57" t="s">
        <v>766</v>
      </c>
      <c r="L2252" s="57" t="s">
        <v>332</v>
      </c>
      <c r="S2252" s="57">
        <v>0</v>
      </c>
    </row>
    <row r="2253" spans="1:19" ht="11.1" customHeight="1" x14ac:dyDescent="0.2">
      <c r="A2253" s="57" t="s">
        <v>766</v>
      </c>
      <c r="B2253" s="424"/>
      <c r="C2253" s="425"/>
      <c r="D2253" s="426"/>
      <c r="E2253" s="419" t="s">
        <v>762</v>
      </c>
      <c r="F2253" s="420"/>
      <c r="G2253" s="64" t="s">
        <v>417</v>
      </c>
      <c r="H2253" s="419" t="s">
        <v>418</v>
      </c>
      <c r="I2253" s="420"/>
      <c r="K2253" s="57" t="s">
        <v>766</v>
      </c>
      <c r="L2253" s="57" t="s">
        <v>332</v>
      </c>
      <c r="S2253" s="57">
        <v>0</v>
      </c>
    </row>
    <row r="2254" spans="1:19" ht="11.85" customHeight="1" x14ac:dyDescent="0.2">
      <c r="A2254" s="57" t="s">
        <v>766</v>
      </c>
      <c r="B2254" s="424"/>
      <c r="C2254" s="425"/>
      <c r="D2254" s="426"/>
      <c r="E2254" s="419" t="s">
        <v>763</v>
      </c>
      <c r="F2254" s="420"/>
      <c r="G2254" s="64" t="s">
        <v>413</v>
      </c>
      <c r="H2254" s="419" t="s">
        <v>419</v>
      </c>
      <c r="I2254" s="420"/>
      <c r="K2254" s="57" t="s">
        <v>766</v>
      </c>
      <c r="L2254" s="57" t="s">
        <v>332</v>
      </c>
      <c r="S2254" s="57">
        <v>0</v>
      </c>
    </row>
    <row r="2255" spans="1:19" ht="11.85" customHeight="1" x14ac:dyDescent="0.2">
      <c r="A2255" s="57" t="s">
        <v>766</v>
      </c>
      <c r="B2255" s="424"/>
      <c r="C2255" s="425"/>
      <c r="D2255" s="426"/>
      <c r="E2255" s="419" t="s">
        <v>764</v>
      </c>
      <c r="F2255" s="420"/>
      <c r="G2255" s="64" t="s">
        <v>417</v>
      </c>
      <c r="H2255" s="419" t="s">
        <v>418</v>
      </c>
      <c r="I2255" s="420"/>
      <c r="K2255" s="57" t="s">
        <v>766</v>
      </c>
      <c r="L2255" s="57" t="s">
        <v>332</v>
      </c>
      <c r="S2255" s="57">
        <v>0</v>
      </c>
    </row>
    <row r="2256" spans="1:19" ht="11.85" customHeight="1" x14ac:dyDescent="0.2">
      <c r="A2256" s="57" t="s">
        <v>766</v>
      </c>
      <c r="B2256" s="424"/>
      <c r="C2256" s="425"/>
      <c r="D2256" s="426"/>
      <c r="E2256" s="419" t="s">
        <v>765</v>
      </c>
      <c r="F2256" s="420"/>
      <c r="G2256" s="64" t="s">
        <v>758</v>
      </c>
      <c r="H2256" s="419" t="s">
        <v>425</v>
      </c>
      <c r="I2256" s="420"/>
      <c r="K2256" s="57" t="s">
        <v>766</v>
      </c>
      <c r="L2256" s="57" t="s">
        <v>332</v>
      </c>
      <c r="S2256" s="57">
        <v>0</v>
      </c>
    </row>
    <row r="2257" spans="1:19" ht="11.1" customHeight="1" x14ac:dyDescent="0.2">
      <c r="A2257" s="57" t="s">
        <v>766</v>
      </c>
      <c r="B2257" s="424"/>
      <c r="C2257" s="425"/>
      <c r="D2257" s="426"/>
      <c r="E2257" s="419" t="s">
        <v>775</v>
      </c>
      <c r="F2257" s="420"/>
      <c r="G2257" s="64" t="s">
        <v>503</v>
      </c>
      <c r="H2257" s="419" t="s">
        <v>423</v>
      </c>
      <c r="I2257" s="420"/>
      <c r="K2257" s="57" t="s">
        <v>766</v>
      </c>
      <c r="L2257" s="57" t="s">
        <v>332</v>
      </c>
      <c r="S2257" s="57">
        <v>0</v>
      </c>
    </row>
    <row r="2258" spans="1:19" ht="11.85" customHeight="1" x14ac:dyDescent="0.2">
      <c r="A2258" s="57" t="s">
        <v>766</v>
      </c>
      <c r="B2258" s="416"/>
      <c r="C2258" s="417"/>
      <c r="D2258" s="418"/>
      <c r="E2258" s="419" t="s">
        <v>776</v>
      </c>
      <c r="F2258" s="420"/>
      <c r="G2258" s="64" t="s">
        <v>503</v>
      </c>
      <c r="H2258" s="419" t="s">
        <v>423</v>
      </c>
      <c r="I2258" s="420"/>
      <c r="K2258" s="57" t="s">
        <v>766</v>
      </c>
      <c r="L2258" s="57" t="s">
        <v>332</v>
      </c>
      <c r="S2258" s="57">
        <v>0</v>
      </c>
    </row>
    <row r="2259" spans="1:19" ht="11.85" customHeight="1" x14ac:dyDescent="0.2">
      <c r="A2259" s="57" t="s">
        <v>766</v>
      </c>
      <c r="B2259" s="413" t="s">
        <v>777</v>
      </c>
      <c r="C2259" s="414"/>
      <c r="D2259" s="415"/>
      <c r="E2259" s="419" t="s">
        <v>778</v>
      </c>
      <c r="F2259" s="420"/>
      <c r="G2259" s="64" t="s">
        <v>413</v>
      </c>
      <c r="H2259" s="419" t="s">
        <v>425</v>
      </c>
      <c r="I2259" s="420"/>
      <c r="K2259" s="57" t="s">
        <v>766</v>
      </c>
      <c r="L2259" s="57" t="s">
        <v>332</v>
      </c>
      <c r="S2259" s="57">
        <v>0</v>
      </c>
    </row>
    <row r="2260" spans="1:19" ht="11.85" customHeight="1" x14ac:dyDescent="0.2">
      <c r="A2260" s="57" t="s">
        <v>766</v>
      </c>
      <c r="B2260" s="416"/>
      <c r="C2260" s="417"/>
      <c r="D2260" s="418"/>
      <c r="E2260" s="419" t="s">
        <v>779</v>
      </c>
      <c r="F2260" s="420"/>
      <c r="G2260" s="64" t="s">
        <v>413</v>
      </c>
      <c r="H2260" s="419" t="s">
        <v>414</v>
      </c>
      <c r="I2260" s="420"/>
      <c r="K2260" s="57" t="s">
        <v>766</v>
      </c>
      <c r="L2260" s="57" t="s">
        <v>332</v>
      </c>
      <c r="S2260" s="57">
        <v>0</v>
      </c>
    </row>
    <row r="2261" spans="1:19" ht="11.1" customHeight="1" x14ac:dyDescent="0.2">
      <c r="A2261" s="57" t="s">
        <v>766</v>
      </c>
      <c r="B2261" s="413" t="s">
        <v>780</v>
      </c>
      <c r="C2261" s="427"/>
      <c r="D2261" s="428"/>
      <c r="E2261" s="419" t="s">
        <v>781</v>
      </c>
      <c r="F2261" s="420"/>
      <c r="G2261" s="64" t="s">
        <v>782</v>
      </c>
      <c r="H2261" s="419" t="s">
        <v>783</v>
      </c>
      <c r="I2261" s="420"/>
      <c r="K2261" s="57" t="s">
        <v>766</v>
      </c>
      <c r="L2261" s="57" t="s">
        <v>332</v>
      </c>
      <c r="S2261" s="57">
        <v>0</v>
      </c>
    </row>
    <row r="2262" spans="1:19" ht="11.85" customHeight="1" x14ac:dyDescent="0.2">
      <c r="A2262" s="57" t="s">
        <v>766</v>
      </c>
      <c r="B2262" s="62"/>
      <c r="C2262" s="411" t="s">
        <v>784</v>
      </c>
      <c r="D2262" s="412"/>
      <c r="E2262" s="412"/>
      <c r="F2262" s="412"/>
      <c r="G2262" s="412"/>
      <c r="H2262" s="412"/>
      <c r="I2262" s="411"/>
      <c r="K2262" s="57" t="s">
        <v>766</v>
      </c>
      <c r="L2262" s="57" t="s">
        <v>332</v>
      </c>
      <c r="S2262" s="57">
        <v>0</v>
      </c>
    </row>
    <row r="2263" spans="1:19" ht="11.85" customHeight="1" x14ac:dyDescent="0.2">
      <c r="A2263" s="57" t="s">
        <v>784</v>
      </c>
      <c r="B2263" s="413" t="s">
        <v>416</v>
      </c>
      <c r="C2263" s="414"/>
      <c r="D2263" s="415"/>
      <c r="E2263" s="419" t="s">
        <v>785</v>
      </c>
      <c r="F2263" s="420"/>
      <c r="G2263" s="64" t="s">
        <v>786</v>
      </c>
      <c r="H2263" s="419" t="s">
        <v>423</v>
      </c>
      <c r="I2263" s="420"/>
      <c r="K2263" s="57" t="s">
        <v>784</v>
      </c>
      <c r="L2263" s="57" t="s">
        <v>333</v>
      </c>
      <c r="S2263" s="65">
        <v>23.78</v>
      </c>
    </row>
    <row r="2264" spans="1:19" ht="11.85" customHeight="1" x14ac:dyDescent="0.2">
      <c r="A2264" s="57" t="s">
        <v>784</v>
      </c>
      <c r="B2264" s="424"/>
      <c r="C2264" s="425"/>
      <c r="D2264" s="426"/>
      <c r="E2264" s="419" t="s">
        <v>787</v>
      </c>
      <c r="F2264" s="420"/>
      <c r="G2264" s="64" t="s">
        <v>420</v>
      </c>
      <c r="H2264" s="419" t="s">
        <v>459</v>
      </c>
      <c r="I2264" s="420"/>
      <c r="K2264" s="57" t="s">
        <v>784</v>
      </c>
      <c r="L2264" s="57" t="s">
        <v>333</v>
      </c>
      <c r="S2264" s="57">
        <v>0</v>
      </c>
    </row>
    <row r="2265" spans="1:19" ht="11.1" customHeight="1" x14ac:dyDescent="0.2">
      <c r="A2265" s="57" t="s">
        <v>784</v>
      </c>
      <c r="B2265" s="424"/>
      <c r="C2265" s="425"/>
      <c r="D2265" s="426"/>
      <c r="E2265" s="419" t="s">
        <v>788</v>
      </c>
      <c r="F2265" s="420"/>
      <c r="G2265" s="64" t="s">
        <v>417</v>
      </c>
      <c r="H2265" s="419" t="s">
        <v>457</v>
      </c>
      <c r="I2265" s="420"/>
      <c r="K2265" s="57" t="s">
        <v>784</v>
      </c>
      <c r="L2265" s="57" t="s">
        <v>333</v>
      </c>
      <c r="S2265" s="57">
        <v>0</v>
      </c>
    </row>
    <row r="2266" spans="1:19" ht="11.85" customHeight="1" x14ac:dyDescent="0.2">
      <c r="A2266" s="57" t="s">
        <v>784</v>
      </c>
      <c r="B2266" s="424"/>
      <c r="C2266" s="425"/>
      <c r="D2266" s="426"/>
      <c r="E2266" s="419" t="s">
        <v>789</v>
      </c>
      <c r="F2266" s="420"/>
      <c r="G2266" s="64" t="s">
        <v>413</v>
      </c>
      <c r="H2266" s="419" t="s">
        <v>790</v>
      </c>
      <c r="I2266" s="420"/>
      <c r="K2266" s="57" t="s">
        <v>784</v>
      </c>
      <c r="L2266" s="57" t="s">
        <v>333</v>
      </c>
      <c r="S2266" s="57">
        <v>0</v>
      </c>
    </row>
    <row r="2267" spans="1:19" ht="11.85" customHeight="1" x14ac:dyDescent="0.2">
      <c r="A2267" s="57" t="s">
        <v>784</v>
      </c>
      <c r="B2267" s="424"/>
      <c r="C2267" s="425"/>
      <c r="D2267" s="426"/>
      <c r="E2267" s="419" t="s">
        <v>791</v>
      </c>
      <c r="F2267" s="420"/>
      <c r="G2267" s="64" t="s">
        <v>417</v>
      </c>
      <c r="H2267" s="419" t="s">
        <v>457</v>
      </c>
      <c r="I2267" s="420"/>
      <c r="K2267" s="57" t="s">
        <v>784</v>
      </c>
      <c r="L2267" s="57" t="s">
        <v>333</v>
      </c>
      <c r="S2267" s="57">
        <v>0</v>
      </c>
    </row>
    <row r="2268" spans="1:19" ht="11.85" customHeight="1" x14ac:dyDescent="0.2">
      <c r="A2268" s="57" t="s">
        <v>784</v>
      </c>
      <c r="B2268" s="416"/>
      <c r="C2268" s="417"/>
      <c r="D2268" s="418"/>
      <c r="E2268" s="419" t="s">
        <v>792</v>
      </c>
      <c r="F2268" s="420"/>
      <c r="G2268" s="64" t="s">
        <v>758</v>
      </c>
      <c r="H2268" s="419" t="s">
        <v>463</v>
      </c>
      <c r="I2268" s="420"/>
      <c r="K2268" s="57" t="s">
        <v>784</v>
      </c>
      <c r="L2268" s="57" t="s">
        <v>333</v>
      </c>
      <c r="S2268" s="57">
        <v>0</v>
      </c>
    </row>
    <row r="2269" spans="1:19" ht="11.1" customHeight="1" x14ac:dyDescent="0.2">
      <c r="A2269" s="57" t="s">
        <v>784</v>
      </c>
      <c r="B2269" s="62"/>
      <c r="C2269" s="411" t="s">
        <v>793</v>
      </c>
      <c r="D2269" s="412"/>
      <c r="E2269" s="412"/>
      <c r="F2269" s="412"/>
      <c r="G2269" s="412"/>
      <c r="H2269" s="412"/>
      <c r="I2269" s="411"/>
      <c r="K2269" s="57" t="s">
        <v>784</v>
      </c>
      <c r="L2269" s="57" t="s">
        <v>333</v>
      </c>
      <c r="S2269" s="57">
        <v>0</v>
      </c>
    </row>
    <row r="2270" spans="1:19" ht="11.85" customHeight="1" x14ac:dyDescent="0.2">
      <c r="A2270" s="57" t="s">
        <v>793</v>
      </c>
      <c r="B2270" s="413" t="s">
        <v>767</v>
      </c>
      <c r="C2270" s="414"/>
      <c r="D2270" s="415"/>
      <c r="E2270" s="419" t="s">
        <v>768</v>
      </c>
      <c r="F2270" s="420"/>
      <c r="G2270" s="64" t="s">
        <v>417</v>
      </c>
      <c r="H2270" s="419" t="s">
        <v>425</v>
      </c>
      <c r="I2270" s="420"/>
      <c r="K2270" s="57" t="s">
        <v>793</v>
      </c>
      <c r="L2270" s="57" t="s">
        <v>320</v>
      </c>
      <c r="S2270" s="57">
        <v>0</v>
      </c>
    </row>
    <row r="2271" spans="1:19" ht="11.85" customHeight="1" x14ac:dyDescent="0.2">
      <c r="A2271" s="57" t="s">
        <v>793</v>
      </c>
      <c r="B2271" s="416"/>
      <c r="C2271" s="417"/>
      <c r="D2271" s="418"/>
      <c r="E2271" s="419" t="s">
        <v>771</v>
      </c>
      <c r="F2271" s="420"/>
      <c r="G2271" s="64" t="s">
        <v>417</v>
      </c>
      <c r="H2271" s="419" t="s">
        <v>772</v>
      </c>
      <c r="I2271" s="420"/>
      <c r="K2271" s="57" t="s">
        <v>793</v>
      </c>
      <c r="L2271" s="57" t="s">
        <v>320</v>
      </c>
      <c r="S2271" s="57">
        <v>0</v>
      </c>
    </row>
    <row r="2272" spans="1:19" ht="11.85" customHeight="1" x14ac:dyDescent="0.2">
      <c r="A2272" s="57" t="s">
        <v>793</v>
      </c>
      <c r="B2272" s="413" t="s">
        <v>794</v>
      </c>
      <c r="C2272" s="414"/>
      <c r="D2272" s="415"/>
      <c r="E2272" s="419" t="s">
        <v>795</v>
      </c>
      <c r="F2272" s="420"/>
      <c r="G2272" s="64" t="s">
        <v>796</v>
      </c>
      <c r="H2272" s="419" t="s">
        <v>770</v>
      </c>
      <c r="I2272" s="420"/>
      <c r="K2272" s="57" t="s">
        <v>793</v>
      </c>
      <c r="L2272" s="57" t="s">
        <v>320</v>
      </c>
      <c r="S2272" s="57">
        <v>0</v>
      </c>
    </row>
    <row r="2273" spans="1:19" ht="11.1" customHeight="1" x14ac:dyDescent="0.2">
      <c r="A2273" s="57" t="s">
        <v>793</v>
      </c>
      <c r="B2273" s="424"/>
      <c r="C2273" s="425"/>
      <c r="D2273" s="426"/>
      <c r="E2273" s="419" t="s">
        <v>797</v>
      </c>
      <c r="F2273" s="420"/>
      <c r="G2273" s="64" t="s">
        <v>798</v>
      </c>
      <c r="H2273" s="419" t="s">
        <v>425</v>
      </c>
      <c r="I2273" s="420"/>
      <c r="K2273" s="57" t="s">
        <v>793</v>
      </c>
      <c r="L2273" s="57" t="s">
        <v>320</v>
      </c>
      <c r="S2273" s="57">
        <v>0</v>
      </c>
    </row>
    <row r="2274" spans="1:19" ht="11.85" customHeight="1" x14ac:dyDescent="0.2">
      <c r="A2274" s="57" t="s">
        <v>793</v>
      </c>
      <c r="B2274" s="416"/>
      <c r="C2274" s="417"/>
      <c r="D2274" s="418"/>
      <c r="E2274" s="419" t="s">
        <v>799</v>
      </c>
      <c r="F2274" s="420"/>
      <c r="G2274" s="64" t="s">
        <v>798</v>
      </c>
      <c r="H2274" s="419" t="s">
        <v>414</v>
      </c>
      <c r="I2274" s="420"/>
      <c r="K2274" s="57" t="s">
        <v>793</v>
      </c>
      <c r="L2274" s="57" t="s">
        <v>320</v>
      </c>
      <c r="S2274" s="57">
        <v>0</v>
      </c>
    </row>
    <row r="2275" spans="1:19" ht="11.85" customHeight="1" x14ac:dyDescent="0.2">
      <c r="A2275" s="57" t="s">
        <v>793</v>
      </c>
      <c r="B2275" s="413" t="s">
        <v>416</v>
      </c>
      <c r="C2275" s="414"/>
      <c r="D2275" s="415"/>
      <c r="E2275" s="419" t="s">
        <v>800</v>
      </c>
      <c r="F2275" s="420"/>
      <c r="G2275" s="64" t="s">
        <v>801</v>
      </c>
      <c r="H2275" s="419" t="s">
        <v>423</v>
      </c>
      <c r="I2275" s="420"/>
      <c r="K2275" s="57" t="s">
        <v>793</v>
      </c>
      <c r="L2275" s="57" t="s">
        <v>320</v>
      </c>
      <c r="S2275" s="65">
        <v>41.47</v>
      </c>
    </row>
    <row r="2276" spans="1:19" ht="11.85" customHeight="1" x14ac:dyDescent="0.2">
      <c r="A2276" s="57" t="s">
        <v>793</v>
      </c>
      <c r="B2276" s="416"/>
      <c r="C2276" s="417"/>
      <c r="D2276" s="418"/>
      <c r="E2276" s="419" t="s">
        <v>802</v>
      </c>
      <c r="F2276" s="420"/>
      <c r="G2276" s="64" t="s">
        <v>796</v>
      </c>
      <c r="H2276" s="419" t="s">
        <v>421</v>
      </c>
      <c r="I2276" s="420"/>
      <c r="K2276" s="57" t="s">
        <v>793</v>
      </c>
      <c r="L2276" s="57" t="s">
        <v>320</v>
      </c>
      <c r="S2276" s="57">
        <v>0</v>
      </c>
    </row>
    <row r="2277" spans="1:19" ht="11.85" customHeight="1" x14ac:dyDescent="0.2">
      <c r="A2277" s="57" t="s">
        <v>793</v>
      </c>
      <c r="B2277" s="413" t="s">
        <v>416</v>
      </c>
      <c r="C2277" s="414"/>
      <c r="D2277" s="415"/>
      <c r="E2277" s="419" t="s">
        <v>762</v>
      </c>
      <c r="F2277" s="420"/>
      <c r="G2277" s="64" t="s">
        <v>417</v>
      </c>
      <c r="H2277" s="419" t="s">
        <v>418</v>
      </c>
      <c r="I2277" s="420"/>
      <c r="K2277" s="57" t="s">
        <v>793</v>
      </c>
      <c r="L2277" s="57" t="s">
        <v>320</v>
      </c>
      <c r="S2277" s="57">
        <v>0</v>
      </c>
    </row>
    <row r="2278" spans="1:19" ht="11.85" customHeight="1" x14ac:dyDescent="0.2">
      <c r="A2278" s="57" t="s">
        <v>793</v>
      </c>
      <c r="B2278" s="424"/>
      <c r="C2278" s="425"/>
      <c r="D2278" s="426"/>
      <c r="E2278" s="419" t="s">
        <v>803</v>
      </c>
      <c r="F2278" s="420"/>
      <c r="G2278" s="64" t="s">
        <v>798</v>
      </c>
      <c r="H2278" s="419" t="s">
        <v>419</v>
      </c>
      <c r="I2278" s="420"/>
      <c r="K2278" s="57" t="s">
        <v>793</v>
      </c>
      <c r="L2278" s="57" t="s">
        <v>320</v>
      </c>
      <c r="S2278" s="57">
        <v>0</v>
      </c>
    </row>
    <row r="2279" spans="1:19" ht="11.85" customHeight="1" x14ac:dyDescent="0.2">
      <c r="A2279" s="57" t="s">
        <v>793</v>
      </c>
      <c r="B2279" s="424"/>
      <c r="C2279" s="425"/>
      <c r="D2279" s="426"/>
      <c r="E2279" s="419" t="s">
        <v>764</v>
      </c>
      <c r="F2279" s="420"/>
      <c r="G2279" s="64" t="s">
        <v>417</v>
      </c>
      <c r="H2279" s="419" t="s">
        <v>418</v>
      </c>
      <c r="I2279" s="420"/>
      <c r="K2279" s="57" t="s">
        <v>793</v>
      </c>
      <c r="L2279" s="57" t="s">
        <v>320</v>
      </c>
      <c r="S2279" s="57">
        <v>0</v>
      </c>
    </row>
    <row r="2280" spans="1:19" ht="11.1" customHeight="1" x14ac:dyDescent="0.2">
      <c r="A2280" s="57" t="s">
        <v>793</v>
      </c>
      <c r="B2280" s="424"/>
      <c r="C2280" s="425"/>
      <c r="D2280" s="426"/>
      <c r="E2280" s="419" t="s">
        <v>765</v>
      </c>
      <c r="F2280" s="420"/>
      <c r="G2280" s="64" t="s">
        <v>758</v>
      </c>
      <c r="H2280" s="419" t="s">
        <v>425</v>
      </c>
      <c r="I2280" s="420"/>
      <c r="K2280" s="57" t="s">
        <v>793</v>
      </c>
      <c r="L2280" s="57" t="s">
        <v>320</v>
      </c>
      <c r="S2280" s="57">
        <v>0</v>
      </c>
    </row>
    <row r="2281" spans="1:19" ht="11.85" customHeight="1" x14ac:dyDescent="0.2">
      <c r="A2281" s="57" t="s">
        <v>793</v>
      </c>
      <c r="B2281" s="424"/>
      <c r="C2281" s="425"/>
      <c r="D2281" s="426"/>
      <c r="E2281" s="419" t="s">
        <v>775</v>
      </c>
      <c r="F2281" s="420"/>
      <c r="G2281" s="64" t="s">
        <v>503</v>
      </c>
      <c r="H2281" s="419" t="s">
        <v>423</v>
      </c>
      <c r="I2281" s="420"/>
      <c r="K2281" s="57" t="s">
        <v>793</v>
      </c>
      <c r="L2281" s="57" t="s">
        <v>320</v>
      </c>
      <c r="S2281" s="57">
        <v>0</v>
      </c>
    </row>
    <row r="2282" spans="1:19" ht="11.85" customHeight="1" x14ac:dyDescent="0.2">
      <c r="A2282" s="57" t="s">
        <v>793</v>
      </c>
      <c r="B2282" s="416"/>
      <c r="C2282" s="417"/>
      <c r="D2282" s="418"/>
      <c r="E2282" s="419" t="s">
        <v>776</v>
      </c>
      <c r="F2282" s="420"/>
      <c r="G2282" s="64" t="s">
        <v>503</v>
      </c>
      <c r="H2282" s="419" t="s">
        <v>423</v>
      </c>
      <c r="I2282" s="420"/>
      <c r="K2282" s="57" t="s">
        <v>793</v>
      </c>
      <c r="L2282" s="57" t="s">
        <v>320</v>
      </c>
      <c r="S2282" s="57">
        <v>0</v>
      </c>
    </row>
    <row r="2283" spans="1:19" ht="11.85" customHeight="1" x14ac:dyDescent="0.2">
      <c r="A2283" s="57" t="s">
        <v>793</v>
      </c>
      <c r="B2283" s="62"/>
      <c r="C2283" s="411" t="s">
        <v>804</v>
      </c>
      <c r="D2283" s="412"/>
      <c r="E2283" s="412"/>
      <c r="F2283" s="412"/>
      <c r="G2283" s="412"/>
      <c r="H2283" s="412"/>
      <c r="I2283" s="411"/>
      <c r="K2283" s="57" t="s">
        <v>793</v>
      </c>
      <c r="L2283" s="57" t="s">
        <v>320</v>
      </c>
      <c r="S2283" s="57">
        <v>0</v>
      </c>
    </row>
    <row r="2284" spans="1:19" ht="11.1" customHeight="1" x14ac:dyDescent="0.2">
      <c r="A2284" s="57" t="s">
        <v>804</v>
      </c>
      <c r="B2284" s="413" t="s">
        <v>767</v>
      </c>
      <c r="C2284" s="414"/>
      <c r="D2284" s="415"/>
      <c r="E2284" s="419" t="s">
        <v>768</v>
      </c>
      <c r="F2284" s="420"/>
      <c r="G2284" s="64" t="s">
        <v>417</v>
      </c>
      <c r="H2284" s="419" t="s">
        <v>425</v>
      </c>
      <c r="I2284" s="420"/>
      <c r="K2284" s="57" t="s">
        <v>804</v>
      </c>
      <c r="L2284" s="57" t="s">
        <v>323</v>
      </c>
      <c r="S2284" s="57">
        <v>0</v>
      </c>
    </row>
    <row r="2285" spans="1:19" ht="11.85" customHeight="1" x14ac:dyDescent="0.2">
      <c r="A2285" s="57" t="s">
        <v>804</v>
      </c>
      <c r="B2285" s="416"/>
      <c r="C2285" s="417"/>
      <c r="D2285" s="418"/>
      <c r="E2285" s="419" t="s">
        <v>771</v>
      </c>
      <c r="F2285" s="420"/>
      <c r="G2285" s="64" t="s">
        <v>417</v>
      </c>
      <c r="H2285" s="419" t="s">
        <v>772</v>
      </c>
      <c r="I2285" s="420"/>
      <c r="K2285" s="57" t="s">
        <v>804</v>
      </c>
      <c r="L2285" s="57" t="s">
        <v>323</v>
      </c>
      <c r="S2285" s="57">
        <v>0</v>
      </c>
    </row>
    <row r="2286" spans="1:19" ht="11.85" customHeight="1" x14ac:dyDescent="0.2">
      <c r="A2286" s="57" t="s">
        <v>804</v>
      </c>
      <c r="B2286" s="413" t="s">
        <v>794</v>
      </c>
      <c r="C2286" s="414"/>
      <c r="D2286" s="415"/>
      <c r="E2286" s="419" t="s">
        <v>795</v>
      </c>
      <c r="F2286" s="420"/>
      <c r="G2286" s="64" t="s">
        <v>796</v>
      </c>
      <c r="H2286" s="419" t="s">
        <v>770</v>
      </c>
      <c r="I2286" s="420"/>
      <c r="K2286" s="57" t="s">
        <v>804</v>
      </c>
      <c r="L2286" s="57" t="s">
        <v>323</v>
      </c>
      <c r="S2286" s="57">
        <v>0</v>
      </c>
    </row>
    <row r="2287" spans="1:19" ht="11.85" customHeight="1" x14ac:dyDescent="0.2">
      <c r="A2287" s="57" t="s">
        <v>804</v>
      </c>
      <c r="B2287" s="424"/>
      <c r="C2287" s="425"/>
      <c r="D2287" s="426"/>
      <c r="E2287" s="419" t="s">
        <v>797</v>
      </c>
      <c r="F2287" s="420"/>
      <c r="G2287" s="64" t="s">
        <v>798</v>
      </c>
      <c r="H2287" s="419" t="s">
        <v>425</v>
      </c>
      <c r="I2287" s="420"/>
      <c r="K2287" s="57" t="s">
        <v>804</v>
      </c>
      <c r="L2287" s="57" t="s">
        <v>323</v>
      </c>
      <c r="S2287" s="57">
        <v>0</v>
      </c>
    </row>
    <row r="2288" spans="1:19" ht="11.1" customHeight="1" x14ac:dyDescent="0.2">
      <c r="A2288" s="57" t="s">
        <v>804</v>
      </c>
      <c r="B2288" s="416"/>
      <c r="C2288" s="417"/>
      <c r="D2288" s="418"/>
      <c r="E2288" s="419" t="s">
        <v>799</v>
      </c>
      <c r="F2288" s="420"/>
      <c r="G2288" s="64" t="s">
        <v>798</v>
      </c>
      <c r="H2288" s="419" t="s">
        <v>414</v>
      </c>
      <c r="I2288" s="420"/>
      <c r="K2288" s="57" t="s">
        <v>804</v>
      </c>
      <c r="L2288" s="57" t="s">
        <v>323</v>
      </c>
      <c r="S2288" s="57">
        <v>0</v>
      </c>
    </row>
    <row r="2289" spans="1:19" ht="11.85" customHeight="1" x14ac:dyDescent="0.2">
      <c r="A2289" s="57" t="s">
        <v>804</v>
      </c>
      <c r="B2289" s="413" t="s">
        <v>416</v>
      </c>
      <c r="C2289" s="414"/>
      <c r="D2289" s="415"/>
      <c r="E2289" s="419" t="s">
        <v>800</v>
      </c>
      <c r="F2289" s="420"/>
      <c r="G2289" s="64" t="s">
        <v>801</v>
      </c>
      <c r="H2289" s="419" t="s">
        <v>423</v>
      </c>
      <c r="I2289" s="420"/>
      <c r="K2289" s="57" t="s">
        <v>804</v>
      </c>
      <c r="L2289" s="57" t="s">
        <v>323</v>
      </c>
      <c r="S2289" s="65">
        <v>41.47</v>
      </c>
    </row>
    <row r="2290" spans="1:19" ht="11.85" customHeight="1" x14ac:dyDescent="0.2">
      <c r="A2290" s="57" t="s">
        <v>804</v>
      </c>
      <c r="B2290" s="424"/>
      <c r="C2290" s="425"/>
      <c r="D2290" s="426"/>
      <c r="E2290" s="419" t="s">
        <v>805</v>
      </c>
      <c r="F2290" s="420"/>
      <c r="G2290" s="64" t="s">
        <v>796</v>
      </c>
      <c r="H2290" s="419" t="s">
        <v>439</v>
      </c>
      <c r="I2290" s="420"/>
      <c r="K2290" s="57" t="s">
        <v>804</v>
      </c>
      <c r="L2290" s="57" t="s">
        <v>323</v>
      </c>
      <c r="S2290" s="57">
        <v>0</v>
      </c>
    </row>
    <row r="2291" spans="1:19" ht="11.85" customHeight="1" x14ac:dyDescent="0.2">
      <c r="A2291" s="57" t="s">
        <v>804</v>
      </c>
      <c r="B2291" s="424"/>
      <c r="C2291" s="425"/>
      <c r="D2291" s="426"/>
      <c r="E2291" s="419" t="s">
        <v>806</v>
      </c>
      <c r="F2291" s="420"/>
      <c r="G2291" s="64" t="s">
        <v>417</v>
      </c>
      <c r="H2291" s="419" t="s">
        <v>437</v>
      </c>
      <c r="I2291" s="420"/>
      <c r="K2291" s="57" t="s">
        <v>804</v>
      </c>
      <c r="L2291" s="57" t="s">
        <v>323</v>
      </c>
      <c r="S2291" s="57">
        <v>0</v>
      </c>
    </row>
    <row r="2292" spans="1:19" ht="11.1" customHeight="1" x14ac:dyDescent="0.2">
      <c r="A2292" s="57" t="s">
        <v>804</v>
      </c>
      <c r="B2292" s="424"/>
      <c r="C2292" s="425"/>
      <c r="D2292" s="426"/>
      <c r="E2292" s="419" t="s">
        <v>807</v>
      </c>
      <c r="F2292" s="420"/>
      <c r="G2292" s="64" t="s">
        <v>798</v>
      </c>
      <c r="H2292" s="419" t="s">
        <v>478</v>
      </c>
      <c r="I2292" s="420"/>
      <c r="K2292" s="57" t="s">
        <v>804</v>
      </c>
      <c r="L2292" s="57" t="s">
        <v>323</v>
      </c>
      <c r="S2292" s="57">
        <v>0</v>
      </c>
    </row>
    <row r="2293" spans="1:19" ht="11.85" customHeight="1" x14ac:dyDescent="0.2">
      <c r="A2293" s="57" t="s">
        <v>804</v>
      </c>
      <c r="B2293" s="424"/>
      <c r="C2293" s="425"/>
      <c r="D2293" s="426"/>
      <c r="E2293" s="419" t="s">
        <v>808</v>
      </c>
      <c r="F2293" s="420"/>
      <c r="G2293" s="64" t="s">
        <v>417</v>
      </c>
      <c r="H2293" s="419" t="s">
        <v>437</v>
      </c>
      <c r="I2293" s="420"/>
      <c r="K2293" s="57" t="s">
        <v>804</v>
      </c>
      <c r="L2293" s="57" t="s">
        <v>323</v>
      </c>
      <c r="S2293" s="57">
        <v>0</v>
      </c>
    </row>
    <row r="2294" spans="1:19" ht="11.85" customHeight="1" x14ac:dyDescent="0.2">
      <c r="A2294" s="57" t="s">
        <v>804</v>
      </c>
      <c r="B2294" s="424"/>
      <c r="C2294" s="425"/>
      <c r="D2294" s="426"/>
      <c r="E2294" s="419" t="s">
        <v>765</v>
      </c>
      <c r="F2294" s="420"/>
      <c r="G2294" s="64" t="s">
        <v>758</v>
      </c>
      <c r="H2294" s="419" t="s">
        <v>425</v>
      </c>
      <c r="I2294" s="420"/>
      <c r="K2294" s="57" t="s">
        <v>804</v>
      </c>
      <c r="L2294" s="57" t="s">
        <v>323</v>
      </c>
      <c r="S2294" s="57">
        <v>0</v>
      </c>
    </row>
    <row r="2295" spans="1:19" ht="11.85" customHeight="1" x14ac:dyDescent="0.2">
      <c r="A2295" s="57" t="s">
        <v>804</v>
      </c>
      <c r="B2295" s="424"/>
      <c r="C2295" s="425"/>
      <c r="D2295" s="426"/>
      <c r="E2295" s="419" t="s">
        <v>775</v>
      </c>
      <c r="F2295" s="420"/>
      <c r="G2295" s="64" t="s">
        <v>503</v>
      </c>
      <c r="H2295" s="419" t="s">
        <v>423</v>
      </c>
      <c r="I2295" s="420"/>
      <c r="K2295" s="57" t="s">
        <v>804</v>
      </c>
      <c r="L2295" s="57" t="s">
        <v>323</v>
      </c>
      <c r="S2295" s="57">
        <v>0</v>
      </c>
    </row>
    <row r="2296" spans="1:19" ht="11.1" customHeight="1" x14ac:dyDescent="0.2">
      <c r="A2296" s="57" t="s">
        <v>804</v>
      </c>
      <c r="B2296" s="416"/>
      <c r="C2296" s="417"/>
      <c r="D2296" s="418"/>
      <c r="E2296" s="419" t="s">
        <v>776</v>
      </c>
      <c r="F2296" s="420"/>
      <c r="G2296" s="64" t="s">
        <v>503</v>
      </c>
      <c r="H2296" s="419" t="s">
        <v>423</v>
      </c>
      <c r="I2296" s="420"/>
      <c r="K2296" s="57" t="s">
        <v>804</v>
      </c>
      <c r="L2296" s="57" t="s">
        <v>323</v>
      </c>
      <c r="S2296" s="57">
        <v>0</v>
      </c>
    </row>
    <row r="2297" spans="1:19" ht="11.85" customHeight="1" x14ac:dyDescent="0.2">
      <c r="A2297" s="57" t="s">
        <v>804</v>
      </c>
      <c r="B2297" s="62"/>
      <c r="C2297" s="411" t="s">
        <v>809</v>
      </c>
      <c r="D2297" s="412"/>
      <c r="E2297" s="412"/>
      <c r="F2297" s="412"/>
      <c r="G2297" s="412"/>
      <c r="H2297" s="412"/>
      <c r="I2297" s="411"/>
      <c r="K2297" s="57" t="s">
        <v>804</v>
      </c>
      <c r="L2297" s="57" t="s">
        <v>323</v>
      </c>
      <c r="S2297" s="57">
        <v>0</v>
      </c>
    </row>
    <row r="2298" spans="1:19" ht="11.85" customHeight="1" x14ac:dyDescent="0.2">
      <c r="A2298" s="57" t="s">
        <v>809</v>
      </c>
      <c r="B2298" s="413" t="s">
        <v>767</v>
      </c>
      <c r="C2298" s="414"/>
      <c r="D2298" s="415"/>
      <c r="E2298" s="419" t="s">
        <v>768</v>
      </c>
      <c r="F2298" s="420"/>
      <c r="G2298" s="64" t="s">
        <v>417</v>
      </c>
      <c r="H2298" s="419" t="s">
        <v>425</v>
      </c>
      <c r="I2298" s="420"/>
      <c r="K2298" s="57" t="s">
        <v>809</v>
      </c>
      <c r="L2298" s="57" t="s">
        <v>324</v>
      </c>
      <c r="S2298" s="57">
        <v>0</v>
      </c>
    </row>
    <row r="2299" spans="1:19" ht="11.85" customHeight="1" x14ac:dyDescent="0.2">
      <c r="A2299" s="57" t="s">
        <v>809</v>
      </c>
      <c r="B2299" s="416"/>
      <c r="C2299" s="417"/>
      <c r="D2299" s="418"/>
      <c r="E2299" s="419" t="s">
        <v>771</v>
      </c>
      <c r="F2299" s="420"/>
      <c r="G2299" s="64" t="s">
        <v>417</v>
      </c>
      <c r="H2299" s="419" t="s">
        <v>772</v>
      </c>
      <c r="I2299" s="420"/>
      <c r="K2299" s="57" t="s">
        <v>809</v>
      </c>
      <c r="L2299" s="57" t="s">
        <v>324</v>
      </c>
      <c r="S2299" s="57">
        <v>0</v>
      </c>
    </row>
    <row r="2300" spans="1:19" ht="11.1" customHeight="1" x14ac:dyDescent="0.2">
      <c r="A2300" s="57" t="s">
        <v>809</v>
      </c>
      <c r="B2300" s="413" t="s">
        <v>794</v>
      </c>
      <c r="C2300" s="414"/>
      <c r="D2300" s="415"/>
      <c r="E2300" s="419" t="s">
        <v>795</v>
      </c>
      <c r="F2300" s="420"/>
      <c r="G2300" s="64" t="s">
        <v>796</v>
      </c>
      <c r="H2300" s="419" t="s">
        <v>770</v>
      </c>
      <c r="I2300" s="420"/>
      <c r="K2300" s="57" t="s">
        <v>809</v>
      </c>
      <c r="L2300" s="57" t="s">
        <v>324</v>
      </c>
      <c r="S2300" s="57">
        <v>0</v>
      </c>
    </row>
    <row r="2301" spans="1:19" ht="11.85" customHeight="1" x14ac:dyDescent="0.2">
      <c r="A2301" s="57" t="s">
        <v>809</v>
      </c>
      <c r="B2301" s="424"/>
      <c r="C2301" s="425"/>
      <c r="D2301" s="426"/>
      <c r="E2301" s="419" t="s">
        <v>797</v>
      </c>
      <c r="F2301" s="420"/>
      <c r="G2301" s="64" t="s">
        <v>798</v>
      </c>
      <c r="H2301" s="419" t="s">
        <v>425</v>
      </c>
      <c r="I2301" s="420"/>
      <c r="K2301" s="57" t="s">
        <v>809</v>
      </c>
      <c r="L2301" s="57" t="s">
        <v>324</v>
      </c>
      <c r="S2301" s="57">
        <v>0</v>
      </c>
    </row>
    <row r="2302" spans="1:19" ht="11.85" customHeight="1" x14ac:dyDescent="0.2">
      <c r="A2302" s="57" t="s">
        <v>809</v>
      </c>
      <c r="B2302" s="416"/>
      <c r="C2302" s="417"/>
      <c r="D2302" s="418"/>
      <c r="E2302" s="419" t="s">
        <v>799</v>
      </c>
      <c r="F2302" s="420"/>
      <c r="G2302" s="64" t="s">
        <v>798</v>
      </c>
      <c r="H2302" s="419" t="s">
        <v>414</v>
      </c>
      <c r="I2302" s="420"/>
      <c r="K2302" s="57" t="s">
        <v>809</v>
      </c>
      <c r="L2302" s="57" t="s">
        <v>324</v>
      </c>
      <c r="S2302" s="57">
        <v>0</v>
      </c>
    </row>
    <row r="2303" spans="1:19" ht="11.85" customHeight="1" x14ac:dyDescent="0.2">
      <c r="A2303" s="57" t="s">
        <v>809</v>
      </c>
      <c r="B2303" s="413" t="s">
        <v>416</v>
      </c>
      <c r="C2303" s="414"/>
      <c r="D2303" s="415"/>
      <c r="E2303" s="419" t="s">
        <v>800</v>
      </c>
      <c r="F2303" s="420"/>
      <c r="G2303" s="64" t="s">
        <v>801</v>
      </c>
      <c r="H2303" s="419" t="s">
        <v>423</v>
      </c>
      <c r="I2303" s="420"/>
      <c r="K2303" s="57" t="s">
        <v>809</v>
      </c>
      <c r="L2303" s="57" t="s">
        <v>324</v>
      </c>
      <c r="S2303" s="65">
        <v>41.47</v>
      </c>
    </row>
    <row r="2304" spans="1:19" ht="11.1" customHeight="1" x14ac:dyDescent="0.2">
      <c r="A2304" s="57" t="s">
        <v>809</v>
      </c>
      <c r="B2304" s="424"/>
      <c r="C2304" s="425"/>
      <c r="D2304" s="426"/>
      <c r="E2304" s="419" t="s">
        <v>805</v>
      </c>
      <c r="F2304" s="420"/>
      <c r="G2304" s="64" t="s">
        <v>796</v>
      </c>
      <c r="H2304" s="419" t="s">
        <v>439</v>
      </c>
      <c r="I2304" s="420"/>
      <c r="K2304" s="57" t="s">
        <v>809</v>
      </c>
      <c r="L2304" s="57" t="s">
        <v>324</v>
      </c>
      <c r="S2304" s="57">
        <v>0</v>
      </c>
    </row>
    <row r="2305" spans="1:19" ht="11.85" customHeight="1" x14ac:dyDescent="0.2">
      <c r="A2305" s="57" t="s">
        <v>809</v>
      </c>
      <c r="B2305" s="424"/>
      <c r="C2305" s="425"/>
      <c r="D2305" s="426"/>
      <c r="E2305" s="419" t="s">
        <v>806</v>
      </c>
      <c r="F2305" s="420"/>
      <c r="G2305" s="64" t="s">
        <v>417</v>
      </c>
      <c r="H2305" s="419" t="s">
        <v>437</v>
      </c>
      <c r="I2305" s="420"/>
      <c r="K2305" s="57" t="s">
        <v>809</v>
      </c>
      <c r="L2305" s="57" t="s">
        <v>324</v>
      </c>
      <c r="S2305" s="57">
        <v>0</v>
      </c>
    </row>
    <row r="2306" spans="1:19" ht="11.85" customHeight="1" x14ac:dyDescent="0.2">
      <c r="A2306" s="57" t="s">
        <v>809</v>
      </c>
      <c r="B2306" s="424"/>
      <c r="C2306" s="425"/>
      <c r="D2306" s="426"/>
      <c r="E2306" s="419" t="s">
        <v>807</v>
      </c>
      <c r="F2306" s="420"/>
      <c r="G2306" s="64" t="s">
        <v>798</v>
      </c>
      <c r="H2306" s="419" t="s">
        <v>478</v>
      </c>
      <c r="I2306" s="420"/>
      <c r="K2306" s="57" t="s">
        <v>809</v>
      </c>
      <c r="L2306" s="57" t="s">
        <v>324</v>
      </c>
      <c r="S2306" s="57">
        <v>0</v>
      </c>
    </row>
    <row r="2307" spans="1:19" ht="11.85" customHeight="1" x14ac:dyDescent="0.2">
      <c r="A2307" s="57" t="s">
        <v>809</v>
      </c>
      <c r="B2307" s="424"/>
      <c r="C2307" s="425"/>
      <c r="D2307" s="426"/>
      <c r="E2307" s="419" t="s">
        <v>808</v>
      </c>
      <c r="F2307" s="420"/>
      <c r="G2307" s="64" t="s">
        <v>417</v>
      </c>
      <c r="H2307" s="419" t="s">
        <v>437</v>
      </c>
      <c r="I2307" s="420"/>
      <c r="K2307" s="57" t="s">
        <v>809</v>
      </c>
      <c r="L2307" s="57" t="s">
        <v>324</v>
      </c>
      <c r="S2307" s="57">
        <v>0</v>
      </c>
    </row>
    <row r="2308" spans="1:19" ht="11.1" customHeight="1" x14ac:dyDescent="0.2">
      <c r="A2308" s="57" t="s">
        <v>809</v>
      </c>
      <c r="B2308" s="424"/>
      <c r="C2308" s="425"/>
      <c r="D2308" s="426"/>
      <c r="E2308" s="419" t="s">
        <v>765</v>
      </c>
      <c r="F2308" s="420"/>
      <c r="G2308" s="64" t="s">
        <v>758</v>
      </c>
      <c r="H2308" s="419" t="s">
        <v>425</v>
      </c>
      <c r="I2308" s="420"/>
      <c r="K2308" s="57" t="s">
        <v>809</v>
      </c>
      <c r="L2308" s="57" t="s">
        <v>324</v>
      </c>
      <c r="S2308" s="57">
        <v>0</v>
      </c>
    </row>
    <row r="2309" spans="1:19" ht="11.85" customHeight="1" x14ac:dyDescent="0.2">
      <c r="A2309" s="57" t="s">
        <v>809</v>
      </c>
      <c r="B2309" s="424"/>
      <c r="C2309" s="425"/>
      <c r="D2309" s="426"/>
      <c r="E2309" s="419" t="s">
        <v>775</v>
      </c>
      <c r="F2309" s="420"/>
      <c r="G2309" s="64" t="s">
        <v>503</v>
      </c>
      <c r="H2309" s="419" t="s">
        <v>423</v>
      </c>
      <c r="I2309" s="420"/>
      <c r="K2309" s="57" t="s">
        <v>809</v>
      </c>
      <c r="L2309" s="57" t="s">
        <v>324</v>
      </c>
      <c r="S2309" s="57">
        <v>0</v>
      </c>
    </row>
    <row r="2310" spans="1:19" ht="11.85" customHeight="1" x14ac:dyDescent="0.2">
      <c r="A2310" s="57" t="s">
        <v>809</v>
      </c>
      <c r="B2310" s="416"/>
      <c r="C2310" s="417"/>
      <c r="D2310" s="418"/>
      <c r="E2310" s="419" t="s">
        <v>776</v>
      </c>
      <c r="F2310" s="420"/>
      <c r="G2310" s="64" t="s">
        <v>503</v>
      </c>
      <c r="H2310" s="419" t="s">
        <v>423</v>
      </c>
      <c r="I2310" s="420"/>
      <c r="K2310" s="57" t="s">
        <v>809</v>
      </c>
      <c r="L2310" s="57" t="s">
        <v>324</v>
      </c>
      <c r="S2310" s="57">
        <v>0</v>
      </c>
    </row>
    <row r="2311" spans="1:19" ht="11.85" customHeight="1" x14ac:dyDescent="0.2">
      <c r="A2311" s="57" t="s">
        <v>809</v>
      </c>
      <c r="B2311" s="62"/>
      <c r="C2311" s="411" t="s">
        <v>810</v>
      </c>
      <c r="D2311" s="412"/>
      <c r="E2311" s="412"/>
      <c r="F2311" s="412"/>
      <c r="G2311" s="412"/>
      <c r="H2311" s="412"/>
      <c r="I2311" s="411"/>
      <c r="K2311" s="57" t="s">
        <v>809</v>
      </c>
      <c r="L2311" s="57" t="s">
        <v>324</v>
      </c>
      <c r="S2311" s="57">
        <v>0</v>
      </c>
    </row>
    <row r="2312" spans="1:19" ht="11.1" customHeight="1" x14ac:dyDescent="0.2">
      <c r="A2312" s="57" t="s">
        <v>810</v>
      </c>
      <c r="B2312" s="413" t="s">
        <v>767</v>
      </c>
      <c r="C2312" s="414"/>
      <c r="D2312" s="415"/>
      <c r="E2312" s="419" t="s">
        <v>768</v>
      </c>
      <c r="F2312" s="420"/>
      <c r="G2312" s="64" t="s">
        <v>417</v>
      </c>
      <c r="H2312" s="419" t="s">
        <v>425</v>
      </c>
      <c r="I2312" s="420"/>
      <c r="K2312" s="57" t="s">
        <v>810</v>
      </c>
      <c r="L2312" s="57" t="s">
        <v>325</v>
      </c>
      <c r="S2312" s="57">
        <v>0</v>
      </c>
    </row>
    <row r="2313" spans="1:19" ht="11.85" customHeight="1" x14ac:dyDescent="0.2">
      <c r="A2313" s="57" t="s">
        <v>810</v>
      </c>
      <c r="B2313" s="416"/>
      <c r="C2313" s="417"/>
      <c r="D2313" s="418"/>
      <c r="E2313" s="419" t="s">
        <v>771</v>
      </c>
      <c r="F2313" s="420"/>
      <c r="G2313" s="64" t="s">
        <v>417</v>
      </c>
      <c r="H2313" s="419" t="s">
        <v>772</v>
      </c>
      <c r="I2313" s="420"/>
      <c r="K2313" s="57" t="s">
        <v>810</v>
      </c>
      <c r="L2313" s="57" t="s">
        <v>325</v>
      </c>
      <c r="S2313" s="57">
        <v>0</v>
      </c>
    </row>
    <row r="2314" spans="1:19" ht="11.85" customHeight="1" x14ac:dyDescent="0.2">
      <c r="A2314" s="57" t="s">
        <v>810</v>
      </c>
      <c r="B2314" s="413" t="s">
        <v>794</v>
      </c>
      <c r="C2314" s="414"/>
      <c r="D2314" s="415"/>
      <c r="E2314" s="419" t="s">
        <v>795</v>
      </c>
      <c r="F2314" s="420"/>
      <c r="G2314" s="64" t="s">
        <v>796</v>
      </c>
      <c r="H2314" s="419" t="s">
        <v>770</v>
      </c>
      <c r="I2314" s="420"/>
      <c r="K2314" s="57" t="s">
        <v>810</v>
      </c>
      <c r="L2314" s="57" t="s">
        <v>325</v>
      </c>
      <c r="S2314" s="57">
        <v>0</v>
      </c>
    </row>
    <row r="2315" spans="1:19" ht="11.85" customHeight="1" x14ac:dyDescent="0.2">
      <c r="A2315" s="57" t="s">
        <v>810</v>
      </c>
      <c r="B2315" s="424"/>
      <c r="C2315" s="425"/>
      <c r="D2315" s="426"/>
      <c r="E2315" s="419" t="s">
        <v>797</v>
      </c>
      <c r="F2315" s="420"/>
      <c r="G2315" s="64" t="s">
        <v>798</v>
      </c>
      <c r="H2315" s="419" t="s">
        <v>425</v>
      </c>
      <c r="I2315" s="420"/>
      <c r="K2315" s="57" t="s">
        <v>810</v>
      </c>
      <c r="L2315" s="57" t="s">
        <v>325</v>
      </c>
      <c r="S2315" s="57">
        <v>0</v>
      </c>
    </row>
    <row r="2316" spans="1:19" ht="11.1" customHeight="1" x14ac:dyDescent="0.2">
      <c r="A2316" s="57" t="s">
        <v>810</v>
      </c>
      <c r="B2316" s="416"/>
      <c r="C2316" s="417"/>
      <c r="D2316" s="418"/>
      <c r="E2316" s="419" t="s">
        <v>799</v>
      </c>
      <c r="F2316" s="420"/>
      <c r="G2316" s="64" t="s">
        <v>798</v>
      </c>
      <c r="H2316" s="419" t="s">
        <v>414</v>
      </c>
      <c r="I2316" s="420"/>
      <c r="K2316" s="57" t="s">
        <v>810</v>
      </c>
      <c r="L2316" s="57" t="s">
        <v>325</v>
      </c>
      <c r="S2316" s="57">
        <v>0</v>
      </c>
    </row>
    <row r="2317" spans="1:19" ht="11.85" customHeight="1" x14ac:dyDescent="0.2">
      <c r="A2317" s="57" t="s">
        <v>810</v>
      </c>
      <c r="B2317" s="413" t="s">
        <v>416</v>
      </c>
      <c r="C2317" s="414"/>
      <c r="D2317" s="415"/>
      <c r="E2317" s="419" t="s">
        <v>800</v>
      </c>
      <c r="F2317" s="420"/>
      <c r="G2317" s="64" t="s">
        <v>801</v>
      </c>
      <c r="H2317" s="419" t="s">
        <v>423</v>
      </c>
      <c r="I2317" s="420"/>
      <c r="K2317" s="57" t="s">
        <v>810</v>
      </c>
      <c r="L2317" s="57" t="s">
        <v>325</v>
      </c>
      <c r="S2317" s="65">
        <v>41.47</v>
      </c>
    </row>
    <row r="2318" spans="1:19" ht="11.85" customHeight="1" x14ac:dyDescent="0.2">
      <c r="A2318" s="57" t="s">
        <v>810</v>
      </c>
      <c r="B2318" s="424"/>
      <c r="C2318" s="425"/>
      <c r="D2318" s="426"/>
      <c r="E2318" s="419" t="s">
        <v>805</v>
      </c>
      <c r="F2318" s="420"/>
      <c r="G2318" s="64" t="s">
        <v>796</v>
      </c>
      <c r="H2318" s="419" t="s">
        <v>439</v>
      </c>
      <c r="I2318" s="420"/>
      <c r="K2318" s="57" t="s">
        <v>810</v>
      </c>
      <c r="L2318" s="57" t="s">
        <v>325</v>
      </c>
      <c r="S2318" s="57">
        <v>0</v>
      </c>
    </row>
    <row r="2319" spans="1:19" ht="11.85" customHeight="1" x14ac:dyDescent="0.2">
      <c r="A2319" s="57" t="s">
        <v>810</v>
      </c>
      <c r="B2319" s="424"/>
      <c r="C2319" s="425"/>
      <c r="D2319" s="426"/>
      <c r="E2319" s="419" t="s">
        <v>806</v>
      </c>
      <c r="F2319" s="420"/>
      <c r="G2319" s="64" t="s">
        <v>417</v>
      </c>
      <c r="H2319" s="419" t="s">
        <v>437</v>
      </c>
      <c r="I2319" s="420"/>
      <c r="K2319" s="57" t="s">
        <v>810</v>
      </c>
      <c r="L2319" s="57" t="s">
        <v>325</v>
      </c>
      <c r="S2319" s="57">
        <v>0</v>
      </c>
    </row>
    <row r="2320" spans="1:19" ht="11.1" customHeight="1" x14ac:dyDescent="0.2">
      <c r="A2320" s="57" t="s">
        <v>810</v>
      </c>
      <c r="B2320" s="424"/>
      <c r="C2320" s="425"/>
      <c r="D2320" s="426"/>
      <c r="E2320" s="419" t="s">
        <v>807</v>
      </c>
      <c r="F2320" s="420"/>
      <c r="G2320" s="64" t="s">
        <v>798</v>
      </c>
      <c r="H2320" s="419" t="s">
        <v>478</v>
      </c>
      <c r="I2320" s="420"/>
      <c r="K2320" s="57" t="s">
        <v>810</v>
      </c>
      <c r="L2320" s="57" t="s">
        <v>325</v>
      </c>
      <c r="S2320" s="57">
        <v>0</v>
      </c>
    </row>
    <row r="2321" spans="1:19" ht="11.85" customHeight="1" x14ac:dyDescent="0.2">
      <c r="A2321" s="57" t="s">
        <v>810</v>
      </c>
      <c r="B2321" s="424"/>
      <c r="C2321" s="425"/>
      <c r="D2321" s="426"/>
      <c r="E2321" s="419" t="s">
        <v>808</v>
      </c>
      <c r="F2321" s="420"/>
      <c r="G2321" s="64" t="s">
        <v>417</v>
      </c>
      <c r="H2321" s="419" t="s">
        <v>437</v>
      </c>
      <c r="I2321" s="420"/>
      <c r="K2321" s="57" t="s">
        <v>810</v>
      </c>
      <c r="L2321" s="57" t="s">
        <v>325</v>
      </c>
      <c r="S2321" s="57">
        <v>0</v>
      </c>
    </row>
    <row r="2322" spans="1:19" ht="11.85" customHeight="1" x14ac:dyDescent="0.2">
      <c r="A2322" s="57" t="s">
        <v>810</v>
      </c>
      <c r="B2322" s="424"/>
      <c r="C2322" s="425"/>
      <c r="D2322" s="426"/>
      <c r="E2322" s="419" t="s">
        <v>765</v>
      </c>
      <c r="F2322" s="420"/>
      <c r="G2322" s="64" t="s">
        <v>758</v>
      </c>
      <c r="H2322" s="419" t="s">
        <v>425</v>
      </c>
      <c r="I2322" s="420"/>
      <c r="K2322" s="57" t="s">
        <v>810</v>
      </c>
      <c r="L2322" s="57" t="s">
        <v>325</v>
      </c>
      <c r="S2322" s="57">
        <v>0</v>
      </c>
    </row>
    <row r="2323" spans="1:19" ht="11.85" customHeight="1" x14ac:dyDescent="0.2">
      <c r="A2323" s="57" t="s">
        <v>810</v>
      </c>
      <c r="B2323" s="424"/>
      <c r="C2323" s="425"/>
      <c r="D2323" s="426"/>
      <c r="E2323" s="419" t="s">
        <v>775</v>
      </c>
      <c r="F2323" s="420"/>
      <c r="G2323" s="64" t="s">
        <v>503</v>
      </c>
      <c r="H2323" s="419" t="s">
        <v>423</v>
      </c>
      <c r="I2323" s="420"/>
      <c r="K2323" s="57" t="s">
        <v>810</v>
      </c>
      <c r="L2323" s="57" t="s">
        <v>325</v>
      </c>
      <c r="S2323" s="57">
        <v>0</v>
      </c>
    </row>
    <row r="2324" spans="1:19" ht="11.1" customHeight="1" x14ac:dyDescent="0.2">
      <c r="A2324" s="57" t="s">
        <v>810</v>
      </c>
      <c r="B2324" s="416"/>
      <c r="C2324" s="417"/>
      <c r="D2324" s="418"/>
      <c r="E2324" s="419" t="s">
        <v>776</v>
      </c>
      <c r="F2324" s="420"/>
      <c r="G2324" s="64" t="s">
        <v>503</v>
      </c>
      <c r="H2324" s="419" t="s">
        <v>423</v>
      </c>
      <c r="I2324" s="420"/>
      <c r="K2324" s="57" t="s">
        <v>810</v>
      </c>
      <c r="L2324" s="57" t="s">
        <v>325</v>
      </c>
      <c r="S2324" s="57">
        <v>0</v>
      </c>
    </row>
    <row r="2325" spans="1:19" ht="11.85" customHeight="1" x14ac:dyDescent="0.2">
      <c r="A2325" s="57" t="s">
        <v>810</v>
      </c>
      <c r="B2325" s="62"/>
      <c r="C2325" s="411" t="s">
        <v>811</v>
      </c>
      <c r="D2325" s="412"/>
      <c r="E2325" s="412"/>
      <c r="F2325" s="412"/>
      <c r="G2325" s="412"/>
      <c r="H2325" s="412"/>
      <c r="I2325" s="411"/>
      <c r="K2325" s="57" t="s">
        <v>810</v>
      </c>
      <c r="L2325" s="57" t="s">
        <v>325</v>
      </c>
      <c r="S2325" s="57">
        <v>0</v>
      </c>
    </row>
    <row r="2326" spans="1:19" ht="11.85" customHeight="1" x14ac:dyDescent="0.2">
      <c r="A2326" s="57" t="s">
        <v>811</v>
      </c>
      <c r="B2326" s="413" t="s">
        <v>767</v>
      </c>
      <c r="C2326" s="414"/>
      <c r="D2326" s="415"/>
      <c r="E2326" s="419" t="s">
        <v>768</v>
      </c>
      <c r="F2326" s="420"/>
      <c r="G2326" s="64" t="s">
        <v>417</v>
      </c>
      <c r="H2326" s="419" t="s">
        <v>425</v>
      </c>
      <c r="I2326" s="420"/>
      <c r="K2326" s="57" t="s">
        <v>811</v>
      </c>
      <c r="L2326" s="57" t="s">
        <v>326</v>
      </c>
      <c r="S2326" s="57">
        <v>0</v>
      </c>
    </row>
    <row r="2327" spans="1:19" ht="11.85" customHeight="1" x14ac:dyDescent="0.2">
      <c r="A2327" s="57" t="s">
        <v>811</v>
      </c>
      <c r="B2327" s="416"/>
      <c r="C2327" s="417"/>
      <c r="D2327" s="418"/>
      <c r="E2327" s="419" t="s">
        <v>771</v>
      </c>
      <c r="F2327" s="420"/>
      <c r="G2327" s="64" t="s">
        <v>417</v>
      </c>
      <c r="H2327" s="419" t="s">
        <v>772</v>
      </c>
      <c r="I2327" s="420"/>
      <c r="K2327" s="57" t="s">
        <v>811</v>
      </c>
      <c r="L2327" s="57" t="s">
        <v>326</v>
      </c>
      <c r="S2327" s="57">
        <v>0</v>
      </c>
    </row>
    <row r="2328" spans="1:19" ht="11.1" customHeight="1" x14ac:dyDescent="0.2">
      <c r="A2328" s="57" t="s">
        <v>811</v>
      </c>
      <c r="B2328" s="413" t="s">
        <v>794</v>
      </c>
      <c r="C2328" s="414"/>
      <c r="D2328" s="415"/>
      <c r="E2328" s="419" t="s">
        <v>795</v>
      </c>
      <c r="F2328" s="420"/>
      <c r="G2328" s="64" t="s">
        <v>796</v>
      </c>
      <c r="H2328" s="419" t="s">
        <v>770</v>
      </c>
      <c r="I2328" s="420"/>
      <c r="K2328" s="57" t="s">
        <v>811</v>
      </c>
      <c r="L2328" s="57" t="s">
        <v>326</v>
      </c>
      <c r="S2328" s="57">
        <v>0</v>
      </c>
    </row>
    <row r="2329" spans="1:19" ht="11.85" customHeight="1" x14ac:dyDescent="0.2">
      <c r="A2329" s="57" t="s">
        <v>811</v>
      </c>
      <c r="B2329" s="424"/>
      <c r="C2329" s="425"/>
      <c r="D2329" s="426"/>
      <c r="E2329" s="419" t="s">
        <v>797</v>
      </c>
      <c r="F2329" s="420"/>
      <c r="G2329" s="64" t="s">
        <v>798</v>
      </c>
      <c r="H2329" s="419" t="s">
        <v>425</v>
      </c>
      <c r="I2329" s="420"/>
      <c r="K2329" s="57" t="s">
        <v>811</v>
      </c>
      <c r="L2329" s="57" t="s">
        <v>326</v>
      </c>
      <c r="S2329" s="57">
        <v>0</v>
      </c>
    </row>
    <row r="2330" spans="1:19" ht="11.85" customHeight="1" x14ac:dyDescent="0.2">
      <c r="A2330" s="57" t="s">
        <v>811</v>
      </c>
      <c r="B2330" s="416"/>
      <c r="C2330" s="417"/>
      <c r="D2330" s="418"/>
      <c r="E2330" s="419" t="s">
        <v>799</v>
      </c>
      <c r="F2330" s="420"/>
      <c r="G2330" s="64" t="s">
        <v>798</v>
      </c>
      <c r="H2330" s="419" t="s">
        <v>414</v>
      </c>
      <c r="I2330" s="420"/>
      <c r="K2330" s="57" t="s">
        <v>811</v>
      </c>
      <c r="L2330" s="57" t="s">
        <v>326</v>
      </c>
      <c r="S2330" s="57">
        <v>0</v>
      </c>
    </row>
    <row r="2331" spans="1:19" ht="11.85" customHeight="1" x14ac:dyDescent="0.2">
      <c r="A2331" s="57" t="s">
        <v>811</v>
      </c>
      <c r="B2331" s="413" t="s">
        <v>416</v>
      </c>
      <c r="C2331" s="414"/>
      <c r="D2331" s="415"/>
      <c r="E2331" s="419" t="s">
        <v>800</v>
      </c>
      <c r="F2331" s="420"/>
      <c r="G2331" s="64" t="s">
        <v>801</v>
      </c>
      <c r="H2331" s="419" t="s">
        <v>423</v>
      </c>
      <c r="I2331" s="420"/>
      <c r="K2331" s="57" t="s">
        <v>811</v>
      </c>
      <c r="L2331" s="57" t="s">
        <v>326</v>
      </c>
      <c r="S2331" s="65">
        <v>41.47</v>
      </c>
    </row>
    <row r="2332" spans="1:19" ht="11.1" customHeight="1" x14ac:dyDescent="0.2">
      <c r="A2332" s="57" t="s">
        <v>811</v>
      </c>
      <c r="B2332" s="424"/>
      <c r="C2332" s="425"/>
      <c r="D2332" s="426"/>
      <c r="E2332" s="419" t="s">
        <v>805</v>
      </c>
      <c r="F2332" s="420"/>
      <c r="G2332" s="64" t="s">
        <v>796</v>
      </c>
      <c r="H2332" s="419" t="s">
        <v>439</v>
      </c>
      <c r="I2332" s="420"/>
      <c r="K2332" s="57" t="s">
        <v>811</v>
      </c>
      <c r="L2332" s="57" t="s">
        <v>326</v>
      </c>
      <c r="S2332" s="57">
        <v>0</v>
      </c>
    </row>
    <row r="2333" spans="1:19" ht="11.85" customHeight="1" x14ac:dyDescent="0.2">
      <c r="A2333" s="57" t="s">
        <v>811</v>
      </c>
      <c r="B2333" s="424"/>
      <c r="C2333" s="425"/>
      <c r="D2333" s="426"/>
      <c r="E2333" s="419" t="s">
        <v>806</v>
      </c>
      <c r="F2333" s="420"/>
      <c r="G2333" s="64" t="s">
        <v>417</v>
      </c>
      <c r="H2333" s="419" t="s">
        <v>437</v>
      </c>
      <c r="I2333" s="420"/>
      <c r="K2333" s="57" t="s">
        <v>811</v>
      </c>
      <c r="L2333" s="57" t="s">
        <v>326</v>
      </c>
      <c r="S2333" s="57">
        <v>0</v>
      </c>
    </row>
    <row r="2334" spans="1:19" ht="11.85" customHeight="1" x14ac:dyDescent="0.2">
      <c r="A2334" s="57" t="s">
        <v>811</v>
      </c>
      <c r="B2334" s="424"/>
      <c r="C2334" s="425"/>
      <c r="D2334" s="426"/>
      <c r="E2334" s="419" t="s">
        <v>807</v>
      </c>
      <c r="F2334" s="420"/>
      <c r="G2334" s="64" t="s">
        <v>798</v>
      </c>
      <c r="H2334" s="419" t="s">
        <v>478</v>
      </c>
      <c r="I2334" s="420"/>
      <c r="K2334" s="57" t="s">
        <v>811</v>
      </c>
      <c r="L2334" s="57" t="s">
        <v>326</v>
      </c>
      <c r="S2334" s="57">
        <v>0</v>
      </c>
    </row>
    <row r="2335" spans="1:19" ht="11.85" customHeight="1" x14ac:dyDescent="0.2">
      <c r="A2335" s="57" t="s">
        <v>811</v>
      </c>
      <c r="B2335" s="424"/>
      <c r="C2335" s="425"/>
      <c r="D2335" s="426"/>
      <c r="E2335" s="419" t="s">
        <v>808</v>
      </c>
      <c r="F2335" s="420"/>
      <c r="G2335" s="64" t="s">
        <v>417</v>
      </c>
      <c r="H2335" s="419" t="s">
        <v>437</v>
      </c>
      <c r="I2335" s="420"/>
      <c r="K2335" s="57" t="s">
        <v>811</v>
      </c>
      <c r="L2335" s="57" t="s">
        <v>326</v>
      </c>
      <c r="S2335" s="57">
        <v>0</v>
      </c>
    </row>
    <row r="2336" spans="1:19" ht="11.1" customHeight="1" x14ac:dyDescent="0.2">
      <c r="A2336" s="57" t="s">
        <v>811</v>
      </c>
      <c r="B2336" s="424"/>
      <c r="C2336" s="425"/>
      <c r="D2336" s="426"/>
      <c r="E2336" s="419" t="s">
        <v>765</v>
      </c>
      <c r="F2336" s="420"/>
      <c r="G2336" s="64" t="s">
        <v>758</v>
      </c>
      <c r="H2336" s="419" t="s">
        <v>425</v>
      </c>
      <c r="I2336" s="420"/>
      <c r="K2336" s="57" t="s">
        <v>811</v>
      </c>
      <c r="L2336" s="57" t="s">
        <v>326</v>
      </c>
      <c r="S2336" s="57">
        <v>0</v>
      </c>
    </row>
    <row r="2337" spans="1:19" ht="11.85" customHeight="1" x14ac:dyDescent="0.2">
      <c r="A2337" s="57" t="s">
        <v>811</v>
      </c>
      <c r="B2337" s="424"/>
      <c r="C2337" s="425"/>
      <c r="D2337" s="426"/>
      <c r="E2337" s="419" t="s">
        <v>775</v>
      </c>
      <c r="F2337" s="420"/>
      <c r="G2337" s="64" t="s">
        <v>503</v>
      </c>
      <c r="H2337" s="419" t="s">
        <v>423</v>
      </c>
      <c r="I2337" s="420"/>
      <c r="K2337" s="57" t="s">
        <v>811</v>
      </c>
      <c r="L2337" s="57" t="s">
        <v>326</v>
      </c>
      <c r="S2337" s="57">
        <v>0</v>
      </c>
    </row>
    <row r="2338" spans="1:19" ht="11.85" customHeight="1" x14ac:dyDescent="0.2">
      <c r="A2338" s="57" t="s">
        <v>811</v>
      </c>
      <c r="B2338" s="416"/>
      <c r="C2338" s="417"/>
      <c r="D2338" s="418"/>
      <c r="E2338" s="419" t="s">
        <v>776</v>
      </c>
      <c r="F2338" s="420"/>
      <c r="G2338" s="64" t="s">
        <v>503</v>
      </c>
      <c r="H2338" s="419" t="s">
        <v>423</v>
      </c>
      <c r="I2338" s="420"/>
      <c r="K2338" s="57" t="s">
        <v>811</v>
      </c>
      <c r="L2338" s="57" t="s">
        <v>326</v>
      </c>
      <c r="S2338" s="57">
        <v>0</v>
      </c>
    </row>
    <row r="2339" spans="1:19" ht="11.85" customHeight="1" x14ac:dyDescent="0.2">
      <c r="A2339" s="57" t="s">
        <v>811</v>
      </c>
      <c r="B2339" s="62"/>
      <c r="C2339" s="411" t="s">
        <v>812</v>
      </c>
      <c r="D2339" s="412"/>
      <c r="E2339" s="412"/>
      <c r="F2339" s="412"/>
      <c r="G2339" s="412"/>
      <c r="H2339" s="412"/>
      <c r="I2339" s="411"/>
      <c r="K2339" s="57" t="s">
        <v>811</v>
      </c>
      <c r="L2339" s="57" t="s">
        <v>326</v>
      </c>
      <c r="S2339" s="57">
        <v>0</v>
      </c>
    </row>
    <row r="2340" spans="1:19" ht="11.1" customHeight="1" x14ac:dyDescent="0.2">
      <c r="A2340" s="57" t="s">
        <v>812</v>
      </c>
      <c r="B2340" s="413" t="s">
        <v>767</v>
      </c>
      <c r="C2340" s="414"/>
      <c r="D2340" s="415"/>
      <c r="E2340" s="419" t="s">
        <v>768</v>
      </c>
      <c r="F2340" s="420"/>
      <c r="G2340" s="64" t="s">
        <v>417</v>
      </c>
      <c r="H2340" s="419" t="s">
        <v>425</v>
      </c>
      <c r="I2340" s="420"/>
      <c r="K2340" s="57" t="s">
        <v>812</v>
      </c>
      <c r="L2340" s="57" t="s">
        <v>327</v>
      </c>
      <c r="S2340" s="57">
        <v>0</v>
      </c>
    </row>
    <row r="2341" spans="1:19" ht="11.85" customHeight="1" x14ac:dyDescent="0.2">
      <c r="A2341" s="57" t="s">
        <v>812</v>
      </c>
      <c r="B2341" s="416"/>
      <c r="C2341" s="417"/>
      <c r="D2341" s="418"/>
      <c r="E2341" s="419" t="s">
        <v>771</v>
      </c>
      <c r="F2341" s="420"/>
      <c r="G2341" s="64" t="s">
        <v>417</v>
      </c>
      <c r="H2341" s="419" t="s">
        <v>772</v>
      </c>
      <c r="I2341" s="420"/>
      <c r="K2341" s="57" t="s">
        <v>812</v>
      </c>
      <c r="L2341" s="57" t="s">
        <v>327</v>
      </c>
      <c r="S2341" s="57">
        <v>0</v>
      </c>
    </row>
    <row r="2342" spans="1:19" ht="11.85" customHeight="1" x14ac:dyDescent="0.2">
      <c r="A2342" s="57" t="s">
        <v>812</v>
      </c>
      <c r="B2342" s="413" t="s">
        <v>794</v>
      </c>
      <c r="C2342" s="414"/>
      <c r="D2342" s="415"/>
      <c r="E2342" s="419" t="s">
        <v>795</v>
      </c>
      <c r="F2342" s="420"/>
      <c r="G2342" s="64" t="s">
        <v>796</v>
      </c>
      <c r="H2342" s="419" t="s">
        <v>770</v>
      </c>
      <c r="I2342" s="420"/>
      <c r="K2342" s="57" t="s">
        <v>812</v>
      </c>
      <c r="L2342" s="57" t="s">
        <v>327</v>
      </c>
      <c r="S2342" s="57">
        <v>0</v>
      </c>
    </row>
    <row r="2343" spans="1:19" ht="11.85" customHeight="1" x14ac:dyDescent="0.2">
      <c r="A2343" s="57" t="s">
        <v>812</v>
      </c>
      <c r="B2343" s="416"/>
      <c r="C2343" s="417"/>
      <c r="D2343" s="418"/>
      <c r="E2343" s="419" t="s">
        <v>797</v>
      </c>
      <c r="F2343" s="420"/>
      <c r="G2343" s="64" t="s">
        <v>798</v>
      </c>
      <c r="H2343" s="419" t="s">
        <v>425</v>
      </c>
      <c r="I2343" s="420"/>
      <c r="K2343" s="57" t="s">
        <v>812</v>
      </c>
      <c r="L2343" s="57" t="s">
        <v>327</v>
      </c>
      <c r="S2343" s="57">
        <v>0</v>
      </c>
    </row>
    <row r="2344" spans="1:19" ht="11.85" customHeight="1" x14ac:dyDescent="0.2">
      <c r="A2344" s="57" t="s">
        <v>812</v>
      </c>
      <c r="B2344" s="413" t="s">
        <v>794</v>
      </c>
      <c r="C2344" s="427"/>
      <c r="D2344" s="428"/>
      <c r="E2344" s="419" t="s">
        <v>799</v>
      </c>
      <c r="F2344" s="420"/>
      <c r="G2344" s="64" t="s">
        <v>798</v>
      </c>
      <c r="H2344" s="419" t="s">
        <v>414</v>
      </c>
      <c r="I2344" s="420"/>
      <c r="K2344" s="57" t="s">
        <v>812</v>
      </c>
      <c r="L2344" s="57" t="s">
        <v>327</v>
      </c>
      <c r="S2344" s="57">
        <v>0</v>
      </c>
    </row>
    <row r="2345" spans="1:19" ht="11.85" customHeight="1" x14ac:dyDescent="0.2">
      <c r="A2345" s="57" t="s">
        <v>812</v>
      </c>
      <c r="B2345" s="413" t="s">
        <v>416</v>
      </c>
      <c r="C2345" s="414"/>
      <c r="D2345" s="415"/>
      <c r="E2345" s="419" t="s">
        <v>800</v>
      </c>
      <c r="F2345" s="420"/>
      <c r="G2345" s="64" t="s">
        <v>801</v>
      </c>
      <c r="H2345" s="419" t="s">
        <v>423</v>
      </c>
      <c r="I2345" s="420"/>
      <c r="K2345" s="57" t="s">
        <v>812</v>
      </c>
      <c r="L2345" s="57" t="s">
        <v>327</v>
      </c>
      <c r="S2345" s="65">
        <v>41.47</v>
      </c>
    </row>
    <row r="2346" spans="1:19" ht="11.85" customHeight="1" x14ac:dyDescent="0.2">
      <c r="A2346" s="57" t="s">
        <v>812</v>
      </c>
      <c r="B2346" s="424"/>
      <c r="C2346" s="425"/>
      <c r="D2346" s="426"/>
      <c r="E2346" s="419" t="s">
        <v>805</v>
      </c>
      <c r="F2346" s="420"/>
      <c r="G2346" s="64" t="s">
        <v>796</v>
      </c>
      <c r="H2346" s="419" t="s">
        <v>439</v>
      </c>
      <c r="I2346" s="420"/>
      <c r="K2346" s="57" t="s">
        <v>812</v>
      </c>
      <c r="L2346" s="57" t="s">
        <v>327</v>
      </c>
      <c r="S2346" s="57">
        <v>0</v>
      </c>
    </row>
    <row r="2347" spans="1:19" ht="11.1" customHeight="1" x14ac:dyDescent="0.2">
      <c r="A2347" s="57" t="s">
        <v>812</v>
      </c>
      <c r="B2347" s="424"/>
      <c r="C2347" s="425"/>
      <c r="D2347" s="426"/>
      <c r="E2347" s="419" t="s">
        <v>806</v>
      </c>
      <c r="F2347" s="420"/>
      <c r="G2347" s="64" t="s">
        <v>417</v>
      </c>
      <c r="H2347" s="419" t="s">
        <v>437</v>
      </c>
      <c r="I2347" s="420"/>
      <c r="K2347" s="57" t="s">
        <v>812</v>
      </c>
      <c r="L2347" s="57" t="s">
        <v>327</v>
      </c>
      <c r="S2347" s="57">
        <v>0</v>
      </c>
    </row>
    <row r="2348" spans="1:19" ht="11.85" customHeight="1" x14ac:dyDescent="0.2">
      <c r="A2348" s="57" t="s">
        <v>812</v>
      </c>
      <c r="B2348" s="424"/>
      <c r="C2348" s="425"/>
      <c r="D2348" s="426"/>
      <c r="E2348" s="419" t="s">
        <v>807</v>
      </c>
      <c r="F2348" s="420"/>
      <c r="G2348" s="64" t="s">
        <v>798</v>
      </c>
      <c r="H2348" s="419" t="s">
        <v>478</v>
      </c>
      <c r="I2348" s="420"/>
      <c r="K2348" s="57" t="s">
        <v>812</v>
      </c>
      <c r="L2348" s="57" t="s">
        <v>327</v>
      </c>
      <c r="S2348" s="57">
        <v>0</v>
      </c>
    </row>
    <row r="2349" spans="1:19" ht="11.85" customHeight="1" x14ac:dyDescent="0.2">
      <c r="A2349" s="57" t="s">
        <v>812</v>
      </c>
      <c r="B2349" s="424"/>
      <c r="C2349" s="425"/>
      <c r="D2349" s="426"/>
      <c r="E2349" s="419" t="s">
        <v>808</v>
      </c>
      <c r="F2349" s="420"/>
      <c r="G2349" s="64" t="s">
        <v>417</v>
      </c>
      <c r="H2349" s="419" t="s">
        <v>437</v>
      </c>
      <c r="I2349" s="420"/>
      <c r="K2349" s="57" t="s">
        <v>812</v>
      </c>
      <c r="L2349" s="57" t="s">
        <v>327</v>
      </c>
      <c r="S2349" s="57">
        <v>0</v>
      </c>
    </row>
    <row r="2350" spans="1:19" ht="11.85" customHeight="1" x14ac:dyDescent="0.2">
      <c r="A2350" s="57" t="s">
        <v>812</v>
      </c>
      <c r="B2350" s="424"/>
      <c r="C2350" s="425"/>
      <c r="D2350" s="426"/>
      <c r="E2350" s="419" t="s">
        <v>765</v>
      </c>
      <c r="F2350" s="420"/>
      <c r="G2350" s="64" t="s">
        <v>758</v>
      </c>
      <c r="H2350" s="419" t="s">
        <v>425</v>
      </c>
      <c r="I2350" s="420"/>
      <c r="K2350" s="57" t="s">
        <v>812</v>
      </c>
      <c r="L2350" s="57" t="s">
        <v>327</v>
      </c>
      <c r="S2350" s="57">
        <v>0</v>
      </c>
    </row>
    <row r="2351" spans="1:19" ht="11.1" customHeight="1" x14ac:dyDescent="0.2">
      <c r="A2351" s="57" t="s">
        <v>812</v>
      </c>
      <c r="B2351" s="424"/>
      <c r="C2351" s="425"/>
      <c r="D2351" s="426"/>
      <c r="E2351" s="419" t="s">
        <v>775</v>
      </c>
      <c r="F2351" s="420"/>
      <c r="G2351" s="64" t="s">
        <v>503</v>
      </c>
      <c r="H2351" s="419" t="s">
        <v>423</v>
      </c>
      <c r="I2351" s="420"/>
      <c r="K2351" s="57" t="s">
        <v>812</v>
      </c>
      <c r="L2351" s="57" t="s">
        <v>327</v>
      </c>
      <c r="S2351" s="57">
        <v>0</v>
      </c>
    </row>
    <row r="2352" spans="1:19" ht="11.85" customHeight="1" x14ac:dyDescent="0.2">
      <c r="A2352" s="57" t="s">
        <v>812</v>
      </c>
      <c r="B2352" s="416"/>
      <c r="C2352" s="417"/>
      <c r="D2352" s="418"/>
      <c r="E2352" s="419" t="s">
        <v>776</v>
      </c>
      <c r="F2352" s="420"/>
      <c r="G2352" s="64" t="s">
        <v>503</v>
      </c>
      <c r="H2352" s="419" t="s">
        <v>423</v>
      </c>
      <c r="I2352" s="420"/>
      <c r="K2352" s="57" t="s">
        <v>812</v>
      </c>
      <c r="L2352" s="57" t="s">
        <v>327</v>
      </c>
      <c r="S2352" s="57">
        <v>0</v>
      </c>
    </row>
    <row r="2353" spans="1:19" ht="11.85" customHeight="1" x14ac:dyDescent="0.2">
      <c r="A2353" s="57" t="s">
        <v>812</v>
      </c>
      <c r="B2353" s="62"/>
      <c r="C2353" s="411" t="s">
        <v>813</v>
      </c>
      <c r="D2353" s="412"/>
      <c r="E2353" s="412"/>
      <c r="F2353" s="412"/>
      <c r="G2353" s="412"/>
      <c r="H2353" s="412"/>
      <c r="I2353" s="411"/>
      <c r="K2353" s="57" t="s">
        <v>812</v>
      </c>
      <c r="L2353" s="57" t="s">
        <v>327</v>
      </c>
      <c r="S2353" s="57">
        <v>0</v>
      </c>
    </row>
    <row r="2354" spans="1:19" ht="11.85" customHeight="1" x14ac:dyDescent="0.2">
      <c r="A2354" s="57" t="s">
        <v>813</v>
      </c>
      <c r="B2354" s="413" t="s">
        <v>767</v>
      </c>
      <c r="C2354" s="414"/>
      <c r="D2354" s="415"/>
      <c r="E2354" s="419" t="s">
        <v>768</v>
      </c>
      <c r="F2354" s="420"/>
      <c r="G2354" s="64" t="s">
        <v>417</v>
      </c>
      <c r="H2354" s="419" t="s">
        <v>425</v>
      </c>
      <c r="I2354" s="420"/>
      <c r="K2354" s="57" t="s">
        <v>813</v>
      </c>
      <c r="L2354" s="57" t="s">
        <v>328</v>
      </c>
      <c r="S2354" s="57">
        <v>0</v>
      </c>
    </row>
    <row r="2355" spans="1:19" ht="11.1" customHeight="1" x14ac:dyDescent="0.2">
      <c r="A2355" s="57" t="s">
        <v>813</v>
      </c>
      <c r="B2355" s="416"/>
      <c r="C2355" s="417"/>
      <c r="D2355" s="418"/>
      <c r="E2355" s="419" t="s">
        <v>771</v>
      </c>
      <c r="F2355" s="420"/>
      <c r="G2355" s="64" t="s">
        <v>417</v>
      </c>
      <c r="H2355" s="419" t="s">
        <v>772</v>
      </c>
      <c r="I2355" s="420"/>
      <c r="K2355" s="57" t="s">
        <v>813</v>
      </c>
      <c r="L2355" s="57" t="s">
        <v>328</v>
      </c>
      <c r="S2355" s="57">
        <v>0</v>
      </c>
    </row>
    <row r="2356" spans="1:19" ht="11.85" customHeight="1" x14ac:dyDescent="0.2">
      <c r="A2356" s="57" t="s">
        <v>813</v>
      </c>
      <c r="B2356" s="413" t="s">
        <v>794</v>
      </c>
      <c r="C2356" s="414"/>
      <c r="D2356" s="415"/>
      <c r="E2356" s="419" t="s">
        <v>795</v>
      </c>
      <c r="F2356" s="420"/>
      <c r="G2356" s="64" t="s">
        <v>796</v>
      </c>
      <c r="H2356" s="419" t="s">
        <v>770</v>
      </c>
      <c r="I2356" s="420"/>
      <c r="K2356" s="57" t="s">
        <v>813</v>
      </c>
      <c r="L2356" s="57" t="s">
        <v>328</v>
      </c>
      <c r="S2356" s="57">
        <v>0</v>
      </c>
    </row>
    <row r="2357" spans="1:19" ht="11.85" customHeight="1" x14ac:dyDescent="0.2">
      <c r="A2357" s="57" t="s">
        <v>813</v>
      </c>
      <c r="B2357" s="424"/>
      <c r="C2357" s="425"/>
      <c r="D2357" s="426"/>
      <c r="E2357" s="419" t="s">
        <v>797</v>
      </c>
      <c r="F2357" s="420"/>
      <c r="G2357" s="64" t="s">
        <v>798</v>
      </c>
      <c r="H2357" s="419" t="s">
        <v>425</v>
      </c>
      <c r="I2357" s="420"/>
      <c r="K2357" s="57" t="s">
        <v>813</v>
      </c>
      <c r="L2357" s="57" t="s">
        <v>328</v>
      </c>
      <c r="S2357" s="57">
        <v>0</v>
      </c>
    </row>
    <row r="2358" spans="1:19" ht="11.85" customHeight="1" x14ac:dyDescent="0.2">
      <c r="A2358" s="57" t="s">
        <v>813</v>
      </c>
      <c r="B2358" s="416"/>
      <c r="C2358" s="417"/>
      <c r="D2358" s="418"/>
      <c r="E2358" s="419" t="s">
        <v>799</v>
      </c>
      <c r="F2358" s="420"/>
      <c r="G2358" s="64" t="s">
        <v>798</v>
      </c>
      <c r="H2358" s="419" t="s">
        <v>414</v>
      </c>
      <c r="I2358" s="420"/>
      <c r="K2358" s="57" t="s">
        <v>813</v>
      </c>
      <c r="L2358" s="57" t="s">
        <v>328</v>
      </c>
      <c r="S2358" s="57">
        <v>0</v>
      </c>
    </row>
    <row r="2359" spans="1:19" ht="11.1" customHeight="1" x14ac:dyDescent="0.2">
      <c r="A2359" s="57" t="s">
        <v>813</v>
      </c>
      <c r="B2359" s="413" t="s">
        <v>416</v>
      </c>
      <c r="C2359" s="414"/>
      <c r="D2359" s="415"/>
      <c r="E2359" s="419" t="s">
        <v>800</v>
      </c>
      <c r="F2359" s="420"/>
      <c r="G2359" s="64" t="s">
        <v>801</v>
      </c>
      <c r="H2359" s="419" t="s">
        <v>423</v>
      </c>
      <c r="I2359" s="420"/>
      <c r="K2359" s="57" t="s">
        <v>813</v>
      </c>
      <c r="L2359" s="57" t="s">
        <v>328</v>
      </c>
      <c r="S2359" s="65">
        <v>41.47</v>
      </c>
    </row>
    <row r="2360" spans="1:19" ht="11.85" customHeight="1" x14ac:dyDescent="0.2">
      <c r="A2360" s="57" t="s">
        <v>813</v>
      </c>
      <c r="B2360" s="424"/>
      <c r="C2360" s="425"/>
      <c r="D2360" s="426"/>
      <c r="E2360" s="419" t="s">
        <v>805</v>
      </c>
      <c r="F2360" s="420"/>
      <c r="G2360" s="64" t="s">
        <v>796</v>
      </c>
      <c r="H2360" s="419" t="s">
        <v>439</v>
      </c>
      <c r="I2360" s="420"/>
      <c r="K2360" s="57" t="s">
        <v>813</v>
      </c>
      <c r="L2360" s="57" t="s">
        <v>328</v>
      </c>
      <c r="S2360" s="57">
        <v>0</v>
      </c>
    </row>
    <row r="2361" spans="1:19" ht="11.85" customHeight="1" x14ac:dyDescent="0.2">
      <c r="A2361" s="57" t="s">
        <v>813</v>
      </c>
      <c r="B2361" s="424"/>
      <c r="C2361" s="425"/>
      <c r="D2361" s="426"/>
      <c r="E2361" s="419" t="s">
        <v>806</v>
      </c>
      <c r="F2361" s="420"/>
      <c r="G2361" s="64" t="s">
        <v>417</v>
      </c>
      <c r="H2361" s="419" t="s">
        <v>437</v>
      </c>
      <c r="I2361" s="420"/>
      <c r="K2361" s="57" t="s">
        <v>813</v>
      </c>
      <c r="L2361" s="57" t="s">
        <v>328</v>
      </c>
      <c r="S2361" s="57">
        <v>0</v>
      </c>
    </row>
    <row r="2362" spans="1:19" ht="11.85" customHeight="1" x14ac:dyDescent="0.2">
      <c r="A2362" s="57" t="s">
        <v>813</v>
      </c>
      <c r="B2362" s="424"/>
      <c r="C2362" s="425"/>
      <c r="D2362" s="426"/>
      <c r="E2362" s="419" t="s">
        <v>807</v>
      </c>
      <c r="F2362" s="420"/>
      <c r="G2362" s="64" t="s">
        <v>798</v>
      </c>
      <c r="H2362" s="419" t="s">
        <v>478</v>
      </c>
      <c r="I2362" s="420"/>
      <c r="K2362" s="57" t="s">
        <v>813</v>
      </c>
      <c r="L2362" s="57" t="s">
        <v>328</v>
      </c>
      <c r="S2362" s="57">
        <v>0</v>
      </c>
    </row>
    <row r="2363" spans="1:19" ht="11.1" customHeight="1" x14ac:dyDescent="0.2">
      <c r="A2363" s="57" t="s">
        <v>813</v>
      </c>
      <c r="B2363" s="424"/>
      <c r="C2363" s="425"/>
      <c r="D2363" s="426"/>
      <c r="E2363" s="419" t="s">
        <v>808</v>
      </c>
      <c r="F2363" s="420"/>
      <c r="G2363" s="64" t="s">
        <v>417</v>
      </c>
      <c r="H2363" s="419" t="s">
        <v>437</v>
      </c>
      <c r="I2363" s="420"/>
      <c r="K2363" s="57" t="s">
        <v>813</v>
      </c>
      <c r="L2363" s="57" t="s">
        <v>328</v>
      </c>
      <c r="S2363" s="57">
        <v>0</v>
      </c>
    </row>
    <row r="2364" spans="1:19" ht="11.85" customHeight="1" x14ac:dyDescent="0.2">
      <c r="A2364" s="57" t="s">
        <v>813</v>
      </c>
      <c r="B2364" s="424"/>
      <c r="C2364" s="425"/>
      <c r="D2364" s="426"/>
      <c r="E2364" s="419" t="s">
        <v>765</v>
      </c>
      <c r="F2364" s="420"/>
      <c r="G2364" s="64" t="s">
        <v>758</v>
      </c>
      <c r="H2364" s="419" t="s">
        <v>425</v>
      </c>
      <c r="I2364" s="420"/>
      <c r="K2364" s="57" t="s">
        <v>813</v>
      </c>
      <c r="L2364" s="57" t="s">
        <v>328</v>
      </c>
      <c r="S2364" s="57">
        <v>0</v>
      </c>
    </row>
    <row r="2365" spans="1:19" ht="11.85" customHeight="1" x14ac:dyDescent="0.2">
      <c r="A2365" s="57" t="s">
        <v>813</v>
      </c>
      <c r="B2365" s="424"/>
      <c r="C2365" s="425"/>
      <c r="D2365" s="426"/>
      <c r="E2365" s="419" t="s">
        <v>775</v>
      </c>
      <c r="F2365" s="420"/>
      <c r="G2365" s="64" t="s">
        <v>503</v>
      </c>
      <c r="H2365" s="419" t="s">
        <v>423</v>
      </c>
      <c r="I2365" s="420"/>
      <c r="K2365" s="57" t="s">
        <v>813</v>
      </c>
      <c r="L2365" s="57" t="s">
        <v>328</v>
      </c>
      <c r="S2365" s="57">
        <v>0</v>
      </c>
    </row>
    <row r="2366" spans="1:19" ht="11.85" customHeight="1" x14ac:dyDescent="0.2">
      <c r="A2366" s="57" t="s">
        <v>813</v>
      </c>
      <c r="B2366" s="416"/>
      <c r="C2366" s="417"/>
      <c r="D2366" s="418"/>
      <c r="E2366" s="419" t="s">
        <v>776</v>
      </c>
      <c r="F2366" s="420"/>
      <c r="G2366" s="64" t="s">
        <v>503</v>
      </c>
      <c r="H2366" s="419" t="s">
        <v>423</v>
      </c>
      <c r="I2366" s="420"/>
      <c r="K2366" s="57" t="s">
        <v>813</v>
      </c>
      <c r="L2366" s="57" t="s">
        <v>328</v>
      </c>
      <c r="S2366" s="57">
        <v>0</v>
      </c>
    </row>
    <row r="2367" spans="1:19" ht="11.1" customHeight="1" x14ac:dyDescent="0.2">
      <c r="A2367" s="57" t="s">
        <v>813</v>
      </c>
      <c r="B2367" s="62"/>
      <c r="C2367" s="411" t="s">
        <v>814</v>
      </c>
      <c r="D2367" s="412"/>
      <c r="E2367" s="412"/>
      <c r="F2367" s="412"/>
      <c r="G2367" s="412"/>
      <c r="H2367" s="412"/>
      <c r="I2367" s="411"/>
      <c r="K2367" s="57" t="s">
        <v>813</v>
      </c>
      <c r="L2367" s="57" t="s">
        <v>328</v>
      </c>
      <c r="S2367" s="57">
        <v>0</v>
      </c>
    </row>
    <row r="2368" spans="1:19" ht="11.85" customHeight="1" x14ac:dyDescent="0.2">
      <c r="A2368" s="57" t="s">
        <v>814</v>
      </c>
      <c r="B2368" s="413" t="s">
        <v>767</v>
      </c>
      <c r="C2368" s="414"/>
      <c r="D2368" s="415"/>
      <c r="E2368" s="419" t="s">
        <v>768</v>
      </c>
      <c r="F2368" s="420"/>
      <c r="G2368" s="64" t="s">
        <v>417</v>
      </c>
      <c r="H2368" s="419" t="s">
        <v>425</v>
      </c>
      <c r="I2368" s="420"/>
      <c r="K2368" s="57" t="s">
        <v>814</v>
      </c>
      <c r="L2368" s="57" t="s">
        <v>329</v>
      </c>
      <c r="S2368" s="57">
        <v>0</v>
      </c>
    </row>
    <row r="2369" spans="1:19" ht="11.85" customHeight="1" x14ac:dyDescent="0.2">
      <c r="A2369" s="57" t="s">
        <v>814</v>
      </c>
      <c r="B2369" s="416"/>
      <c r="C2369" s="417"/>
      <c r="D2369" s="418"/>
      <c r="E2369" s="419" t="s">
        <v>771</v>
      </c>
      <c r="F2369" s="420"/>
      <c r="G2369" s="64" t="s">
        <v>417</v>
      </c>
      <c r="H2369" s="419" t="s">
        <v>772</v>
      </c>
      <c r="I2369" s="420"/>
      <c r="K2369" s="57" t="s">
        <v>814</v>
      </c>
      <c r="L2369" s="57" t="s">
        <v>329</v>
      </c>
      <c r="S2369" s="57">
        <v>0</v>
      </c>
    </row>
    <row r="2370" spans="1:19" ht="11.85" customHeight="1" x14ac:dyDescent="0.2">
      <c r="A2370" s="57" t="s">
        <v>814</v>
      </c>
      <c r="B2370" s="413" t="s">
        <v>794</v>
      </c>
      <c r="C2370" s="414"/>
      <c r="D2370" s="415"/>
      <c r="E2370" s="419" t="s">
        <v>795</v>
      </c>
      <c r="F2370" s="420"/>
      <c r="G2370" s="64" t="s">
        <v>796</v>
      </c>
      <c r="H2370" s="419" t="s">
        <v>770</v>
      </c>
      <c r="I2370" s="420"/>
      <c r="K2370" s="57" t="s">
        <v>814</v>
      </c>
      <c r="L2370" s="57" t="s">
        <v>329</v>
      </c>
      <c r="S2370" s="57">
        <v>0</v>
      </c>
    </row>
    <row r="2371" spans="1:19" ht="11.1" customHeight="1" x14ac:dyDescent="0.2">
      <c r="A2371" s="57" t="s">
        <v>814</v>
      </c>
      <c r="B2371" s="424"/>
      <c r="C2371" s="425"/>
      <c r="D2371" s="426"/>
      <c r="E2371" s="419" t="s">
        <v>797</v>
      </c>
      <c r="F2371" s="420"/>
      <c r="G2371" s="64" t="s">
        <v>798</v>
      </c>
      <c r="H2371" s="419" t="s">
        <v>425</v>
      </c>
      <c r="I2371" s="420"/>
      <c r="K2371" s="57" t="s">
        <v>814</v>
      </c>
      <c r="L2371" s="57" t="s">
        <v>329</v>
      </c>
      <c r="S2371" s="57">
        <v>0</v>
      </c>
    </row>
    <row r="2372" spans="1:19" ht="11.85" customHeight="1" x14ac:dyDescent="0.2">
      <c r="A2372" s="57" t="s">
        <v>814</v>
      </c>
      <c r="B2372" s="416"/>
      <c r="C2372" s="417"/>
      <c r="D2372" s="418"/>
      <c r="E2372" s="419" t="s">
        <v>799</v>
      </c>
      <c r="F2372" s="420"/>
      <c r="G2372" s="64" t="s">
        <v>798</v>
      </c>
      <c r="H2372" s="419" t="s">
        <v>414</v>
      </c>
      <c r="I2372" s="420"/>
      <c r="K2372" s="57" t="s">
        <v>814</v>
      </c>
      <c r="L2372" s="57" t="s">
        <v>329</v>
      </c>
      <c r="S2372" s="57">
        <v>0</v>
      </c>
    </row>
    <row r="2373" spans="1:19" ht="11.85" customHeight="1" x14ac:dyDescent="0.2">
      <c r="A2373" s="57" t="s">
        <v>814</v>
      </c>
      <c r="B2373" s="413" t="s">
        <v>416</v>
      </c>
      <c r="C2373" s="414"/>
      <c r="D2373" s="415"/>
      <c r="E2373" s="419" t="s">
        <v>800</v>
      </c>
      <c r="F2373" s="420"/>
      <c r="G2373" s="64" t="s">
        <v>801</v>
      </c>
      <c r="H2373" s="419" t="s">
        <v>423</v>
      </c>
      <c r="I2373" s="420"/>
      <c r="K2373" s="57" t="s">
        <v>814</v>
      </c>
      <c r="L2373" s="57" t="s">
        <v>329</v>
      </c>
      <c r="S2373" s="65">
        <v>41.47</v>
      </c>
    </row>
    <row r="2374" spans="1:19" ht="11.85" customHeight="1" x14ac:dyDescent="0.2">
      <c r="A2374" s="57" t="s">
        <v>814</v>
      </c>
      <c r="B2374" s="424"/>
      <c r="C2374" s="425"/>
      <c r="D2374" s="426"/>
      <c r="E2374" s="419" t="s">
        <v>805</v>
      </c>
      <c r="F2374" s="420"/>
      <c r="G2374" s="64" t="s">
        <v>796</v>
      </c>
      <c r="H2374" s="419" t="s">
        <v>439</v>
      </c>
      <c r="I2374" s="420"/>
      <c r="K2374" s="57" t="s">
        <v>814</v>
      </c>
      <c r="L2374" s="57" t="s">
        <v>329</v>
      </c>
      <c r="S2374" s="57">
        <v>0</v>
      </c>
    </row>
    <row r="2375" spans="1:19" ht="11.1" customHeight="1" x14ac:dyDescent="0.2">
      <c r="A2375" s="57" t="s">
        <v>814</v>
      </c>
      <c r="B2375" s="424"/>
      <c r="C2375" s="425"/>
      <c r="D2375" s="426"/>
      <c r="E2375" s="419" t="s">
        <v>806</v>
      </c>
      <c r="F2375" s="420"/>
      <c r="G2375" s="64" t="s">
        <v>417</v>
      </c>
      <c r="H2375" s="419" t="s">
        <v>437</v>
      </c>
      <c r="I2375" s="420"/>
      <c r="K2375" s="57" t="s">
        <v>814</v>
      </c>
      <c r="L2375" s="57" t="s">
        <v>329</v>
      </c>
      <c r="S2375" s="57">
        <v>0</v>
      </c>
    </row>
    <row r="2376" spans="1:19" ht="11.85" customHeight="1" x14ac:dyDescent="0.2">
      <c r="A2376" s="57" t="s">
        <v>814</v>
      </c>
      <c r="B2376" s="424"/>
      <c r="C2376" s="425"/>
      <c r="D2376" s="426"/>
      <c r="E2376" s="419" t="s">
        <v>807</v>
      </c>
      <c r="F2376" s="420"/>
      <c r="G2376" s="64" t="s">
        <v>798</v>
      </c>
      <c r="H2376" s="419" t="s">
        <v>478</v>
      </c>
      <c r="I2376" s="420"/>
      <c r="K2376" s="57" t="s">
        <v>814</v>
      </c>
      <c r="L2376" s="57" t="s">
        <v>329</v>
      </c>
      <c r="S2376" s="57">
        <v>0</v>
      </c>
    </row>
    <row r="2377" spans="1:19" ht="11.85" customHeight="1" x14ac:dyDescent="0.2">
      <c r="A2377" s="57" t="s">
        <v>814</v>
      </c>
      <c r="B2377" s="424"/>
      <c r="C2377" s="425"/>
      <c r="D2377" s="426"/>
      <c r="E2377" s="419" t="s">
        <v>808</v>
      </c>
      <c r="F2377" s="420"/>
      <c r="G2377" s="64" t="s">
        <v>417</v>
      </c>
      <c r="H2377" s="419" t="s">
        <v>437</v>
      </c>
      <c r="I2377" s="420"/>
      <c r="K2377" s="57" t="s">
        <v>814</v>
      </c>
      <c r="L2377" s="57" t="s">
        <v>329</v>
      </c>
      <c r="S2377" s="57">
        <v>0</v>
      </c>
    </row>
    <row r="2378" spans="1:19" ht="11.85" customHeight="1" x14ac:dyDescent="0.2">
      <c r="A2378" s="57" t="s">
        <v>814</v>
      </c>
      <c r="B2378" s="424"/>
      <c r="C2378" s="425"/>
      <c r="D2378" s="426"/>
      <c r="E2378" s="419" t="s">
        <v>765</v>
      </c>
      <c r="F2378" s="420"/>
      <c r="G2378" s="64" t="s">
        <v>758</v>
      </c>
      <c r="H2378" s="419" t="s">
        <v>425</v>
      </c>
      <c r="I2378" s="420"/>
      <c r="K2378" s="57" t="s">
        <v>814</v>
      </c>
      <c r="L2378" s="57" t="s">
        <v>329</v>
      </c>
      <c r="S2378" s="57">
        <v>0</v>
      </c>
    </row>
    <row r="2379" spans="1:19" ht="11.1" customHeight="1" x14ac:dyDescent="0.2">
      <c r="A2379" s="57" t="s">
        <v>814</v>
      </c>
      <c r="B2379" s="424"/>
      <c r="C2379" s="425"/>
      <c r="D2379" s="426"/>
      <c r="E2379" s="419" t="s">
        <v>775</v>
      </c>
      <c r="F2379" s="420"/>
      <c r="G2379" s="64" t="s">
        <v>503</v>
      </c>
      <c r="H2379" s="419" t="s">
        <v>423</v>
      </c>
      <c r="I2379" s="420"/>
      <c r="K2379" s="57" t="s">
        <v>814</v>
      </c>
      <c r="L2379" s="57" t="s">
        <v>329</v>
      </c>
      <c r="S2379" s="57">
        <v>0</v>
      </c>
    </row>
    <row r="2380" spans="1:19" ht="11.85" customHeight="1" x14ac:dyDescent="0.2">
      <c r="A2380" s="57" t="s">
        <v>814</v>
      </c>
      <c r="B2380" s="416"/>
      <c r="C2380" s="417"/>
      <c r="D2380" s="418"/>
      <c r="E2380" s="419" t="s">
        <v>776</v>
      </c>
      <c r="F2380" s="420"/>
      <c r="G2380" s="64" t="s">
        <v>503</v>
      </c>
      <c r="H2380" s="419" t="s">
        <v>423</v>
      </c>
      <c r="I2380" s="420"/>
      <c r="K2380" s="57" t="s">
        <v>814</v>
      </c>
      <c r="L2380" s="57" t="s">
        <v>329</v>
      </c>
      <c r="S2380" s="57">
        <v>0</v>
      </c>
    </row>
    <row r="2381" spans="1:19" ht="11.85" customHeight="1" x14ac:dyDescent="0.2">
      <c r="A2381" s="57" t="s">
        <v>814</v>
      </c>
      <c r="B2381" s="62"/>
      <c r="C2381" s="411" t="s">
        <v>815</v>
      </c>
      <c r="D2381" s="412"/>
      <c r="E2381" s="412"/>
      <c r="F2381" s="412"/>
      <c r="G2381" s="412"/>
      <c r="H2381" s="412"/>
      <c r="I2381" s="411"/>
      <c r="K2381" s="57" t="s">
        <v>814</v>
      </c>
      <c r="L2381" s="57" t="s">
        <v>329</v>
      </c>
      <c r="S2381" s="57">
        <v>0</v>
      </c>
    </row>
    <row r="2382" spans="1:19" ht="11.85" customHeight="1" x14ac:dyDescent="0.2">
      <c r="A2382" s="57" t="s">
        <v>815</v>
      </c>
      <c r="B2382" s="413" t="s">
        <v>767</v>
      </c>
      <c r="C2382" s="414"/>
      <c r="D2382" s="415"/>
      <c r="E2382" s="419" t="s">
        <v>768</v>
      </c>
      <c r="F2382" s="420"/>
      <c r="G2382" s="64" t="s">
        <v>417</v>
      </c>
      <c r="H2382" s="419" t="s">
        <v>425</v>
      </c>
      <c r="I2382" s="420"/>
      <c r="K2382" s="57" t="s">
        <v>815</v>
      </c>
      <c r="L2382" s="57" t="s">
        <v>330</v>
      </c>
      <c r="S2382" s="57">
        <v>0</v>
      </c>
    </row>
    <row r="2383" spans="1:19" ht="11.1" customHeight="1" x14ac:dyDescent="0.2">
      <c r="A2383" s="57" t="s">
        <v>815</v>
      </c>
      <c r="B2383" s="416"/>
      <c r="C2383" s="417"/>
      <c r="D2383" s="418"/>
      <c r="E2383" s="419" t="s">
        <v>771</v>
      </c>
      <c r="F2383" s="420"/>
      <c r="G2383" s="64" t="s">
        <v>417</v>
      </c>
      <c r="H2383" s="419" t="s">
        <v>772</v>
      </c>
      <c r="I2383" s="420"/>
      <c r="K2383" s="57" t="s">
        <v>815</v>
      </c>
      <c r="L2383" s="57" t="s">
        <v>330</v>
      </c>
      <c r="S2383" s="57">
        <v>0</v>
      </c>
    </row>
    <row r="2384" spans="1:19" ht="11.85" customHeight="1" x14ac:dyDescent="0.2">
      <c r="A2384" s="57" t="s">
        <v>815</v>
      </c>
      <c r="B2384" s="413" t="s">
        <v>794</v>
      </c>
      <c r="C2384" s="414"/>
      <c r="D2384" s="415"/>
      <c r="E2384" s="419" t="s">
        <v>795</v>
      </c>
      <c r="F2384" s="420"/>
      <c r="G2384" s="64" t="s">
        <v>796</v>
      </c>
      <c r="H2384" s="419" t="s">
        <v>770</v>
      </c>
      <c r="I2384" s="420"/>
      <c r="K2384" s="57" t="s">
        <v>815</v>
      </c>
      <c r="L2384" s="57" t="s">
        <v>330</v>
      </c>
      <c r="S2384" s="57">
        <v>0</v>
      </c>
    </row>
    <row r="2385" spans="1:19" ht="11.85" customHeight="1" x14ac:dyDescent="0.2">
      <c r="A2385" s="57" t="s">
        <v>815</v>
      </c>
      <c r="B2385" s="424"/>
      <c r="C2385" s="425"/>
      <c r="D2385" s="426"/>
      <c r="E2385" s="419" t="s">
        <v>797</v>
      </c>
      <c r="F2385" s="420"/>
      <c r="G2385" s="64" t="s">
        <v>798</v>
      </c>
      <c r="H2385" s="419" t="s">
        <v>425</v>
      </c>
      <c r="I2385" s="420"/>
      <c r="K2385" s="57" t="s">
        <v>815</v>
      </c>
      <c r="L2385" s="57" t="s">
        <v>330</v>
      </c>
      <c r="S2385" s="57">
        <v>0</v>
      </c>
    </row>
    <row r="2386" spans="1:19" ht="11.85" customHeight="1" x14ac:dyDescent="0.2">
      <c r="A2386" s="57" t="s">
        <v>815</v>
      </c>
      <c r="B2386" s="416"/>
      <c r="C2386" s="417"/>
      <c r="D2386" s="418"/>
      <c r="E2386" s="419" t="s">
        <v>799</v>
      </c>
      <c r="F2386" s="420"/>
      <c r="G2386" s="64" t="s">
        <v>798</v>
      </c>
      <c r="H2386" s="419" t="s">
        <v>414</v>
      </c>
      <c r="I2386" s="420"/>
      <c r="K2386" s="57" t="s">
        <v>815</v>
      </c>
      <c r="L2386" s="57" t="s">
        <v>330</v>
      </c>
      <c r="S2386" s="57">
        <v>0</v>
      </c>
    </row>
    <row r="2387" spans="1:19" ht="11.1" customHeight="1" x14ac:dyDescent="0.2">
      <c r="A2387" s="57" t="s">
        <v>815</v>
      </c>
      <c r="B2387" s="413" t="s">
        <v>416</v>
      </c>
      <c r="C2387" s="414"/>
      <c r="D2387" s="415"/>
      <c r="E2387" s="419" t="s">
        <v>800</v>
      </c>
      <c r="F2387" s="420"/>
      <c r="G2387" s="64" t="s">
        <v>801</v>
      </c>
      <c r="H2387" s="419" t="s">
        <v>423</v>
      </c>
      <c r="I2387" s="420"/>
      <c r="K2387" s="57" t="s">
        <v>815</v>
      </c>
      <c r="L2387" s="57" t="s">
        <v>330</v>
      </c>
      <c r="S2387" s="65">
        <v>41.47</v>
      </c>
    </row>
    <row r="2388" spans="1:19" ht="11.85" customHeight="1" x14ac:dyDescent="0.2">
      <c r="A2388" s="57" t="s">
        <v>815</v>
      </c>
      <c r="B2388" s="424"/>
      <c r="C2388" s="425"/>
      <c r="D2388" s="426"/>
      <c r="E2388" s="419" t="s">
        <v>805</v>
      </c>
      <c r="F2388" s="420"/>
      <c r="G2388" s="64" t="s">
        <v>796</v>
      </c>
      <c r="H2388" s="419" t="s">
        <v>439</v>
      </c>
      <c r="I2388" s="420"/>
      <c r="K2388" s="57" t="s">
        <v>815</v>
      </c>
      <c r="L2388" s="57" t="s">
        <v>330</v>
      </c>
      <c r="S2388" s="57">
        <v>0</v>
      </c>
    </row>
    <row r="2389" spans="1:19" ht="11.85" customHeight="1" x14ac:dyDescent="0.2">
      <c r="A2389" s="57" t="s">
        <v>815</v>
      </c>
      <c r="B2389" s="424"/>
      <c r="C2389" s="425"/>
      <c r="D2389" s="426"/>
      <c r="E2389" s="419" t="s">
        <v>806</v>
      </c>
      <c r="F2389" s="420"/>
      <c r="G2389" s="64" t="s">
        <v>417</v>
      </c>
      <c r="H2389" s="419" t="s">
        <v>437</v>
      </c>
      <c r="I2389" s="420"/>
      <c r="K2389" s="57" t="s">
        <v>815</v>
      </c>
      <c r="L2389" s="57" t="s">
        <v>330</v>
      </c>
      <c r="S2389" s="57">
        <v>0</v>
      </c>
    </row>
    <row r="2390" spans="1:19" ht="11.85" customHeight="1" x14ac:dyDescent="0.2">
      <c r="A2390" s="57" t="s">
        <v>815</v>
      </c>
      <c r="B2390" s="424"/>
      <c r="C2390" s="425"/>
      <c r="D2390" s="426"/>
      <c r="E2390" s="419" t="s">
        <v>807</v>
      </c>
      <c r="F2390" s="420"/>
      <c r="G2390" s="64" t="s">
        <v>798</v>
      </c>
      <c r="H2390" s="419" t="s">
        <v>478</v>
      </c>
      <c r="I2390" s="420"/>
      <c r="K2390" s="57" t="s">
        <v>815</v>
      </c>
      <c r="L2390" s="57" t="s">
        <v>330</v>
      </c>
      <c r="S2390" s="57">
        <v>0</v>
      </c>
    </row>
    <row r="2391" spans="1:19" ht="11.1" customHeight="1" x14ac:dyDescent="0.2">
      <c r="A2391" s="57" t="s">
        <v>815</v>
      </c>
      <c r="B2391" s="424"/>
      <c r="C2391" s="425"/>
      <c r="D2391" s="426"/>
      <c r="E2391" s="419" t="s">
        <v>808</v>
      </c>
      <c r="F2391" s="420"/>
      <c r="G2391" s="64" t="s">
        <v>417</v>
      </c>
      <c r="H2391" s="419" t="s">
        <v>437</v>
      </c>
      <c r="I2391" s="420"/>
      <c r="K2391" s="57" t="s">
        <v>815</v>
      </c>
      <c r="L2391" s="57" t="s">
        <v>330</v>
      </c>
      <c r="S2391" s="57">
        <v>0</v>
      </c>
    </row>
    <row r="2392" spans="1:19" ht="11.85" customHeight="1" x14ac:dyDescent="0.2">
      <c r="A2392" s="57" t="s">
        <v>815</v>
      </c>
      <c r="B2392" s="424"/>
      <c r="C2392" s="425"/>
      <c r="D2392" s="426"/>
      <c r="E2392" s="419" t="s">
        <v>765</v>
      </c>
      <c r="F2392" s="420"/>
      <c r="G2392" s="64" t="s">
        <v>758</v>
      </c>
      <c r="H2392" s="419" t="s">
        <v>425</v>
      </c>
      <c r="I2392" s="420"/>
      <c r="K2392" s="57" t="s">
        <v>815</v>
      </c>
      <c r="L2392" s="57" t="s">
        <v>330</v>
      </c>
      <c r="S2392" s="57">
        <v>0</v>
      </c>
    </row>
    <row r="2393" spans="1:19" ht="11.85" customHeight="1" x14ac:dyDescent="0.2">
      <c r="A2393" s="57" t="s">
        <v>815</v>
      </c>
      <c r="B2393" s="424"/>
      <c r="C2393" s="425"/>
      <c r="D2393" s="426"/>
      <c r="E2393" s="419" t="s">
        <v>775</v>
      </c>
      <c r="F2393" s="420"/>
      <c r="G2393" s="64" t="s">
        <v>503</v>
      </c>
      <c r="H2393" s="419" t="s">
        <v>423</v>
      </c>
      <c r="I2393" s="420"/>
      <c r="K2393" s="57" t="s">
        <v>815</v>
      </c>
      <c r="L2393" s="57" t="s">
        <v>330</v>
      </c>
      <c r="S2393" s="57">
        <v>0</v>
      </c>
    </row>
    <row r="2394" spans="1:19" ht="11.85" customHeight="1" x14ac:dyDescent="0.2">
      <c r="A2394" s="57" t="s">
        <v>815</v>
      </c>
      <c r="B2394" s="416"/>
      <c r="C2394" s="417"/>
      <c r="D2394" s="418"/>
      <c r="E2394" s="419" t="s">
        <v>776</v>
      </c>
      <c r="F2394" s="420"/>
      <c r="G2394" s="64" t="s">
        <v>503</v>
      </c>
      <c r="H2394" s="419" t="s">
        <v>423</v>
      </c>
      <c r="I2394" s="420"/>
      <c r="K2394" s="57" t="s">
        <v>815</v>
      </c>
      <c r="L2394" s="57" t="s">
        <v>330</v>
      </c>
      <c r="S2394" s="57">
        <v>0</v>
      </c>
    </row>
    <row r="2395" spans="1:19" ht="11.1" customHeight="1" x14ac:dyDescent="0.2">
      <c r="A2395" s="57" t="s">
        <v>815</v>
      </c>
      <c r="B2395" s="62"/>
      <c r="C2395" s="411" t="s">
        <v>816</v>
      </c>
      <c r="D2395" s="412"/>
      <c r="E2395" s="412"/>
      <c r="F2395" s="412"/>
      <c r="G2395" s="412"/>
      <c r="H2395" s="412"/>
      <c r="I2395" s="411"/>
      <c r="K2395" s="57" t="s">
        <v>815</v>
      </c>
      <c r="L2395" s="57" t="s">
        <v>330</v>
      </c>
      <c r="S2395" s="57">
        <v>0</v>
      </c>
    </row>
    <row r="2396" spans="1:19" ht="11.85" customHeight="1" x14ac:dyDescent="0.2">
      <c r="A2396" s="57" t="s">
        <v>816</v>
      </c>
      <c r="B2396" s="413" t="s">
        <v>794</v>
      </c>
      <c r="C2396" s="414"/>
      <c r="D2396" s="415"/>
      <c r="E2396" s="419" t="s">
        <v>817</v>
      </c>
      <c r="F2396" s="420"/>
      <c r="G2396" s="64" t="s">
        <v>417</v>
      </c>
      <c r="H2396" s="419" t="s">
        <v>425</v>
      </c>
      <c r="I2396" s="420"/>
      <c r="K2396" s="57" t="s">
        <v>816</v>
      </c>
      <c r="L2396" s="57" t="s">
        <v>334</v>
      </c>
      <c r="S2396" s="57">
        <v>0</v>
      </c>
    </row>
    <row r="2397" spans="1:19" ht="11.85" customHeight="1" x14ac:dyDescent="0.2">
      <c r="A2397" s="57" t="s">
        <v>816</v>
      </c>
      <c r="B2397" s="424"/>
      <c r="C2397" s="425"/>
      <c r="D2397" s="426"/>
      <c r="E2397" s="419" t="s">
        <v>818</v>
      </c>
      <c r="F2397" s="420"/>
      <c r="G2397" s="64" t="s">
        <v>417</v>
      </c>
      <c r="H2397" s="419" t="s">
        <v>772</v>
      </c>
      <c r="I2397" s="420"/>
      <c r="K2397" s="57" t="s">
        <v>816</v>
      </c>
      <c r="L2397" s="57" t="s">
        <v>334</v>
      </c>
      <c r="S2397" s="57">
        <v>0</v>
      </c>
    </row>
    <row r="2398" spans="1:19" ht="11.85" customHeight="1" x14ac:dyDescent="0.2">
      <c r="A2398" s="57" t="s">
        <v>816</v>
      </c>
      <c r="B2398" s="424"/>
      <c r="C2398" s="425"/>
      <c r="D2398" s="426"/>
      <c r="E2398" s="419" t="s">
        <v>795</v>
      </c>
      <c r="F2398" s="420"/>
      <c r="G2398" s="64" t="s">
        <v>796</v>
      </c>
      <c r="H2398" s="419" t="s">
        <v>770</v>
      </c>
      <c r="I2398" s="420"/>
      <c r="K2398" s="57" t="s">
        <v>816</v>
      </c>
      <c r="L2398" s="57" t="s">
        <v>334</v>
      </c>
      <c r="S2398" s="57">
        <v>0</v>
      </c>
    </row>
    <row r="2399" spans="1:19" ht="11.1" customHeight="1" x14ac:dyDescent="0.2">
      <c r="A2399" s="57" t="s">
        <v>816</v>
      </c>
      <c r="B2399" s="424"/>
      <c r="C2399" s="425"/>
      <c r="D2399" s="426"/>
      <c r="E2399" s="419" t="s">
        <v>797</v>
      </c>
      <c r="F2399" s="420"/>
      <c r="G2399" s="64" t="s">
        <v>798</v>
      </c>
      <c r="H2399" s="419" t="s">
        <v>425</v>
      </c>
      <c r="I2399" s="420"/>
      <c r="K2399" s="57" t="s">
        <v>816</v>
      </c>
      <c r="L2399" s="57" t="s">
        <v>334</v>
      </c>
      <c r="S2399" s="57">
        <v>0</v>
      </c>
    </row>
    <row r="2400" spans="1:19" ht="11.85" customHeight="1" x14ac:dyDescent="0.2">
      <c r="A2400" s="57" t="s">
        <v>816</v>
      </c>
      <c r="B2400" s="416"/>
      <c r="C2400" s="417"/>
      <c r="D2400" s="418"/>
      <c r="E2400" s="419" t="s">
        <v>799</v>
      </c>
      <c r="F2400" s="420"/>
      <c r="G2400" s="64" t="s">
        <v>798</v>
      </c>
      <c r="H2400" s="419" t="s">
        <v>414</v>
      </c>
      <c r="I2400" s="420"/>
      <c r="K2400" s="57" t="s">
        <v>816</v>
      </c>
      <c r="L2400" s="57" t="s">
        <v>334</v>
      </c>
      <c r="S2400" s="57">
        <v>0</v>
      </c>
    </row>
    <row r="2401" spans="1:19" ht="11.85" customHeight="1" x14ac:dyDescent="0.2">
      <c r="A2401" s="57" t="s">
        <v>816</v>
      </c>
      <c r="B2401" s="413" t="s">
        <v>416</v>
      </c>
      <c r="C2401" s="414"/>
      <c r="D2401" s="415"/>
      <c r="E2401" s="419" t="s">
        <v>819</v>
      </c>
      <c r="F2401" s="420"/>
      <c r="G2401" s="64" t="s">
        <v>796</v>
      </c>
      <c r="H2401" s="419" t="s">
        <v>418</v>
      </c>
      <c r="I2401" s="420"/>
      <c r="K2401" s="57" t="s">
        <v>816</v>
      </c>
      <c r="L2401" s="57" t="s">
        <v>334</v>
      </c>
      <c r="S2401" s="57">
        <v>0</v>
      </c>
    </row>
    <row r="2402" spans="1:19" ht="11.85" customHeight="1" x14ac:dyDescent="0.2">
      <c r="A2402" s="57" t="s">
        <v>816</v>
      </c>
      <c r="B2402" s="424"/>
      <c r="C2402" s="425"/>
      <c r="D2402" s="426"/>
      <c r="E2402" s="419" t="s">
        <v>820</v>
      </c>
      <c r="F2402" s="420"/>
      <c r="G2402" s="64" t="s">
        <v>417</v>
      </c>
      <c r="H2402" s="419" t="s">
        <v>466</v>
      </c>
      <c r="I2402" s="420"/>
      <c r="K2402" s="57" t="s">
        <v>816</v>
      </c>
      <c r="L2402" s="57" t="s">
        <v>334</v>
      </c>
      <c r="S2402" s="57">
        <v>0</v>
      </c>
    </row>
    <row r="2403" spans="1:19" ht="11.1" customHeight="1" x14ac:dyDescent="0.2">
      <c r="A2403" s="57" t="s">
        <v>816</v>
      </c>
      <c r="B2403" s="424"/>
      <c r="C2403" s="425"/>
      <c r="D2403" s="426"/>
      <c r="E2403" s="419" t="s">
        <v>821</v>
      </c>
      <c r="F2403" s="420"/>
      <c r="G2403" s="64" t="s">
        <v>798</v>
      </c>
      <c r="H2403" s="419" t="s">
        <v>467</v>
      </c>
      <c r="I2403" s="420"/>
      <c r="K2403" s="57" t="s">
        <v>816</v>
      </c>
      <c r="L2403" s="57" t="s">
        <v>334</v>
      </c>
      <c r="S2403" s="57">
        <v>0</v>
      </c>
    </row>
    <row r="2404" spans="1:19" ht="11.85" customHeight="1" x14ac:dyDescent="0.2">
      <c r="A2404" s="57" t="s">
        <v>816</v>
      </c>
      <c r="B2404" s="424"/>
      <c r="C2404" s="425"/>
      <c r="D2404" s="426"/>
      <c r="E2404" s="419" t="s">
        <v>822</v>
      </c>
      <c r="F2404" s="420"/>
      <c r="G2404" s="64" t="s">
        <v>417</v>
      </c>
      <c r="H2404" s="419" t="s">
        <v>466</v>
      </c>
      <c r="I2404" s="420"/>
      <c r="K2404" s="57" t="s">
        <v>816</v>
      </c>
      <c r="L2404" s="57" t="s">
        <v>334</v>
      </c>
      <c r="S2404" s="57">
        <v>0</v>
      </c>
    </row>
    <row r="2405" spans="1:19" ht="11.85" customHeight="1" x14ac:dyDescent="0.2">
      <c r="A2405" s="57" t="s">
        <v>816</v>
      </c>
      <c r="B2405" s="424"/>
      <c r="C2405" s="425"/>
      <c r="D2405" s="426"/>
      <c r="E2405" s="419" t="s">
        <v>765</v>
      </c>
      <c r="F2405" s="420"/>
      <c r="G2405" s="64" t="s">
        <v>758</v>
      </c>
      <c r="H2405" s="419" t="s">
        <v>425</v>
      </c>
      <c r="I2405" s="420"/>
      <c r="K2405" s="57" t="s">
        <v>816</v>
      </c>
      <c r="L2405" s="57" t="s">
        <v>334</v>
      </c>
      <c r="S2405" s="57">
        <v>0</v>
      </c>
    </row>
    <row r="2406" spans="1:19" ht="11.85" customHeight="1" x14ac:dyDescent="0.2">
      <c r="A2406" s="57" t="s">
        <v>816</v>
      </c>
      <c r="B2406" s="424"/>
      <c r="C2406" s="425"/>
      <c r="D2406" s="426"/>
      <c r="E2406" s="419" t="s">
        <v>775</v>
      </c>
      <c r="F2406" s="420"/>
      <c r="G2406" s="64" t="s">
        <v>503</v>
      </c>
      <c r="H2406" s="419" t="s">
        <v>423</v>
      </c>
      <c r="I2406" s="420"/>
      <c r="K2406" s="57" t="s">
        <v>816</v>
      </c>
      <c r="L2406" s="57" t="s">
        <v>334</v>
      </c>
      <c r="S2406" s="57">
        <v>0</v>
      </c>
    </row>
    <row r="2407" spans="1:19" ht="11.1" customHeight="1" x14ac:dyDescent="0.2">
      <c r="A2407" s="57" t="s">
        <v>816</v>
      </c>
      <c r="B2407" s="424"/>
      <c r="C2407" s="425"/>
      <c r="D2407" s="426"/>
      <c r="E2407" s="419" t="s">
        <v>776</v>
      </c>
      <c r="F2407" s="420"/>
      <c r="G2407" s="64" t="s">
        <v>503</v>
      </c>
      <c r="H2407" s="419" t="s">
        <v>423</v>
      </c>
      <c r="I2407" s="420"/>
      <c r="K2407" s="57" t="s">
        <v>816</v>
      </c>
      <c r="L2407" s="57" t="s">
        <v>334</v>
      </c>
      <c r="S2407" s="57">
        <v>0</v>
      </c>
    </row>
    <row r="2408" spans="1:19" ht="11.85" customHeight="1" x14ac:dyDescent="0.2">
      <c r="A2408" s="57" t="s">
        <v>816</v>
      </c>
      <c r="B2408" s="416"/>
      <c r="C2408" s="417"/>
      <c r="D2408" s="418"/>
      <c r="E2408" s="419" t="s">
        <v>823</v>
      </c>
      <c r="F2408" s="420"/>
      <c r="G2408" s="64" t="s">
        <v>824</v>
      </c>
      <c r="H2408" s="419" t="s">
        <v>423</v>
      </c>
      <c r="I2408" s="420"/>
      <c r="K2408" s="57" t="s">
        <v>816</v>
      </c>
      <c r="L2408" s="57" t="s">
        <v>334</v>
      </c>
      <c r="S2408" s="65">
        <v>39.4</v>
      </c>
    </row>
    <row r="2409" spans="1:19" ht="11.85" customHeight="1" x14ac:dyDescent="0.2">
      <c r="A2409" s="57" t="s">
        <v>816</v>
      </c>
      <c r="B2409" s="62"/>
      <c r="C2409" s="411" t="s">
        <v>825</v>
      </c>
      <c r="D2409" s="412"/>
      <c r="E2409" s="412"/>
      <c r="F2409" s="412"/>
      <c r="G2409" s="412"/>
      <c r="H2409" s="412"/>
      <c r="I2409" s="411"/>
      <c r="K2409" s="57" t="s">
        <v>816</v>
      </c>
      <c r="L2409" s="57" t="s">
        <v>334</v>
      </c>
      <c r="S2409" s="57">
        <v>0</v>
      </c>
    </row>
    <row r="2410" spans="1:19" ht="11.85" customHeight="1" x14ac:dyDescent="0.2">
      <c r="A2410" s="57" t="s">
        <v>825</v>
      </c>
      <c r="B2410" s="413" t="s">
        <v>794</v>
      </c>
      <c r="C2410" s="427"/>
      <c r="D2410" s="428"/>
      <c r="E2410" s="419" t="s">
        <v>817</v>
      </c>
      <c r="F2410" s="420"/>
      <c r="G2410" s="64" t="s">
        <v>417</v>
      </c>
      <c r="H2410" s="419" t="s">
        <v>425</v>
      </c>
      <c r="I2410" s="420"/>
      <c r="K2410" s="57" t="s">
        <v>825</v>
      </c>
      <c r="L2410" s="57" t="s">
        <v>335</v>
      </c>
      <c r="S2410" s="57">
        <v>0</v>
      </c>
    </row>
    <row r="2411" spans="1:19" ht="11.85" customHeight="1" x14ac:dyDescent="0.2">
      <c r="A2411" s="57" t="s">
        <v>825</v>
      </c>
      <c r="B2411" s="413" t="s">
        <v>794</v>
      </c>
      <c r="C2411" s="414"/>
      <c r="D2411" s="415"/>
      <c r="E2411" s="419" t="s">
        <v>818</v>
      </c>
      <c r="F2411" s="420"/>
      <c r="G2411" s="64" t="s">
        <v>417</v>
      </c>
      <c r="H2411" s="419" t="s">
        <v>772</v>
      </c>
      <c r="I2411" s="420"/>
      <c r="K2411" s="57" t="s">
        <v>825</v>
      </c>
      <c r="L2411" s="57" t="s">
        <v>335</v>
      </c>
      <c r="S2411" s="57">
        <v>0</v>
      </c>
    </row>
    <row r="2412" spans="1:19" ht="11.85" customHeight="1" x14ac:dyDescent="0.2">
      <c r="A2412" s="57" t="s">
        <v>825</v>
      </c>
      <c r="B2412" s="424"/>
      <c r="C2412" s="425"/>
      <c r="D2412" s="426"/>
      <c r="E2412" s="419" t="s">
        <v>795</v>
      </c>
      <c r="F2412" s="420"/>
      <c r="G2412" s="64" t="s">
        <v>796</v>
      </c>
      <c r="H2412" s="419" t="s">
        <v>770</v>
      </c>
      <c r="I2412" s="420"/>
      <c r="K2412" s="57" t="s">
        <v>825</v>
      </c>
      <c r="L2412" s="57" t="s">
        <v>335</v>
      </c>
      <c r="S2412" s="57">
        <v>0</v>
      </c>
    </row>
    <row r="2413" spans="1:19" ht="11.85" customHeight="1" x14ac:dyDescent="0.2">
      <c r="A2413" s="57" t="s">
        <v>825</v>
      </c>
      <c r="B2413" s="424"/>
      <c r="C2413" s="425"/>
      <c r="D2413" s="426"/>
      <c r="E2413" s="419" t="s">
        <v>797</v>
      </c>
      <c r="F2413" s="420"/>
      <c r="G2413" s="64" t="s">
        <v>798</v>
      </c>
      <c r="H2413" s="419" t="s">
        <v>425</v>
      </c>
      <c r="I2413" s="420"/>
      <c r="K2413" s="57" t="s">
        <v>825</v>
      </c>
      <c r="L2413" s="57" t="s">
        <v>335</v>
      </c>
      <c r="S2413" s="57">
        <v>0</v>
      </c>
    </row>
    <row r="2414" spans="1:19" ht="11.1" customHeight="1" x14ac:dyDescent="0.2">
      <c r="A2414" s="57" t="s">
        <v>825</v>
      </c>
      <c r="B2414" s="416"/>
      <c r="C2414" s="417"/>
      <c r="D2414" s="418"/>
      <c r="E2414" s="419" t="s">
        <v>799</v>
      </c>
      <c r="F2414" s="420"/>
      <c r="G2414" s="64" t="s">
        <v>798</v>
      </c>
      <c r="H2414" s="419" t="s">
        <v>414</v>
      </c>
      <c r="I2414" s="420"/>
      <c r="K2414" s="57" t="s">
        <v>825</v>
      </c>
      <c r="L2414" s="57" t="s">
        <v>335</v>
      </c>
      <c r="S2414" s="57">
        <v>0</v>
      </c>
    </row>
    <row r="2415" spans="1:19" ht="11.85" customHeight="1" x14ac:dyDescent="0.2">
      <c r="A2415" s="57" t="s">
        <v>825</v>
      </c>
      <c r="B2415" s="413" t="s">
        <v>416</v>
      </c>
      <c r="C2415" s="414"/>
      <c r="D2415" s="415"/>
      <c r="E2415" s="419" t="s">
        <v>800</v>
      </c>
      <c r="F2415" s="420"/>
      <c r="G2415" s="64" t="s">
        <v>801</v>
      </c>
      <c r="H2415" s="419" t="s">
        <v>423</v>
      </c>
      <c r="I2415" s="420"/>
      <c r="K2415" s="57" t="s">
        <v>825</v>
      </c>
      <c r="L2415" s="57" t="s">
        <v>335</v>
      </c>
      <c r="S2415" s="65">
        <v>41.47</v>
      </c>
    </row>
    <row r="2416" spans="1:19" ht="11.85" customHeight="1" x14ac:dyDescent="0.2">
      <c r="A2416" s="57" t="s">
        <v>825</v>
      </c>
      <c r="B2416" s="424"/>
      <c r="C2416" s="425"/>
      <c r="D2416" s="426"/>
      <c r="E2416" s="419" t="s">
        <v>819</v>
      </c>
      <c r="F2416" s="420"/>
      <c r="G2416" s="64" t="s">
        <v>796</v>
      </c>
      <c r="H2416" s="419" t="s">
        <v>418</v>
      </c>
      <c r="I2416" s="420"/>
      <c r="K2416" s="57" t="s">
        <v>825</v>
      </c>
      <c r="L2416" s="57" t="s">
        <v>335</v>
      </c>
      <c r="S2416" s="57">
        <v>0</v>
      </c>
    </row>
    <row r="2417" spans="1:19" ht="11.85" customHeight="1" x14ac:dyDescent="0.2">
      <c r="A2417" s="57" t="s">
        <v>825</v>
      </c>
      <c r="B2417" s="424"/>
      <c r="C2417" s="425"/>
      <c r="D2417" s="426"/>
      <c r="E2417" s="419" t="s">
        <v>820</v>
      </c>
      <c r="F2417" s="420"/>
      <c r="G2417" s="64" t="s">
        <v>417</v>
      </c>
      <c r="H2417" s="419" t="s">
        <v>466</v>
      </c>
      <c r="I2417" s="420"/>
      <c r="K2417" s="57" t="s">
        <v>825</v>
      </c>
      <c r="L2417" s="57" t="s">
        <v>335</v>
      </c>
      <c r="S2417" s="57">
        <v>0</v>
      </c>
    </row>
    <row r="2418" spans="1:19" ht="11.1" customHeight="1" x14ac:dyDescent="0.2">
      <c r="A2418" s="57" t="s">
        <v>825</v>
      </c>
      <c r="B2418" s="424"/>
      <c r="C2418" s="425"/>
      <c r="D2418" s="426"/>
      <c r="E2418" s="419" t="s">
        <v>821</v>
      </c>
      <c r="F2418" s="420"/>
      <c r="G2418" s="64" t="s">
        <v>798</v>
      </c>
      <c r="H2418" s="419" t="s">
        <v>467</v>
      </c>
      <c r="I2418" s="420"/>
      <c r="K2418" s="57" t="s">
        <v>825</v>
      </c>
      <c r="L2418" s="57" t="s">
        <v>335</v>
      </c>
      <c r="S2418" s="57">
        <v>0</v>
      </c>
    </row>
    <row r="2419" spans="1:19" ht="11.85" customHeight="1" x14ac:dyDescent="0.2">
      <c r="A2419" s="57" t="s">
        <v>825</v>
      </c>
      <c r="B2419" s="424"/>
      <c r="C2419" s="425"/>
      <c r="D2419" s="426"/>
      <c r="E2419" s="419" t="s">
        <v>822</v>
      </c>
      <c r="F2419" s="420"/>
      <c r="G2419" s="64" t="s">
        <v>417</v>
      </c>
      <c r="H2419" s="419" t="s">
        <v>466</v>
      </c>
      <c r="I2419" s="420"/>
      <c r="K2419" s="57" t="s">
        <v>825</v>
      </c>
      <c r="L2419" s="57" t="s">
        <v>335</v>
      </c>
      <c r="S2419" s="57">
        <v>0</v>
      </c>
    </row>
    <row r="2420" spans="1:19" ht="11.85" customHeight="1" x14ac:dyDescent="0.2">
      <c r="A2420" s="57" t="s">
        <v>825</v>
      </c>
      <c r="B2420" s="424"/>
      <c r="C2420" s="425"/>
      <c r="D2420" s="426"/>
      <c r="E2420" s="419" t="s">
        <v>765</v>
      </c>
      <c r="F2420" s="420"/>
      <c r="G2420" s="64" t="s">
        <v>758</v>
      </c>
      <c r="H2420" s="419" t="s">
        <v>425</v>
      </c>
      <c r="I2420" s="420"/>
      <c r="K2420" s="57" t="s">
        <v>825</v>
      </c>
      <c r="L2420" s="57" t="s">
        <v>335</v>
      </c>
      <c r="S2420" s="57">
        <v>0</v>
      </c>
    </row>
    <row r="2421" spans="1:19" ht="11.85" customHeight="1" x14ac:dyDescent="0.2">
      <c r="A2421" s="57" t="s">
        <v>825</v>
      </c>
      <c r="B2421" s="424"/>
      <c r="C2421" s="425"/>
      <c r="D2421" s="426"/>
      <c r="E2421" s="419" t="s">
        <v>775</v>
      </c>
      <c r="F2421" s="420"/>
      <c r="G2421" s="64" t="s">
        <v>503</v>
      </c>
      <c r="H2421" s="419" t="s">
        <v>423</v>
      </c>
      <c r="I2421" s="420"/>
      <c r="K2421" s="57" t="s">
        <v>825</v>
      </c>
      <c r="L2421" s="57" t="s">
        <v>335</v>
      </c>
      <c r="S2421" s="57">
        <v>0</v>
      </c>
    </row>
    <row r="2422" spans="1:19" ht="11.1" customHeight="1" x14ac:dyDescent="0.2">
      <c r="A2422" s="57" t="s">
        <v>825</v>
      </c>
      <c r="B2422" s="416"/>
      <c r="C2422" s="417"/>
      <c r="D2422" s="418"/>
      <c r="E2422" s="419" t="s">
        <v>776</v>
      </c>
      <c r="F2422" s="420"/>
      <c r="G2422" s="64" t="s">
        <v>503</v>
      </c>
      <c r="H2422" s="419" t="s">
        <v>423</v>
      </c>
      <c r="I2422" s="420"/>
      <c r="K2422" s="57" t="s">
        <v>825</v>
      </c>
      <c r="L2422" s="57" t="s">
        <v>335</v>
      </c>
      <c r="S2422" s="57">
        <v>0</v>
      </c>
    </row>
    <row r="2423" spans="1:19" ht="11.85" customHeight="1" x14ac:dyDescent="0.2">
      <c r="A2423" s="57" t="s">
        <v>825</v>
      </c>
      <c r="B2423" s="62"/>
      <c r="C2423" s="411" t="s">
        <v>826</v>
      </c>
      <c r="D2423" s="412"/>
      <c r="E2423" s="412"/>
      <c r="F2423" s="412"/>
      <c r="G2423" s="412"/>
      <c r="H2423" s="412"/>
      <c r="I2423" s="411"/>
      <c r="K2423" s="57" t="s">
        <v>825</v>
      </c>
      <c r="L2423" s="57" t="s">
        <v>335</v>
      </c>
      <c r="S2423" s="57">
        <v>0</v>
      </c>
    </row>
    <row r="2424" spans="1:19" ht="11.85" customHeight="1" x14ac:dyDescent="0.2">
      <c r="A2424" s="57" t="s">
        <v>826</v>
      </c>
      <c r="B2424" s="413" t="s">
        <v>794</v>
      </c>
      <c r="C2424" s="414"/>
      <c r="D2424" s="415"/>
      <c r="E2424" s="419" t="s">
        <v>817</v>
      </c>
      <c r="F2424" s="420"/>
      <c r="G2424" s="64" t="s">
        <v>417</v>
      </c>
      <c r="H2424" s="419" t="s">
        <v>425</v>
      </c>
      <c r="I2424" s="420"/>
      <c r="K2424" s="57" t="s">
        <v>826</v>
      </c>
      <c r="L2424" s="57" t="s">
        <v>336</v>
      </c>
      <c r="S2424" s="57">
        <v>0</v>
      </c>
    </row>
    <row r="2425" spans="1:19" ht="11.85" customHeight="1" x14ac:dyDescent="0.2">
      <c r="A2425" s="57" t="s">
        <v>826</v>
      </c>
      <c r="B2425" s="424"/>
      <c r="C2425" s="425"/>
      <c r="D2425" s="426"/>
      <c r="E2425" s="419" t="s">
        <v>818</v>
      </c>
      <c r="F2425" s="420"/>
      <c r="G2425" s="64" t="s">
        <v>417</v>
      </c>
      <c r="H2425" s="419" t="s">
        <v>772</v>
      </c>
      <c r="I2425" s="420"/>
      <c r="K2425" s="57" t="s">
        <v>826</v>
      </c>
      <c r="L2425" s="57" t="s">
        <v>336</v>
      </c>
      <c r="S2425" s="57">
        <v>0</v>
      </c>
    </row>
    <row r="2426" spans="1:19" ht="11.1" customHeight="1" x14ac:dyDescent="0.2">
      <c r="A2426" s="57" t="s">
        <v>826</v>
      </c>
      <c r="B2426" s="424"/>
      <c r="C2426" s="425"/>
      <c r="D2426" s="426"/>
      <c r="E2426" s="419" t="s">
        <v>795</v>
      </c>
      <c r="F2426" s="420"/>
      <c r="G2426" s="64" t="s">
        <v>796</v>
      </c>
      <c r="H2426" s="419" t="s">
        <v>770</v>
      </c>
      <c r="I2426" s="420"/>
      <c r="K2426" s="57" t="s">
        <v>826</v>
      </c>
      <c r="L2426" s="57" t="s">
        <v>336</v>
      </c>
      <c r="S2426" s="57">
        <v>0</v>
      </c>
    </row>
    <row r="2427" spans="1:19" ht="11.85" customHeight="1" x14ac:dyDescent="0.2">
      <c r="A2427" s="57" t="s">
        <v>826</v>
      </c>
      <c r="B2427" s="424"/>
      <c r="C2427" s="425"/>
      <c r="D2427" s="426"/>
      <c r="E2427" s="419" t="s">
        <v>797</v>
      </c>
      <c r="F2427" s="420"/>
      <c r="G2427" s="64" t="s">
        <v>798</v>
      </c>
      <c r="H2427" s="419" t="s">
        <v>425</v>
      </c>
      <c r="I2427" s="420"/>
      <c r="K2427" s="57" t="s">
        <v>826</v>
      </c>
      <c r="L2427" s="57" t="s">
        <v>336</v>
      </c>
      <c r="S2427" s="57">
        <v>0</v>
      </c>
    </row>
    <row r="2428" spans="1:19" ht="11.85" customHeight="1" x14ac:dyDescent="0.2">
      <c r="A2428" s="57" t="s">
        <v>826</v>
      </c>
      <c r="B2428" s="416"/>
      <c r="C2428" s="417"/>
      <c r="D2428" s="418"/>
      <c r="E2428" s="419" t="s">
        <v>799</v>
      </c>
      <c r="F2428" s="420"/>
      <c r="G2428" s="64" t="s">
        <v>798</v>
      </c>
      <c r="H2428" s="419" t="s">
        <v>414</v>
      </c>
      <c r="I2428" s="420"/>
      <c r="K2428" s="57" t="s">
        <v>826</v>
      </c>
      <c r="L2428" s="57" t="s">
        <v>336</v>
      </c>
      <c r="S2428" s="57">
        <v>0</v>
      </c>
    </row>
    <row r="2429" spans="1:19" ht="11.85" customHeight="1" x14ac:dyDescent="0.2">
      <c r="A2429" s="57" t="s">
        <v>826</v>
      </c>
      <c r="B2429" s="413" t="s">
        <v>416</v>
      </c>
      <c r="C2429" s="414"/>
      <c r="D2429" s="415"/>
      <c r="E2429" s="419" t="s">
        <v>800</v>
      </c>
      <c r="F2429" s="420"/>
      <c r="G2429" s="64" t="s">
        <v>801</v>
      </c>
      <c r="H2429" s="419" t="s">
        <v>423</v>
      </c>
      <c r="I2429" s="420"/>
      <c r="K2429" s="57" t="s">
        <v>826</v>
      </c>
      <c r="L2429" s="57" t="s">
        <v>336</v>
      </c>
      <c r="S2429" s="65">
        <v>41.47</v>
      </c>
    </row>
    <row r="2430" spans="1:19" ht="11.1" customHeight="1" x14ac:dyDescent="0.2">
      <c r="A2430" s="57" t="s">
        <v>826</v>
      </c>
      <c r="B2430" s="424"/>
      <c r="C2430" s="425"/>
      <c r="D2430" s="426"/>
      <c r="E2430" s="419" t="s">
        <v>819</v>
      </c>
      <c r="F2430" s="420"/>
      <c r="G2430" s="64" t="s">
        <v>796</v>
      </c>
      <c r="H2430" s="419" t="s">
        <v>418</v>
      </c>
      <c r="I2430" s="420"/>
      <c r="K2430" s="57" t="s">
        <v>826</v>
      </c>
      <c r="L2430" s="57" t="s">
        <v>336</v>
      </c>
      <c r="S2430" s="57">
        <v>0</v>
      </c>
    </row>
    <row r="2431" spans="1:19" ht="11.85" customHeight="1" x14ac:dyDescent="0.2">
      <c r="A2431" s="57" t="s">
        <v>826</v>
      </c>
      <c r="B2431" s="424"/>
      <c r="C2431" s="425"/>
      <c r="D2431" s="426"/>
      <c r="E2431" s="419" t="s">
        <v>820</v>
      </c>
      <c r="F2431" s="420"/>
      <c r="G2431" s="64" t="s">
        <v>417</v>
      </c>
      <c r="H2431" s="419" t="s">
        <v>466</v>
      </c>
      <c r="I2431" s="420"/>
      <c r="K2431" s="57" t="s">
        <v>826</v>
      </c>
      <c r="L2431" s="57" t="s">
        <v>336</v>
      </c>
      <c r="S2431" s="57">
        <v>0</v>
      </c>
    </row>
    <row r="2432" spans="1:19" ht="11.85" customHeight="1" x14ac:dyDescent="0.2">
      <c r="A2432" s="57" t="s">
        <v>826</v>
      </c>
      <c r="B2432" s="424"/>
      <c r="C2432" s="425"/>
      <c r="D2432" s="426"/>
      <c r="E2432" s="419" t="s">
        <v>821</v>
      </c>
      <c r="F2432" s="420"/>
      <c r="G2432" s="64" t="s">
        <v>798</v>
      </c>
      <c r="H2432" s="419" t="s">
        <v>467</v>
      </c>
      <c r="I2432" s="420"/>
      <c r="K2432" s="57" t="s">
        <v>826</v>
      </c>
      <c r="L2432" s="57" t="s">
        <v>336</v>
      </c>
      <c r="S2432" s="57">
        <v>0</v>
      </c>
    </row>
    <row r="2433" spans="1:19" ht="11.85" customHeight="1" x14ac:dyDescent="0.2">
      <c r="A2433" s="57" t="s">
        <v>826</v>
      </c>
      <c r="B2433" s="424"/>
      <c r="C2433" s="425"/>
      <c r="D2433" s="426"/>
      <c r="E2433" s="419" t="s">
        <v>822</v>
      </c>
      <c r="F2433" s="420"/>
      <c r="G2433" s="64" t="s">
        <v>417</v>
      </c>
      <c r="H2433" s="419" t="s">
        <v>466</v>
      </c>
      <c r="I2433" s="420"/>
      <c r="K2433" s="57" t="s">
        <v>826</v>
      </c>
      <c r="L2433" s="57" t="s">
        <v>336</v>
      </c>
      <c r="S2433" s="57">
        <v>0</v>
      </c>
    </row>
    <row r="2434" spans="1:19" ht="11.1" customHeight="1" x14ac:dyDescent="0.2">
      <c r="A2434" s="57" t="s">
        <v>826</v>
      </c>
      <c r="B2434" s="424"/>
      <c r="C2434" s="425"/>
      <c r="D2434" s="426"/>
      <c r="E2434" s="419" t="s">
        <v>765</v>
      </c>
      <c r="F2434" s="420"/>
      <c r="G2434" s="64" t="s">
        <v>758</v>
      </c>
      <c r="H2434" s="419" t="s">
        <v>425</v>
      </c>
      <c r="I2434" s="420"/>
      <c r="K2434" s="57" t="s">
        <v>826</v>
      </c>
      <c r="L2434" s="57" t="s">
        <v>336</v>
      </c>
      <c r="S2434" s="57">
        <v>0</v>
      </c>
    </row>
    <row r="2435" spans="1:19" ht="11.85" customHeight="1" x14ac:dyDescent="0.2">
      <c r="A2435" s="57" t="s">
        <v>826</v>
      </c>
      <c r="B2435" s="424"/>
      <c r="C2435" s="425"/>
      <c r="D2435" s="426"/>
      <c r="E2435" s="419" t="s">
        <v>775</v>
      </c>
      <c r="F2435" s="420"/>
      <c r="G2435" s="64" t="s">
        <v>503</v>
      </c>
      <c r="H2435" s="419" t="s">
        <v>423</v>
      </c>
      <c r="I2435" s="420"/>
      <c r="K2435" s="57" t="s">
        <v>826</v>
      </c>
      <c r="L2435" s="57" t="s">
        <v>336</v>
      </c>
      <c r="S2435" s="57">
        <v>0</v>
      </c>
    </row>
    <row r="2436" spans="1:19" ht="11.85" customHeight="1" x14ac:dyDescent="0.2">
      <c r="A2436" s="57" t="s">
        <v>826</v>
      </c>
      <c r="B2436" s="416"/>
      <c r="C2436" s="417"/>
      <c r="D2436" s="418"/>
      <c r="E2436" s="419" t="s">
        <v>776</v>
      </c>
      <c r="F2436" s="420"/>
      <c r="G2436" s="64" t="s">
        <v>503</v>
      </c>
      <c r="H2436" s="419" t="s">
        <v>423</v>
      </c>
      <c r="I2436" s="420"/>
      <c r="K2436" s="57" t="s">
        <v>826</v>
      </c>
      <c r="L2436" s="57" t="s">
        <v>336</v>
      </c>
      <c r="S2436" s="57">
        <v>0</v>
      </c>
    </row>
    <row r="2437" spans="1:19" ht="11.85" customHeight="1" x14ac:dyDescent="0.2">
      <c r="A2437" s="57" t="s">
        <v>826</v>
      </c>
      <c r="B2437" s="62"/>
      <c r="C2437" s="411" t="s">
        <v>827</v>
      </c>
      <c r="D2437" s="412"/>
      <c r="E2437" s="412"/>
      <c r="F2437" s="412"/>
      <c r="G2437" s="412"/>
      <c r="H2437" s="412"/>
      <c r="I2437" s="411"/>
      <c r="K2437" s="57" t="s">
        <v>826</v>
      </c>
      <c r="L2437" s="57" t="s">
        <v>336</v>
      </c>
      <c r="S2437" s="57">
        <v>0</v>
      </c>
    </row>
    <row r="2438" spans="1:19" ht="11.1" customHeight="1" x14ac:dyDescent="0.2">
      <c r="A2438" s="57" t="s">
        <v>827</v>
      </c>
      <c r="B2438" s="413" t="s">
        <v>794</v>
      </c>
      <c r="C2438" s="414"/>
      <c r="D2438" s="415"/>
      <c r="E2438" s="419" t="s">
        <v>817</v>
      </c>
      <c r="F2438" s="420"/>
      <c r="G2438" s="64" t="s">
        <v>417</v>
      </c>
      <c r="H2438" s="419" t="s">
        <v>425</v>
      </c>
      <c r="I2438" s="420"/>
      <c r="K2438" s="57" t="s">
        <v>827</v>
      </c>
      <c r="L2438" s="57" t="s">
        <v>337</v>
      </c>
      <c r="S2438" s="57">
        <v>0</v>
      </c>
    </row>
    <row r="2439" spans="1:19" ht="11.85" customHeight="1" x14ac:dyDescent="0.2">
      <c r="A2439" s="57" t="s">
        <v>827</v>
      </c>
      <c r="B2439" s="424"/>
      <c r="C2439" s="425"/>
      <c r="D2439" s="426"/>
      <c r="E2439" s="419" t="s">
        <v>818</v>
      </c>
      <c r="F2439" s="420"/>
      <c r="G2439" s="64" t="s">
        <v>417</v>
      </c>
      <c r="H2439" s="419" t="s">
        <v>772</v>
      </c>
      <c r="I2439" s="420"/>
      <c r="K2439" s="57" t="s">
        <v>827</v>
      </c>
      <c r="L2439" s="57" t="s">
        <v>337</v>
      </c>
      <c r="S2439" s="57">
        <v>0</v>
      </c>
    </row>
    <row r="2440" spans="1:19" ht="11.85" customHeight="1" x14ac:dyDescent="0.2">
      <c r="A2440" s="57" t="s">
        <v>827</v>
      </c>
      <c r="B2440" s="424"/>
      <c r="C2440" s="425"/>
      <c r="D2440" s="426"/>
      <c r="E2440" s="419" t="s">
        <v>795</v>
      </c>
      <c r="F2440" s="420"/>
      <c r="G2440" s="64" t="s">
        <v>796</v>
      </c>
      <c r="H2440" s="419" t="s">
        <v>770</v>
      </c>
      <c r="I2440" s="420"/>
      <c r="K2440" s="57" t="s">
        <v>827</v>
      </c>
      <c r="L2440" s="57" t="s">
        <v>337</v>
      </c>
      <c r="S2440" s="57">
        <v>0</v>
      </c>
    </row>
    <row r="2441" spans="1:19" ht="11.85" customHeight="1" x14ac:dyDescent="0.2">
      <c r="A2441" s="57" t="s">
        <v>827</v>
      </c>
      <c r="B2441" s="424"/>
      <c r="C2441" s="425"/>
      <c r="D2441" s="426"/>
      <c r="E2441" s="419" t="s">
        <v>797</v>
      </c>
      <c r="F2441" s="420"/>
      <c r="G2441" s="64" t="s">
        <v>798</v>
      </c>
      <c r="H2441" s="419" t="s">
        <v>425</v>
      </c>
      <c r="I2441" s="420"/>
      <c r="K2441" s="57" t="s">
        <v>827</v>
      </c>
      <c r="L2441" s="57" t="s">
        <v>337</v>
      </c>
      <c r="S2441" s="57">
        <v>0</v>
      </c>
    </row>
    <row r="2442" spans="1:19" ht="11.1" customHeight="1" x14ac:dyDescent="0.2">
      <c r="A2442" s="57" t="s">
        <v>827</v>
      </c>
      <c r="B2442" s="416"/>
      <c r="C2442" s="417"/>
      <c r="D2442" s="418"/>
      <c r="E2442" s="419" t="s">
        <v>799</v>
      </c>
      <c r="F2442" s="420"/>
      <c r="G2442" s="64" t="s">
        <v>798</v>
      </c>
      <c r="H2442" s="419" t="s">
        <v>414</v>
      </c>
      <c r="I2442" s="420"/>
      <c r="K2442" s="57" t="s">
        <v>827</v>
      </c>
      <c r="L2442" s="57" t="s">
        <v>337</v>
      </c>
      <c r="S2442" s="57">
        <v>0</v>
      </c>
    </row>
    <row r="2443" spans="1:19" ht="11.85" customHeight="1" x14ac:dyDescent="0.2">
      <c r="A2443" s="57" t="s">
        <v>827</v>
      </c>
      <c r="B2443" s="413" t="s">
        <v>416</v>
      </c>
      <c r="C2443" s="414"/>
      <c r="D2443" s="415"/>
      <c r="E2443" s="419" t="s">
        <v>800</v>
      </c>
      <c r="F2443" s="420"/>
      <c r="G2443" s="64" t="s">
        <v>801</v>
      </c>
      <c r="H2443" s="419" t="s">
        <v>423</v>
      </c>
      <c r="I2443" s="420"/>
      <c r="K2443" s="57" t="s">
        <v>827</v>
      </c>
      <c r="L2443" s="57" t="s">
        <v>337</v>
      </c>
      <c r="S2443" s="65">
        <v>41.47</v>
      </c>
    </row>
    <row r="2444" spans="1:19" ht="11.85" customHeight="1" x14ac:dyDescent="0.2">
      <c r="A2444" s="57" t="s">
        <v>827</v>
      </c>
      <c r="B2444" s="424"/>
      <c r="C2444" s="425"/>
      <c r="D2444" s="426"/>
      <c r="E2444" s="419" t="s">
        <v>819</v>
      </c>
      <c r="F2444" s="420"/>
      <c r="G2444" s="64" t="s">
        <v>796</v>
      </c>
      <c r="H2444" s="419" t="s">
        <v>418</v>
      </c>
      <c r="I2444" s="420"/>
      <c r="K2444" s="57" t="s">
        <v>827</v>
      </c>
      <c r="L2444" s="57" t="s">
        <v>337</v>
      </c>
      <c r="S2444" s="57">
        <v>0</v>
      </c>
    </row>
    <row r="2445" spans="1:19" ht="11.85" customHeight="1" x14ac:dyDescent="0.2">
      <c r="A2445" s="57" t="s">
        <v>827</v>
      </c>
      <c r="B2445" s="424"/>
      <c r="C2445" s="425"/>
      <c r="D2445" s="426"/>
      <c r="E2445" s="419" t="s">
        <v>820</v>
      </c>
      <c r="F2445" s="420"/>
      <c r="G2445" s="64" t="s">
        <v>417</v>
      </c>
      <c r="H2445" s="419" t="s">
        <v>466</v>
      </c>
      <c r="I2445" s="420"/>
      <c r="K2445" s="57" t="s">
        <v>827</v>
      </c>
      <c r="L2445" s="57" t="s">
        <v>337</v>
      </c>
      <c r="S2445" s="57">
        <v>0</v>
      </c>
    </row>
    <row r="2446" spans="1:19" ht="11.1" customHeight="1" x14ac:dyDescent="0.2">
      <c r="A2446" s="57" t="s">
        <v>827</v>
      </c>
      <c r="B2446" s="424"/>
      <c r="C2446" s="425"/>
      <c r="D2446" s="426"/>
      <c r="E2446" s="419" t="s">
        <v>821</v>
      </c>
      <c r="F2446" s="420"/>
      <c r="G2446" s="64" t="s">
        <v>798</v>
      </c>
      <c r="H2446" s="419" t="s">
        <v>467</v>
      </c>
      <c r="I2446" s="420"/>
      <c r="K2446" s="57" t="s">
        <v>827</v>
      </c>
      <c r="L2446" s="57" t="s">
        <v>337</v>
      </c>
      <c r="S2446" s="57">
        <v>0</v>
      </c>
    </row>
    <row r="2447" spans="1:19" ht="11.85" customHeight="1" x14ac:dyDescent="0.2">
      <c r="A2447" s="57" t="s">
        <v>827</v>
      </c>
      <c r="B2447" s="424"/>
      <c r="C2447" s="425"/>
      <c r="D2447" s="426"/>
      <c r="E2447" s="419" t="s">
        <v>822</v>
      </c>
      <c r="F2447" s="420"/>
      <c r="G2447" s="64" t="s">
        <v>417</v>
      </c>
      <c r="H2447" s="419" t="s">
        <v>466</v>
      </c>
      <c r="I2447" s="420"/>
      <c r="K2447" s="57" t="s">
        <v>827</v>
      </c>
      <c r="L2447" s="57" t="s">
        <v>337</v>
      </c>
      <c r="S2447" s="57">
        <v>0</v>
      </c>
    </row>
    <row r="2448" spans="1:19" ht="11.85" customHeight="1" x14ac:dyDescent="0.2">
      <c r="A2448" s="57" t="s">
        <v>827</v>
      </c>
      <c r="B2448" s="424"/>
      <c r="C2448" s="425"/>
      <c r="D2448" s="426"/>
      <c r="E2448" s="419" t="s">
        <v>765</v>
      </c>
      <c r="F2448" s="420"/>
      <c r="G2448" s="64" t="s">
        <v>758</v>
      </c>
      <c r="H2448" s="419" t="s">
        <v>425</v>
      </c>
      <c r="I2448" s="420"/>
      <c r="K2448" s="57" t="s">
        <v>827</v>
      </c>
      <c r="L2448" s="57" t="s">
        <v>337</v>
      </c>
      <c r="S2448" s="57">
        <v>0</v>
      </c>
    </row>
    <row r="2449" spans="1:19" ht="11.85" customHeight="1" x14ac:dyDescent="0.2">
      <c r="A2449" s="57" t="s">
        <v>827</v>
      </c>
      <c r="B2449" s="424"/>
      <c r="C2449" s="425"/>
      <c r="D2449" s="426"/>
      <c r="E2449" s="419" t="s">
        <v>775</v>
      </c>
      <c r="F2449" s="420"/>
      <c r="G2449" s="64" t="s">
        <v>503</v>
      </c>
      <c r="H2449" s="419" t="s">
        <v>423</v>
      </c>
      <c r="I2449" s="420"/>
      <c r="K2449" s="57" t="s">
        <v>827</v>
      </c>
      <c r="L2449" s="57" t="s">
        <v>337</v>
      </c>
      <c r="S2449" s="57">
        <v>0</v>
      </c>
    </row>
    <row r="2450" spans="1:19" ht="11.1" customHeight="1" x14ac:dyDescent="0.2">
      <c r="A2450" s="57" t="s">
        <v>827</v>
      </c>
      <c r="B2450" s="416"/>
      <c r="C2450" s="417"/>
      <c r="D2450" s="418"/>
      <c r="E2450" s="419" t="s">
        <v>776</v>
      </c>
      <c r="F2450" s="420"/>
      <c r="G2450" s="64" t="s">
        <v>503</v>
      </c>
      <c r="H2450" s="419" t="s">
        <v>423</v>
      </c>
      <c r="I2450" s="420"/>
      <c r="K2450" s="57" t="s">
        <v>827</v>
      </c>
      <c r="L2450" s="57" t="s">
        <v>337</v>
      </c>
      <c r="S2450" s="57">
        <v>0</v>
      </c>
    </row>
    <row r="2451" spans="1:19" ht="11.85" customHeight="1" x14ac:dyDescent="0.2">
      <c r="A2451" s="57" t="s">
        <v>827</v>
      </c>
      <c r="B2451" s="62"/>
      <c r="C2451" s="411" t="s">
        <v>828</v>
      </c>
      <c r="D2451" s="412"/>
      <c r="E2451" s="412"/>
      <c r="F2451" s="412"/>
      <c r="G2451" s="412"/>
      <c r="H2451" s="412"/>
      <c r="I2451" s="411"/>
      <c r="K2451" s="57" t="s">
        <v>827</v>
      </c>
      <c r="L2451" s="57" t="s">
        <v>337</v>
      </c>
      <c r="S2451" s="57">
        <v>0</v>
      </c>
    </row>
    <row r="2452" spans="1:19" ht="11.85" customHeight="1" x14ac:dyDescent="0.2">
      <c r="A2452" s="57" t="s">
        <v>828</v>
      </c>
      <c r="B2452" s="413" t="s">
        <v>794</v>
      </c>
      <c r="C2452" s="414"/>
      <c r="D2452" s="415"/>
      <c r="E2452" s="419" t="s">
        <v>817</v>
      </c>
      <c r="F2452" s="420"/>
      <c r="G2452" s="64" t="s">
        <v>417</v>
      </c>
      <c r="H2452" s="419" t="s">
        <v>425</v>
      </c>
      <c r="I2452" s="420"/>
      <c r="K2452" s="57" t="s">
        <v>828</v>
      </c>
      <c r="L2452" s="57" t="s">
        <v>338</v>
      </c>
      <c r="S2452" s="57">
        <v>0</v>
      </c>
    </row>
    <row r="2453" spans="1:19" ht="11.85" customHeight="1" x14ac:dyDescent="0.2">
      <c r="A2453" s="57" t="s">
        <v>828</v>
      </c>
      <c r="B2453" s="424"/>
      <c r="C2453" s="425"/>
      <c r="D2453" s="426"/>
      <c r="E2453" s="419" t="s">
        <v>818</v>
      </c>
      <c r="F2453" s="420"/>
      <c r="G2453" s="64" t="s">
        <v>417</v>
      </c>
      <c r="H2453" s="419" t="s">
        <v>772</v>
      </c>
      <c r="I2453" s="420"/>
      <c r="K2453" s="57" t="s">
        <v>828</v>
      </c>
      <c r="L2453" s="57" t="s">
        <v>338</v>
      </c>
      <c r="S2453" s="57">
        <v>0</v>
      </c>
    </row>
    <row r="2454" spans="1:19" ht="11.1" customHeight="1" x14ac:dyDescent="0.2">
      <c r="A2454" s="57" t="s">
        <v>828</v>
      </c>
      <c r="B2454" s="424"/>
      <c r="C2454" s="425"/>
      <c r="D2454" s="426"/>
      <c r="E2454" s="419" t="s">
        <v>795</v>
      </c>
      <c r="F2454" s="420"/>
      <c r="G2454" s="64" t="s">
        <v>796</v>
      </c>
      <c r="H2454" s="419" t="s">
        <v>770</v>
      </c>
      <c r="I2454" s="420"/>
      <c r="K2454" s="57" t="s">
        <v>828</v>
      </c>
      <c r="L2454" s="57" t="s">
        <v>338</v>
      </c>
      <c r="S2454" s="57">
        <v>0</v>
      </c>
    </row>
    <row r="2455" spans="1:19" ht="11.85" customHeight="1" x14ac:dyDescent="0.2">
      <c r="A2455" s="57" t="s">
        <v>828</v>
      </c>
      <c r="B2455" s="424"/>
      <c r="C2455" s="425"/>
      <c r="D2455" s="426"/>
      <c r="E2455" s="419" t="s">
        <v>797</v>
      </c>
      <c r="F2455" s="420"/>
      <c r="G2455" s="64" t="s">
        <v>798</v>
      </c>
      <c r="H2455" s="419" t="s">
        <v>425</v>
      </c>
      <c r="I2455" s="420"/>
      <c r="K2455" s="57" t="s">
        <v>828</v>
      </c>
      <c r="L2455" s="57" t="s">
        <v>338</v>
      </c>
      <c r="S2455" s="57">
        <v>0</v>
      </c>
    </row>
    <row r="2456" spans="1:19" ht="11.85" customHeight="1" x14ac:dyDescent="0.2">
      <c r="A2456" s="57" t="s">
        <v>828</v>
      </c>
      <c r="B2456" s="416"/>
      <c r="C2456" s="417"/>
      <c r="D2456" s="418"/>
      <c r="E2456" s="419" t="s">
        <v>799</v>
      </c>
      <c r="F2456" s="420"/>
      <c r="G2456" s="64" t="s">
        <v>798</v>
      </c>
      <c r="H2456" s="419" t="s">
        <v>414</v>
      </c>
      <c r="I2456" s="420"/>
      <c r="K2456" s="57" t="s">
        <v>828</v>
      </c>
      <c r="L2456" s="57" t="s">
        <v>338</v>
      </c>
      <c r="S2456" s="57">
        <v>0</v>
      </c>
    </row>
    <row r="2457" spans="1:19" ht="11.85" customHeight="1" x14ac:dyDescent="0.2">
      <c r="A2457" s="57" t="s">
        <v>828</v>
      </c>
      <c r="B2457" s="413" t="s">
        <v>416</v>
      </c>
      <c r="C2457" s="414"/>
      <c r="D2457" s="415"/>
      <c r="E2457" s="419" t="s">
        <v>800</v>
      </c>
      <c r="F2457" s="420"/>
      <c r="G2457" s="64" t="s">
        <v>801</v>
      </c>
      <c r="H2457" s="419" t="s">
        <v>423</v>
      </c>
      <c r="I2457" s="420"/>
      <c r="K2457" s="57" t="s">
        <v>828</v>
      </c>
      <c r="L2457" s="57" t="s">
        <v>338</v>
      </c>
      <c r="S2457" s="65">
        <v>41.47</v>
      </c>
    </row>
    <row r="2458" spans="1:19" ht="11.1" customHeight="1" x14ac:dyDescent="0.2">
      <c r="A2458" s="57" t="s">
        <v>828</v>
      </c>
      <c r="B2458" s="424"/>
      <c r="C2458" s="425"/>
      <c r="D2458" s="426"/>
      <c r="E2458" s="419" t="s">
        <v>819</v>
      </c>
      <c r="F2458" s="420"/>
      <c r="G2458" s="64" t="s">
        <v>796</v>
      </c>
      <c r="H2458" s="419" t="s">
        <v>418</v>
      </c>
      <c r="I2458" s="420"/>
      <c r="K2458" s="57" t="s">
        <v>828</v>
      </c>
      <c r="L2458" s="57" t="s">
        <v>338</v>
      </c>
      <c r="S2458" s="57">
        <v>0</v>
      </c>
    </row>
    <row r="2459" spans="1:19" ht="11.85" customHeight="1" x14ac:dyDescent="0.2">
      <c r="A2459" s="57" t="s">
        <v>828</v>
      </c>
      <c r="B2459" s="424"/>
      <c r="C2459" s="425"/>
      <c r="D2459" s="426"/>
      <c r="E2459" s="419" t="s">
        <v>820</v>
      </c>
      <c r="F2459" s="420"/>
      <c r="G2459" s="64" t="s">
        <v>417</v>
      </c>
      <c r="H2459" s="419" t="s">
        <v>466</v>
      </c>
      <c r="I2459" s="420"/>
      <c r="K2459" s="57" t="s">
        <v>828</v>
      </c>
      <c r="L2459" s="57" t="s">
        <v>338</v>
      </c>
      <c r="S2459" s="57">
        <v>0</v>
      </c>
    </row>
    <row r="2460" spans="1:19" ht="11.85" customHeight="1" x14ac:dyDescent="0.2">
      <c r="A2460" s="57" t="s">
        <v>828</v>
      </c>
      <c r="B2460" s="424"/>
      <c r="C2460" s="425"/>
      <c r="D2460" s="426"/>
      <c r="E2460" s="419" t="s">
        <v>821</v>
      </c>
      <c r="F2460" s="420"/>
      <c r="G2460" s="64" t="s">
        <v>798</v>
      </c>
      <c r="H2460" s="419" t="s">
        <v>467</v>
      </c>
      <c r="I2460" s="420"/>
      <c r="K2460" s="57" t="s">
        <v>828</v>
      </c>
      <c r="L2460" s="57" t="s">
        <v>338</v>
      </c>
      <c r="S2460" s="57">
        <v>0</v>
      </c>
    </row>
    <row r="2461" spans="1:19" ht="11.85" customHeight="1" x14ac:dyDescent="0.2">
      <c r="A2461" s="57" t="s">
        <v>828</v>
      </c>
      <c r="B2461" s="424"/>
      <c r="C2461" s="425"/>
      <c r="D2461" s="426"/>
      <c r="E2461" s="419" t="s">
        <v>822</v>
      </c>
      <c r="F2461" s="420"/>
      <c r="G2461" s="64" t="s">
        <v>417</v>
      </c>
      <c r="H2461" s="419" t="s">
        <v>466</v>
      </c>
      <c r="I2461" s="420"/>
      <c r="K2461" s="57" t="s">
        <v>828</v>
      </c>
      <c r="L2461" s="57" t="s">
        <v>338</v>
      </c>
      <c r="S2461" s="57">
        <v>0</v>
      </c>
    </row>
    <row r="2462" spans="1:19" ht="11.1" customHeight="1" x14ac:dyDescent="0.2">
      <c r="A2462" s="57" t="s">
        <v>828</v>
      </c>
      <c r="B2462" s="424"/>
      <c r="C2462" s="425"/>
      <c r="D2462" s="426"/>
      <c r="E2462" s="419" t="s">
        <v>765</v>
      </c>
      <c r="F2462" s="420"/>
      <c r="G2462" s="64" t="s">
        <v>758</v>
      </c>
      <c r="H2462" s="419" t="s">
        <v>425</v>
      </c>
      <c r="I2462" s="420"/>
      <c r="K2462" s="57" t="s">
        <v>828</v>
      </c>
      <c r="L2462" s="57" t="s">
        <v>338</v>
      </c>
      <c r="S2462" s="57">
        <v>0</v>
      </c>
    </row>
    <row r="2463" spans="1:19" ht="11.85" customHeight="1" x14ac:dyDescent="0.2">
      <c r="A2463" s="57" t="s">
        <v>828</v>
      </c>
      <c r="B2463" s="424"/>
      <c r="C2463" s="425"/>
      <c r="D2463" s="426"/>
      <c r="E2463" s="419" t="s">
        <v>775</v>
      </c>
      <c r="F2463" s="420"/>
      <c r="G2463" s="64" t="s">
        <v>503</v>
      </c>
      <c r="H2463" s="419" t="s">
        <v>423</v>
      </c>
      <c r="I2463" s="420"/>
      <c r="K2463" s="57" t="s">
        <v>828</v>
      </c>
      <c r="L2463" s="57" t="s">
        <v>338</v>
      </c>
      <c r="S2463" s="57">
        <v>0</v>
      </c>
    </row>
    <row r="2464" spans="1:19" ht="11.85" customHeight="1" x14ac:dyDescent="0.2">
      <c r="A2464" s="57" t="s">
        <v>828</v>
      </c>
      <c r="B2464" s="416"/>
      <c r="C2464" s="417"/>
      <c r="D2464" s="418"/>
      <c r="E2464" s="419" t="s">
        <v>776</v>
      </c>
      <c r="F2464" s="420"/>
      <c r="G2464" s="64" t="s">
        <v>503</v>
      </c>
      <c r="H2464" s="419" t="s">
        <v>423</v>
      </c>
      <c r="I2464" s="420"/>
      <c r="K2464" s="57" t="s">
        <v>828</v>
      </c>
      <c r="L2464" s="57" t="s">
        <v>338</v>
      </c>
      <c r="S2464" s="57">
        <v>0</v>
      </c>
    </row>
    <row r="2465" spans="1:19" ht="11.85" customHeight="1" x14ac:dyDescent="0.2">
      <c r="A2465" s="57" t="s">
        <v>828</v>
      </c>
      <c r="B2465" s="62"/>
      <c r="C2465" s="411" t="s">
        <v>829</v>
      </c>
      <c r="D2465" s="412"/>
      <c r="E2465" s="412"/>
      <c r="F2465" s="412"/>
      <c r="G2465" s="412"/>
      <c r="H2465" s="412"/>
      <c r="I2465" s="411"/>
      <c r="K2465" s="57" t="s">
        <v>828</v>
      </c>
      <c r="L2465" s="57" t="s">
        <v>338</v>
      </c>
      <c r="S2465" s="57">
        <v>0</v>
      </c>
    </row>
    <row r="2466" spans="1:19" ht="11.1" customHeight="1" x14ac:dyDescent="0.2">
      <c r="A2466" s="57" t="s">
        <v>829</v>
      </c>
      <c r="B2466" s="413" t="s">
        <v>794</v>
      </c>
      <c r="C2466" s="414"/>
      <c r="D2466" s="415"/>
      <c r="E2466" s="419" t="s">
        <v>817</v>
      </c>
      <c r="F2466" s="420"/>
      <c r="G2466" s="64" t="s">
        <v>417</v>
      </c>
      <c r="H2466" s="419" t="s">
        <v>425</v>
      </c>
      <c r="I2466" s="420"/>
      <c r="K2466" s="57" t="s">
        <v>829</v>
      </c>
      <c r="L2466" s="57" t="s">
        <v>339</v>
      </c>
      <c r="S2466" s="57">
        <v>0</v>
      </c>
    </row>
    <row r="2467" spans="1:19" ht="11.85" customHeight="1" x14ac:dyDescent="0.2">
      <c r="A2467" s="57" t="s">
        <v>829</v>
      </c>
      <c r="B2467" s="424"/>
      <c r="C2467" s="425"/>
      <c r="D2467" s="426"/>
      <c r="E2467" s="419" t="s">
        <v>818</v>
      </c>
      <c r="F2467" s="420"/>
      <c r="G2467" s="64" t="s">
        <v>417</v>
      </c>
      <c r="H2467" s="419" t="s">
        <v>772</v>
      </c>
      <c r="I2467" s="420"/>
      <c r="K2467" s="57" t="s">
        <v>829</v>
      </c>
      <c r="L2467" s="57" t="s">
        <v>339</v>
      </c>
      <c r="S2467" s="57">
        <v>0</v>
      </c>
    </row>
    <row r="2468" spans="1:19" ht="11.85" customHeight="1" x14ac:dyDescent="0.2">
      <c r="A2468" s="57" t="s">
        <v>829</v>
      </c>
      <c r="B2468" s="424"/>
      <c r="C2468" s="425"/>
      <c r="D2468" s="426"/>
      <c r="E2468" s="419" t="s">
        <v>795</v>
      </c>
      <c r="F2468" s="420"/>
      <c r="G2468" s="64" t="s">
        <v>796</v>
      </c>
      <c r="H2468" s="419" t="s">
        <v>770</v>
      </c>
      <c r="I2468" s="420"/>
      <c r="K2468" s="57" t="s">
        <v>829</v>
      </c>
      <c r="L2468" s="57" t="s">
        <v>339</v>
      </c>
      <c r="S2468" s="57">
        <v>0</v>
      </c>
    </row>
    <row r="2469" spans="1:19" ht="11.85" customHeight="1" x14ac:dyDescent="0.2">
      <c r="A2469" s="57" t="s">
        <v>829</v>
      </c>
      <c r="B2469" s="424"/>
      <c r="C2469" s="425"/>
      <c r="D2469" s="426"/>
      <c r="E2469" s="419" t="s">
        <v>797</v>
      </c>
      <c r="F2469" s="420"/>
      <c r="G2469" s="64" t="s">
        <v>798</v>
      </c>
      <c r="H2469" s="419" t="s">
        <v>425</v>
      </c>
      <c r="I2469" s="420"/>
      <c r="K2469" s="57" t="s">
        <v>829</v>
      </c>
      <c r="L2469" s="57" t="s">
        <v>339</v>
      </c>
      <c r="S2469" s="57">
        <v>0</v>
      </c>
    </row>
    <row r="2470" spans="1:19" ht="11.1" customHeight="1" x14ac:dyDescent="0.2">
      <c r="A2470" s="57" t="s">
        <v>829</v>
      </c>
      <c r="B2470" s="416"/>
      <c r="C2470" s="417"/>
      <c r="D2470" s="418"/>
      <c r="E2470" s="419" t="s">
        <v>799</v>
      </c>
      <c r="F2470" s="420"/>
      <c r="G2470" s="64" t="s">
        <v>798</v>
      </c>
      <c r="H2470" s="419" t="s">
        <v>414</v>
      </c>
      <c r="I2470" s="420"/>
      <c r="K2470" s="57" t="s">
        <v>829</v>
      </c>
      <c r="L2470" s="57" t="s">
        <v>339</v>
      </c>
      <c r="S2470" s="57">
        <v>0</v>
      </c>
    </row>
    <row r="2471" spans="1:19" ht="11.85" customHeight="1" x14ac:dyDescent="0.2">
      <c r="A2471" s="57" t="s">
        <v>829</v>
      </c>
      <c r="B2471" s="413" t="s">
        <v>416</v>
      </c>
      <c r="C2471" s="414"/>
      <c r="D2471" s="415"/>
      <c r="E2471" s="419" t="s">
        <v>800</v>
      </c>
      <c r="F2471" s="420"/>
      <c r="G2471" s="64" t="s">
        <v>801</v>
      </c>
      <c r="H2471" s="419" t="s">
        <v>423</v>
      </c>
      <c r="I2471" s="420"/>
      <c r="K2471" s="57" t="s">
        <v>829</v>
      </c>
      <c r="L2471" s="57" t="s">
        <v>339</v>
      </c>
      <c r="S2471" s="65">
        <v>41.47</v>
      </c>
    </row>
    <row r="2472" spans="1:19" ht="11.85" customHeight="1" x14ac:dyDescent="0.2">
      <c r="A2472" s="57" t="s">
        <v>829</v>
      </c>
      <c r="B2472" s="424"/>
      <c r="C2472" s="425"/>
      <c r="D2472" s="426"/>
      <c r="E2472" s="419" t="s">
        <v>819</v>
      </c>
      <c r="F2472" s="420"/>
      <c r="G2472" s="64" t="s">
        <v>796</v>
      </c>
      <c r="H2472" s="419" t="s">
        <v>418</v>
      </c>
      <c r="I2472" s="420"/>
      <c r="K2472" s="57" t="s">
        <v>829</v>
      </c>
      <c r="L2472" s="57" t="s">
        <v>339</v>
      </c>
      <c r="S2472" s="57">
        <v>0</v>
      </c>
    </row>
    <row r="2473" spans="1:19" ht="11.85" customHeight="1" x14ac:dyDescent="0.2">
      <c r="A2473" s="57" t="s">
        <v>829</v>
      </c>
      <c r="B2473" s="424"/>
      <c r="C2473" s="425"/>
      <c r="D2473" s="426"/>
      <c r="E2473" s="419" t="s">
        <v>820</v>
      </c>
      <c r="F2473" s="420"/>
      <c r="G2473" s="64" t="s">
        <v>417</v>
      </c>
      <c r="H2473" s="419" t="s">
        <v>466</v>
      </c>
      <c r="I2473" s="420"/>
      <c r="K2473" s="57" t="s">
        <v>829</v>
      </c>
      <c r="L2473" s="57" t="s">
        <v>339</v>
      </c>
      <c r="S2473" s="57">
        <v>0</v>
      </c>
    </row>
    <row r="2474" spans="1:19" ht="11.1" customHeight="1" x14ac:dyDescent="0.2">
      <c r="A2474" s="57" t="s">
        <v>829</v>
      </c>
      <c r="B2474" s="424"/>
      <c r="C2474" s="425"/>
      <c r="D2474" s="426"/>
      <c r="E2474" s="419" t="s">
        <v>821</v>
      </c>
      <c r="F2474" s="420"/>
      <c r="G2474" s="64" t="s">
        <v>798</v>
      </c>
      <c r="H2474" s="419" t="s">
        <v>467</v>
      </c>
      <c r="I2474" s="420"/>
      <c r="K2474" s="57" t="s">
        <v>829</v>
      </c>
      <c r="L2474" s="57" t="s">
        <v>339</v>
      </c>
      <c r="S2474" s="57">
        <v>0</v>
      </c>
    </row>
    <row r="2475" spans="1:19" ht="11.85" customHeight="1" x14ac:dyDescent="0.2">
      <c r="A2475" s="57" t="s">
        <v>829</v>
      </c>
      <c r="B2475" s="424"/>
      <c r="C2475" s="425"/>
      <c r="D2475" s="426"/>
      <c r="E2475" s="419" t="s">
        <v>822</v>
      </c>
      <c r="F2475" s="420"/>
      <c r="G2475" s="64" t="s">
        <v>417</v>
      </c>
      <c r="H2475" s="419" t="s">
        <v>466</v>
      </c>
      <c r="I2475" s="420"/>
      <c r="K2475" s="57" t="s">
        <v>829</v>
      </c>
      <c r="L2475" s="57" t="s">
        <v>339</v>
      </c>
      <c r="S2475" s="57">
        <v>0</v>
      </c>
    </row>
    <row r="2476" spans="1:19" ht="11.85" customHeight="1" x14ac:dyDescent="0.2">
      <c r="A2476" s="57" t="s">
        <v>829</v>
      </c>
      <c r="B2476" s="424"/>
      <c r="C2476" s="425"/>
      <c r="D2476" s="426"/>
      <c r="E2476" s="419" t="s">
        <v>765</v>
      </c>
      <c r="F2476" s="420"/>
      <c r="G2476" s="64" t="s">
        <v>758</v>
      </c>
      <c r="H2476" s="419" t="s">
        <v>425</v>
      </c>
      <c r="I2476" s="420"/>
      <c r="K2476" s="57" t="s">
        <v>829</v>
      </c>
      <c r="L2476" s="57" t="s">
        <v>339</v>
      </c>
      <c r="S2476" s="57">
        <v>0</v>
      </c>
    </row>
    <row r="2477" spans="1:19" ht="11.85" customHeight="1" x14ac:dyDescent="0.2">
      <c r="A2477" s="57" t="s">
        <v>829</v>
      </c>
      <c r="B2477" s="416"/>
      <c r="C2477" s="417"/>
      <c r="D2477" s="418"/>
      <c r="E2477" s="419" t="s">
        <v>775</v>
      </c>
      <c r="F2477" s="420"/>
      <c r="G2477" s="64" t="s">
        <v>503</v>
      </c>
      <c r="H2477" s="419" t="s">
        <v>423</v>
      </c>
      <c r="I2477" s="420"/>
      <c r="K2477" s="57" t="s">
        <v>829</v>
      </c>
      <c r="L2477" s="57" t="s">
        <v>339</v>
      </c>
      <c r="S2477" s="57">
        <v>0</v>
      </c>
    </row>
    <row r="2478" spans="1:19" ht="11.85" customHeight="1" x14ac:dyDescent="0.2">
      <c r="A2478" s="57" t="s">
        <v>829</v>
      </c>
      <c r="B2478" s="413" t="s">
        <v>416</v>
      </c>
      <c r="C2478" s="427"/>
      <c r="D2478" s="428"/>
      <c r="E2478" s="419" t="s">
        <v>776</v>
      </c>
      <c r="F2478" s="420"/>
      <c r="G2478" s="64" t="s">
        <v>503</v>
      </c>
      <c r="H2478" s="419" t="s">
        <v>423</v>
      </c>
      <c r="I2478" s="420"/>
      <c r="K2478" s="57" t="s">
        <v>829</v>
      </c>
      <c r="L2478" s="57" t="s">
        <v>339</v>
      </c>
      <c r="S2478" s="57">
        <v>0</v>
      </c>
    </row>
    <row r="2479" spans="1:19" ht="11.85" customHeight="1" x14ac:dyDescent="0.2">
      <c r="A2479" s="57" t="s">
        <v>829</v>
      </c>
      <c r="B2479" s="62"/>
      <c r="C2479" s="411" t="s">
        <v>830</v>
      </c>
      <c r="D2479" s="412"/>
      <c r="E2479" s="412"/>
      <c r="F2479" s="412"/>
      <c r="G2479" s="412"/>
      <c r="H2479" s="412"/>
      <c r="I2479" s="411"/>
      <c r="K2479" s="57" t="s">
        <v>829</v>
      </c>
      <c r="L2479" s="57" t="s">
        <v>339</v>
      </c>
      <c r="S2479" s="57">
        <v>0</v>
      </c>
    </row>
    <row r="2480" spans="1:19" ht="11.85" customHeight="1" x14ac:dyDescent="0.2">
      <c r="A2480" s="57" t="s">
        <v>830</v>
      </c>
      <c r="B2480" s="413" t="s">
        <v>794</v>
      </c>
      <c r="C2480" s="414"/>
      <c r="D2480" s="415"/>
      <c r="E2480" s="419" t="s">
        <v>817</v>
      </c>
      <c r="F2480" s="420"/>
      <c r="G2480" s="64" t="s">
        <v>417</v>
      </c>
      <c r="H2480" s="419" t="s">
        <v>425</v>
      </c>
      <c r="I2480" s="420"/>
      <c r="K2480" s="57" t="s">
        <v>830</v>
      </c>
      <c r="L2480" s="57" t="s">
        <v>340</v>
      </c>
      <c r="S2480" s="57">
        <v>0</v>
      </c>
    </row>
    <row r="2481" spans="1:19" ht="11.1" customHeight="1" x14ac:dyDescent="0.2">
      <c r="A2481" s="57" t="s">
        <v>830</v>
      </c>
      <c r="B2481" s="424"/>
      <c r="C2481" s="425"/>
      <c r="D2481" s="426"/>
      <c r="E2481" s="419" t="s">
        <v>818</v>
      </c>
      <c r="F2481" s="420"/>
      <c r="G2481" s="64" t="s">
        <v>417</v>
      </c>
      <c r="H2481" s="419" t="s">
        <v>772</v>
      </c>
      <c r="I2481" s="420"/>
      <c r="K2481" s="57" t="s">
        <v>830</v>
      </c>
      <c r="L2481" s="57" t="s">
        <v>340</v>
      </c>
      <c r="S2481" s="57">
        <v>0</v>
      </c>
    </row>
    <row r="2482" spans="1:19" ht="11.85" customHeight="1" x14ac:dyDescent="0.2">
      <c r="A2482" s="57" t="s">
        <v>830</v>
      </c>
      <c r="B2482" s="424"/>
      <c r="C2482" s="425"/>
      <c r="D2482" s="426"/>
      <c r="E2482" s="419" t="s">
        <v>795</v>
      </c>
      <c r="F2482" s="420"/>
      <c r="G2482" s="64" t="s">
        <v>796</v>
      </c>
      <c r="H2482" s="419" t="s">
        <v>770</v>
      </c>
      <c r="I2482" s="420"/>
      <c r="K2482" s="57" t="s">
        <v>830</v>
      </c>
      <c r="L2482" s="57" t="s">
        <v>340</v>
      </c>
      <c r="S2482" s="57">
        <v>0</v>
      </c>
    </row>
    <row r="2483" spans="1:19" ht="11.85" customHeight="1" x14ac:dyDescent="0.2">
      <c r="A2483" s="57" t="s">
        <v>830</v>
      </c>
      <c r="B2483" s="424"/>
      <c r="C2483" s="425"/>
      <c r="D2483" s="426"/>
      <c r="E2483" s="419" t="s">
        <v>797</v>
      </c>
      <c r="F2483" s="420"/>
      <c r="G2483" s="64" t="s">
        <v>798</v>
      </c>
      <c r="H2483" s="419" t="s">
        <v>425</v>
      </c>
      <c r="I2483" s="420"/>
      <c r="K2483" s="57" t="s">
        <v>830</v>
      </c>
      <c r="L2483" s="57" t="s">
        <v>340</v>
      </c>
      <c r="S2483" s="57">
        <v>0</v>
      </c>
    </row>
    <row r="2484" spans="1:19" ht="11.85" customHeight="1" x14ac:dyDescent="0.2">
      <c r="A2484" s="57" t="s">
        <v>830</v>
      </c>
      <c r="B2484" s="416"/>
      <c r="C2484" s="417"/>
      <c r="D2484" s="418"/>
      <c r="E2484" s="419" t="s">
        <v>799</v>
      </c>
      <c r="F2484" s="420"/>
      <c r="G2484" s="64" t="s">
        <v>798</v>
      </c>
      <c r="H2484" s="419" t="s">
        <v>414</v>
      </c>
      <c r="I2484" s="420"/>
      <c r="K2484" s="57" t="s">
        <v>830</v>
      </c>
      <c r="L2484" s="57" t="s">
        <v>340</v>
      </c>
      <c r="S2484" s="57">
        <v>0</v>
      </c>
    </row>
    <row r="2485" spans="1:19" ht="11.1" customHeight="1" x14ac:dyDescent="0.2">
      <c r="A2485" s="57" t="s">
        <v>830</v>
      </c>
      <c r="B2485" s="413" t="s">
        <v>416</v>
      </c>
      <c r="C2485" s="414"/>
      <c r="D2485" s="415"/>
      <c r="E2485" s="419" t="s">
        <v>800</v>
      </c>
      <c r="F2485" s="420"/>
      <c r="G2485" s="64" t="s">
        <v>801</v>
      </c>
      <c r="H2485" s="419" t="s">
        <v>423</v>
      </c>
      <c r="I2485" s="420"/>
      <c r="K2485" s="57" t="s">
        <v>830</v>
      </c>
      <c r="L2485" s="57" t="s">
        <v>340</v>
      </c>
      <c r="S2485" s="65">
        <v>41.47</v>
      </c>
    </row>
    <row r="2486" spans="1:19" ht="11.85" customHeight="1" x14ac:dyDescent="0.2">
      <c r="A2486" s="57" t="s">
        <v>830</v>
      </c>
      <c r="B2486" s="424"/>
      <c r="C2486" s="425"/>
      <c r="D2486" s="426"/>
      <c r="E2486" s="419" t="s">
        <v>819</v>
      </c>
      <c r="F2486" s="420"/>
      <c r="G2486" s="64" t="s">
        <v>796</v>
      </c>
      <c r="H2486" s="419" t="s">
        <v>418</v>
      </c>
      <c r="I2486" s="420"/>
      <c r="K2486" s="57" t="s">
        <v>830</v>
      </c>
      <c r="L2486" s="57" t="s">
        <v>340</v>
      </c>
      <c r="S2486" s="57">
        <v>0</v>
      </c>
    </row>
    <row r="2487" spans="1:19" ht="11.85" customHeight="1" x14ac:dyDescent="0.2">
      <c r="A2487" s="57" t="s">
        <v>830</v>
      </c>
      <c r="B2487" s="424"/>
      <c r="C2487" s="425"/>
      <c r="D2487" s="426"/>
      <c r="E2487" s="419" t="s">
        <v>820</v>
      </c>
      <c r="F2487" s="420"/>
      <c r="G2487" s="64" t="s">
        <v>417</v>
      </c>
      <c r="H2487" s="419" t="s">
        <v>466</v>
      </c>
      <c r="I2487" s="420"/>
      <c r="K2487" s="57" t="s">
        <v>830</v>
      </c>
      <c r="L2487" s="57" t="s">
        <v>340</v>
      </c>
      <c r="S2487" s="57">
        <v>0</v>
      </c>
    </row>
    <row r="2488" spans="1:19" ht="11.85" customHeight="1" x14ac:dyDescent="0.2">
      <c r="A2488" s="57" t="s">
        <v>830</v>
      </c>
      <c r="B2488" s="424"/>
      <c r="C2488" s="425"/>
      <c r="D2488" s="426"/>
      <c r="E2488" s="419" t="s">
        <v>821</v>
      </c>
      <c r="F2488" s="420"/>
      <c r="G2488" s="64" t="s">
        <v>798</v>
      </c>
      <c r="H2488" s="419" t="s">
        <v>467</v>
      </c>
      <c r="I2488" s="420"/>
      <c r="K2488" s="57" t="s">
        <v>830</v>
      </c>
      <c r="L2488" s="57" t="s">
        <v>340</v>
      </c>
      <c r="S2488" s="57">
        <v>0</v>
      </c>
    </row>
    <row r="2489" spans="1:19" ht="11.1" customHeight="1" x14ac:dyDescent="0.2">
      <c r="A2489" s="57" t="s">
        <v>830</v>
      </c>
      <c r="B2489" s="424"/>
      <c r="C2489" s="425"/>
      <c r="D2489" s="426"/>
      <c r="E2489" s="419" t="s">
        <v>822</v>
      </c>
      <c r="F2489" s="420"/>
      <c r="G2489" s="64" t="s">
        <v>417</v>
      </c>
      <c r="H2489" s="419" t="s">
        <v>466</v>
      </c>
      <c r="I2489" s="420"/>
      <c r="K2489" s="57" t="s">
        <v>830</v>
      </c>
      <c r="L2489" s="57" t="s">
        <v>340</v>
      </c>
      <c r="S2489" s="57">
        <v>0</v>
      </c>
    </row>
    <row r="2490" spans="1:19" ht="11.85" customHeight="1" x14ac:dyDescent="0.2">
      <c r="A2490" s="57" t="s">
        <v>830</v>
      </c>
      <c r="B2490" s="424"/>
      <c r="C2490" s="425"/>
      <c r="D2490" s="426"/>
      <c r="E2490" s="419" t="s">
        <v>765</v>
      </c>
      <c r="F2490" s="420"/>
      <c r="G2490" s="64" t="s">
        <v>758</v>
      </c>
      <c r="H2490" s="419" t="s">
        <v>425</v>
      </c>
      <c r="I2490" s="420"/>
      <c r="K2490" s="57" t="s">
        <v>830</v>
      </c>
      <c r="L2490" s="57" t="s">
        <v>340</v>
      </c>
      <c r="S2490" s="57">
        <v>0</v>
      </c>
    </row>
    <row r="2491" spans="1:19" ht="11.85" customHeight="1" x14ac:dyDescent="0.2">
      <c r="A2491" s="57" t="s">
        <v>830</v>
      </c>
      <c r="B2491" s="424"/>
      <c r="C2491" s="425"/>
      <c r="D2491" s="426"/>
      <c r="E2491" s="419" t="s">
        <v>775</v>
      </c>
      <c r="F2491" s="420"/>
      <c r="G2491" s="64" t="s">
        <v>503</v>
      </c>
      <c r="H2491" s="419" t="s">
        <v>423</v>
      </c>
      <c r="I2491" s="420"/>
      <c r="K2491" s="57" t="s">
        <v>830</v>
      </c>
      <c r="L2491" s="57" t="s">
        <v>340</v>
      </c>
      <c r="S2491" s="57">
        <v>0</v>
      </c>
    </row>
    <row r="2492" spans="1:19" ht="11.85" customHeight="1" x14ac:dyDescent="0.2">
      <c r="A2492" s="57" t="s">
        <v>830</v>
      </c>
      <c r="B2492" s="416"/>
      <c r="C2492" s="417"/>
      <c r="D2492" s="418"/>
      <c r="E2492" s="419" t="s">
        <v>776</v>
      </c>
      <c r="F2492" s="420"/>
      <c r="G2492" s="64" t="s">
        <v>503</v>
      </c>
      <c r="H2492" s="419" t="s">
        <v>423</v>
      </c>
      <c r="I2492" s="420"/>
      <c r="K2492" s="57" t="s">
        <v>830</v>
      </c>
      <c r="L2492" s="57" t="s">
        <v>340</v>
      </c>
      <c r="S2492" s="57">
        <v>0</v>
      </c>
    </row>
    <row r="2493" spans="1:19" ht="11.1" customHeight="1" x14ac:dyDescent="0.2">
      <c r="A2493" s="57" t="s">
        <v>830</v>
      </c>
      <c r="B2493" s="62"/>
      <c r="C2493" s="411" t="s">
        <v>831</v>
      </c>
      <c r="D2493" s="412"/>
      <c r="E2493" s="412"/>
      <c r="F2493" s="412"/>
      <c r="G2493" s="412"/>
      <c r="H2493" s="412"/>
      <c r="I2493" s="411"/>
      <c r="K2493" s="57" t="s">
        <v>830</v>
      </c>
      <c r="L2493" s="57" t="s">
        <v>340</v>
      </c>
      <c r="S2493" s="57">
        <v>0</v>
      </c>
    </row>
    <row r="2494" spans="1:19" ht="11.85" customHeight="1" x14ac:dyDescent="0.2">
      <c r="A2494" s="57" t="s">
        <v>831</v>
      </c>
      <c r="B2494" s="413" t="s">
        <v>488</v>
      </c>
      <c r="C2494" s="427"/>
      <c r="D2494" s="428"/>
      <c r="E2494" s="419" t="s">
        <v>757</v>
      </c>
      <c r="F2494" s="420"/>
      <c r="G2494" s="64" t="s">
        <v>758</v>
      </c>
      <c r="H2494" s="419" t="s">
        <v>423</v>
      </c>
      <c r="I2494" s="420"/>
      <c r="K2494" s="57" t="s">
        <v>831</v>
      </c>
      <c r="L2494" s="57" t="s">
        <v>341</v>
      </c>
      <c r="S2494" s="57">
        <v>0</v>
      </c>
    </row>
    <row r="2495" spans="1:19" ht="11.85" customHeight="1" x14ac:dyDescent="0.2">
      <c r="A2495" s="57" t="s">
        <v>831</v>
      </c>
      <c r="B2495" s="413" t="s">
        <v>794</v>
      </c>
      <c r="C2495" s="414"/>
      <c r="D2495" s="415"/>
      <c r="E2495" s="419" t="s">
        <v>817</v>
      </c>
      <c r="F2495" s="420"/>
      <c r="G2495" s="64" t="s">
        <v>417</v>
      </c>
      <c r="H2495" s="419" t="s">
        <v>425</v>
      </c>
      <c r="I2495" s="420"/>
      <c r="K2495" s="57" t="s">
        <v>831</v>
      </c>
      <c r="L2495" s="57" t="s">
        <v>341</v>
      </c>
      <c r="S2495" s="57">
        <v>0</v>
      </c>
    </row>
    <row r="2496" spans="1:19" ht="11.85" customHeight="1" x14ac:dyDescent="0.2">
      <c r="A2496" s="57" t="s">
        <v>831</v>
      </c>
      <c r="B2496" s="424"/>
      <c r="C2496" s="425"/>
      <c r="D2496" s="426"/>
      <c r="E2496" s="419" t="s">
        <v>818</v>
      </c>
      <c r="F2496" s="420"/>
      <c r="G2496" s="64" t="s">
        <v>417</v>
      </c>
      <c r="H2496" s="419" t="s">
        <v>772</v>
      </c>
      <c r="I2496" s="420"/>
      <c r="K2496" s="57" t="s">
        <v>831</v>
      </c>
      <c r="L2496" s="57" t="s">
        <v>341</v>
      </c>
      <c r="S2496" s="57">
        <v>0</v>
      </c>
    </row>
    <row r="2497" spans="1:19" ht="11.1" customHeight="1" x14ac:dyDescent="0.2">
      <c r="A2497" s="57" t="s">
        <v>831</v>
      </c>
      <c r="B2497" s="424"/>
      <c r="C2497" s="425"/>
      <c r="D2497" s="426"/>
      <c r="E2497" s="419" t="s">
        <v>795</v>
      </c>
      <c r="F2497" s="420"/>
      <c r="G2497" s="64" t="s">
        <v>796</v>
      </c>
      <c r="H2497" s="419" t="s">
        <v>770</v>
      </c>
      <c r="I2497" s="420"/>
      <c r="K2497" s="57" t="s">
        <v>831</v>
      </c>
      <c r="L2497" s="57" t="s">
        <v>341</v>
      </c>
      <c r="S2497" s="57">
        <v>0</v>
      </c>
    </row>
    <row r="2498" spans="1:19" ht="11.85" customHeight="1" x14ac:dyDescent="0.2">
      <c r="A2498" s="57" t="s">
        <v>831</v>
      </c>
      <c r="B2498" s="424"/>
      <c r="C2498" s="425"/>
      <c r="D2498" s="426"/>
      <c r="E2498" s="419" t="s">
        <v>797</v>
      </c>
      <c r="F2498" s="420"/>
      <c r="G2498" s="64" t="s">
        <v>798</v>
      </c>
      <c r="H2498" s="419" t="s">
        <v>425</v>
      </c>
      <c r="I2498" s="420"/>
      <c r="K2498" s="57" t="s">
        <v>831</v>
      </c>
      <c r="L2498" s="57" t="s">
        <v>341</v>
      </c>
      <c r="S2498" s="57">
        <v>0</v>
      </c>
    </row>
    <row r="2499" spans="1:19" ht="11.85" customHeight="1" x14ac:dyDescent="0.2">
      <c r="A2499" s="57" t="s">
        <v>831</v>
      </c>
      <c r="B2499" s="416"/>
      <c r="C2499" s="417"/>
      <c r="D2499" s="418"/>
      <c r="E2499" s="419" t="s">
        <v>799</v>
      </c>
      <c r="F2499" s="420"/>
      <c r="G2499" s="64" t="s">
        <v>798</v>
      </c>
      <c r="H2499" s="419" t="s">
        <v>414</v>
      </c>
      <c r="I2499" s="420"/>
      <c r="K2499" s="57" t="s">
        <v>831</v>
      </c>
      <c r="L2499" s="57" t="s">
        <v>341</v>
      </c>
      <c r="S2499" s="57">
        <v>0</v>
      </c>
    </row>
    <row r="2500" spans="1:19" ht="11.85" customHeight="1" x14ac:dyDescent="0.2">
      <c r="A2500" s="57" t="s">
        <v>831</v>
      </c>
      <c r="B2500" s="413" t="s">
        <v>416</v>
      </c>
      <c r="C2500" s="414"/>
      <c r="D2500" s="415"/>
      <c r="E2500" s="419" t="s">
        <v>800</v>
      </c>
      <c r="F2500" s="420"/>
      <c r="G2500" s="64" t="s">
        <v>801</v>
      </c>
      <c r="H2500" s="419" t="s">
        <v>423</v>
      </c>
      <c r="I2500" s="420"/>
      <c r="K2500" s="57" t="s">
        <v>831</v>
      </c>
      <c r="L2500" s="57" t="s">
        <v>341</v>
      </c>
      <c r="S2500" s="65">
        <v>41.47</v>
      </c>
    </row>
    <row r="2501" spans="1:19" ht="11.1" customHeight="1" x14ac:dyDescent="0.2">
      <c r="A2501" s="57" t="s">
        <v>831</v>
      </c>
      <c r="B2501" s="424"/>
      <c r="C2501" s="425"/>
      <c r="D2501" s="426"/>
      <c r="E2501" s="419" t="s">
        <v>819</v>
      </c>
      <c r="F2501" s="420"/>
      <c r="G2501" s="64" t="s">
        <v>796</v>
      </c>
      <c r="H2501" s="419" t="s">
        <v>418</v>
      </c>
      <c r="I2501" s="420"/>
      <c r="K2501" s="57" t="s">
        <v>831</v>
      </c>
      <c r="L2501" s="57" t="s">
        <v>341</v>
      </c>
      <c r="S2501" s="57">
        <v>0</v>
      </c>
    </row>
    <row r="2502" spans="1:19" ht="11.85" customHeight="1" x14ac:dyDescent="0.2">
      <c r="A2502" s="57" t="s">
        <v>831</v>
      </c>
      <c r="B2502" s="424"/>
      <c r="C2502" s="425"/>
      <c r="D2502" s="426"/>
      <c r="E2502" s="419" t="s">
        <v>820</v>
      </c>
      <c r="F2502" s="420"/>
      <c r="G2502" s="64" t="s">
        <v>417</v>
      </c>
      <c r="H2502" s="419" t="s">
        <v>466</v>
      </c>
      <c r="I2502" s="420"/>
      <c r="K2502" s="57" t="s">
        <v>831</v>
      </c>
      <c r="L2502" s="57" t="s">
        <v>341</v>
      </c>
      <c r="S2502" s="57">
        <v>0</v>
      </c>
    </row>
    <row r="2503" spans="1:19" ht="11.85" customHeight="1" x14ac:dyDescent="0.2">
      <c r="A2503" s="57" t="s">
        <v>831</v>
      </c>
      <c r="B2503" s="424"/>
      <c r="C2503" s="425"/>
      <c r="D2503" s="426"/>
      <c r="E2503" s="419" t="s">
        <v>821</v>
      </c>
      <c r="F2503" s="420"/>
      <c r="G2503" s="64" t="s">
        <v>798</v>
      </c>
      <c r="H2503" s="419" t="s">
        <v>467</v>
      </c>
      <c r="I2503" s="420"/>
      <c r="K2503" s="57" t="s">
        <v>831</v>
      </c>
      <c r="L2503" s="57" t="s">
        <v>341</v>
      </c>
      <c r="S2503" s="57">
        <v>0</v>
      </c>
    </row>
    <row r="2504" spans="1:19" ht="11.85" customHeight="1" x14ac:dyDescent="0.2">
      <c r="A2504" s="57" t="s">
        <v>831</v>
      </c>
      <c r="B2504" s="424"/>
      <c r="C2504" s="425"/>
      <c r="D2504" s="426"/>
      <c r="E2504" s="419" t="s">
        <v>822</v>
      </c>
      <c r="F2504" s="420"/>
      <c r="G2504" s="64" t="s">
        <v>417</v>
      </c>
      <c r="H2504" s="419" t="s">
        <v>466</v>
      </c>
      <c r="I2504" s="420"/>
      <c r="K2504" s="57" t="s">
        <v>831</v>
      </c>
      <c r="L2504" s="57" t="s">
        <v>341</v>
      </c>
      <c r="S2504" s="57">
        <v>0</v>
      </c>
    </row>
    <row r="2505" spans="1:19" ht="11.1" customHeight="1" x14ac:dyDescent="0.2">
      <c r="A2505" s="57" t="s">
        <v>831</v>
      </c>
      <c r="B2505" s="424"/>
      <c r="C2505" s="425"/>
      <c r="D2505" s="426"/>
      <c r="E2505" s="419" t="s">
        <v>765</v>
      </c>
      <c r="F2505" s="420"/>
      <c r="G2505" s="64" t="s">
        <v>758</v>
      </c>
      <c r="H2505" s="419" t="s">
        <v>425</v>
      </c>
      <c r="I2505" s="420"/>
      <c r="K2505" s="57" t="s">
        <v>831</v>
      </c>
      <c r="L2505" s="57" t="s">
        <v>341</v>
      </c>
      <c r="S2505" s="57">
        <v>0</v>
      </c>
    </row>
    <row r="2506" spans="1:19" ht="11.85" customHeight="1" x14ac:dyDescent="0.2">
      <c r="A2506" s="57" t="s">
        <v>831</v>
      </c>
      <c r="B2506" s="424"/>
      <c r="C2506" s="425"/>
      <c r="D2506" s="426"/>
      <c r="E2506" s="419" t="s">
        <v>775</v>
      </c>
      <c r="F2506" s="420"/>
      <c r="G2506" s="64" t="s">
        <v>503</v>
      </c>
      <c r="H2506" s="419" t="s">
        <v>423</v>
      </c>
      <c r="I2506" s="420"/>
      <c r="K2506" s="57" t="s">
        <v>831</v>
      </c>
      <c r="L2506" s="57" t="s">
        <v>341</v>
      </c>
      <c r="S2506" s="57">
        <v>0</v>
      </c>
    </row>
    <row r="2507" spans="1:19" ht="11.85" customHeight="1" x14ac:dyDescent="0.2">
      <c r="A2507" s="57" t="s">
        <v>831</v>
      </c>
      <c r="B2507" s="416"/>
      <c r="C2507" s="417"/>
      <c r="D2507" s="418"/>
      <c r="E2507" s="419" t="s">
        <v>776</v>
      </c>
      <c r="F2507" s="420"/>
      <c r="G2507" s="64" t="s">
        <v>503</v>
      </c>
      <c r="H2507" s="419" t="s">
        <v>423</v>
      </c>
      <c r="I2507" s="420"/>
      <c r="K2507" s="57" t="s">
        <v>831</v>
      </c>
      <c r="L2507" s="57" t="s">
        <v>341</v>
      </c>
      <c r="S2507" s="57">
        <v>0</v>
      </c>
    </row>
    <row r="2508" spans="1:19" ht="11.85" customHeight="1" x14ac:dyDescent="0.2">
      <c r="A2508" s="57" t="s">
        <v>831</v>
      </c>
      <c r="B2508" s="62"/>
      <c r="C2508" s="411" t="s">
        <v>832</v>
      </c>
      <c r="D2508" s="412"/>
      <c r="E2508" s="412"/>
      <c r="F2508" s="412"/>
      <c r="G2508" s="412"/>
      <c r="H2508" s="412"/>
      <c r="I2508" s="411"/>
      <c r="K2508" s="57" t="s">
        <v>831</v>
      </c>
      <c r="L2508" s="57" t="s">
        <v>341</v>
      </c>
      <c r="S2508" s="57">
        <v>0</v>
      </c>
    </row>
    <row r="2509" spans="1:19" ht="11.1" customHeight="1" x14ac:dyDescent="0.2">
      <c r="A2509" s="57" t="s">
        <v>832</v>
      </c>
      <c r="B2509" s="413" t="s">
        <v>794</v>
      </c>
      <c r="C2509" s="414"/>
      <c r="D2509" s="415"/>
      <c r="E2509" s="419" t="s">
        <v>817</v>
      </c>
      <c r="F2509" s="420"/>
      <c r="G2509" s="64" t="s">
        <v>417</v>
      </c>
      <c r="H2509" s="419" t="s">
        <v>425</v>
      </c>
      <c r="I2509" s="420"/>
      <c r="K2509" s="57" t="s">
        <v>832</v>
      </c>
      <c r="L2509" s="57" t="s">
        <v>342</v>
      </c>
      <c r="S2509" s="57">
        <v>0</v>
      </c>
    </row>
    <row r="2510" spans="1:19" ht="11.85" customHeight="1" x14ac:dyDescent="0.2">
      <c r="A2510" s="57" t="s">
        <v>832</v>
      </c>
      <c r="B2510" s="424"/>
      <c r="C2510" s="425"/>
      <c r="D2510" s="426"/>
      <c r="E2510" s="419" t="s">
        <v>818</v>
      </c>
      <c r="F2510" s="420"/>
      <c r="G2510" s="64" t="s">
        <v>417</v>
      </c>
      <c r="H2510" s="419" t="s">
        <v>772</v>
      </c>
      <c r="I2510" s="420"/>
      <c r="K2510" s="57" t="s">
        <v>832</v>
      </c>
      <c r="L2510" s="57" t="s">
        <v>342</v>
      </c>
      <c r="S2510" s="57">
        <v>0</v>
      </c>
    </row>
    <row r="2511" spans="1:19" ht="11.85" customHeight="1" x14ac:dyDescent="0.2">
      <c r="A2511" s="57" t="s">
        <v>832</v>
      </c>
      <c r="B2511" s="424"/>
      <c r="C2511" s="425"/>
      <c r="D2511" s="426"/>
      <c r="E2511" s="419" t="s">
        <v>795</v>
      </c>
      <c r="F2511" s="420"/>
      <c r="G2511" s="64" t="s">
        <v>796</v>
      </c>
      <c r="H2511" s="419" t="s">
        <v>770</v>
      </c>
      <c r="I2511" s="420"/>
      <c r="K2511" s="57" t="s">
        <v>832</v>
      </c>
      <c r="L2511" s="57" t="s">
        <v>342</v>
      </c>
      <c r="S2511" s="57">
        <v>0</v>
      </c>
    </row>
    <row r="2512" spans="1:19" ht="11.85" customHeight="1" x14ac:dyDescent="0.2">
      <c r="A2512" s="57" t="s">
        <v>832</v>
      </c>
      <c r="B2512" s="424"/>
      <c r="C2512" s="425"/>
      <c r="D2512" s="426"/>
      <c r="E2512" s="419" t="s">
        <v>797</v>
      </c>
      <c r="F2512" s="420"/>
      <c r="G2512" s="64" t="s">
        <v>798</v>
      </c>
      <c r="H2512" s="419" t="s">
        <v>425</v>
      </c>
      <c r="I2512" s="420"/>
      <c r="K2512" s="57" t="s">
        <v>832</v>
      </c>
      <c r="L2512" s="57" t="s">
        <v>342</v>
      </c>
      <c r="S2512" s="57">
        <v>0</v>
      </c>
    </row>
    <row r="2513" spans="1:19" ht="11.1" customHeight="1" x14ac:dyDescent="0.2">
      <c r="A2513" s="57" t="s">
        <v>832</v>
      </c>
      <c r="B2513" s="416"/>
      <c r="C2513" s="417"/>
      <c r="D2513" s="418"/>
      <c r="E2513" s="419" t="s">
        <v>799</v>
      </c>
      <c r="F2513" s="420"/>
      <c r="G2513" s="64" t="s">
        <v>798</v>
      </c>
      <c r="H2513" s="419" t="s">
        <v>414</v>
      </c>
      <c r="I2513" s="420"/>
      <c r="K2513" s="57" t="s">
        <v>832</v>
      </c>
      <c r="L2513" s="57" t="s">
        <v>342</v>
      </c>
      <c r="S2513" s="57">
        <v>0</v>
      </c>
    </row>
    <row r="2514" spans="1:19" ht="11.85" customHeight="1" x14ac:dyDescent="0.2">
      <c r="A2514" s="57" t="s">
        <v>832</v>
      </c>
      <c r="B2514" s="413" t="s">
        <v>416</v>
      </c>
      <c r="C2514" s="414"/>
      <c r="D2514" s="415"/>
      <c r="E2514" s="419" t="s">
        <v>800</v>
      </c>
      <c r="F2514" s="420"/>
      <c r="G2514" s="64" t="s">
        <v>801</v>
      </c>
      <c r="H2514" s="419" t="s">
        <v>423</v>
      </c>
      <c r="I2514" s="420"/>
      <c r="K2514" s="57" t="s">
        <v>832</v>
      </c>
      <c r="L2514" s="57" t="s">
        <v>342</v>
      </c>
      <c r="S2514" s="65">
        <v>41.47</v>
      </c>
    </row>
    <row r="2515" spans="1:19" ht="11.85" customHeight="1" x14ac:dyDescent="0.2">
      <c r="A2515" s="57" t="s">
        <v>832</v>
      </c>
      <c r="B2515" s="424"/>
      <c r="C2515" s="425"/>
      <c r="D2515" s="426"/>
      <c r="E2515" s="419" t="s">
        <v>819</v>
      </c>
      <c r="F2515" s="420"/>
      <c r="G2515" s="64" t="s">
        <v>796</v>
      </c>
      <c r="H2515" s="419" t="s">
        <v>418</v>
      </c>
      <c r="I2515" s="420"/>
      <c r="K2515" s="57" t="s">
        <v>832</v>
      </c>
      <c r="L2515" s="57" t="s">
        <v>342</v>
      </c>
      <c r="S2515" s="57">
        <v>0</v>
      </c>
    </row>
    <row r="2516" spans="1:19" ht="11.85" customHeight="1" x14ac:dyDescent="0.2">
      <c r="A2516" s="57" t="s">
        <v>832</v>
      </c>
      <c r="B2516" s="424"/>
      <c r="C2516" s="425"/>
      <c r="D2516" s="426"/>
      <c r="E2516" s="419" t="s">
        <v>820</v>
      </c>
      <c r="F2516" s="420"/>
      <c r="G2516" s="64" t="s">
        <v>417</v>
      </c>
      <c r="H2516" s="419" t="s">
        <v>466</v>
      </c>
      <c r="I2516" s="420"/>
      <c r="K2516" s="57" t="s">
        <v>832</v>
      </c>
      <c r="L2516" s="57" t="s">
        <v>342</v>
      </c>
      <c r="S2516" s="57">
        <v>0</v>
      </c>
    </row>
    <row r="2517" spans="1:19" ht="11.1" customHeight="1" x14ac:dyDescent="0.2">
      <c r="A2517" s="57" t="s">
        <v>832</v>
      </c>
      <c r="B2517" s="424"/>
      <c r="C2517" s="425"/>
      <c r="D2517" s="426"/>
      <c r="E2517" s="419" t="s">
        <v>821</v>
      </c>
      <c r="F2517" s="420"/>
      <c r="G2517" s="64" t="s">
        <v>798</v>
      </c>
      <c r="H2517" s="419" t="s">
        <v>467</v>
      </c>
      <c r="I2517" s="420"/>
      <c r="K2517" s="57" t="s">
        <v>832</v>
      </c>
      <c r="L2517" s="57" t="s">
        <v>342</v>
      </c>
      <c r="S2517" s="57">
        <v>0</v>
      </c>
    </row>
    <row r="2518" spans="1:19" ht="11.85" customHeight="1" x14ac:dyDescent="0.2">
      <c r="A2518" s="57" t="s">
        <v>832</v>
      </c>
      <c r="B2518" s="424"/>
      <c r="C2518" s="425"/>
      <c r="D2518" s="426"/>
      <c r="E2518" s="419" t="s">
        <v>822</v>
      </c>
      <c r="F2518" s="420"/>
      <c r="G2518" s="64" t="s">
        <v>417</v>
      </c>
      <c r="H2518" s="419" t="s">
        <v>466</v>
      </c>
      <c r="I2518" s="420"/>
      <c r="K2518" s="57" t="s">
        <v>832</v>
      </c>
      <c r="L2518" s="57" t="s">
        <v>342</v>
      </c>
      <c r="S2518" s="57">
        <v>0</v>
      </c>
    </row>
    <row r="2519" spans="1:19" ht="11.85" customHeight="1" x14ac:dyDescent="0.2">
      <c r="A2519" s="57" t="s">
        <v>832</v>
      </c>
      <c r="B2519" s="424"/>
      <c r="C2519" s="425"/>
      <c r="D2519" s="426"/>
      <c r="E2519" s="419" t="s">
        <v>765</v>
      </c>
      <c r="F2519" s="420"/>
      <c r="G2519" s="64" t="s">
        <v>758</v>
      </c>
      <c r="H2519" s="419" t="s">
        <v>425</v>
      </c>
      <c r="I2519" s="420"/>
      <c r="K2519" s="57" t="s">
        <v>832</v>
      </c>
      <c r="L2519" s="57" t="s">
        <v>342</v>
      </c>
      <c r="S2519" s="57">
        <v>0</v>
      </c>
    </row>
    <row r="2520" spans="1:19" ht="11.85" customHeight="1" x14ac:dyDescent="0.2">
      <c r="A2520" s="57" t="s">
        <v>832</v>
      </c>
      <c r="B2520" s="424"/>
      <c r="C2520" s="425"/>
      <c r="D2520" s="426"/>
      <c r="E2520" s="419" t="s">
        <v>775</v>
      </c>
      <c r="F2520" s="420"/>
      <c r="G2520" s="64" t="s">
        <v>503</v>
      </c>
      <c r="H2520" s="419" t="s">
        <v>423</v>
      </c>
      <c r="I2520" s="420"/>
      <c r="K2520" s="57" t="s">
        <v>832</v>
      </c>
      <c r="L2520" s="57" t="s">
        <v>342</v>
      </c>
      <c r="S2520" s="57">
        <v>0</v>
      </c>
    </row>
    <row r="2521" spans="1:19" ht="11.1" customHeight="1" x14ac:dyDescent="0.2">
      <c r="A2521" s="57" t="s">
        <v>832</v>
      </c>
      <c r="B2521" s="416"/>
      <c r="C2521" s="417"/>
      <c r="D2521" s="418"/>
      <c r="E2521" s="419" t="s">
        <v>776</v>
      </c>
      <c r="F2521" s="420"/>
      <c r="G2521" s="64" t="s">
        <v>503</v>
      </c>
      <c r="H2521" s="419" t="s">
        <v>423</v>
      </c>
      <c r="I2521" s="420"/>
      <c r="K2521" s="57" t="s">
        <v>832</v>
      </c>
      <c r="L2521" s="57" t="s">
        <v>342</v>
      </c>
      <c r="S2521" s="57">
        <v>0</v>
      </c>
    </row>
    <row r="2522" spans="1:19" ht="11.85" customHeight="1" x14ac:dyDescent="0.2">
      <c r="A2522" s="57" t="s">
        <v>832</v>
      </c>
      <c r="B2522" s="62"/>
      <c r="C2522" s="411" t="s">
        <v>833</v>
      </c>
      <c r="D2522" s="412"/>
      <c r="E2522" s="412"/>
      <c r="F2522" s="412"/>
      <c r="G2522" s="412"/>
      <c r="H2522" s="412"/>
      <c r="I2522" s="411"/>
      <c r="K2522" s="57" t="s">
        <v>832</v>
      </c>
      <c r="L2522" s="57" t="s">
        <v>342</v>
      </c>
      <c r="S2522" s="57">
        <v>0</v>
      </c>
    </row>
    <row r="2523" spans="1:19" ht="11.85" customHeight="1" x14ac:dyDescent="0.2">
      <c r="A2523" s="57" t="s">
        <v>833</v>
      </c>
      <c r="B2523" s="413" t="s">
        <v>794</v>
      </c>
      <c r="C2523" s="414"/>
      <c r="D2523" s="415"/>
      <c r="E2523" s="419" t="s">
        <v>817</v>
      </c>
      <c r="F2523" s="420"/>
      <c r="G2523" s="64" t="s">
        <v>417</v>
      </c>
      <c r="H2523" s="419" t="s">
        <v>425</v>
      </c>
      <c r="I2523" s="420"/>
      <c r="K2523" s="57" t="s">
        <v>833</v>
      </c>
      <c r="L2523" s="57" t="s">
        <v>343</v>
      </c>
      <c r="S2523" s="57">
        <v>0</v>
      </c>
    </row>
    <row r="2524" spans="1:19" ht="11.85" customHeight="1" x14ac:dyDescent="0.2">
      <c r="A2524" s="57" t="s">
        <v>833</v>
      </c>
      <c r="B2524" s="424"/>
      <c r="C2524" s="425"/>
      <c r="D2524" s="426"/>
      <c r="E2524" s="419" t="s">
        <v>818</v>
      </c>
      <c r="F2524" s="420"/>
      <c r="G2524" s="64" t="s">
        <v>417</v>
      </c>
      <c r="H2524" s="419" t="s">
        <v>772</v>
      </c>
      <c r="I2524" s="420"/>
      <c r="K2524" s="57" t="s">
        <v>833</v>
      </c>
      <c r="L2524" s="57" t="s">
        <v>343</v>
      </c>
      <c r="S2524" s="57">
        <v>0</v>
      </c>
    </row>
    <row r="2525" spans="1:19" ht="11.1" customHeight="1" x14ac:dyDescent="0.2">
      <c r="A2525" s="57" t="s">
        <v>833</v>
      </c>
      <c r="B2525" s="424"/>
      <c r="C2525" s="425"/>
      <c r="D2525" s="426"/>
      <c r="E2525" s="419" t="s">
        <v>795</v>
      </c>
      <c r="F2525" s="420"/>
      <c r="G2525" s="64" t="s">
        <v>796</v>
      </c>
      <c r="H2525" s="419" t="s">
        <v>770</v>
      </c>
      <c r="I2525" s="420"/>
      <c r="K2525" s="57" t="s">
        <v>833</v>
      </c>
      <c r="L2525" s="57" t="s">
        <v>343</v>
      </c>
      <c r="S2525" s="57">
        <v>0</v>
      </c>
    </row>
    <row r="2526" spans="1:19" ht="11.85" customHeight="1" x14ac:dyDescent="0.2">
      <c r="A2526" s="57" t="s">
        <v>833</v>
      </c>
      <c r="B2526" s="424"/>
      <c r="C2526" s="425"/>
      <c r="D2526" s="426"/>
      <c r="E2526" s="419" t="s">
        <v>797</v>
      </c>
      <c r="F2526" s="420"/>
      <c r="G2526" s="64" t="s">
        <v>798</v>
      </c>
      <c r="H2526" s="419" t="s">
        <v>425</v>
      </c>
      <c r="I2526" s="420"/>
      <c r="K2526" s="57" t="s">
        <v>833</v>
      </c>
      <c r="L2526" s="57" t="s">
        <v>343</v>
      </c>
      <c r="S2526" s="57">
        <v>0</v>
      </c>
    </row>
    <row r="2527" spans="1:19" ht="11.85" customHeight="1" x14ac:dyDescent="0.2">
      <c r="A2527" s="57" t="s">
        <v>833</v>
      </c>
      <c r="B2527" s="416"/>
      <c r="C2527" s="417"/>
      <c r="D2527" s="418"/>
      <c r="E2527" s="419" t="s">
        <v>799</v>
      </c>
      <c r="F2527" s="420"/>
      <c r="G2527" s="64" t="s">
        <v>798</v>
      </c>
      <c r="H2527" s="419" t="s">
        <v>414</v>
      </c>
      <c r="I2527" s="420"/>
      <c r="K2527" s="57" t="s">
        <v>833</v>
      </c>
      <c r="L2527" s="57" t="s">
        <v>343</v>
      </c>
      <c r="S2527" s="57">
        <v>0</v>
      </c>
    </row>
    <row r="2528" spans="1:19" ht="11.85" customHeight="1" x14ac:dyDescent="0.2">
      <c r="A2528" s="57" t="s">
        <v>833</v>
      </c>
      <c r="B2528" s="413" t="s">
        <v>416</v>
      </c>
      <c r="C2528" s="414"/>
      <c r="D2528" s="415"/>
      <c r="E2528" s="419" t="s">
        <v>800</v>
      </c>
      <c r="F2528" s="420"/>
      <c r="G2528" s="64" t="s">
        <v>801</v>
      </c>
      <c r="H2528" s="419" t="s">
        <v>423</v>
      </c>
      <c r="I2528" s="420"/>
      <c r="K2528" s="57" t="s">
        <v>833</v>
      </c>
      <c r="L2528" s="57" t="s">
        <v>343</v>
      </c>
      <c r="S2528" s="65">
        <v>41.47</v>
      </c>
    </row>
    <row r="2529" spans="1:19" ht="11.1" customHeight="1" x14ac:dyDescent="0.2">
      <c r="A2529" s="57" t="s">
        <v>833</v>
      </c>
      <c r="B2529" s="424"/>
      <c r="C2529" s="425"/>
      <c r="D2529" s="426"/>
      <c r="E2529" s="419" t="s">
        <v>819</v>
      </c>
      <c r="F2529" s="420"/>
      <c r="G2529" s="64" t="s">
        <v>796</v>
      </c>
      <c r="H2529" s="419" t="s">
        <v>418</v>
      </c>
      <c r="I2529" s="420"/>
      <c r="K2529" s="57" t="s">
        <v>833</v>
      </c>
      <c r="L2529" s="57" t="s">
        <v>343</v>
      </c>
      <c r="S2529" s="57">
        <v>0</v>
      </c>
    </row>
    <row r="2530" spans="1:19" ht="11.85" customHeight="1" x14ac:dyDescent="0.2">
      <c r="A2530" s="57" t="s">
        <v>833</v>
      </c>
      <c r="B2530" s="424"/>
      <c r="C2530" s="425"/>
      <c r="D2530" s="426"/>
      <c r="E2530" s="419" t="s">
        <v>820</v>
      </c>
      <c r="F2530" s="420"/>
      <c r="G2530" s="64" t="s">
        <v>417</v>
      </c>
      <c r="H2530" s="419" t="s">
        <v>466</v>
      </c>
      <c r="I2530" s="420"/>
      <c r="K2530" s="57" t="s">
        <v>833</v>
      </c>
      <c r="L2530" s="57" t="s">
        <v>343</v>
      </c>
      <c r="S2530" s="57">
        <v>0</v>
      </c>
    </row>
    <row r="2531" spans="1:19" ht="11.85" customHeight="1" x14ac:dyDescent="0.2">
      <c r="A2531" s="57" t="s">
        <v>833</v>
      </c>
      <c r="B2531" s="424"/>
      <c r="C2531" s="425"/>
      <c r="D2531" s="426"/>
      <c r="E2531" s="419" t="s">
        <v>821</v>
      </c>
      <c r="F2531" s="420"/>
      <c r="G2531" s="64" t="s">
        <v>798</v>
      </c>
      <c r="H2531" s="419" t="s">
        <v>467</v>
      </c>
      <c r="I2531" s="420"/>
      <c r="K2531" s="57" t="s">
        <v>833</v>
      </c>
      <c r="L2531" s="57" t="s">
        <v>343</v>
      </c>
      <c r="S2531" s="57">
        <v>0</v>
      </c>
    </row>
    <row r="2532" spans="1:19" ht="11.85" customHeight="1" x14ac:dyDescent="0.2">
      <c r="A2532" s="57" t="s">
        <v>833</v>
      </c>
      <c r="B2532" s="424"/>
      <c r="C2532" s="425"/>
      <c r="D2532" s="426"/>
      <c r="E2532" s="419" t="s">
        <v>822</v>
      </c>
      <c r="F2532" s="420"/>
      <c r="G2532" s="64" t="s">
        <v>417</v>
      </c>
      <c r="H2532" s="419" t="s">
        <v>466</v>
      </c>
      <c r="I2532" s="420"/>
      <c r="K2532" s="57" t="s">
        <v>833</v>
      </c>
      <c r="L2532" s="57" t="s">
        <v>343</v>
      </c>
      <c r="S2532" s="57">
        <v>0</v>
      </c>
    </row>
    <row r="2533" spans="1:19" ht="11.1" customHeight="1" x14ac:dyDescent="0.2">
      <c r="A2533" s="57" t="s">
        <v>833</v>
      </c>
      <c r="B2533" s="424"/>
      <c r="C2533" s="425"/>
      <c r="D2533" s="426"/>
      <c r="E2533" s="419" t="s">
        <v>765</v>
      </c>
      <c r="F2533" s="420"/>
      <c r="G2533" s="64" t="s">
        <v>758</v>
      </c>
      <c r="H2533" s="419" t="s">
        <v>425</v>
      </c>
      <c r="I2533" s="420"/>
      <c r="K2533" s="57" t="s">
        <v>833</v>
      </c>
      <c r="L2533" s="57" t="s">
        <v>343</v>
      </c>
      <c r="S2533" s="57">
        <v>0</v>
      </c>
    </row>
    <row r="2534" spans="1:19" ht="11.85" customHeight="1" x14ac:dyDescent="0.2">
      <c r="A2534" s="57" t="s">
        <v>833</v>
      </c>
      <c r="B2534" s="424"/>
      <c r="C2534" s="425"/>
      <c r="D2534" s="426"/>
      <c r="E2534" s="419" t="s">
        <v>775</v>
      </c>
      <c r="F2534" s="420"/>
      <c r="G2534" s="64" t="s">
        <v>503</v>
      </c>
      <c r="H2534" s="419" t="s">
        <v>423</v>
      </c>
      <c r="I2534" s="420"/>
      <c r="K2534" s="57" t="s">
        <v>833</v>
      </c>
      <c r="L2534" s="57" t="s">
        <v>343</v>
      </c>
      <c r="S2534" s="57">
        <v>0</v>
      </c>
    </row>
    <row r="2535" spans="1:19" ht="11.85" customHeight="1" x14ac:dyDescent="0.2">
      <c r="A2535" s="57" t="s">
        <v>833</v>
      </c>
      <c r="B2535" s="416"/>
      <c r="C2535" s="417"/>
      <c r="D2535" s="418"/>
      <c r="E2535" s="419" t="s">
        <v>776</v>
      </c>
      <c r="F2535" s="420"/>
      <c r="G2535" s="64" t="s">
        <v>503</v>
      </c>
      <c r="H2535" s="419" t="s">
        <v>423</v>
      </c>
      <c r="I2535" s="420"/>
      <c r="K2535" s="57" t="s">
        <v>833</v>
      </c>
      <c r="L2535" s="57" t="s">
        <v>343</v>
      </c>
      <c r="S2535" s="57">
        <v>0</v>
      </c>
    </row>
    <row r="2536" spans="1:19" ht="11.85" customHeight="1" x14ac:dyDescent="0.2">
      <c r="A2536" s="57" t="s">
        <v>833</v>
      </c>
      <c r="B2536" s="62"/>
      <c r="C2536" s="411" t="s">
        <v>834</v>
      </c>
      <c r="D2536" s="412"/>
      <c r="E2536" s="412"/>
      <c r="F2536" s="412"/>
      <c r="G2536" s="412"/>
      <c r="H2536" s="412"/>
      <c r="I2536" s="411"/>
      <c r="K2536" s="57" t="s">
        <v>833</v>
      </c>
      <c r="L2536" s="57" t="s">
        <v>343</v>
      </c>
      <c r="S2536" s="57">
        <v>0</v>
      </c>
    </row>
    <row r="2537" spans="1:19" ht="11.1" customHeight="1" x14ac:dyDescent="0.2">
      <c r="A2537" s="57" t="s">
        <v>834</v>
      </c>
      <c r="B2537" s="413" t="s">
        <v>794</v>
      </c>
      <c r="C2537" s="414"/>
      <c r="D2537" s="415"/>
      <c r="E2537" s="419" t="s">
        <v>817</v>
      </c>
      <c r="F2537" s="420"/>
      <c r="G2537" s="64" t="s">
        <v>417</v>
      </c>
      <c r="H2537" s="419" t="s">
        <v>425</v>
      </c>
      <c r="I2537" s="420"/>
      <c r="K2537" s="57" t="s">
        <v>834</v>
      </c>
      <c r="L2537" s="57" t="s">
        <v>344</v>
      </c>
      <c r="S2537" s="57">
        <v>0</v>
      </c>
    </row>
    <row r="2538" spans="1:19" ht="11.85" customHeight="1" x14ac:dyDescent="0.2">
      <c r="A2538" s="57" t="s">
        <v>834</v>
      </c>
      <c r="B2538" s="416"/>
      <c r="C2538" s="417"/>
      <c r="D2538" s="418"/>
      <c r="E2538" s="419" t="s">
        <v>797</v>
      </c>
      <c r="F2538" s="420"/>
      <c r="G2538" s="64" t="s">
        <v>798</v>
      </c>
      <c r="H2538" s="419" t="s">
        <v>425</v>
      </c>
      <c r="I2538" s="420"/>
      <c r="K2538" s="57" t="s">
        <v>834</v>
      </c>
      <c r="L2538" s="57" t="s">
        <v>344</v>
      </c>
      <c r="S2538" s="57">
        <v>0</v>
      </c>
    </row>
    <row r="2539" spans="1:19" ht="11.85" customHeight="1" x14ac:dyDescent="0.2">
      <c r="A2539" s="57" t="s">
        <v>834</v>
      </c>
      <c r="B2539" s="413" t="s">
        <v>416</v>
      </c>
      <c r="C2539" s="414"/>
      <c r="D2539" s="415"/>
      <c r="E2539" s="419" t="s">
        <v>819</v>
      </c>
      <c r="F2539" s="420"/>
      <c r="G2539" s="64" t="s">
        <v>796</v>
      </c>
      <c r="H2539" s="419" t="s">
        <v>418</v>
      </c>
      <c r="I2539" s="420"/>
      <c r="K2539" s="57" t="s">
        <v>834</v>
      </c>
      <c r="L2539" s="57" t="s">
        <v>344</v>
      </c>
      <c r="S2539" s="57">
        <v>0</v>
      </c>
    </row>
    <row r="2540" spans="1:19" ht="11.85" customHeight="1" x14ac:dyDescent="0.2">
      <c r="A2540" s="57" t="s">
        <v>834</v>
      </c>
      <c r="B2540" s="424"/>
      <c r="C2540" s="425"/>
      <c r="D2540" s="426"/>
      <c r="E2540" s="419" t="s">
        <v>820</v>
      </c>
      <c r="F2540" s="420"/>
      <c r="G2540" s="64" t="s">
        <v>417</v>
      </c>
      <c r="H2540" s="419" t="s">
        <v>466</v>
      </c>
      <c r="I2540" s="420"/>
      <c r="K2540" s="57" t="s">
        <v>834</v>
      </c>
      <c r="L2540" s="57" t="s">
        <v>344</v>
      </c>
      <c r="S2540" s="57">
        <v>0</v>
      </c>
    </row>
    <row r="2541" spans="1:19" ht="11.1" customHeight="1" x14ac:dyDescent="0.2">
      <c r="A2541" s="57" t="s">
        <v>834</v>
      </c>
      <c r="B2541" s="424"/>
      <c r="C2541" s="425"/>
      <c r="D2541" s="426"/>
      <c r="E2541" s="419" t="s">
        <v>821</v>
      </c>
      <c r="F2541" s="420"/>
      <c r="G2541" s="64" t="s">
        <v>798</v>
      </c>
      <c r="H2541" s="419" t="s">
        <v>467</v>
      </c>
      <c r="I2541" s="420"/>
      <c r="K2541" s="57" t="s">
        <v>834</v>
      </c>
      <c r="L2541" s="57" t="s">
        <v>344</v>
      </c>
      <c r="S2541" s="57">
        <v>0</v>
      </c>
    </row>
    <row r="2542" spans="1:19" ht="11.85" customHeight="1" x14ac:dyDescent="0.2">
      <c r="A2542" s="57" t="s">
        <v>834</v>
      </c>
      <c r="B2542" s="424"/>
      <c r="C2542" s="425"/>
      <c r="D2542" s="426"/>
      <c r="E2542" s="419" t="s">
        <v>822</v>
      </c>
      <c r="F2542" s="420"/>
      <c r="G2542" s="64" t="s">
        <v>417</v>
      </c>
      <c r="H2542" s="419" t="s">
        <v>466</v>
      </c>
      <c r="I2542" s="420"/>
      <c r="K2542" s="57" t="s">
        <v>834</v>
      </c>
      <c r="L2542" s="57" t="s">
        <v>344</v>
      </c>
      <c r="S2542" s="57">
        <v>0</v>
      </c>
    </row>
    <row r="2543" spans="1:19" ht="11.85" customHeight="1" x14ac:dyDescent="0.2">
      <c r="A2543" s="57" t="s">
        <v>834</v>
      </c>
      <c r="B2543" s="424"/>
      <c r="C2543" s="425"/>
      <c r="D2543" s="426"/>
      <c r="E2543" s="419" t="s">
        <v>765</v>
      </c>
      <c r="F2543" s="420"/>
      <c r="G2543" s="64" t="s">
        <v>758</v>
      </c>
      <c r="H2543" s="419" t="s">
        <v>425</v>
      </c>
      <c r="I2543" s="420"/>
      <c r="K2543" s="57" t="s">
        <v>834</v>
      </c>
      <c r="L2543" s="57" t="s">
        <v>344</v>
      </c>
      <c r="S2543" s="57">
        <v>0</v>
      </c>
    </row>
    <row r="2544" spans="1:19" ht="11.85" customHeight="1" x14ac:dyDescent="0.2">
      <c r="A2544" s="57" t="s">
        <v>834</v>
      </c>
      <c r="B2544" s="416"/>
      <c r="C2544" s="417"/>
      <c r="D2544" s="418"/>
      <c r="E2544" s="419" t="s">
        <v>776</v>
      </c>
      <c r="F2544" s="420"/>
      <c r="G2544" s="64" t="s">
        <v>503</v>
      </c>
      <c r="H2544" s="419" t="s">
        <v>423</v>
      </c>
      <c r="I2544" s="420"/>
      <c r="K2544" s="57" t="s">
        <v>834</v>
      </c>
      <c r="L2544" s="57" t="s">
        <v>344</v>
      </c>
      <c r="S2544" s="57">
        <v>0</v>
      </c>
    </row>
    <row r="2545" spans="1:19" ht="11.85" customHeight="1" x14ac:dyDescent="0.2">
      <c r="A2545" s="57" t="s">
        <v>834</v>
      </c>
      <c r="B2545" s="413" t="s">
        <v>416</v>
      </c>
      <c r="C2545" s="427"/>
      <c r="D2545" s="428"/>
      <c r="E2545" s="419" t="s">
        <v>835</v>
      </c>
      <c r="F2545" s="420"/>
      <c r="G2545" s="64" t="s">
        <v>836</v>
      </c>
      <c r="H2545" s="419" t="s">
        <v>423</v>
      </c>
      <c r="I2545" s="420"/>
      <c r="K2545" s="57" t="s">
        <v>834</v>
      </c>
      <c r="L2545" s="57" t="s">
        <v>344</v>
      </c>
      <c r="S2545" s="65">
        <v>37.89</v>
      </c>
    </row>
    <row r="2546" spans="1:19" ht="11.85" customHeight="1" x14ac:dyDescent="0.2">
      <c r="A2546" s="57" t="s">
        <v>834</v>
      </c>
      <c r="B2546" s="62"/>
      <c r="C2546" s="411" t="s">
        <v>837</v>
      </c>
      <c r="D2546" s="412"/>
      <c r="E2546" s="412"/>
      <c r="F2546" s="412"/>
      <c r="G2546" s="412"/>
      <c r="H2546" s="412"/>
      <c r="I2546" s="411"/>
      <c r="K2546" s="57" t="s">
        <v>834</v>
      </c>
      <c r="L2546" s="57" t="s">
        <v>344</v>
      </c>
      <c r="S2546" s="57">
        <v>0</v>
      </c>
    </row>
    <row r="2547" spans="1:19" ht="11.85" customHeight="1" x14ac:dyDescent="0.2">
      <c r="A2547" s="57" t="s">
        <v>837</v>
      </c>
      <c r="B2547" s="413" t="s">
        <v>794</v>
      </c>
      <c r="C2547" s="414"/>
      <c r="D2547" s="415"/>
      <c r="E2547" s="419" t="s">
        <v>817</v>
      </c>
      <c r="F2547" s="420"/>
      <c r="G2547" s="64" t="s">
        <v>417</v>
      </c>
      <c r="H2547" s="419" t="s">
        <v>425</v>
      </c>
      <c r="I2547" s="420"/>
      <c r="K2547" s="57" t="s">
        <v>837</v>
      </c>
      <c r="L2547" s="57" t="s">
        <v>345</v>
      </c>
      <c r="S2547" s="57">
        <v>0</v>
      </c>
    </row>
    <row r="2548" spans="1:19" ht="11.1" customHeight="1" x14ac:dyDescent="0.2">
      <c r="A2548" s="57" t="s">
        <v>837</v>
      </c>
      <c r="B2548" s="424"/>
      <c r="C2548" s="425"/>
      <c r="D2548" s="426"/>
      <c r="E2548" s="419" t="s">
        <v>818</v>
      </c>
      <c r="F2548" s="420"/>
      <c r="G2548" s="64" t="s">
        <v>417</v>
      </c>
      <c r="H2548" s="419" t="s">
        <v>772</v>
      </c>
      <c r="I2548" s="420"/>
      <c r="K2548" s="57" t="s">
        <v>837</v>
      </c>
      <c r="L2548" s="57" t="s">
        <v>345</v>
      </c>
      <c r="S2548" s="57">
        <v>0</v>
      </c>
    </row>
    <row r="2549" spans="1:19" ht="11.85" customHeight="1" x14ac:dyDescent="0.2">
      <c r="A2549" s="57" t="s">
        <v>837</v>
      </c>
      <c r="B2549" s="424"/>
      <c r="C2549" s="425"/>
      <c r="D2549" s="426"/>
      <c r="E2549" s="419" t="s">
        <v>795</v>
      </c>
      <c r="F2549" s="420"/>
      <c r="G2549" s="64" t="s">
        <v>796</v>
      </c>
      <c r="H2549" s="419" t="s">
        <v>770</v>
      </c>
      <c r="I2549" s="420"/>
      <c r="K2549" s="57" t="s">
        <v>837</v>
      </c>
      <c r="L2549" s="57" t="s">
        <v>345</v>
      </c>
      <c r="S2549" s="57">
        <v>0</v>
      </c>
    </row>
    <row r="2550" spans="1:19" ht="11.85" customHeight="1" x14ac:dyDescent="0.2">
      <c r="A2550" s="57" t="s">
        <v>837</v>
      </c>
      <c r="B2550" s="424"/>
      <c r="C2550" s="425"/>
      <c r="D2550" s="426"/>
      <c r="E2550" s="419" t="s">
        <v>797</v>
      </c>
      <c r="F2550" s="420"/>
      <c r="G2550" s="64" t="s">
        <v>798</v>
      </c>
      <c r="H2550" s="419" t="s">
        <v>425</v>
      </c>
      <c r="I2550" s="420"/>
      <c r="K2550" s="57" t="s">
        <v>837</v>
      </c>
      <c r="L2550" s="57" t="s">
        <v>345</v>
      </c>
      <c r="S2550" s="57">
        <v>0</v>
      </c>
    </row>
    <row r="2551" spans="1:19" ht="11.85" customHeight="1" x14ac:dyDescent="0.2">
      <c r="A2551" s="57" t="s">
        <v>837</v>
      </c>
      <c r="B2551" s="416"/>
      <c r="C2551" s="417"/>
      <c r="D2551" s="418"/>
      <c r="E2551" s="419" t="s">
        <v>799</v>
      </c>
      <c r="F2551" s="420"/>
      <c r="G2551" s="64" t="s">
        <v>798</v>
      </c>
      <c r="H2551" s="419" t="s">
        <v>414</v>
      </c>
      <c r="I2551" s="420"/>
      <c r="K2551" s="57" t="s">
        <v>837</v>
      </c>
      <c r="L2551" s="57" t="s">
        <v>345</v>
      </c>
      <c r="S2551" s="57">
        <v>0</v>
      </c>
    </row>
    <row r="2552" spans="1:19" ht="11.1" customHeight="1" x14ac:dyDescent="0.2">
      <c r="A2552" s="57" t="s">
        <v>837</v>
      </c>
      <c r="B2552" s="413" t="s">
        <v>416</v>
      </c>
      <c r="C2552" s="414"/>
      <c r="D2552" s="415"/>
      <c r="E2552" s="419" t="s">
        <v>800</v>
      </c>
      <c r="F2552" s="420"/>
      <c r="G2552" s="64" t="s">
        <v>801</v>
      </c>
      <c r="H2552" s="419" t="s">
        <v>423</v>
      </c>
      <c r="I2552" s="420"/>
      <c r="K2552" s="57" t="s">
        <v>837</v>
      </c>
      <c r="L2552" s="57" t="s">
        <v>345</v>
      </c>
      <c r="S2552" s="65">
        <v>41.47</v>
      </c>
    </row>
    <row r="2553" spans="1:19" ht="11.85" customHeight="1" x14ac:dyDescent="0.2">
      <c r="A2553" s="57" t="s">
        <v>837</v>
      </c>
      <c r="B2553" s="424"/>
      <c r="C2553" s="425"/>
      <c r="D2553" s="426"/>
      <c r="E2553" s="419" t="s">
        <v>819</v>
      </c>
      <c r="F2553" s="420"/>
      <c r="G2553" s="64" t="s">
        <v>796</v>
      </c>
      <c r="H2553" s="419" t="s">
        <v>418</v>
      </c>
      <c r="I2553" s="420"/>
      <c r="K2553" s="57" t="s">
        <v>837</v>
      </c>
      <c r="L2553" s="57" t="s">
        <v>345</v>
      </c>
      <c r="S2553" s="57">
        <v>0</v>
      </c>
    </row>
    <row r="2554" spans="1:19" ht="11.85" customHeight="1" x14ac:dyDescent="0.2">
      <c r="A2554" s="57" t="s">
        <v>837</v>
      </c>
      <c r="B2554" s="424"/>
      <c r="C2554" s="425"/>
      <c r="D2554" s="426"/>
      <c r="E2554" s="419" t="s">
        <v>820</v>
      </c>
      <c r="F2554" s="420"/>
      <c r="G2554" s="64" t="s">
        <v>417</v>
      </c>
      <c r="H2554" s="419" t="s">
        <v>466</v>
      </c>
      <c r="I2554" s="420"/>
      <c r="K2554" s="57" t="s">
        <v>837</v>
      </c>
      <c r="L2554" s="57" t="s">
        <v>345</v>
      </c>
      <c r="S2554" s="57">
        <v>0</v>
      </c>
    </row>
    <row r="2555" spans="1:19" ht="11.85" customHeight="1" x14ac:dyDescent="0.2">
      <c r="A2555" s="57" t="s">
        <v>837</v>
      </c>
      <c r="B2555" s="424"/>
      <c r="C2555" s="425"/>
      <c r="D2555" s="426"/>
      <c r="E2555" s="419" t="s">
        <v>821</v>
      </c>
      <c r="F2555" s="420"/>
      <c r="G2555" s="64" t="s">
        <v>798</v>
      </c>
      <c r="H2555" s="419" t="s">
        <v>467</v>
      </c>
      <c r="I2555" s="420"/>
      <c r="K2555" s="57" t="s">
        <v>837</v>
      </c>
      <c r="L2555" s="57" t="s">
        <v>345</v>
      </c>
      <c r="S2555" s="57">
        <v>0</v>
      </c>
    </row>
    <row r="2556" spans="1:19" ht="11.1" customHeight="1" x14ac:dyDescent="0.2">
      <c r="A2556" s="57" t="s">
        <v>837</v>
      </c>
      <c r="B2556" s="424"/>
      <c r="C2556" s="425"/>
      <c r="D2556" s="426"/>
      <c r="E2556" s="419" t="s">
        <v>822</v>
      </c>
      <c r="F2556" s="420"/>
      <c r="G2556" s="64" t="s">
        <v>417</v>
      </c>
      <c r="H2556" s="419" t="s">
        <v>466</v>
      </c>
      <c r="I2556" s="420"/>
      <c r="K2556" s="57" t="s">
        <v>837</v>
      </c>
      <c r="L2556" s="57" t="s">
        <v>345</v>
      </c>
      <c r="S2556" s="57">
        <v>0</v>
      </c>
    </row>
    <row r="2557" spans="1:19" ht="11.85" customHeight="1" x14ac:dyDescent="0.2">
      <c r="A2557" s="57" t="s">
        <v>837</v>
      </c>
      <c r="B2557" s="424"/>
      <c r="C2557" s="425"/>
      <c r="D2557" s="426"/>
      <c r="E2557" s="419" t="s">
        <v>765</v>
      </c>
      <c r="F2557" s="420"/>
      <c r="G2557" s="64" t="s">
        <v>758</v>
      </c>
      <c r="H2557" s="419" t="s">
        <v>425</v>
      </c>
      <c r="I2557" s="420"/>
      <c r="K2557" s="57" t="s">
        <v>837</v>
      </c>
      <c r="L2557" s="57" t="s">
        <v>345</v>
      </c>
      <c r="S2557" s="57">
        <v>0</v>
      </c>
    </row>
    <row r="2558" spans="1:19" ht="11.85" customHeight="1" x14ac:dyDescent="0.2">
      <c r="A2558" s="57" t="s">
        <v>837</v>
      </c>
      <c r="B2558" s="424"/>
      <c r="C2558" s="425"/>
      <c r="D2558" s="426"/>
      <c r="E2558" s="419" t="s">
        <v>775</v>
      </c>
      <c r="F2558" s="420"/>
      <c r="G2558" s="64" t="s">
        <v>503</v>
      </c>
      <c r="H2558" s="419" t="s">
        <v>423</v>
      </c>
      <c r="I2558" s="420"/>
      <c r="K2558" s="57" t="s">
        <v>837</v>
      </c>
      <c r="L2558" s="57" t="s">
        <v>345</v>
      </c>
      <c r="S2558" s="57">
        <v>0</v>
      </c>
    </row>
    <row r="2559" spans="1:19" ht="11.85" customHeight="1" x14ac:dyDescent="0.2">
      <c r="A2559" s="57" t="s">
        <v>837</v>
      </c>
      <c r="B2559" s="416"/>
      <c r="C2559" s="417"/>
      <c r="D2559" s="418"/>
      <c r="E2559" s="419" t="s">
        <v>776</v>
      </c>
      <c r="F2559" s="420"/>
      <c r="G2559" s="64" t="s">
        <v>503</v>
      </c>
      <c r="H2559" s="419" t="s">
        <v>423</v>
      </c>
      <c r="I2559" s="420"/>
      <c r="K2559" s="57" t="s">
        <v>837</v>
      </c>
      <c r="L2559" s="57" t="s">
        <v>345</v>
      </c>
      <c r="S2559" s="57">
        <v>0</v>
      </c>
    </row>
    <row r="2560" spans="1:19" ht="11.1" customHeight="1" x14ac:dyDescent="0.2">
      <c r="A2560" s="57" t="s">
        <v>837</v>
      </c>
      <c r="B2560" s="62"/>
      <c r="C2560" s="411" t="s">
        <v>838</v>
      </c>
      <c r="D2560" s="412"/>
      <c r="E2560" s="412"/>
      <c r="F2560" s="412"/>
      <c r="G2560" s="412"/>
      <c r="H2560" s="412"/>
      <c r="I2560" s="411"/>
      <c r="K2560" s="57" t="s">
        <v>837</v>
      </c>
      <c r="L2560" s="57" t="s">
        <v>345</v>
      </c>
      <c r="S2560" s="57">
        <v>0</v>
      </c>
    </row>
    <row r="2561" spans="1:19" ht="11.85" customHeight="1" x14ac:dyDescent="0.2">
      <c r="A2561" s="57" t="s">
        <v>838</v>
      </c>
      <c r="B2561" s="413" t="s">
        <v>794</v>
      </c>
      <c r="C2561" s="414"/>
      <c r="D2561" s="415"/>
      <c r="E2561" s="419" t="s">
        <v>817</v>
      </c>
      <c r="F2561" s="420"/>
      <c r="G2561" s="64" t="s">
        <v>417</v>
      </c>
      <c r="H2561" s="419" t="s">
        <v>425</v>
      </c>
      <c r="I2561" s="420"/>
      <c r="K2561" s="57" t="s">
        <v>838</v>
      </c>
      <c r="L2561" s="57" t="s">
        <v>346</v>
      </c>
      <c r="S2561" s="57">
        <v>0</v>
      </c>
    </row>
    <row r="2562" spans="1:19" ht="11.85" customHeight="1" x14ac:dyDescent="0.2">
      <c r="A2562" s="57" t="s">
        <v>838</v>
      </c>
      <c r="B2562" s="424"/>
      <c r="C2562" s="425"/>
      <c r="D2562" s="426"/>
      <c r="E2562" s="419" t="s">
        <v>818</v>
      </c>
      <c r="F2562" s="420"/>
      <c r="G2562" s="64" t="s">
        <v>417</v>
      </c>
      <c r="H2562" s="419" t="s">
        <v>772</v>
      </c>
      <c r="I2562" s="420"/>
      <c r="K2562" s="57" t="s">
        <v>838</v>
      </c>
      <c r="L2562" s="57" t="s">
        <v>346</v>
      </c>
      <c r="S2562" s="57">
        <v>0</v>
      </c>
    </row>
    <row r="2563" spans="1:19" ht="11.85" customHeight="1" x14ac:dyDescent="0.2">
      <c r="A2563" s="57" t="s">
        <v>838</v>
      </c>
      <c r="B2563" s="424"/>
      <c r="C2563" s="425"/>
      <c r="D2563" s="426"/>
      <c r="E2563" s="419" t="s">
        <v>795</v>
      </c>
      <c r="F2563" s="420"/>
      <c r="G2563" s="64" t="s">
        <v>796</v>
      </c>
      <c r="H2563" s="419" t="s">
        <v>770</v>
      </c>
      <c r="I2563" s="420"/>
      <c r="K2563" s="57" t="s">
        <v>838</v>
      </c>
      <c r="L2563" s="57" t="s">
        <v>346</v>
      </c>
      <c r="S2563" s="57">
        <v>0</v>
      </c>
    </row>
    <row r="2564" spans="1:19" ht="11.1" customHeight="1" x14ac:dyDescent="0.2">
      <c r="A2564" s="57" t="s">
        <v>838</v>
      </c>
      <c r="B2564" s="424"/>
      <c r="C2564" s="425"/>
      <c r="D2564" s="426"/>
      <c r="E2564" s="419" t="s">
        <v>797</v>
      </c>
      <c r="F2564" s="420"/>
      <c r="G2564" s="64" t="s">
        <v>798</v>
      </c>
      <c r="H2564" s="419" t="s">
        <v>425</v>
      </c>
      <c r="I2564" s="420"/>
      <c r="K2564" s="57" t="s">
        <v>838</v>
      </c>
      <c r="L2564" s="57" t="s">
        <v>346</v>
      </c>
      <c r="S2564" s="57">
        <v>0</v>
      </c>
    </row>
    <row r="2565" spans="1:19" ht="11.85" customHeight="1" x14ac:dyDescent="0.2">
      <c r="A2565" s="57" t="s">
        <v>838</v>
      </c>
      <c r="B2565" s="416"/>
      <c r="C2565" s="417"/>
      <c r="D2565" s="418"/>
      <c r="E2565" s="419" t="s">
        <v>799</v>
      </c>
      <c r="F2565" s="420"/>
      <c r="G2565" s="64" t="s">
        <v>798</v>
      </c>
      <c r="H2565" s="419" t="s">
        <v>414</v>
      </c>
      <c r="I2565" s="420"/>
      <c r="K2565" s="57" t="s">
        <v>838</v>
      </c>
      <c r="L2565" s="57" t="s">
        <v>346</v>
      </c>
      <c r="S2565" s="57">
        <v>0</v>
      </c>
    </row>
    <row r="2566" spans="1:19" ht="11.85" customHeight="1" x14ac:dyDescent="0.2">
      <c r="A2566" s="57" t="s">
        <v>838</v>
      </c>
      <c r="B2566" s="413" t="s">
        <v>416</v>
      </c>
      <c r="C2566" s="414"/>
      <c r="D2566" s="415"/>
      <c r="E2566" s="419" t="s">
        <v>800</v>
      </c>
      <c r="F2566" s="420"/>
      <c r="G2566" s="64" t="s">
        <v>801</v>
      </c>
      <c r="H2566" s="419" t="s">
        <v>423</v>
      </c>
      <c r="I2566" s="420"/>
      <c r="K2566" s="57" t="s">
        <v>838</v>
      </c>
      <c r="L2566" s="57" t="s">
        <v>346</v>
      </c>
      <c r="S2566" s="65">
        <v>41.47</v>
      </c>
    </row>
    <row r="2567" spans="1:19" ht="11.85" customHeight="1" x14ac:dyDescent="0.2">
      <c r="A2567" s="57" t="s">
        <v>838</v>
      </c>
      <c r="B2567" s="424"/>
      <c r="C2567" s="425"/>
      <c r="D2567" s="426"/>
      <c r="E2567" s="419" t="s">
        <v>819</v>
      </c>
      <c r="F2567" s="420"/>
      <c r="G2567" s="64" t="s">
        <v>796</v>
      </c>
      <c r="H2567" s="419" t="s">
        <v>418</v>
      </c>
      <c r="I2567" s="420"/>
      <c r="K2567" s="57" t="s">
        <v>838</v>
      </c>
      <c r="L2567" s="57" t="s">
        <v>346</v>
      </c>
      <c r="S2567" s="57">
        <v>0</v>
      </c>
    </row>
    <row r="2568" spans="1:19" ht="11.1" customHeight="1" x14ac:dyDescent="0.2">
      <c r="A2568" s="57" t="s">
        <v>838</v>
      </c>
      <c r="B2568" s="424"/>
      <c r="C2568" s="425"/>
      <c r="D2568" s="426"/>
      <c r="E2568" s="419" t="s">
        <v>820</v>
      </c>
      <c r="F2568" s="420"/>
      <c r="G2568" s="64" t="s">
        <v>417</v>
      </c>
      <c r="H2568" s="419" t="s">
        <v>466</v>
      </c>
      <c r="I2568" s="420"/>
      <c r="K2568" s="57" t="s">
        <v>838</v>
      </c>
      <c r="L2568" s="57" t="s">
        <v>346</v>
      </c>
      <c r="S2568" s="57">
        <v>0</v>
      </c>
    </row>
    <row r="2569" spans="1:19" ht="11.85" customHeight="1" x14ac:dyDescent="0.2">
      <c r="A2569" s="57" t="s">
        <v>838</v>
      </c>
      <c r="B2569" s="424"/>
      <c r="C2569" s="425"/>
      <c r="D2569" s="426"/>
      <c r="E2569" s="419" t="s">
        <v>821</v>
      </c>
      <c r="F2569" s="420"/>
      <c r="G2569" s="64" t="s">
        <v>798</v>
      </c>
      <c r="H2569" s="419" t="s">
        <v>467</v>
      </c>
      <c r="I2569" s="420"/>
      <c r="K2569" s="57" t="s">
        <v>838</v>
      </c>
      <c r="L2569" s="57" t="s">
        <v>346</v>
      </c>
      <c r="S2569" s="57">
        <v>0</v>
      </c>
    </row>
    <row r="2570" spans="1:19" ht="11.85" customHeight="1" x14ac:dyDescent="0.2">
      <c r="A2570" s="57" t="s">
        <v>838</v>
      </c>
      <c r="B2570" s="424"/>
      <c r="C2570" s="425"/>
      <c r="D2570" s="426"/>
      <c r="E2570" s="419" t="s">
        <v>822</v>
      </c>
      <c r="F2570" s="420"/>
      <c r="G2570" s="64" t="s">
        <v>417</v>
      </c>
      <c r="H2570" s="419" t="s">
        <v>466</v>
      </c>
      <c r="I2570" s="420"/>
      <c r="K2570" s="57" t="s">
        <v>838</v>
      </c>
      <c r="L2570" s="57" t="s">
        <v>346</v>
      </c>
      <c r="S2570" s="57">
        <v>0</v>
      </c>
    </row>
    <row r="2571" spans="1:19" ht="11.85" customHeight="1" x14ac:dyDescent="0.2">
      <c r="A2571" s="57" t="s">
        <v>838</v>
      </c>
      <c r="B2571" s="424"/>
      <c r="C2571" s="425"/>
      <c r="D2571" s="426"/>
      <c r="E2571" s="419" t="s">
        <v>765</v>
      </c>
      <c r="F2571" s="420"/>
      <c r="G2571" s="64" t="s">
        <v>758</v>
      </c>
      <c r="H2571" s="419" t="s">
        <v>425</v>
      </c>
      <c r="I2571" s="420"/>
      <c r="K2571" s="57" t="s">
        <v>838</v>
      </c>
      <c r="L2571" s="57" t="s">
        <v>346</v>
      </c>
      <c r="S2571" s="57">
        <v>0</v>
      </c>
    </row>
    <row r="2572" spans="1:19" ht="11.1" customHeight="1" x14ac:dyDescent="0.2">
      <c r="A2572" s="57" t="s">
        <v>838</v>
      </c>
      <c r="B2572" s="424"/>
      <c r="C2572" s="425"/>
      <c r="D2572" s="426"/>
      <c r="E2572" s="419" t="s">
        <v>775</v>
      </c>
      <c r="F2572" s="420"/>
      <c r="G2572" s="64" t="s">
        <v>503</v>
      </c>
      <c r="H2572" s="419" t="s">
        <v>423</v>
      </c>
      <c r="I2572" s="420"/>
      <c r="K2572" s="57" t="s">
        <v>838</v>
      </c>
      <c r="L2572" s="57" t="s">
        <v>346</v>
      </c>
      <c r="S2572" s="57">
        <v>0</v>
      </c>
    </row>
    <row r="2573" spans="1:19" ht="11.85" customHeight="1" x14ac:dyDescent="0.2">
      <c r="A2573" s="57" t="s">
        <v>838</v>
      </c>
      <c r="B2573" s="416"/>
      <c r="C2573" s="417"/>
      <c r="D2573" s="418"/>
      <c r="E2573" s="419" t="s">
        <v>776</v>
      </c>
      <c r="F2573" s="420"/>
      <c r="G2573" s="64" t="s">
        <v>503</v>
      </c>
      <c r="H2573" s="419" t="s">
        <v>423</v>
      </c>
      <c r="I2573" s="420"/>
      <c r="K2573" s="57" t="s">
        <v>838</v>
      </c>
      <c r="L2573" s="57" t="s">
        <v>346</v>
      </c>
      <c r="S2573" s="57">
        <v>0</v>
      </c>
    </row>
    <row r="2574" spans="1:19" ht="11.85" customHeight="1" x14ac:dyDescent="0.2">
      <c r="A2574" s="57" t="s">
        <v>838</v>
      </c>
      <c r="B2574" s="62"/>
      <c r="C2574" s="411" t="s">
        <v>839</v>
      </c>
      <c r="D2574" s="412"/>
      <c r="E2574" s="412"/>
      <c r="F2574" s="412"/>
      <c r="G2574" s="412"/>
      <c r="H2574" s="412"/>
      <c r="I2574" s="411"/>
      <c r="K2574" s="57" t="s">
        <v>838</v>
      </c>
      <c r="L2574" s="57" t="s">
        <v>346</v>
      </c>
      <c r="S2574" s="57">
        <v>0</v>
      </c>
    </row>
    <row r="2575" spans="1:19" ht="11.85" customHeight="1" x14ac:dyDescent="0.2">
      <c r="A2575" s="57" t="s">
        <v>839</v>
      </c>
      <c r="B2575" s="413" t="s">
        <v>794</v>
      </c>
      <c r="C2575" s="414"/>
      <c r="D2575" s="415"/>
      <c r="E2575" s="419" t="s">
        <v>817</v>
      </c>
      <c r="F2575" s="420"/>
      <c r="G2575" s="64" t="s">
        <v>417</v>
      </c>
      <c r="H2575" s="419" t="s">
        <v>425</v>
      </c>
      <c r="I2575" s="420"/>
      <c r="K2575" s="57" t="s">
        <v>839</v>
      </c>
      <c r="L2575" s="57" t="s">
        <v>347</v>
      </c>
      <c r="S2575" s="57">
        <v>0</v>
      </c>
    </row>
    <row r="2576" spans="1:19" ht="11.1" customHeight="1" x14ac:dyDescent="0.2">
      <c r="A2576" s="57" t="s">
        <v>839</v>
      </c>
      <c r="B2576" s="424"/>
      <c r="C2576" s="425"/>
      <c r="D2576" s="426"/>
      <c r="E2576" s="419" t="s">
        <v>818</v>
      </c>
      <c r="F2576" s="420"/>
      <c r="G2576" s="64" t="s">
        <v>417</v>
      </c>
      <c r="H2576" s="419" t="s">
        <v>772</v>
      </c>
      <c r="I2576" s="420"/>
      <c r="K2576" s="57" t="s">
        <v>839</v>
      </c>
      <c r="L2576" s="57" t="s">
        <v>347</v>
      </c>
      <c r="S2576" s="57">
        <v>0</v>
      </c>
    </row>
    <row r="2577" spans="1:19" ht="11.85" customHeight="1" x14ac:dyDescent="0.2">
      <c r="A2577" s="57" t="s">
        <v>839</v>
      </c>
      <c r="B2577" s="424"/>
      <c r="C2577" s="425"/>
      <c r="D2577" s="426"/>
      <c r="E2577" s="419" t="s">
        <v>795</v>
      </c>
      <c r="F2577" s="420"/>
      <c r="G2577" s="64" t="s">
        <v>796</v>
      </c>
      <c r="H2577" s="419" t="s">
        <v>770</v>
      </c>
      <c r="I2577" s="420"/>
      <c r="K2577" s="57" t="s">
        <v>839</v>
      </c>
      <c r="L2577" s="57" t="s">
        <v>347</v>
      </c>
      <c r="S2577" s="57">
        <v>0</v>
      </c>
    </row>
    <row r="2578" spans="1:19" ht="11.85" customHeight="1" x14ac:dyDescent="0.2">
      <c r="A2578" s="57" t="s">
        <v>839</v>
      </c>
      <c r="B2578" s="424"/>
      <c r="C2578" s="425"/>
      <c r="D2578" s="426"/>
      <c r="E2578" s="419" t="s">
        <v>797</v>
      </c>
      <c r="F2578" s="420"/>
      <c r="G2578" s="64" t="s">
        <v>798</v>
      </c>
      <c r="H2578" s="419" t="s">
        <v>425</v>
      </c>
      <c r="I2578" s="420"/>
      <c r="K2578" s="57" t="s">
        <v>839</v>
      </c>
      <c r="L2578" s="57" t="s">
        <v>347</v>
      </c>
      <c r="S2578" s="57">
        <v>0</v>
      </c>
    </row>
    <row r="2579" spans="1:19" ht="11.85" customHeight="1" x14ac:dyDescent="0.2">
      <c r="A2579" s="57" t="s">
        <v>839</v>
      </c>
      <c r="B2579" s="416"/>
      <c r="C2579" s="417"/>
      <c r="D2579" s="418"/>
      <c r="E2579" s="419" t="s">
        <v>799</v>
      </c>
      <c r="F2579" s="420"/>
      <c r="G2579" s="64" t="s">
        <v>798</v>
      </c>
      <c r="H2579" s="419" t="s">
        <v>414</v>
      </c>
      <c r="I2579" s="420"/>
      <c r="K2579" s="57" t="s">
        <v>839</v>
      </c>
      <c r="L2579" s="57" t="s">
        <v>347</v>
      </c>
      <c r="S2579" s="57">
        <v>0</v>
      </c>
    </row>
    <row r="2580" spans="1:19" ht="11.1" customHeight="1" x14ac:dyDescent="0.2">
      <c r="A2580" s="57" t="s">
        <v>839</v>
      </c>
      <c r="B2580" s="413" t="s">
        <v>416</v>
      </c>
      <c r="C2580" s="414"/>
      <c r="D2580" s="415"/>
      <c r="E2580" s="419" t="s">
        <v>800</v>
      </c>
      <c r="F2580" s="420"/>
      <c r="G2580" s="64" t="s">
        <v>801</v>
      </c>
      <c r="H2580" s="419" t="s">
        <v>423</v>
      </c>
      <c r="I2580" s="420"/>
      <c r="K2580" s="57" t="s">
        <v>839</v>
      </c>
      <c r="L2580" s="57" t="s">
        <v>347</v>
      </c>
      <c r="S2580" s="65">
        <v>41.47</v>
      </c>
    </row>
    <row r="2581" spans="1:19" ht="11.85" customHeight="1" x14ac:dyDescent="0.2">
      <c r="A2581" s="57" t="s">
        <v>839</v>
      </c>
      <c r="B2581" s="424"/>
      <c r="C2581" s="425"/>
      <c r="D2581" s="426"/>
      <c r="E2581" s="419" t="s">
        <v>819</v>
      </c>
      <c r="F2581" s="420"/>
      <c r="G2581" s="64" t="s">
        <v>796</v>
      </c>
      <c r="H2581" s="419" t="s">
        <v>418</v>
      </c>
      <c r="I2581" s="420"/>
      <c r="K2581" s="57" t="s">
        <v>839</v>
      </c>
      <c r="L2581" s="57" t="s">
        <v>347</v>
      </c>
      <c r="S2581" s="57">
        <v>0</v>
      </c>
    </row>
    <row r="2582" spans="1:19" ht="11.85" customHeight="1" x14ac:dyDescent="0.2">
      <c r="A2582" s="57" t="s">
        <v>839</v>
      </c>
      <c r="B2582" s="424"/>
      <c r="C2582" s="425"/>
      <c r="D2582" s="426"/>
      <c r="E2582" s="419" t="s">
        <v>820</v>
      </c>
      <c r="F2582" s="420"/>
      <c r="G2582" s="64" t="s">
        <v>417</v>
      </c>
      <c r="H2582" s="419" t="s">
        <v>466</v>
      </c>
      <c r="I2582" s="420"/>
      <c r="K2582" s="57" t="s">
        <v>839</v>
      </c>
      <c r="L2582" s="57" t="s">
        <v>347</v>
      </c>
      <c r="S2582" s="57">
        <v>0</v>
      </c>
    </row>
    <row r="2583" spans="1:19" ht="11.85" customHeight="1" x14ac:dyDescent="0.2">
      <c r="A2583" s="57" t="s">
        <v>839</v>
      </c>
      <c r="B2583" s="424"/>
      <c r="C2583" s="425"/>
      <c r="D2583" s="426"/>
      <c r="E2583" s="419" t="s">
        <v>821</v>
      </c>
      <c r="F2583" s="420"/>
      <c r="G2583" s="64" t="s">
        <v>798</v>
      </c>
      <c r="H2583" s="419" t="s">
        <v>467</v>
      </c>
      <c r="I2583" s="420"/>
      <c r="K2583" s="57" t="s">
        <v>839</v>
      </c>
      <c r="L2583" s="57" t="s">
        <v>347</v>
      </c>
      <c r="S2583" s="57">
        <v>0</v>
      </c>
    </row>
    <row r="2584" spans="1:19" ht="11.1" customHeight="1" x14ac:dyDescent="0.2">
      <c r="A2584" s="57" t="s">
        <v>839</v>
      </c>
      <c r="B2584" s="424"/>
      <c r="C2584" s="425"/>
      <c r="D2584" s="426"/>
      <c r="E2584" s="419" t="s">
        <v>822</v>
      </c>
      <c r="F2584" s="420"/>
      <c r="G2584" s="64" t="s">
        <v>417</v>
      </c>
      <c r="H2584" s="419" t="s">
        <v>466</v>
      </c>
      <c r="I2584" s="420"/>
      <c r="K2584" s="57" t="s">
        <v>839</v>
      </c>
      <c r="L2584" s="57" t="s">
        <v>347</v>
      </c>
      <c r="S2584" s="57">
        <v>0</v>
      </c>
    </row>
    <row r="2585" spans="1:19" ht="11.85" customHeight="1" x14ac:dyDescent="0.2">
      <c r="A2585" s="57" t="s">
        <v>839</v>
      </c>
      <c r="B2585" s="424"/>
      <c r="C2585" s="425"/>
      <c r="D2585" s="426"/>
      <c r="E2585" s="419" t="s">
        <v>765</v>
      </c>
      <c r="F2585" s="420"/>
      <c r="G2585" s="64" t="s">
        <v>758</v>
      </c>
      <c r="H2585" s="419" t="s">
        <v>425</v>
      </c>
      <c r="I2585" s="420"/>
      <c r="K2585" s="57" t="s">
        <v>839</v>
      </c>
      <c r="L2585" s="57" t="s">
        <v>347</v>
      </c>
      <c r="S2585" s="57">
        <v>0</v>
      </c>
    </row>
    <row r="2586" spans="1:19" ht="11.85" customHeight="1" x14ac:dyDescent="0.2">
      <c r="A2586" s="57" t="s">
        <v>839</v>
      </c>
      <c r="B2586" s="424"/>
      <c r="C2586" s="425"/>
      <c r="D2586" s="426"/>
      <c r="E2586" s="419" t="s">
        <v>775</v>
      </c>
      <c r="F2586" s="420"/>
      <c r="G2586" s="64" t="s">
        <v>503</v>
      </c>
      <c r="H2586" s="419" t="s">
        <v>423</v>
      </c>
      <c r="I2586" s="420"/>
      <c r="K2586" s="57" t="s">
        <v>839</v>
      </c>
      <c r="L2586" s="57" t="s">
        <v>347</v>
      </c>
      <c r="S2586" s="57">
        <v>0</v>
      </c>
    </row>
    <row r="2587" spans="1:19" ht="11.85" customHeight="1" x14ac:dyDescent="0.2">
      <c r="A2587" s="57" t="s">
        <v>839</v>
      </c>
      <c r="B2587" s="416"/>
      <c r="C2587" s="417"/>
      <c r="D2587" s="418"/>
      <c r="E2587" s="419" t="s">
        <v>776</v>
      </c>
      <c r="F2587" s="420"/>
      <c r="G2587" s="64" t="s">
        <v>503</v>
      </c>
      <c r="H2587" s="419" t="s">
        <v>423</v>
      </c>
      <c r="I2587" s="420"/>
      <c r="K2587" s="57" t="s">
        <v>839</v>
      </c>
      <c r="L2587" s="57" t="s">
        <v>347</v>
      </c>
      <c r="S2587" s="57">
        <v>0</v>
      </c>
    </row>
    <row r="2588" spans="1:19" ht="11.1" customHeight="1" x14ac:dyDescent="0.2">
      <c r="A2588" s="57" t="s">
        <v>839</v>
      </c>
      <c r="B2588" s="62"/>
      <c r="C2588" s="411" t="s">
        <v>840</v>
      </c>
      <c r="D2588" s="412"/>
      <c r="E2588" s="412"/>
      <c r="F2588" s="412"/>
      <c r="G2588" s="412"/>
      <c r="H2588" s="412"/>
      <c r="I2588" s="411"/>
      <c r="K2588" s="57" t="s">
        <v>839</v>
      </c>
      <c r="L2588" s="57" t="s">
        <v>347</v>
      </c>
      <c r="S2588" s="57">
        <v>0</v>
      </c>
    </row>
    <row r="2589" spans="1:19" ht="11.85" customHeight="1" x14ac:dyDescent="0.2">
      <c r="A2589" s="57" t="s">
        <v>840</v>
      </c>
      <c r="B2589" s="413" t="s">
        <v>794</v>
      </c>
      <c r="C2589" s="414"/>
      <c r="D2589" s="415"/>
      <c r="E2589" s="419" t="s">
        <v>817</v>
      </c>
      <c r="F2589" s="420"/>
      <c r="G2589" s="64" t="s">
        <v>417</v>
      </c>
      <c r="H2589" s="419" t="s">
        <v>425</v>
      </c>
      <c r="I2589" s="420"/>
      <c r="K2589" s="57" t="s">
        <v>840</v>
      </c>
      <c r="L2589" s="57" t="s">
        <v>348</v>
      </c>
      <c r="S2589" s="57">
        <v>0</v>
      </c>
    </row>
    <row r="2590" spans="1:19" ht="11.85" customHeight="1" x14ac:dyDescent="0.2">
      <c r="A2590" s="57" t="s">
        <v>840</v>
      </c>
      <c r="B2590" s="424"/>
      <c r="C2590" s="425"/>
      <c r="D2590" s="426"/>
      <c r="E2590" s="419" t="s">
        <v>818</v>
      </c>
      <c r="F2590" s="420"/>
      <c r="G2590" s="64" t="s">
        <v>417</v>
      </c>
      <c r="H2590" s="419" t="s">
        <v>772</v>
      </c>
      <c r="I2590" s="420"/>
      <c r="K2590" s="57" t="s">
        <v>840</v>
      </c>
      <c r="L2590" s="57" t="s">
        <v>348</v>
      </c>
      <c r="S2590" s="57">
        <v>0</v>
      </c>
    </row>
    <row r="2591" spans="1:19" ht="11.85" customHeight="1" x14ac:dyDescent="0.2">
      <c r="A2591" s="57" t="s">
        <v>840</v>
      </c>
      <c r="B2591" s="424"/>
      <c r="C2591" s="425"/>
      <c r="D2591" s="426"/>
      <c r="E2591" s="419" t="s">
        <v>795</v>
      </c>
      <c r="F2591" s="420"/>
      <c r="G2591" s="64" t="s">
        <v>796</v>
      </c>
      <c r="H2591" s="419" t="s">
        <v>770</v>
      </c>
      <c r="I2591" s="420"/>
      <c r="K2591" s="57" t="s">
        <v>840</v>
      </c>
      <c r="L2591" s="57" t="s">
        <v>348</v>
      </c>
      <c r="S2591" s="57">
        <v>0</v>
      </c>
    </row>
    <row r="2592" spans="1:19" ht="11.1" customHeight="1" x14ac:dyDescent="0.2">
      <c r="A2592" s="57" t="s">
        <v>840</v>
      </c>
      <c r="B2592" s="424"/>
      <c r="C2592" s="425"/>
      <c r="D2592" s="426"/>
      <c r="E2592" s="419" t="s">
        <v>797</v>
      </c>
      <c r="F2592" s="420"/>
      <c r="G2592" s="64" t="s">
        <v>798</v>
      </c>
      <c r="H2592" s="419" t="s">
        <v>425</v>
      </c>
      <c r="I2592" s="420"/>
      <c r="K2592" s="57" t="s">
        <v>840</v>
      </c>
      <c r="L2592" s="57" t="s">
        <v>348</v>
      </c>
      <c r="S2592" s="57">
        <v>0</v>
      </c>
    </row>
    <row r="2593" spans="1:19" ht="11.85" customHeight="1" x14ac:dyDescent="0.2">
      <c r="A2593" s="57" t="s">
        <v>840</v>
      </c>
      <c r="B2593" s="416"/>
      <c r="C2593" s="417"/>
      <c r="D2593" s="418"/>
      <c r="E2593" s="419" t="s">
        <v>799</v>
      </c>
      <c r="F2593" s="420"/>
      <c r="G2593" s="64" t="s">
        <v>798</v>
      </c>
      <c r="H2593" s="419" t="s">
        <v>414</v>
      </c>
      <c r="I2593" s="420"/>
      <c r="K2593" s="57" t="s">
        <v>840</v>
      </c>
      <c r="L2593" s="57" t="s">
        <v>348</v>
      </c>
      <c r="S2593" s="57">
        <v>0</v>
      </c>
    </row>
    <row r="2594" spans="1:19" ht="11.85" customHeight="1" x14ac:dyDescent="0.2">
      <c r="A2594" s="57" t="s">
        <v>840</v>
      </c>
      <c r="B2594" s="413" t="s">
        <v>416</v>
      </c>
      <c r="C2594" s="414"/>
      <c r="D2594" s="415"/>
      <c r="E2594" s="419" t="s">
        <v>800</v>
      </c>
      <c r="F2594" s="420"/>
      <c r="G2594" s="64" t="s">
        <v>801</v>
      </c>
      <c r="H2594" s="419" t="s">
        <v>423</v>
      </c>
      <c r="I2594" s="420"/>
      <c r="K2594" s="57" t="s">
        <v>840</v>
      </c>
      <c r="L2594" s="57" t="s">
        <v>348</v>
      </c>
      <c r="S2594" s="65">
        <v>41.47</v>
      </c>
    </row>
    <row r="2595" spans="1:19" ht="11.85" customHeight="1" x14ac:dyDescent="0.2">
      <c r="A2595" s="57" t="s">
        <v>840</v>
      </c>
      <c r="B2595" s="424"/>
      <c r="C2595" s="425"/>
      <c r="D2595" s="426"/>
      <c r="E2595" s="419" t="s">
        <v>805</v>
      </c>
      <c r="F2595" s="420"/>
      <c r="G2595" s="64" t="s">
        <v>796</v>
      </c>
      <c r="H2595" s="419" t="s">
        <v>439</v>
      </c>
      <c r="I2595" s="420"/>
      <c r="K2595" s="57" t="s">
        <v>840</v>
      </c>
      <c r="L2595" s="57" t="s">
        <v>348</v>
      </c>
      <c r="S2595" s="57">
        <v>0</v>
      </c>
    </row>
    <row r="2596" spans="1:19" ht="11.1" customHeight="1" x14ac:dyDescent="0.2">
      <c r="A2596" s="57" t="s">
        <v>840</v>
      </c>
      <c r="B2596" s="424"/>
      <c r="C2596" s="425"/>
      <c r="D2596" s="426"/>
      <c r="E2596" s="419" t="s">
        <v>806</v>
      </c>
      <c r="F2596" s="420"/>
      <c r="G2596" s="64" t="s">
        <v>417</v>
      </c>
      <c r="H2596" s="419" t="s">
        <v>437</v>
      </c>
      <c r="I2596" s="420"/>
      <c r="K2596" s="57" t="s">
        <v>840</v>
      </c>
      <c r="L2596" s="57" t="s">
        <v>348</v>
      </c>
      <c r="S2596" s="57">
        <v>0</v>
      </c>
    </row>
    <row r="2597" spans="1:19" ht="11.85" customHeight="1" x14ac:dyDescent="0.2">
      <c r="A2597" s="57" t="s">
        <v>840</v>
      </c>
      <c r="B2597" s="424"/>
      <c r="C2597" s="425"/>
      <c r="D2597" s="426"/>
      <c r="E2597" s="419" t="s">
        <v>807</v>
      </c>
      <c r="F2597" s="420"/>
      <c r="G2597" s="64" t="s">
        <v>798</v>
      </c>
      <c r="H2597" s="419" t="s">
        <v>478</v>
      </c>
      <c r="I2597" s="420"/>
      <c r="K2597" s="57" t="s">
        <v>840</v>
      </c>
      <c r="L2597" s="57" t="s">
        <v>348</v>
      </c>
      <c r="S2597" s="57">
        <v>0</v>
      </c>
    </row>
    <row r="2598" spans="1:19" ht="11.85" customHeight="1" x14ac:dyDescent="0.2">
      <c r="A2598" s="57" t="s">
        <v>840</v>
      </c>
      <c r="B2598" s="424"/>
      <c r="C2598" s="425"/>
      <c r="D2598" s="426"/>
      <c r="E2598" s="419" t="s">
        <v>808</v>
      </c>
      <c r="F2598" s="420"/>
      <c r="G2598" s="64" t="s">
        <v>417</v>
      </c>
      <c r="H2598" s="419" t="s">
        <v>437</v>
      </c>
      <c r="I2598" s="420"/>
      <c r="K2598" s="57" t="s">
        <v>840</v>
      </c>
      <c r="L2598" s="57" t="s">
        <v>348</v>
      </c>
      <c r="S2598" s="57">
        <v>0</v>
      </c>
    </row>
    <row r="2599" spans="1:19" ht="11.85" customHeight="1" x14ac:dyDescent="0.2">
      <c r="A2599" s="57" t="s">
        <v>840</v>
      </c>
      <c r="B2599" s="424"/>
      <c r="C2599" s="425"/>
      <c r="D2599" s="426"/>
      <c r="E2599" s="419" t="s">
        <v>765</v>
      </c>
      <c r="F2599" s="420"/>
      <c r="G2599" s="64" t="s">
        <v>758</v>
      </c>
      <c r="H2599" s="419" t="s">
        <v>425</v>
      </c>
      <c r="I2599" s="420"/>
      <c r="K2599" s="57" t="s">
        <v>840</v>
      </c>
      <c r="L2599" s="57" t="s">
        <v>348</v>
      </c>
      <c r="S2599" s="57">
        <v>0</v>
      </c>
    </row>
    <row r="2600" spans="1:19" ht="11.1" customHeight="1" x14ac:dyDescent="0.2">
      <c r="A2600" s="57" t="s">
        <v>840</v>
      </c>
      <c r="B2600" s="424"/>
      <c r="C2600" s="425"/>
      <c r="D2600" s="426"/>
      <c r="E2600" s="419" t="s">
        <v>775</v>
      </c>
      <c r="F2600" s="420"/>
      <c r="G2600" s="64" t="s">
        <v>503</v>
      </c>
      <c r="H2600" s="419" t="s">
        <v>423</v>
      </c>
      <c r="I2600" s="420"/>
      <c r="K2600" s="57" t="s">
        <v>840</v>
      </c>
      <c r="L2600" s="57" t="s">
        <v>348</v>
      </c>
      <c r="S2600" s="57">
        <v>0</v>
      </c>
    </row>
    <row r="2601" spans="1:19" ht="11.85" customHeight="1" x14ac:dyDescent="0.2">
      <c r="A2601" s="57" t="s">
        <v>840</v>
      </c>
      <c r="B2601" s="416"/>
      <c r="C2601" s="417"/>
      <c r="D2601" s="418"/>
      <c r="E2601" s="419" t="s">
        <v>776</v>
      </c>
      <c r="F2601" s="420"/>
      <c r="G2601" s="64" t="s">
        <v>503</v>
      </c>
      <c r="H2601" s="419" t="s">
        <v>423</v>
      </c>
      <c r="I2601" s="420"/>
      <c r="K2601" s="57" t="s">
        <v>840</v>
      </c>
      <c r="L2601" s="57" t="s">
        <v>348</v>
      </c>
      <c r="S2601" s="57">
        <v>0</v>
      </c>
    </row>
    <row r="2602" spans="1:19" ht="11.85" customHeight="1" x14ac:dyDescent="0.2">
      <c r="A2602" s="57" t="s">
        <v>840</v>
      </c>
      <c r="B2602" s="62"/>
      <c r="C2602" s="411" t="s">
        <v>841</v>
      </c>
      <c r="D2602" s="412"/>
      <c r="E2602" s="412"/>
      <c r="F2602" s="412"/>
      <c r="G2602" s="412"/>
      <c r="H2602" s="412"/>
      <c r="I2602" s="411"/>
      <c r="K2602" s="57" t="s">
        <v>840</v>
      </c>
      <c r="L2602" s="57" t="s">
        <v>348</v>
      </c>
      <c r="S2602" s="57">
        <v>0</v>
      </c>
    </row>
    <row r="2603" spans="1:19" ht="11.85" customHeight="1" x14ac:dyDescent="0.2">
      <c r="A2603" s="57" t="s">
        <v>841</v>
      </c>
      <c r="B2603" s="413" t="s">
        <v>794</v>
      </c>
      <c r="C2603" s="414"/>
      <c r="D2603" s="415"/>
      <c r="E2603" s="419" t="s">
        <v>817</v>
      </c>
      <c r="F2603" s="420"/>
      <c r="G2603" s="64" t="s">
        <v>417</v>
      </c>
      <c r="H2603" s="419" t="s">
        <v>425</v>
      </c>
      <c r="I2603" s="420"/>
      <c r="K2603" s="57" t="s">
        <v>841</v>
      </c>
      <c r="L2603" s="57" t="s">
        <v>349</v>
      </c>
      <c r="S2603" s="57">
        <v>0</v>
      </c>
    </row>
    <row r="2604" spans="1:19" ht="11.1" customHeight="1" x14ac:dyDescent="0.2">
      <c r="A2604" s="57" t="s">
        <v>841</v>
      </c>
      <c r="B2604" s="424"/>
      <c r="C2604" s="425"/>
      <c r="D2604" s="426"/>
      <c r="E2604" s="419" t="s">
        <v>818</v>
      </c>
      <c r="F2604" s="420"/>
      <c r="G2604" s="64" t="s">
        <v>417</v>
      </c>
      <c r="H2604" s="419" t="s">
        <v>772</v>
      </c>
      <c r="I2604" s="420"/>
      <c r="K2604" s="57" t="s">
        <v>841</v>
      </c>
      <c r="L2604" s="57" t="s">
        <v>349</v>
      </c>
      <c r="S2604" s="57">
        <v>0</v>
      </c>
    </row>
    <row r="2605" spans="1:19" ht="11.85" customHeight="1" x14ac:dyDescent="0.2">
      <c r="A2605" s="57" t="s">
        <v>841</v>
      </c>
      <c r="B2605" s="424"/>
      <c r="C2605" s="425"/>
      <c r="D2605" s="426"/>
      <c r="E2605" s="419" t="s">
        <v>795</v>
      </c>
      <c r="F2605" s="420"/>
      <c r="G2605" s="64" t="s">
        <v>796</v>
      </c>
      <c r="H2605" s="419" t="s">
        <v>770</v>
      </c>
      <c r="I2605" s="420"/>
      <c r="K2605" s="57" t="s">
        <v>841</v>
      </c>
      <c r="L2605" s="57" t="s">
        <v>349</v>
      </c>
      <c r="S2605" s="57">
        <v>0</v>
      </c>
    </row>
    <row r="2606" spans="1:19" ht="11.85" customHeight="1" x14ac:dyDescent="0.2">
      <c r="A2606" s="57" t="s">
        <v>841</v>
      </c>
      <c r="B2606" s="424"/>
      <c r="C2606" s="425"/>
      <c r="D2606" s="426"/>
      <c r="E2606" s="419" t="s">
        <v>797</v>
      </c>
      <c r="F2606" s="420"/>
      <c r="G2606" s="64" t="s">
        <v>798</v>
      </c>
      <c r="H2606" s="419" t="s">
        <v>425</v>
      </c>
      <c r="I2606" s="420"/>
      <c r="K2606" s="57" t="s">
        <v>841</v>
      </c>
      <c r="L2606" s="57" t="s">
        <v>349</v>
      </c>
      <c r="S2606" s="57">
        <v>0</v>
      </c>
    </row>
    <row r="2607" spans="1:19" ht="11.85" customHeight="1" x14ac:dyDescent="0.2">
      <c r="A2607" s="57" t="s">
        <v>841</v>
      </c>
      <c r="B2607" s="416"/>
      <c r="C2607" s="417"/>
      <c r="D2607" s="418"/>
      <c r="E2607" s="419" t="s">
        <v>799</v>
      </c>
      <c r="F2607" s="420"/>
      <c r="G2607" s="64" t="s">
        <v>798</v>
      </c>
      <c r="H2607" s="419" t="s">
        <v>414</v>
      </c>
      <c r="I2607" s="420"/>
      <c r="K2607" s="57" t="s">
        <v>841</v>
      </c>
      <c r="L2607" s="57" t="s">
        <v>349</v>
      </c>
      <c r="S2607" s="57">
        <v>0</v>
      </c>
    </row>
    <row r="2608" spans="1:19" ht="11.1" customHeight="1" x14ac:dyDescent="0.2">
      <c r="A2608" s="57" t="s">
        <v>841</v>
      </c>
      <c r="B2608" s="413" t="s">
        <v>416</v>
      </c>
      <c r="C2608" s="414"/>
      <c r="D2608" s="415"/>
      <c r="E2608" s="419" t="s">
        <v>800</v>
      </c>
      <c r="F2608" s="420"/>
      <c r="G2608" s="64" t="s">
        <v>801</v>
      </c>
      <c r="H2608" s="419" t="s">
        <v>423</v>
      </c>
      <c r="I2608" s="420"/>
      <c r="K2608" s="57" t="s">
        <v>841</v>
      </c>
      <c r="L2608" s="57" t="s">
        <v>349</v>
      </c>
      <c r="S2608" s="65">
        <v>41.47</v>
      </c>
    </row>
    <row r="2609" spans="1:19" ht="11.85" customHeight="1" x14ac:dyDescent="0.2">
      <c r="A2609" s="57" t="s">
        <v>841</v>
      </c>
      <c r="B2609" s="424"/>
      <c r="C2609" s="425"/>
      <c r="D2609" s="426"/>
      <c r="E2609" s="419" t="s">
        <v>819</v>
      </c>
      <c r="F2609" s="420"/>
      <c r="G2609" s="64" t="s">
        <v>796</v>
      </c>
      <c r="H2609" s="419" t="s">
        <v>418</v>
      </c>
      <c r="I2609" s="420"/>
      <c r="K2609" s="57" t="s">
        <v>841</v>
      </c>
      <c r="L2609" s="57" t="s">
        <v>349</v>
      </c>
      <c r="S2609" s="57">
        <v>0</v>
      </c>
    </row>
    <row r="2610" spans="1:19" ht="11.85" customHeight="1" x14ac:dyDescent="0.2">
      <c r="A2610" s="57" t="s">
        <v>841</v>
      </c>
      <c r="B2610" s="424"/>
      <c r="C2610" s="425"/>
      <c r="D2610" s="426"/>
      <c r="E2610" s="419" t="s">
        <v>820</v>
      </c>
      <c r="F2610" s="420"/>
      <c r="G2610" s="64" t="s">
        <v>417</v>
      </c>
      <c r="H2610" s="419" t="s">
        <v>466</v>
      </c>
      <c r="I2610" s="420"/>
      <c r="K2610" s="57" t="s">
        <v>841</v>
      </c>
      <c r="L2610" s="57" t="s">
        <v>349</v>
      </c>
      <c r="S2610" s="57">
        <v>0</v>
      </c>
    </row>
    <row r="2611" spans="1:19" ht="11.85" customHeight="1" x14ac:dyDescent="0.2">
      <c r="A2611" s="57" t="s">
        <v>841</v>
      </c>
      <c r="B2611" s="416"/>
      <c r="C2611" s="417"/>
      <c r="D2611" s="418"/>
      <c r="E2611" s="419" t="s">
        <v>821</v>
      </c>
      <c r="F2611" s="420"/>
      <c r="G2611" s="64" t="s">
        <v>798</v>
      </c>
      <c r="H2611" s="419" t="s">
        <v>467</v>
      </c>
      <c r="I2611" s="420"/>
      <c r="K2611" s="57" t="s">
        <v>841</v>
      </c>
      <c r="L2611" s="57" t="s">
        <v>349</v>
      </c>
      <c r="S2611" s="57">
        <v>0</v>
      </c>
    </row>
    <row r="2612" spans="1:19" ht="11.85" customHeight="1" x14ac:dyDescent="0.2">
      <c r="A2612" s="57" t="s">
        <v>841</v>
      </c>
      <c r="B2612" s="413" t="s">
        <v>416</v>
      </c>
      <c r="C2612" s="414"/>
      <c r="D2612" s="415"/>
      <c r="E2612" s="419" t="s">
        <v>822</v>
      </c>
      <c r="F2612" s="420"/>
      <c r="G2612" s="64" t="s">
        <v>417</v>
      </c>
      <c r="H2612" s="419" t="s">
        <v>466</v>
      </c>
      <c r="I2612" s="420"/>
      <c r="K2612" s="57" t="s">
        <v>841</v>
      </c>
      <c r="L2612" s="57" t="s">
        <v>349</v>
      </c>
      <c r="S2612" s="57">
        <v>0</v>
      </c>
    </row>
    <row r="2613" spans="1:19" ht="11.85" customHeight="1" x14ac:dyDescent="0.2">
      <c r="A2613" s="57" t="s">
        <v>841</v>
      </c>
      <c r="B2613" s="424"/>
      <c r="C2613" s="425"/>
      <c r="D2613" s="426"/>
      <c r="E2613" s="419" t="s">
        <v>765</v>
      </c>
      <c r="F2613" s="420"/>
      <c r="G2613" s="64" t="s">
        <v>758</v>
      </c>
      <c r="H2613" s="419" t="s">
        <v>425</v>
      </c>
      <c r="I2613" s="420"/>
      <c r="K2613" s="57" t="s">
        <v>841</v>
      </c>
      <c r="L2613" s="57" t="s">
        <v>349</v>
      </c>
      <c r="S2613" s="57">
        <v>0</v>
      </c>
    </row>
    <row r="2614" spans="1:19" ht="11.85" customHeight="1" x14ac:dyDescent="0.2">
      <c r="A2614" s="57" t="s">
        <v>841</v>
      </c>
      <c r="B2614" s="424"/>
      <c r="C2614" s="425"/>
      <c r="D2614" s="426"/>
      <c r="E2614" s="419" t="s">
        <v>775</v>
      </c>
      <c r="F2614" s="420"/>
      <c r="G2614" s="64" t="s">
        <v>503</v>
      </c>
      <c r="H2614" s="419" t="s">
        <v>423</v>
      </c>
      <c r="I2614" s="420"/>
      <c r="K2614" s="57" t="s">
        <v>841</v>
      </c>
      <c r="L2614" s="57" t="s">
        <v>349</v>
      </c>
      <c r="S2614" s="57">
        <v>0</v>
      </c>
    </row>
    <row r="2615" spans="1:19" ht="11.1" customHeight="1" x14ac:dyDescent="0.2">
      <c r="A2615" s="57" t="s">
        <v>841</v>
      </c>
      <c r="B2615" s="416"/>
      <c r="C2615" s="417"/>
      <c r="D2615" s="418"/>
      <c r="E2615" s="419" t="s">
        <v>776</v>
      </c>
      <c r="F2615" s="420"/>
      <c r="G2615" s="64" t="s">
        <v>503</v>
      </c>
      <c r="H2615" s="419" t="s">
        <v>423</v>
      </c>
      <c r="I2615" s="420"/>
      <c r="K2615" s="57" t="s">
        <v>841</v>
      </c>
      <c r="L2615" s="57" t="s">
        <v>349</v>
      </c>
      <c r="S2615" s="57">
        <v>0</v>
      </c>
    </row>
    <row r="2616" spans="1:19" ht="11.85" customHeight="1" x14ac:dyDescent="0.2">
      <c r="A2616" s="57" t="s">
        <v>841</v>
      </c>
      <c r="B2616" s="62"/>
      <c r="C2616" s="411" t="s">
        <v>842</v>
      </c>
      <c r="D2616" s="412"/>
      <c r="E2616" s="412"/>
      <c r="F2616" s="412"/>
      <c r="G2616" s="412"/>
      <c r="H2616" s="412"/>
      <c r="I2616" s="411"/>
      <c r="K2616" s="57" t="s">
        <v>841</v>
      </c>
      <c r="L2616" s="57" t="s">
        <v>349</v>
      </c>
      <c r="S2616" s="57">
        <v>0</v>
      </c>
    </row>
    <row r="2617" spans="1:19" ht="11.85" customHeight="1" x14ac:dyDescent="0.2">
      <c r="A2617" s="57" t="s">
        <v>842</v>
      </c>
      <c r="B2617" s="413" t="s">
        <v>794</v>
      </c>
      <c r="C2617" s="414"/>
      <c r="D2617" s="415"/>
      <c r="E2617" s="419" t="s">
        <v>817</v>
      </c>
      <c r="F2617" s="420"/>
      <c r="G2617" s="64" t="s">
        <v>417</v>
      </c>
      <c r="H2617" s="419" t="s">
        <v>425</v>
      </c>
      <c r="I2617" s="420"/>
      <c r="K2617" s="57" t="s">
        <v>842</v>
      </c>
      <c r="L2617" s="57" t="s">
        <v>350</v>
      </c>
      <c r="S2617" s="57">
        <v>0</v>
      </c>
    </row>
    <row r="2618" spans="1:19" ht="11.85" customHeight="1" x14ac:dyDescent="0.2">
      <c r="A2618" s="57" t="s">
        <v>842</v>
      </c>
      <c r="B2618" s="424"/>
      <c r="C2618" s="425"/>
      <c r="D2618" s="426"/>
      <c r="E2618" s="419" t="s">
        <v>818</v>
      </c>
      <c r="F2618" s="420"/>
      <c r="G2618" s="64" t="s">
        <v>417</v>
      </c>
      <c r="H2618" s="419" t="s">
        <v>772</v>
      </c>
      <c r="I2618" s="420"/>
      <c r="K2618" s="57" t="s">
        <v>842</v>
      </c>
      <c r="L2618" s="57" t="s">
        <v>350</v>
      </c>
      <c r="S2618" s="57">
        <v>0</v>
      </c>
    </row>
    <row r="2619" spans="1:19" ht="11.1" customHeight="1" x14ac:dyDescent="0.2">
      <c r="A2619" s="57" t="s">
        <v>842</v>
      </c>
      <c r="B2619" s="424"/>
      <c r="C2619" s="425"/>
      <c r="D2619" s="426"/>
      <c r="E2619" s="419" t="s">
        <v>795</v>
      </c>
      <c r="F2619" s="420"/>
      <c r="G2619" s="64" t="s">
        <v>796</v>
      </c>
      <c r="H2619" s="419" t="s">
        <v>770</v>
      </c>
      <c r="I2619" s="420"/>
      <c r="K2619" s="57" t="s">
        <v>842</v>
      </c>
      <c r="L2619" s="57" t="s">
        <v>350</v>
      </c>
      <c r="S2619" s="57">
        <v>0</v>
      </c>
    </row>
    <row r="2620" spans="1:19" ht="11.85" customHeight="1" x14ac:dyDescent="0.2">
      <c r="A2620" s="57" t="s">
        <v>842</v>
      </c>
      <c r="B2620" s="424"/>
      <c r="C2620" s="425"/>
      <c r="D2620" s="426"/>
      <c r="E2620" s="419" t="s">
        <v>797</v>
      </c>
      <c r="F2620" s="420"/>
      <c r="G2620" s="64" t="s">
        <v>798</v>
      </c>
      <c r="H2620" s="419" t="s">
        <v>425</v>
      </c>
      <c r="I2620" s="420"/>
      <c r="K2620" s="57" t="s">
        <v>842</v>
      </c>
      <c r="L2620" s="57" t="s">
        <v>350</v>
      </c>
      <c r="S2620" s="57">
        <v>0</v>
      </c>
    </row>
    <row r="2621" spans="1:19" ht="11.85" customHeight="1" x14ac:dyDescent="0.2">
      <c r="A2621" s="57" t="s">
        <v>842</v>
      </c>
      <c r="B2621" s="416"/>
      <c r="C2621" s="417"/>
      <c r="D2621" s="418"/>
      <c r="E2621" s="419" t="s">
        <v>799</v>
      </c>
      <c r="F2621" s="420"/>
      <c r="G2621" s="64" t="s">
        <v>798</v>
      </c>
      <c r="H2621" s="419" t="s">
        <v>414</v>
      </c>
      <c r="I2621" s="420"/>
      <c r="K2621" s="57" t="s">
        <v>842</v>
      </c>
      <c r="L2621" s="57" t="s">
        <v>350</v>
      </c>
      <c r="S2621" s="57">
        <v>0</v>
      </c>
    </row>
    <row r="2622" spans="1:19" ht="11.85" customHeight="1" x14ac:dyDescent="0.2">
      <c r="A2622" s="57" t="s">
        <v>842</v>
      </c>
      <c r="B2622" s="413" t="s">
        <v>416</v>
      </c>
      <c r="C2622" s="414"/>
      <c r="D2622" s="415"/>
      <c r="E2622" s="419" t="s">
        <v>800</v>
      </c>
      <c r="F2622" s="420"/>
      <c r="G2622" s="64" t="s">
        <v>801</v>
      </c>
      <c r="H2622" s="419" t="s">
        <v>423</v>
      </c>
      <c r="I2622" s="420"/>
      <c r="K2622" s="57" t="s">
        <v>842</v>
      </c>
      <c r="L2622" s="57" t="s">
        <v>350</v>
      </c>
      <c r="S2622" s="65">
        <v>41.47</v>
      </c>
    </row>
    <row r="2623" spans="1:19" ht="11.1" customHeight="1" x14ac:dyDescent="0.2">
      <c r="A2623" s="57" t="s">
        <v>842</v>
      </c>
      <c r="B2623" s="424"/>
      <c r="C2623" s="425"/>
      <c r="D2623" s="426"/>
      <c r="E2623" s="419" t="s">
        <v>819</v>
      </c>
      <c r="F2623" s="420"/>
      <c r="G2623" s="64" t="s">
        <v>796</v>
      </c>
      <c r="H2623" s="419" t="s">
        <v>418</v>
      </c>
      <c r="I2623" s="420"/>
      <c r="K2623" s="57" t="s">
        <v>842</v>
      </c>
      <c r="L2623" s="57" t="s">
        <v>350</v>
      </c>
      <c r="S2623" s="57">
        <v>0</v>
      </c>
    </row>
    <row r="2624" spans="1:19" ht="11.85" customHeight="1" x14ac:dyDescent="0.2">
      <c r="A2624" s="57" t="s">
        <v>842</v>
      </c>
      <c r="B2624" s="424"/>
      <c r="C2624" s="425"/>
      <c r="D2624" s="426"/>
      <c r="E2624" s="419" t="s">
        <v>820</v>
      </c>
      <c r="F2624" s="420"/>
      <c r="G2624" s="64" t="s">
        <v>417</v>
      </c>
      <c r="H2624" s="419" t="s">
        <v>466</v>
      </c>
      <c r="I2624" s="420"/>
      <c r="K2624" s="57" t="s">
        <v>842</v>
      </c>
      <c r="L2624" s="57" t="s">
        <v>350</v>
      </c>
      <c r="S2624" s="57">
        <v>0</v>
      </c>
    </row>
    <row r="2625" spans="1:19" ht="11.85" customHeight="1" x14ac:dyDescent="0.2">
      <c r="A2625" s="57" t="s">
        <v>842</v>
      </c>
      <c r="B2625" s="424"/>
      <c r="C2625" s="425"/>
      <c r="D2625" s="426"/>
      <c r="E2625" s="419" t="s">
        <v>821</v>
      </c>
      <c r="F2625" s="420"/>
      <c r="G2625" s="64" t="s">
        <v>798</v>
      </c>
      <c r="H2625" s="419" t="s">
        <v>467</v>
      </c>
      <c r="I2625" s="420"/>
      <c r="K2625" s="57" t="s">
        <v>842</v>
      </c>
      <c r="L2625" s="57" t="s">
        <v>350</v>
      </c>
      <c r="S2625" s="57">
        <v>0</v>
      </c>
    </row>
    <row r="2626" spans="1:19" ht="11.85" customHeight="1" x14ac:dyDescent="0.2">
      <c r="A2626" s="57" t="s">
        <v>842</v>
      </c>
      <c r="B2626" s="424"/>
      <c r="C2626" s="425"/>
      <c r="D2626" s="426"/>
      <c r="E2626" s="419" t="s">
        <v>822</v>
      </c>
      <c r="F2626" s="420"/>
      <c r="G2626" s="64" t="s">
        <v>417</v>
      </c>
      <c r="H2626" s="419" t="s">
        <v>466</v>
      </c>
      <c r="I2626" s="420"/>
      <c r="K2626" s="57" t="s">
        <v>842</v>
      </c>
      <c r="L2626" s="57" t="s">
        <v>350</v>
      </c>
      <c r="S2626" s="57">
        <v>0</v>
      </c>
    </row>
    <row r="2627" spans="1:19" ht="11.1" customHeight="1" x14ac:dyDescent="0.2">
      <c r="A2627" s="57" t="s">
        <v>842</v>
      </c>
      <c r="B2627" s="424"/>
      <c r="C2627" s="425"/>
      <c r="D2627" s="426"/>
      <c r="E2627" s="419" t="s">
        <v>765</v>
      </c>
      <c r="F2627" s="420"/>
      <c r="G2627" s="64" t="s">
        <v>758</v>
      </c>
      <c r="H2627" s="419" t="s">
        <v>425</v>
      </c>
      <c r="I2627" s="420"/>
      <c r="K2627" s="57" t="s">
        <v>842</v>
      </c>
      <c r="L2627" s="57" t="s">
        <v>350</v>
      </c>
      <c r="S2627" s="57">
        <v>0</v>
      </c>
    </row>
    <row r="2628" spans="1:19" ht="11.85" customHeight="1" x14ac:dyDescent="0.2">
      <c r="A2628" s="57" t="s">
        <v>842</v>
      </c>
      <c r="B2628" s="424"/>
      <c r="C2628" s="425"/>
      <c r="D2628" s="426"/>
      <c r="E2628" s="419" t="s">
        <v>775</v>
      </c>
      <c r="F2628" s="420"/>
      <c r="G2628" s="64" t="s">
        <v>503</v>
      </c>
      <c r="H2628" s="419" t="s">
        <v>423</v>
      </c>
      <c r="I2628" s="420"/>
      <c r="K2628" s="57" t="s">
        <v>842</v>
      </c>
      <c r="L2628" s="57" t="s">
        <v>350</v>
      </c>
      <c r="S2628" s="57">
        <v>0</v>
      </c>
    </row>
    <row r="2629" spans="1:19" ht="11.85" customHeight="1" x14ac:dyDescent="0.2">
      <c r="A2629" s="57" t="s">
        <v>842</v>
      </c>
      <c r="B2629" s="416"/>
      <c r="C2629" s="417"/>
      <c r="D2629" s="418"/>
      <c r="E2629" s="419" t="s">
        <v>776</v>
      </c>
      <c r="F2629" s="420"/>
      <c r="G2629" s="64" t="s">
        <v>503</v>
      </c>
      <c r="H2629" s="419" t="s">
        <v>423</v>
      </c>
      <c r="I2629" s="420"/>
      <c r="K2629" s="57" t="s">
        <v>842</v>
      </c>
      <c r="L2629" s="57" t="s">
        <v>350</v>
      </c>
      <c r="S2629" s="57">
        <v>0</v>
      </c>
    </row>
    <row r="2630" spans="1:19" ht="11.85" customHeight="1" x14ac:dyDescent="0.2">
      <c r="A2630" s="57" t="s">
        <v>842</v>
      </c>
      <c r="B2630" s="62"/>
      <c r="C2630" s="411" t="s">
        <v>843</v>
      </c>
      <c r="D2630" s="412"/>
      <c r="E2630" s="412"/>
      <c r="F2630" s="412"/>
      <c r="G2630" s="412"/>
      <c r="H2630" s="412"/>
      <c r="I2630" s="411"/>
      <c r="K2630" s="57" t="s">
        <v>842</v>
      </c>
      <c r="L2630" s="57" t="s">
        <v>350</v>
      </c>
      <c r="S2630" s="57">
        <v>0</v>
      </c>
    </row>
    <row r="2631" spans="1:19" ht="11.1" customHeight="1" x14ac:dyDescent="0.2">
      <c r="A2631" s="57" t="s">
        <v>843</v>
      </c>
      <c r="B2631" s="413" t="s">
        <v>794</v>
      </c>
      <c r="C2631" s="414"/>
      <c r="D2631" s="415"/>
      <c r="E2631" s="419" t="s">
        <v>817</v>
      </c>
      <c r="F2631" s="420"/>
      <c r="G2631" s="64" t="s">
        <v>417</v>
      </c>
      <c r="H2631" s="419" t="s">
        <v>425</v>
      </c>
      <c r="I2631" s="420"/>
      <c r="K2631" s="57" t="s">
        <v>843</v>
      </c>
      <c r="L2631" s="57" t="s">
        <v>351</v>
      </c>
      <c r="S2631" s="57">
        <v>0</v>
      </c>
    </row>
    <row r="2632" spans="1:19" ht="11.85" customHeight="1" x14ac:dyDescent="0.2">
      <c r="A2632" s="57" t="s">
        <v>843</v>
      </c>
      <c r="B2632" s="424"/>
      <c r="C2632" s="425"/>
      <c r="D2632" s="426"/>
      <c r="E2632" s="419" t="s">
        <v>818</v>
      </c>
      <c r="F2632" s="420"/>
      <c r="G2632" s="64" t="s">
        <v>417</v>
      </c>
      <c r="H2632" s="419" t="s">
        <v>772</v>
      </c>
      <c r="I2632" s="420"/>
      <c r="K2632" s="57" t="s">
        <v>843</v>
      </c>
      <c r="L2632" s="57" t="s">
        <v>351</v>
      </c>
      <c r="S2632" s="57">
        <v>0</v>
      </c>
    </row>
    <row r="2633" spans="1:19" ht="11.85" customHeight="1" x14ac:dyDescent="0.2">
      <c r="A2633" s="57" t="s">
        <v>843</v>
      </c>
      <c r="B2633" s="424"/>
      <c r="C2633" s="425"/>
      <c r="D2633" s="426"/>
      <c r="E2633" s="419" t="s">
        <v>795</v>
      </c>
      <c r="F2633" s="420"/>
      <c r="G2633" s="64" t="s">
        <v>796</v>
      </c>
      <c r="H2633" s="419" t="s">
        <v>770</v>
      </c>
      <c r="I2633" s="420"/>
      <c r="K2633" s="57" t="s">
        <v>843</v>
      </c>
      <c r="L2633" s="57" t="s">
        <v>351</v>
      </c>
      <c r="S2633" s="57">
        <v>0</v>
      </c>
    </row>
    <row r="2634" spans="1:19" ht="11.85" customHeight="1" x14ac:dyDescent="0.2">
      <c r="A2634" s="57" t="s">
        <v>843</v>
      </c>
      <c r="B2634" s="424"/>
      <c r="C2634" s="425"/>
      <c r="D2634" s="426"/>
      <c r="E2634" s="419" t="s">
        <v>797</v>
      </c>
      <c r="F2634" s="420"/>
      <c r="G2634" s="64" t="s">
        <v>798</v>
      </c>
      <c r="H2634" s="419" t="s">
        <v>425</v>
      </c>
      <c r="I2634" s="420"/>
      <c r="K2634" s="57" t="s">
        <v>843</v>
      </c>
      <c r="L2634" s="57" t="s">
        <v>351</v>
      </c>
      <c r="S2634" s="57">
        <v>0</v>
      </c>
    </row>
    <row r="2635" spans="1:19" ht="11.1" customHeight="1" x14ac:dyDescent="0.2">
      <c r="A2635" s="57" t="s">
        <v>843</v>
      </c>
      <c r="B2635" s="416"/>
      <c r="C2635" s="417"/>
      <c r="D2635" s="418"/>
      <c r="E2635" s="419" t="s">
        <v>799</v>
      </c>
      <c r="F2635" s="420"/>
      <c r="G2635" s="64" t="s">
        <v>798</v>
      </c>
      <c r="H2635" s="419" t="s">
        <v>414</v>
      </c>
      <c r="I2635" s="420"/>
      <c r="K2635" s="57" t="s">
        <v>843</v>
      </c>
      <c r="L2635" s="57" t="s">
        <v>351</v>
      </c>
      <c r="S2635" s="57">
        <v>0</v>
      </c>
    </row>
    <row r="2636" spans="1:19" ht="11.85" customHeight="1" x14ac:dyDescent="0.2">
      <c r="A2636" s="57" t="s">
        <v>843</v>
      </c>
      <c r="B2636" s="413" t="s">
        <v>416</v>
      </c>
      <c r="C2636" s="414"/>
      <c r="D2636" s="415"/>
      <c r="E2636" s="419" t="s">
        <v>800</v>
      </c>
      <c r="F2636" s="420"/>
      <c r="G2636" s="64" t="s">
        <v>801</v>
      </c>
      <c r="H2636" s="419" t="s">
        <v>423</v>
      </c>
      <c r="I2636" s="420"/>
      <c r="K2636" s="57" t="s">
        <v>843</v>
      </c>
      <c r="L2636" s="57" t="s">
        <v>351</v>
      </c>
      <c r="S2636" s="65">
        <v>41.47</v>
      </c>
    </row>
    <row r="2637" spans="1:19" ht="11.85" customHeight="1" x14ac:dyDescent="0.2">
      <c r="A2637" s="57" t="s">
        <v>843</v>
      </c>
      <c r="B2637" s="424"/>
      <c r="C2637" s="425"/>
      <c r="D2637" s="426"/>
      <c r="E2637" s="419" t="s">
        <v>819</v>
      </c>
      <c r="F2637" s="420"/>
      <c r="G2637" s="64" t="s">
        <v>796</v>
      </c>
      <c r="H2637" s="419" t="s">
        <v>418</v>
      </c>
      <c r="I2637" s="420"/>
      <c r="K2637" s="57" t="s">
        <v>843</v>
      </c>
      <c r="L2637" s="57" t="s">
        <v>351</v>
      </c>
      <c r="S2637" s="57">
        <v>0</v>
      </c>
    </row>
    <row r="2638" spans="1:19" ht="11.85" customHeight="1" x14ac:dyDescent="0.2">
      <c r="A2638" s="57" t="s">
        <v>843</v>
      </c>
      <c r="B2638" s="424"/>
      <c r="C2638" s="425"/>
      <c r="D2638" s="426"/>
      <c r="E2638" s="419" t="s">
        <v>820</v>
      </c>
      <c r="F2638" s="420"/>
      <c r="G2638" s="64" t="s">
        <v>417</v>
      </c>
      <c r="H2638" s="419" t="s">
        <v>466</v>
      </c>
      <c r="I2638" s="420"/>
      <c r="K2638" s="57" t="s">
        <v>843</v>
      </c>
      <c r="L2638" s="57" t="s">
        <v>351</v>
      </c>
      <c r="S2638" s="57">
        <v>0</v>
      </c>
    </row>
    <row r="2639" spans="1:19" ht="11.1" customHeight="1" x14ac:dyDescent="0.2">
      <c r="A2639" s="57" t="s">
        <v>843</v>
      </c>
      <c r="B2639" s="424"/>
      <c r="C2639" s="425"/>
      <c r="D2639" s="426"/>
      <c r="E2639" s="419" t="s">
        <v>821</v>
      </c>
      <c r="F2639" s="420"/>
      <c r="G2639" s="64" t="s">
        <v>798</v>
      </c>
      <c r="H2639" s="419" t="s">
        <v>467</v>
      </c>
      <c r="I2639" s="420"/>
      <c r="K2639" s="57" t="s">
        <v>843</v>
      </c>
      <c r="L2639" s="57" t="s">
        <v>351</v>
      </c>
      <c r="S2639" s="57">
        <v>0</v>
      </c>
    </row>
    <row r="2640" spans="1:19" ht="11.85" customHeight="1" x14ac:dyDescent="0.2">
      <c r="A2640" s="57" t="s">
        <v>843</v>
      </c>
      <c r="B2640" s="424"/>
      <c r="C2640" s="425"/>
      <c r="D2640" s="426"/>
      <c r="E2640" s="419" t="s">
        <v>822</v>
      </c>
      <c r="F2640" s="420"/>
      <c r="G2640" s="64" t="s">
        <v>417</v>
      </c>
      <c r="H2640" s="419" t="s">
        <v>466</v>
      </c>
      <c r="I2640" s="420"/>
      <c r="K2640" s="57" t="s">
        <v>843</v>
      </c>
      <c r="L2640" s="57" t="s">
        <v>351</v>
      </c>
      <c r="S2640" s="57">
        <v>0</v>
      </c>
    </row>
    <row r="2641" spans="1:19" ht="11.85" customHeight="1" x14ac:dyDescent="0.2">
      <c r="A2641" s="57" t="s">
        <v>843</v>
      </c>
      <c r="B2641" s="424"/>
      <c r="C2641" s="425"/>
      <c r="D2641" s="426"/>
      <c r="E2641" s="419" t="s">
        <v>765</v>
      </c>
      <c r="F2641" s="420"/>
      <c r="G2641" s="64" t="s">
        <v>758</v>
      </c>
      <c r="H2641" s="419" t="s">
        <v>425</v>
      </c>
      <c r="I2641" s="420"/>
      <c r="K2641" s="57" t="s">
        <v>843</v>
      </c>
      <c r="L2641" s="57" t="s">
        <v>351</v>
      </c>
      <c r="S2641" s="57">
        <v>0</v>
      </c>
    </row>
    <row r="2642" spans="1:19" ht="11.85" customHeight="1" x14ac:dyDescent="0.2">
      <c r="A2642" s="57" t="s">
        <v>843</v>
      </c>
      <c r="B2642" s="424"/>
      <c r="C2642" s="425"/>
      <c r="D2642" s="426"/>
      <c r="E2642" s="419" t="s">
        <v>775</v>
      </c>
      <c r="F2642" s="420"/>
      <c r="G2642" s="64" t="s">
        <v>503</v>
      </c>
      <c r="H2642" s="419" t="s">
        <v>423</v>
      </c>
      <c r="I2642" s="420"/>
      <c r="K2642" s="57" t="s">
        <v>843</v>
      </c>
      <c r="L2642" s="57" t="s">
        <v>351</v>
      </c>
      <c r="S2642" s="57">
        <v>0</v>
      </c>
    </row>
    <row r="2643" spans="1:19" ht="11.1" customHeight="1" x14ac:dyDescent="0.2">
      <c r="A2643" s="57" t="s">
        <v>843</v>
      </c>
      <c r="B2643" s="416"/>
      <c r="C2643" s="417"/>
      <c r="D2643" s="418"/>
      <c r="E2643" s="419" t="s">
        <v>776</v>
      </c>
      <c r="F2643" s="420"/>
      <c r="G2643" s="64" t="s">
        <v>503</v>
      </c>
      <c r="H2643" s="419" t="s">
        <v>423</v>
      </c>
      <c r="I2643" s="420"/>
      <c r="K2643" s="57" t="s">
        <v>843</v>
      </c>
      <c r="L2643" s="57" t="s">
        <v>351</v>
      </c>
      <c r="S2643" s="57">
        <v>0</v>
      </c>
    </row>
    <row r="2644" spans="1:19" ht="11.85" customHeight="1" x14ac:dyDescent="0.2">
      <c r="A2644" s="57" t="s">
        <v>843</v>
      </c>
      <c r="B2644" s="62"/>
      <c r="C2644" s="411" t="s">
        <v>844</v>
      </c>
      <c r="D2644" s="412"/>
      <c r="E2644" s="412"/>
      <c r="F2644" s="412"/>
      <c r="G2644" s="412"/>
      <c r="H2644" s="412"/>
      <c r="I2644" s="411"/>
      <c r="K2644" s="57" t="s">
        <v>843</v>
      </c>
      <c r="L2644" s="57" t="s">
        <v>351</v>
      </c>
      <c r="S2644" s="57">
        <v>0</v>
      </c>
    </row>
    <row r="2645" spans="1:19" ht="11.85" customHeight="1" x14ac:dyDescent="0.2">
      <c r="A2645" s="57" t="s">
        <v>844</v>
      </c>
      <c r="B2645" s="413" t="s">
        <v>794</v>
      </c>
      <c r="C2645" s="414"/>
      <c r="D2645" s="415"/>
      <c r="E2645" s="419" t="s">
        <v>817</v>
      </c>
      <c r="F2645" s="420"/>
      <c r="G2645" s="64" t="s">
        <v>417</v>
      </c>
      <c r="H2645" s="419" t="s">
        <v>425</v>
      </c>
      <c r="I2645" s="420"/>
      <c r="K2645" s="57" t="s">
        <v>844</v>
      </c>
      <c r="L2645" s="57" t="s">
        <v>352</v>
      </c>
      <c r="S2645" s="57">
        <v>0</v>
      </c>
    </row>
    <row r="2646" spans="1:19" ht="11.85" customHeight="1" x14ac:dyDescent="0.2">
      <c r="A2646" s="57" t="s">
        <v>844</v>
      </c>
      <c r="B2646" s="424"/>
      <c r="C2646" s="425"/>
      <c r="D2646" s="426"/>
      <c r="E2646" s="419" t="s">
        <v>818</v>
      </c>
      <c r="F2646" s="420"/>
      <c r="G2646" s="64" t="s">
        <v>417</v>
      </c>
      <c r="H2646" s="419" t="s">
        <v>772</v>
      </c>
      <c r="I2646" s="420"/>
      <c r="K2646" s="57" t="s">
        <v>844</v>
      </c>
      <c r="L2646" s="57" t="s">
        <v>352</v>
      </c>
      <c r="S2646" s="57">
        <v>0</v>
      </c>
    </row>
    <row r="2647" spans="1:19" ht="11.1" customHeight="1" x14ac:dyDescent="0.2">
      <c r="A2647" s="57" t="s">
        <v>844</v>
      </c>
      <c r="B2647" s="424"/>
      <c r="C2647" s="425"/>
      <c r="D2647" s="426"/>
      <c r="E2647" s="419" t="s">
        <v>795</v>
      </c>
      <c r="F2647" s="420"/>
      <c r="G2647" s="64" t="s">
        <v>796</v>
      </c>
      <c r="H2647" s="419" t="s">
        <v>770</v>
      </c>
      <c r="I2647" s="420"/>
      <c r="K2647" s="57" t="s">
        <v>844</v>
      </c>
      <c r="L2647" s="57" t="s">
        <v>352</v>
      </c>
      <c r="S2647" s="57">
        <v>0</v>
      </c>
    </row>
    <row r="2648" spans="1:19" ht="11.85" customHeight="1" x14ac:dyDescent="0.2">
      <c r="A2648" s="57" t="s">
        <v>844</v>
      </c>
      <c r="B2648" s="424"/>
      <c r="C2648" s="425"/>
      <c r="D2648" s="426"/>
      <c r="E2648" s="419" t="s">
        <v>797</v>
      </c>
      <c r="F2648" s="420"/>
      <c r="G2648" s="64" t="s">
        <v>798</v>
      </c>
      <c r="H2648" s="419" t="s">
        <v>425</v>
      </c>
      <c r="I2648" s="420"/>
      <c r="K2648" s="57" t="s">
        <v>844</v>
      </c>
      <c r="L2648" s="57" t="s">
        <v>352</v>
      </c>
      <c r="S2648" s="57">
        <v>0</v>
      </c>
    </row>
    <row r="2649" spans="1:19" ht="11.85" customHeight="1" x14ac:dyDescent="0.2">
      <c r="A2649" s="57" t="s">
        <v>844</v>
      </c>
      <c r="B2649" s="416"/>
      <c r="C2649" s="417"/>
      <c r="D2649" s="418"/>
      <c r="E2649" s="419" t="s">
        <v>799</v>
      </c>
      <c r="F2649" s="420"/>
      <c r="G2649" s="64" t="s">
        <v>798</v>
      </c>
      <c r="H2649" s="419" t="s">
        <v>414</v>
      </c>
      <c r="I2649" s="420"/>
      <c r="K2649" s="57" t="s">
        <v>844</v>
      </c>
      <c r="L2649" s="57" t="s">
        <v>352</v>
      </c>
      <c r="S2649" s="57">
        <v>0</v>
      </c>
    </row>
    <row r="2650" spans="1:19" ht="11.85" customHeight="1" x14ac:dyDescent="0.2">
      <c r="A2650" s="57" t="s">
        <v>844</v>
      </c>
      <c r="B2650" s="413" t="s">
        <v>416</v>
      </c>
      <c r="C2650" s="414"/>
      <c r="D2650" s="415"/>
      <c r="E2650" s="419" t="s">
        <v>800</v>
      </c>
      <c r="F2650" s="420"/>
      <c r="G2650" s="64" t="s">
        <v>801</v>
      </c>
      <c r="H2650" s="419" t="s">
        <v>423</v>
      </c>
      <c r="I2650" s="420"/>
      <c r="K2650" s="57" t="s">
        <v>844</v>
      </c>
      <c r="L2650" s="57" t="s">
        <v>352</v>
      </c>
      <c r="S2650" s="65">
        <v>41.47</v>
      </c>
    </row>
    <row r="2651" spans="1:19" ht="11.1" customHeight="1" x14ac:dyDescent="0.2">
      <c r="A2651" s="57" t="s">
        <v>844</v>
      </c>
      <c r="B2651" s="424"/>
      <c r="C2651" s="425"/>
      <c r="D2651" s="426"/>
      <c r="E2651" s="419" t="s">
        <v>819</v>
      </c>
      <c r="F2651" s="420"/>
      <c r="G2651" s="64" t="s">
        <v>796</v>
      </c>
      <c r="H2651" s="419" t="s">
        <v>418</v>
      </c>
      <c r="I2651" s="420"/>
      <c r="K2651" s="57" t="s">
        <v>844</v>
      </c>
      <c r="L2651" s="57" t="s">
        <v>352</v>
      </c>
      <c r="S2651" s="57">
        <v>0</v>
      </c>
    </row>
    <row r="2652" spans="1:19" ht="11.85" customHeight="1" x14ac:dyDescent="0.2">
      <c r="A2652" s="57" t="s">
        <v>844</v>
      </c>
      <c r="B2652" s="424"/>
      <c r="C2652" s="425"/>
      <c r="D2652" s="426"/>
      <c r="E2652" s="419" t="s">
        <v>820</v>
      </c>
      <c r="F2652" s="420"/>
      <c r="G2652" s="64" t="s">
        <v>417</v>
      </c>
      <c r="H2652" s="419" t="s">
        <v>466</v>
      </c>
      <c r="I2652" s="420"/>
      <c r="K2652" s="57" t="s">
        <v>844</v>
      </c>
      <c r="L2652" s="57" t="s">
        <v>352</v>
      </c>
      <c r="S2652" s="57">
        <v>0</v>
      </c>
    </row>
    <row r="2653" spans="1:19" ht="11.85" customHeight="1" x14ac:dyDescent="0.2">
      <c r="A2653" s="57" t="s">
        <v>844</v>
      </c>
      <c r="B2653" s="424"/>
      <c r="C2653" s="425"/>
      <c r="D2653" s="426"/>
      <c r="E2653" s="419" t="s">
        <v>821</v>
      </c>
      <c r="F2653" s="420"/>
      <c r="G2653" s="64" t="s">
        <v>798</v>
      </c>
      <c r="H2653" s="419" t="s">
        <v>467</v>
      </c>
      <c r="I2653" s="420"/>
      <c r="K2653" s="57" t="s">
        <v>844</v>
      </c>
      <c r="L2653" s="57" t="s">
        <v>352</v>
      </c>
      <c r="S2653" s="57">
        <v>0</v>
      </c>
    </row>
    <row r="2654" spans="1:19" ht="11.85" customHeight="1" x14ac:dyDescent="0.2">
      <c r="A2654" s="57" t="s">
        <v>844</v>
      </c>
      <c r="B2654" s="424"/>
      <c r="C2654" s="425"/>
      <c r="D2654" s="426"/>
      <c r="E2654" s="419" t="s">
        <v>822</v>
      </c>
      <c r="F2654" s="420"/>
      <c r="G2654" s="64" t="s">
        <v>417</v>
      </c>
      <c r="H2654" s="419" t="s">
        <v>466</v>
      </c>
      <c r="I2654" s="420"/>
      <c r="K2654" s="57" t="s">
        <v>844</v>
      </c>
      <c r="L2654" s="57" t="s">
        <v>352</v>
      </c>
      <c r="S2654" s="57">
        <v>0</v>
      </c>
    </row>
    <row r="2655" spans="1:19" ht="11.1" customHeight="1" x14ac:dyDescent="0.2">
      <c r="A2655" s="57" t="s">
        <v>844</v>
      </c>
      <c r="B2655" s="424"/>
      <c r="C2655" s="425"/>
      <c r="D2655" s="426"/>
      <c r="E2655" s="419" t="s">
        <v>765</v>
      </c>
      <c r="F2655" s="420"/>
      <c r="G2655" s="64" t="s">
        <v>758</v>
      </c>
      <c r="H2655" s="419" t="s">
        <v>425</v>
      </c>
      <c r="I2655" s="420"/>
      <c r="K2655" s="57" t="s">
        <v>844</v>
      </c>
      <c r="L2655" s="57" t="s">
        <v>352</v>
      </c>
      <c r="S2655" s="57">
        <v>0</v>
      </c>
    </row>
    <row r="2656" spans="1:19" ht="11.85" customHeight="1" x14ac:dyDescent="0.2">
      <c r="A2656" s="57" t="s">
        <v>844</v>
      </c>
      <c r="B2656" s="424"/>
      <c r="C2656" s="425"/>
      <c r="D2656" s="426"/>
      <c r="E2656" s="419" t="s">
        <v>775</v>
      </c>
      <c r="F2656" s="420"/>
      <c r="G2656" s="64" t="s">
        <v>503</v>
      </c>
      <c r="H2656" s="419" t="s">
        <v>423</v>
      </c>
      <c r="I2656" s="420"/>
      <c r="K2656" s="57" t="s">
        <v>844</v>
      </c>
      <c r="L2656" s="57" t="s">
        <v>352</v>
      </c>
      <c r="S2656" s="57">
        <v>0</v>
      </c>
    </row>
    <row r="2657" spans="1:19" ht="11.85" customHeight="1" x14ac:dyDescent="0.2">
      <c r="A2657" s="57" t="s">
        <v>844</v>
      </c>
      <c r="B2657" s="416"/>
      <c r="C2657" s="417"/>
      <c r="D2657" s="418"/>
      <c r="E2657" s="419" t="s">
        <v>776</v>
      </c>
      <c r="F2657" s="420"/>
      <c r="G2657" s="64" t="s">
        <v>503</v>
      </c>
      <c r="H2657" s="419" t="s">
        <v>423</v>
      </c>
      <c r="I2657" s="420"/>
      <c r="K2657" s="57" t="s">
        <v>844</v>
      </c>
      <c r="L2657" s="57" t="s">
        <v>352</v>
      </c>
      <c r="S2657" s="57">
        <v>0</v>
      </c>
    </row>
    <row r="2658" spans="1:19" ht="11.85" customHeight="1" x14ac:dyDescent="0.2">
      <c r="A2658" s="57" t="s">
        <v>844</v>
      </c>
      <c r="B2658" s="62"/>
      <c r="C2658" s="411" t="s">
        <v>845</v>
      </c>
      <c r="D2658" s="412"/>
      <c r="E2658" s="412"/>
      <c r="F2658" s="412"/>
      <c r="G2658" s="412"/>
      <c r="H2658" s="412"/>
      <c r="I2658" s="411"/>
      <c r="K2658" s="57" t="s">
        <v>844</v>
      </c>
      <c r="L2658" s="57" t="s">
        <v>352</v>
      </c>
      <c r="S2658" s="57">
        <v>0</v>
      </c>
    </row>
    <row r="2659" spans="1:19" ht="11.1" customHeight="1" x14ac:dyDescent="0.2">
      <c r="A2659" s="57" t="s">
        <v>845</v>
      </c>
      <c r="B2659" s="413" t="s">
        <v>794</v>
      </c>
      <c r="C2659" s="414"/>
      <c r="D2659" s="415"/>
      <c r="E2659" s="419" t="s">
        <v>817</v>
      </c>
      <c r="F2659" s="420"/>
      <c r="G2659" s="64" t="s">
        <v>417</v>
      </c>
      <c r="H2659" s="419" t="s">
        <v>425</v>
      </c>
      <c r="I2659" s="420"/>
      <c r="K2659" s="57" t="s">
        <v>845</v>
      </c>
      <c r="L2659" s="57" t="s">
        <v>353</v>
      </c>
      <c r="S2659" s="57">
        <v>0</v>
      </c>
    </row>
    <row r="2660" spans="1:19" ht="11.85" customHeight="1" x14ac:dyDescent="0.2">
      <c r="A2660" s="57" t="s">
        <v>845</v>
      </c>
      <c r="B2660" s="424"/>
      <c r="C2660" s="425"/>
      <c r="D2660" s="426"/>
      <c r="E2660" s="419" t="s">
        <v>818</v>
      </c>
      <c r="F2660" s="420"/>
      <c r="G2660" s="64" t="s">
        <v>417</v>
      </c>
      <c r="H2660" s="419" t="s">
        <v>772</v>
      </c>
      <c r="I2660" s="420"/>
      <c r="K2660" s="57" t="s">
        <v>845</v>
      </c>
      <c r="L2660" s="57" t="s">
        <v>353</v>
      </c>
      <c r="S2660" s="57">
        <v>0</v>
      </c>
    </row>
    <row r="2661" spans="1:19" ht="11.85" customHeight="1" x14ac:dyDescent="0.2">
      <c r="A2661" s="57" t="s">
        <v>845</v>
      </c>
      <c r="B2661" s="424"/>
      <c r="C2661" s="425"/>
      <c r="D2661" s="426"/>
      <c r="E2661" s="419" t="s">
        <v>795</v>
      </c>
      <c r="F2661" s="420"/>
      <c r="G2661" s="64" t="s">
        <v>796</v>
      </c>
      <c r="H2661" s="419" t="s">
        <v>770</v>
      </c>
      <c r="I2661" s="420"/>
      <c r="K2661" s="57" t="s">
        <v>845</v>
      </c>
      <c r="L2661" s="57" t="s">
        <v>353</v>
      </c>
      <c r="S2661" s="57">
        <v>0</v>
      </c>
    </row>
    <row r="2662" spans="1:19" ht="11.85" customHeight="1" x14ac:dyDescent="0.2">
      <c r="A2662" s="57" t="s">
        <v>845</v>
      </c>
      <c r="B2662" s="424"/>
      <c r="C2662" s="425"/>
      <c r="D2662" s="426"/>
      <c r="E2662" s="419" t="s">
        <v>797</v>
      </c>
      <c r="F2662" s="420"/>
      <c r="G2662" s="64" t="s">
        <v>798</v>
      </c>
      <c r="H2662" s="419" t="s">
        <v>425</v>
      </c>
      <c r="I2662" s="420"/>
      <c r="K2662" s="57" t="s">
        <v>845</v>
      </c>
      <c r="L2662" s="57" t="s">
        <v>353</v>
      </c>
      <c r="S2662" s="57">
        <v>0</v>
      </c>
    </row>
    <row r="2663" spans="1:19" ht="11.1" customHeight="1" x14ac:dyDescent="0.2">
      <c r="A2663" s="57" t="s">
        <v>845</v>
      </c>
      <c r="B2663" s="416"/>
      <c r="C2663" s="417"/>
      <c r="D2663" s="418"/>
      <c r="E2663" s="419" t="s">
        <v>799</v>
      </c>
      <c r="F2663" s="420"/>
      <c r="G2663" s="64" t="s">
        <v>798</v>
      </c>
      <c r="H2663" s="419" t="s">
        <v>414</v>
      </c>
      <c r="I2663" s="420"/>
      <c r="K2663" s="57" t="s">
        <v>845</v>
      </c>
      <c r="L2663" s="57" t="s">
        <v>353</v>
      </c>
      <c r="S2663" s="57">
        <v>0</v>
      </c>
    </row>
    <row r="2664" spans="1:19" ht="11.85" customHeight="1" x14ac:dyDescent="0.2">
      <c r="A2664" s="57" t="s">
        <v>845</v>
      </c>
      <c r="B2664" s="413" t="s">
        <v>416</v>
      </c>
      <c r="C2664" s="414"/>
      <c r="D2664" s="415"/>
      <c r="E2664" s="419" t="s">
        <v>800</v>
      </c>
      <c r="F2664" s="420"/>
      <c r="G2664" s="64" t="s">
        <v>801</v>
      </c>
      <c r="H2664" s="419" t="s">
        <v>423</v>
      </c>
      <c r="I2664" s="420"/>
      <c r="K2664" s="57" t="s">
        <v>845</v>
      </c>
      <c r="L2664" s="57" t="s">
        <v>353</v>
      </c>
      <c r="S2664" s="65">
        <v>41.47</v>
      </c>
    </row>
    <row r="2665" spans="1:19" ht="11.85" customHeight="1" x14ac:dyDescent="0.2">
      <c r="A2665" s="57" t="s">
        <v>845</v>
      </c>
      <c r="B2665" s="424"/>
      <c r="C2665" s="425"/>
      <c r="D2665" s="426"/>
      <c r="E2665" s="419" t="s">
        <v>819</v>
      </c>
      <c r="F2665" s="420"/>
      <c r="G2665" s="64" t="s">
        <v>796</v>
      </c>
      <c r="H2665" s="419" t="s">
        <v>418</v>
      </c>
      <c r="I2665" s="420"/>
      <c r="K2665" s="57" t="s">
        <v>845</v>
      </c>
      <c r="L2665" s="57" t="s">
        <v>353</v>
      </c>
      <c r="S2665" s="57">
        <v>0</v>
      </c>
    </row>
    <row r="2666" spans="1:19" ht="11.85" customHeight="1" x14ac:dyDescent="0.2">
      <c r="A2666" s="57" t="s">
        <v>845</v>
      </c>
      <c r="B2666" s="424"/>
      <c r="C2666" s="425"/>
      <c r="D2666" s="426"/>
      <c r="E2666" s="419" t="s">
        <v>820</v>
      </c>
      <c r="F2666" s="420"/>
      <c r="G2666" s="64" t="s">
        <v>417</v>
      </c>
      <c r="H2666" s="419" t="s">
        <v>466</v>
      </c>
      <c r="I2666" s="420"/>
      <c r="K2666" s="57" t="s">
        <v>845</v>
      </c>
      <c r="L2666" s="57" t="s">
        <v>353</v>
      </c>
      <c r="S2666" s="57">
        <v>0</v>
      </c>
    </row>
    <row r="2667" spans="1:19" ht="11.1" customHeight="1" x14ac:dyDescent="0.2">
      <c r="A2667" s="57" t="s">
        <v>845</v>
      </c>
      <c r="B2667" s="424"/>
      <c r="C2667" s="425"/>
      <c r="D2667" s="426"/>
      <c r="E2667" s="419" t="s">
        <v>821</v>
      </c>
      <c r="F2667" s="420"/>
      <c r="G2667" s="64" t="s">
        <v>798</v>
      </c>
      <c r="H2667" s="419" t="s">
        <v>467</v>
      </c>
      <c r="I2667" s="420"/>
      <c r="K2667" s="57" t="s">
        <v>845</v>
      </c>
      <c r="L2667" s="57" t="s">
        <v>353</v>
      </c>
      <c r="S2667" s="57">
        <v>0</v>
      </c>
    </row>
    <row r="2668" spans="1:19" ht="11.85" customHeight="1" x14ac:dyDescent="0.2">
      <c r="A2668" s="57" t="s">
        <v>845</v>
      </c>
      <c r="B2668" s="424"/>
      <c r="C2668" s="425"/>
      <c r="D2668" s="426"/>
      <c r="E2668" s="419" t="s">
        <v>822</v>
      </c>
      <c r="F2668" s="420"/>
      <c r="G2668" s="64" t="s">
        <v>417</v>
      </c>
      <c r="H2668" s="419" t="s">
        <v>466</v>
      </c>
      <c r="I2668" s="420"/>
      <c r="K2668" s="57" t="s">
        <v>845</v>
      </c>
      <c r="L2668" s="57" t="s">
        <v>353</v>
      </c>
      <c r="S2668" s="57">
        <v>0</v>
      </c>
    </row>
    <row r="2669" spans="1:19" ht="11.85" customHeight="1" x14ac:dyDescent="0.2">
      <c r="A2669" s="57" t="s">
        <v>845</v>
      </c>
      <c r="B2669" s="424"/>
      <c r="C2669" s="425"/>
      <c r="D2669" s="426"/>
      <c r="E2669" s="419" t="s">
        <v>765</v>
      </c>
      <c r="F2669" s="420"/>
      <c r="G2669" s="64" t="s">
        <v>758</v>
      </c>
      <c r="H2669" s="419" t="s">
        <v>425</v>
      </c>
      <c r="I2669" s="420"/>
      <c r="K2669" s="57" t="s">
        <v>845</v>
      </c>
      <c r="L2669" s="57" t="s">
        <v>353</v>
      </c>
      <c r="S2669" s="57">
        <v>0</v>
      </c>
    </row>
    <row r="2670" spans="1:19" ht="11.85" customHeight="1" x14ac:dyDescent="0.2">
      <c r="A2670" s="57" t="s">
        <v>845</v>
      </c>
      <c r="B2670" s="424"/>
      <c r="C2670" s="425"/>
      <c r="D2670" s="426"/>
      <c r="E2670" s="419" t="s">
        <v>775</v>
      </c>
      <c r="F2670" s="420"/>
      <c r="G2670" s="64" t="s">
        <v>503</v>
      </c>
      <c r="H2670" s="419" t="s">
        <v>423</v>
      </c>
      <c r="I2670" s="420"/>
      <c r="K2670" s="57" t="s">
        <v>845</v>
      </c>
      <c r="L2670" s="57" t="s">
        <v>353</v>
      </c>
      <c r="S2670" s="57">
        <v>0</v>
      </c>
    </row>
    <row r="2671" spans="1:19" ht="11.1" customHeight="1" x14ac:dyDescent="0.2">
      <c r="A2671" s="57" t="s">
        <v>845</v>
      </c>
      <c r="B2671" s="416"/>
      <c r="C2671" s="417"/>
      <c r="D2671" s="418"/>
      <c r="E2671" s="419" t="s">
        <v>776</v>
      </c>
      <c r="F2671" s="420"/>
      <c r="G2671" s="64" t="s">
        <v>503</v>
      </c>
      <c r="H2671" s="419" t="s">
        <v>423</v>
      </c>
      <c r="I2671" s="420"/>
      <c r="K2671" s="57" t="s">
        <v>845</v>
      </c>
      <c r="L2671" s="57" t="s">
        <v>353</v>
      </c>
      <c r="S2671" s="57">
        <v>0</v>
      </c>
    </row>
    <row r="2672" spans="1:19" ht="11.85" customHeight="1" x14ac:dyDescent="0.2">
      <c r="A2672" s="57" t="s">
        <v>845</v>
      </c>
      <c r="B2672" s="62"/>
      <c r="C2672" s="411" t="s">
        <v>846</v>
      </c>
      <c r="D2672" s="412"/>
      <c r="E2672" s="412"/>
      <c r="F2672" s="412"/>
      <c r="G2672" s="412"/>
      <c r="H2672" s="412"/>
      <c r="I2672" s="411"/>
      <c r="K2672" s="57" t="s">
        <v>845</v>
      </c>
      <c r="L2672" s="57" t="s">
        <v>353</v>
      </c>
      <c r="S2672" s="57">
        <v>0</v>
      </c>
    </row>
    <row r="2673" spans="1:19" ht="11.85" customHeight="1" x14ac:dyDescent="0.2">
      <c r="A2673" s="57" t="s">
        <v>846</v>
      </c>
      <c r="B2673" s="413" t="s">
        <v>794</v>
      </c>
      <c r="C2673" s="414"/>
      <c r="D2673" s="415"/>
      <c r="E2673" s="419" t="s">
        <v>817</v>
      </c>
      <c r="F2673" s="420"/>
      <c r="G2673" s="64" t="s">
        <v>417</v>
      </c>
      <c r="H2673" s="419" t="s">
        <v>425</v>
      </c>
      <c r="I2673" s="420"/>
      <c r="K2673" s="57" t="s">
        <v>846</v>
      </c>
      <c r="L2673" s="57" t="s">
        <v>354</v>
      </c>
      <c r="S2673" s="57">
        <v>0</v>
      </c>
    </row>
    <row r="2674" spans="1:19" ht="11.85" customHeight="1" x14ac:dyDescent="0.2">
      <c r="A2674" s="57" t="s">
        <v>846</v>
      </c>
      <c r="B2674" s="424"/>
      <c r="C2674" s="425"/>
      <c r="D2674" s="426"/>
      <c r="E2674" s="419" t="s">
        <v>818</v>
      </c>
      <c r="F2674" s="420"/>
      <c r="G2674" s="64" t="s">
        <v>417</v>
      </c>
      <c r="H2674" s="419" t="s">
        <v>772</v>
      </c>
      <c r="I2674" s="420"/>
      <c r="K2674" s="57" t="s">
        <v>846</v>
      </c>
      <c r="L2674" s="57" t="s">
        <v>354</v>
      </c>
      <c r="S2674" s="57">
        <v>0</v>
      </c>
    </row>
    <row r="2675" spans="1:19" ht="11.1" customHeight="1" x14ac:dyDescent="0.2">
      <c r="A2675" s="57" t="s">
        <v>846</v>
      </c>
      <c r="B2675" s="424"/>
      <c r="C2675" s="425"/>
      <c r="D2675" s="426"/>
      <c r="E2675" s="419" t="s">
        <v>795</v>
      </c>
      <c r="F2675" s="420"/>
      <c r="G2675" s="64" t="s">
        <v>796</v>
      </c>
      <c r="H2675" s="419" t="s">
        <v>770</v>
      </c>
      <c r="I2675" s="420"/>
      <c r="K2675" s="57" t="s">
        <v>846</v>
      </c>
      <c r="L2675" s="57" t="s">
        <v>354</v>
      </c>
      <c r="S2675" s="57">
        <v>0</v>
      </c>
    </row>
    <row r="2676" spans="1:19" ht="11.85" customHeight="1" x14ac:dyDescent="0.2">
      <c r="A2676" s="57" t="s">
        <v>846</v>
      </c>
      <c r="B2676" s="424"/>
      <c r="C2676" s="425"/>
      <c r="D2676" s="426"/>
      <c r="E2676" s="419" t="s">
        <v>797</v>
      </c>
      <c r="F2676" s="420"/>
      <c r="G2676" s="64" t="s">
        <v>798</v>
      </c>
      <c r="H2676" s="419" t="s">
        <v>425</v>
      </c>
      <c r="I2676" s="420"/>
      <c r="K2676" s="57" t="s">
        <v>846</v>
      </c>
      <c r="L2676" s="57" t="s">
        <v>354</v>
      </c>
      <c r="S2676" s="57">
        <v>0</v>
      </c>
    </row>
    <row r="2677" spans="1:19" ht="11.85" customHeight="1" x14ac:dyDescent="0.2">
      <c r="A2677" s="57" t="s">
        <v>846</v>
      </c>
      <c r="B2677" s="416"/>
      <c r="C2677" s="417"/>
      <c r="D2677" s="418"/>
      <c r="E2677" s="419" t="s">
        <v>799</v>
      </c>
      <c r="F2677" s="420"/>
      <c r="G2677" s="64" t="s">
        <v>798</v>
      </c>
      <c r="H2677" s="419" t="s">
        <v>414</v>
      </c>
      <c r="I2677" s="420"/>
      <c r="K2677" s="57" t="s">
        <v>846</v>
      </c>
      <c r="L2677" s="57" t="s">
        <v>354</v>
      </c>
      <c r="S2677" s="57">
        <v>0</v>
      </c>
    </row>
    <row r="2678" spans="1:19" ht="11.85" customHeight="1" x14ac:dyDescent="0.2">
      <c r="A2678" s="57" t="s">
        <v>846</v>
      </c>
      <c r="B2678" s="413" t="s">
        <v>416</v>
      </c>
      <c r="C2678" s="427"/>
      <c r="D2678" s="428"/>
      <c r="E2678" s="419" t="s">
        <v>800</v>
      </c>
      <c r="F2678" s="420"/>
      <c r="G2678" s="64" t="s">
        <v>801</v>
      </c>
      <c r="H2678" s="419" t="s">
        <v>423</v>
      </c>
      <c r="I2678" s="420"/>
      <c r="K2678" s="57" t="s">
        <v>846</v>
      </c>
      <c r="L2678" s="57" t="s">
        <v>354</v>
      </c>
      <c r="S2678" s="65">
        <v>41.47</v>
      </c>
    </row>
    <row r="2679" spans="1:19" ht="11.85" customHeight="1" x14ac:dyDescent="0.2">
      <c r="A2679" s="57" t="s">
        <v>846</v>
      </c>
      <c r="B2679" s="413" t="s">
        <v>416</v>
      </c>
      <c r="C2679" s="414"/>
      <c r="D2679" s="415"/>
      <c r="E2679" s="419" t="s">
        <v>819</v>
      </c>
      <c r="F2679" s="420"/>
      <c r="G2679" s="64" t="s">
        <v>796</v>
      </c>
      <c r="H2679" s="419" t="s">
        <v>418</v>
      </c>
      <c r="I2679" s="420"/>
      <c r="K2679" s="57" t="s">
        <v>846</v>
      </c>
      <c r="L2679" s="57" t="s">
        <v>354</v>
      </c>
      <c r="S2679" s="57">
        <v>0</v>
      </c>
    </row>
    <row r="2680" spans="1:19" ht="11.85" customHeight="1" x14ac:dyDescent="0.2">
      <c r="A2680" s="57" t="s">
        <v>846</v>
      </c>
      <c r="B2680" s="424"/>
      <c r="C2680" s="425"/>
      <c r="D2680" s="426"/>
      <c r="E2680" s="419" t="s">
        <v>820</v>
      </c>
      <c r="F2680" s="420"/>
      <c r="G2680" s="64" t="s">
        <v>417</v>
      </c>
      <c r="H2680" s="419" t="s">
        <v>466</v>
      </c>
      <c r="I2680" s="420"/>
      <c r="K2680" s="57" t="s">
        <v>846</v>
      </c>
      <c r="L2680" s="57" t="s">
        <v>354</v>
      </c>
      <c r="S2680" s="57">
        <v>0</v>
      </c>
    </row>
    <row r="2681" spans="1:19" ht="11.85" customHeight="1" x14ac:dyDescent="0.2">
      <c r="A2681" s="57" t="s">
        <v>846</v>
      </c>
      <c r="B2681" s="424"/>
      <c r="C2681" s="425"/>
      <c r="D2681" s="426"/>
      <c r="E2681" s="419" t="s">
        <v>821</v>
      </c>
      <c r="F2681" s="420"/>
      <c r="G2681" s="64" t="s">
        <v>798</v>
      </c>
      <c r="H2681" s="419" t="s">
        <v>467</v>
      </c>
      <c r="I2681" s="420"/>
      <c r="K2681" s="57" t="s">
        <v>846</v>
      </c>
      <c r="L2681" s="57" t="s">
        <v>354</v>
      </c>
      <c r="S2681" s="57">
        <v>0</v>
      </c>
    </row>
    <row r="2682" spans="1:19" ht="11.1" customHeight="1" x14ac:dyDescent="0.2">
      <c r="A2682" s="57" t="s">
        <v>846</v>
      </c>
      <c r="B2682" s="424"/>
      <c r="C2682" s="425"/>
      <c r="D2682" s="426"/>
      <c r="E2682" s="419" t="s">
        <v>822</v>
      </c>
      <c r="F2682" s="420"/>
      <c r="G2682" s="64" t="s">
        <v>417</v>
      </c>
      <c r="H2682" s="419" t="s">
        <v>466</v>
      </c>
      <c r="I2682" s="420"/>
      <c r="K2682" s="57" t="s">
        <v>846</v>
      </c>
      <c r="L2682" s="57" t="s">
        <v>354</v>
      </c>
      <c r="S2682" s="57">
        <v>0</v>
      </c>
    </row>
    <row r="2683" spans="1:19" ht="11.85" customHeight="1" x14ac:dyDescent="0.2">
      <c r="A2683" s="57" t="s">
        <v>846</v>
      </c>
      <c r="B2683" s="424"/>
      <c r="C2683" s="425"/>
      <c r="D2683" s="426"/>
      <c r="E2683" s="419" t="s">
        <v>765</v>
      </c>
      <c r="F2683" s="420"/>
      <c r="G2683" s="64" t="s">
        <v>758</v>
      </c>
      <c r="H2683" s="419" t="s">
        <v>425</v>
      </c>
      <c r="I2683" s="420"/>
      <c r="K2683" s="57" t="s">
        <v>846</v>
      </c>
      <c r="L2683" s="57" t="s">
        <v>354</v>
      </c>
      <c r="S2683" s="57">
        <v>0</v>
      </c>
    </row>
    <row r="2684" spans="1:19" ht="11.85" customHeight="1" x14ac:dyDescent="0.2">
      <c r="A2684" s="57" t="s">
        <v>846</v>
      </c>
      <c r="B2684" s="424"/>
      <c r="C2684" s="425"/>
      <c r="D2684" s="426"/>
      <c r="E2684" s="419" t="s">
        <v>775</v>
      </c>
      <c r="F2684" s="420"/>
      <c r="G2684" s="64" t="s">
        <v>503</v>
      </c>
      <c r="H2684" s="419" t="s">
        <v>423</v>
      </c>
      <c r="I2684" s="420"/>
      <c r="K2684" s="57" t="s">
        <v>846</v>
      </c>
      <c r="L2684" s="57" t="s">
        <v>354</v>
      </c>
      <c r="S2684" s="57">
        <v>0</v>
      </c>
    </row>
    <row r="2685" spans="1:19" ht="11.85" customHeight="1" x14ac:dyDescent="0.2">
      <c r="A2685" s="57" t="s">
        <v>846</v>
      </c>
      <c r="B2685" s="416"/>
      <c r="C2685" s="417"/>
      <c r="D2685" s="418"/>
      <c r="E2685" s="419" t="s">
        <v>776</v>
      </c>
      <c r="F2685" s="420"/>
      <c r="G2685" s="64" t="s">
        <v>503</v>
      </c>
      <c r="H2685" s="419" t="s">
        <v>423</v>
      </c>
      <c r="I2685" s="420"/>
      <c r="K2685" s="57" t="s">
        <v>846</v>
      </c>
      <c r="L2685" s="57" t="s">
        <v>354</v>
      </c>
      <c r="S2685" s="57">
        <v>0</v>
      </c>
    </row>
    <row r="2686" spans="1:19" ht="11.1" customHeight="1" x14ac:dyDescent="0.2">
      <c r="A2686" s="57" t="s">
        <v>846</v>
      </c>
      <c r="B2686" s="62"/>
      <c r="C2686" s="411" t="s">
        <v>847</v>
      </c>
      <c r="D2686" s="412"/>
      <c r="E2686" s="412"/>
      <c r="F2686" s="412"/>
      <c r="G2686" s="412"/>
      <c r="H2686" s="412"/>
      <c r="I2686" s="411"/>
      <c r="K2686" s="57" t="s">
        <v>846</v>
      </c>
      <c r="L2686" s="57" t="s">
        <v>354</v>
      </c>
      <c r="S2686" s="57">
        <v>0</v>
      </c>
    </row>
    <row r="2687" spans="1:19" ht="11.85" customHeight="1" x14ac:dyDescent="0.2">
      <c r="A2687" s="57" t="s">
        <v>847</v>
      </c>
      <c r="B2687" s="413" t="s">
        <v>794</v>
      </c>
      <c r="C2687" s="414"/>
      <c r="D2687" s="415"/>
      <c r="E2687" s="419" t="s">
        <v>817</v>
      </c>
      <c r="F2687" s="420"/>
      <c r="G2687" s="64" t="s">
        <v>417</v>
      </c>
      <c r="H2687" s="419" t="s">
        <v>425</v>
      </c>
      <c r="I2687" s="420"/>
      <c r="K2687" s="57" t="s">
        <v>847</v>
      </c>
      <c r="L2687" s="57" t="s">
        <v>355</v>
      </c>
      <c r="S2687" s="57">
        <v>0</v>
      </c>
    </row>
    <row r="2688" spans="1:19" ht="11.85" customHeight="1" x14ac:dyDescent="0.2">
      <c r="A2688" s="57" t="s">
        <v>847</v>
      </c>
      <c r="B2688" s="424"/>
      <c r="C2688" s="425"/>
      <c r="D2688" s="426"/>
      <c r="E2688" s="419" t="s">
        <v>818</v>
      </c>
      <c r="F2688" s="420"/>
      <c r="G2688" s="64" t="s">
        <v>417</v>
      </c>
      <c r="H2688" s="419" t="s">
        <v>772</v>
      </c>
      <c r="I2688" s="420"/>
      <c r="K2688" s="57" t="s">
        <v>847</v>
      </c>
      <c r="L2688" s="57" t="s">
        <v>355</v>
      </c>
      <c r="S2688" s="57">
        <v>0</v>
      </c>
    </row>
    <row r="2689" spans="1:19" ht="11.85" customHeight="1" x14ac:dyDescent="0.2">
      <c r="A2689" s="57" t="s">
        <v>847</v>
      </c>
      <c r="B2689" s="424"/>
      <c r="C2689" s="425"/>
      <c r="D2689" s="426"/>
      <c r="E2689" s="419" t="s">
        <v>795</v>
      </c>
      <c r="F2689" s="420"/>
      <c r="G2689" s="64" t="s">
        <v>796</v>
      </c>
      <c r="H2689" s="419" t="s">
        <v>770</v>
      </c>
      <c r="I2689" s="420"/>
      <c r="K2689" s="57" t="s">
        <v>847</v>
      </c>
      <c r="L2689" s="57" t="s">
        <v>355</v>
      </c>
      <c r="S2689" s="57">
        <v>0</v>
      </c>
    </row>
    <row r="2690" spans="1:19" ht="11.1" customHeight="1" x14ac:dyDescent="0.2">
      <c r="A2690" s="57" t="s">
        <v>847</v>
      </c>
      <c r="B2690" s="424"/>
      <c r="C2690" s="425"/>
      <c r="D2690" s="426"/>
      <c r="E2690" s="419" t="s">
        <v>797</v>
      </c>
      <c r="F2690" s="420"/>
      <c r="G2690" s="64" t="s">
        <v>798</v>
      </c>
      <c r="H2690" s="419" t="s">
        <v>425</v>
      </c>
      <c r="I2690" s="420"/>
      <c r="K2690" s="57" t="s">
        <v>847</v>
      </c>
      <c r="L2690" s="57" t="s">
        <v>355</v>
      </c>
      <c r="S2690" s="57">
        <v>0</v>
      </c>
    </row>
    <row r="2691" spans="1:19" ht="11.85" customHeight="1" x14ac:dyDescent="0.2">
      <c r="A2691" s="57" t="s">
        <v>847</v>
      </c>
      <c r="B2691" s="416"/>
      <c r="C2691" s="417"/>
      <c r="D2691" s="418"/>
      <c r="E2691" s="419" t="s">
        <v>799</v>
      </c>
      <c r="F2691" s="420"/>
      <c r="G2691" s="64" t="s">
        <v>798</v>
      </c>
      <c r="H2691" s="419" t="s">
        <v>414</v>
      </c>
      <c r="I2691" s="420"/>
      <c r="K2691" s="57" t="s">
        <v>847</v>
      </c>
      <c r="L2691" s="57" t="s">
        <v>355</v>
      </c>
      <c r="S2691" s="57">
        <v>0</v>
      </c>
    </row>
    <row r="2692" spans="1:19" ht="11.85" customHeight="1" x14ac:dyDescent="0.2">
      <c r="A2692" s="57" t="s">
        <v>847</v>
      </c>
      <c r="B2692" s="413" t="s">
        <v>416</v>
      </c>
      <c r="C2692" s="414"/>
      <c r="D2692" s="415"/>
      <c r="E2692" s="419" t="s">
        <v>800</v>
      </c>
      <c r="F2692" s="420"/>
      <c r="G2692" s="64" t="s">
        <v>801</v>
      </c>
      <c r="H2692" s="419" t="s">
        <v>423</v>
      </c>
      <c r="I2692" s="420"/>
      <c r="K2692" s="57" t="s">
        <v>847</v>
      </c>
      <c r="L2692" s="57" t="s">
        <v>355</v>
      </c>
      <c r="S2692" s="65">
        <v>41.47</v>
      </c>
    </row>
    <row r="2693" spans="1:19" ht="11.85" customHeight="1" x14ac:dyDescent="0.2">
      <c r="A2693" s="57" t="s">
        <v>847</v>
      </c>
      <c r="B2693" s="424"/>
      <c r="C2693" s="425"/>
      <c r="D2693" s="426"/>
      <c r="E2693" s="419" t="s">
        <v>805</v>
      </c>
      <c r="F2693" s="420"/>
      <c r="G2693" s="64" t="s">
        <v>796</v>
      </c>
      <c r="H2693" s="419" t="s">
        <v>439</v>
      </c>
      <c r="I2693" s="420"/>
      <c r="K2693" s="57" t="s">
        <v>847</v>
      </c>
      <c r="L2693" s="57" t="s">
        <v>355</v>
      </c>
      <c r="S2693" s="57">
        <v>0</v>
      </c>
    </row>
    <row r="2694" spans="1:19" ht="11.1" customHeight="1" x14ac:dyDescent="0.2">
      <c r="A2694" s="57" t="s">
        <v>847</v>
      </c>
      <c r="B2694" s="424"/>
      <c r="C2694" s="425"/>
      <c r="D2694" s="426"/>
      <c r="E2694" s="419" t="s">
        <v>806</v>
      </c>
      <c r="F2694" s="420"/>
      <c r="G2694" s="64" t="s">
        <v>417</v>
      </c>
      <c r="H2694" s="419" t="s">
        <v>437</v>
      </c>
      <c r="I2694" s="420"/>
      <c r="K2694" s="57" t="s">
        <v>847</v>
      </c>
      <c r="L2694" s="57" t="s">
        <v>355</v>
      </c>
      <c r="S2694" s="57">
        <v>0</v>
      </c>
    </row>
    <row r="2695" spans="1:19" ht="11.85" customHeight="1" x14ac:dyDescent="0.2">
      <c r="A2695" s="57" t="s">
        <v>847</v>
      </c>
      <c r="B2695" s="424"/>
      <c r="C2695" s="425"/>
      <c r="D2695" s="426"/>
      <c r="E2695" s="419" t="s">
        <v>807</v>
      </c>
      <c r="F2695" s="420"/>
      <c r="G2695" s="64" t="s">
        <v>798</v>
      </c>
      <c r="H2695" s="419" t="s">
        <v>478</v>
      </c>
      <c r="I2695" s="420"/>
      <c r="K2695" s="57" t="s">
        <v>847</v>
      </c>
      <c r="L2695" s="57" t="s">
        <v>355</v>
      </c>
      <c r="S2695" s="57">
        <v>0</v>
      </c>
    </row>
    <row r="2696" spans="1:19" ht="11.85" customHeight="1" x14ac:dyDescent="0.2">
      <c r="A2696" s="57" t="s">
        <v>847</v>
      </c>
      <c r="B2696" s="424"/>
      <c r="C2696" s="425"/>
      <c r="D2696" s="426"/>
      <c r="E2696" s="419" t="s">
        <v>808</v>
      </c>
      <c r="F2696" s="420"/>
      <c r="G2696" s="64" t="s">
        <v>417</v>
      </c>
      <c r="H2696" s="419" t="s">
        <v>437</v>
      </c>
      <c r="I2696" s="420"/>
      <c r="K2696" s="57" t="s">
        <v>847</v>
      </c>
      <c r="L2696" s="57" t="s">
        <v>355</v>
      </c>
      <c r="S2696" s="57">
        <v>0</v>
      </c>
    </row>
    <row r="2697" spans="1:19" ht="11.85" customHeight="1" x14ac:dyDescent="0.2">
      <c r="A2697" s="57" t="s">
        <v>847</v>
      </c>
      <c r="B2697" s="424"/>
      <c r="C2697" s="425"/>
      <c r="D2697" s="426"/>
      <c r="E2697" s="419" t="s">
        <v>765</v>
      </c>
      <c r="F2697" s="420"/>
      <c r="G2697" s="64" t="s">
        <v>758</v>
      </c>
      <c r="H2697" s="419" t="s">
        <v>425</v>
      </c>
      <c r="I2697" s="420"/>
      <c r="K2697" s="57" t="s">
        <v>847</v>
      </c>
      <c r="L2697" s="57" t="s">
        <v>355</v>
      </c>
      <c r="S2697" s="57">
        <v>0</v>
      </c>
    </row>
    <row r="2698" spans="1:19" ht="11.1" customHeight="1" x14ac:dyDescent="0.2">
      <c r="A2698" s="57" t="s">
        <v>847</v>
      </c>
      <c r="B2698" s="424"/>
      <c r="C2698" s="425"/>
      <c r="D2698" s="426"/>
      <c r="E2698" s="419" t="s">
        <v>775</v>
      </c>
      <c r="F2698" s="420"/>
      <c r="G2698" s="64" t="s">
        <v>503</v>
      </c>
      <c r="H2698" s="419" t="s">
        <v>423</v>
      </c>
      <c r="I2698" s="420"/>
      <c r="K2698" s="57" t="s">
        <v>847</v>
      </c>
      <c r="L2698" s="57" t="s">
        <v>355</v>
      </c>
      <c r="S2698" s="57">
        <v>0</v>
      </c>
    </row>
    <row r="2699" spans="1:19" ht="11.85" customHeight="1" x14ac:dyDescent="0.2">
      <c r="A2699" s="57" t="s">
        <v>847</v>
      </c>
      <c r="B2699" s="416"/>
      <c r="C2699" s="417"/>
      <c r="D2699" s="418"/>
      <c r="E2699" s="419" t="s">
        <v>776</v>
      </c>
      <c r="F2699" s="420"/>
      <c r="G2699" s="64" t="s">
        <v>503</v>
      </c>
      <c r="H2699" s="419" t="s">
        <v>423</v>
      </c>
      <c r="I2699" s="420"/>
      <c r="K2699" s="57" t="s">
        <v>847</v>
      </c>
      <c r="L2699" s="57" t="s">
        <v>355</v>
      </c>
      <c r="S2699" s="57">
        <v>0</v>
      </c>
    </row>
    <row r="2700" spans="1:19" ht="11.85" customHeight="1" x14ac:dyDescent="0.2">
      <c r="A2700" s="57" t="s">
        <v>847</v>
      </c>
      <c r="B2700" s="62"/>
      <c r="C2700" s="411" t="s">
        <v>848</v>
      </c>
      <c r="D2700" s="412"/>
      <c r="E2700" s="412"/>
      <c r="F2700" s="412"/>
      <c r="G2700" s="412"/>
      <c r="H2700" s="412"/>
      <c r="I2700" s="411"/>
      <c r="K2700" s="57" t="s">
        <v>847</v>
      </c>
      <c r="L2700" s="57" t="s">
        <v>355</v>
      </c>
      <c r="S2700" s="57">
        <v>0</v>
      </c>
    </row>
    <row r="2701" spans="1:19" ht="11.85" customHeight="1" x14ac:dyDescent="0.2">
      <c r="A2701" s="57" t="s">
        <v>848</v>
      </c>
      <c r="B2701" s="413" t="s">
        <v>471</v>
      </c>
      <c r="C2701" s="427"/>
      <c r="D2701" s="428"/>
      <c r="E2701" s="419" t="s">
        <v>502</v>
      </c>
      <c r="F2701" s="420"/>
      <c r="G2701" s="64" t="s">
        <v>503</v>
      </c>
      <c r="H2701" s="419" t="s">
        <v>423</v>
      </c>
      <c r="I2701" s="420"/>
      <c r="K2701" s="57" t="s">
        <v>848</v>
      </c>
      <c r="L2701" s="57" t="s">
        <v>278</v>
      </c>
      <c r="S2701" s="57">
        <v>0</v>
      </c>
    </row>
    <row r="2702" spans="1:19" ht="11.1" customHeight="1" x14ac:dyDescent="0.2">
      <c r="A2702" s="57" t="s">
        <v>848</v>
      </c>
      <c r="B2702" s="413" t="s">
        <v>416</v>
      </c>
      <c r="C2702" s="414"/>
      <c r="D2702" s="415"/>
      <c r="E2702" s="419" t="s">
        <v>402</v>
      </c>
      <c r="F2702" s="420"/>
      <c r="G2702" s="64" t="s">
        <v>417</v>
      </c>
      <c r="H2702" s="419" t="s">
        <v>457</v>
      </c>
      <c r="I2702" s="420"/>
      <c r="K2702" s="57" t="s">
        <v>848</v>
      </c>
      <c r="L2702" s="57" t="s">
        <v>278</v>
      </c>
      <c r="S2702" s="57">
        <v>0</v>
      </c>
    </row>
    <row r="2703" spans="1:19" ht="11.85" customHeight="1" x14ac:dyDescent="0.2">
      <c r="A2703" s="57" t="s">
        <v>848</v>
      </c>
      <c r="B2703" s="424"/>
      <c r="C2703" s="425"/>
      <c r="D2703" s="426"/>
      <c r="E2703" s="419" t="s">
        <v>403</v>
      </c>
      <c r="F2703" s="420"/>
      <c r="G2703" s="64" t="s">
        <v>417</v>
      </c>
      <c r="H2703" s="419" t="s">
        <v>457</v>
      </c>
      <c r="I2703" s="420"/>
      <c r="K2703" s="57" t="s">
        <v>848</v>
      </c>
      <c r="L2703" s="57" t="s">
        <v>278</v>
      </c>
      <c r="S2703" s="57">
        <v>0</v>
      </c>
    </row>
    <row r="2704" spans="1:19" ht="11.85" customHeight="1" x14ac:dyDescent="0.2">
      <c r="A2704" s="57" t="s">
        <v>848</v>
      </c>
      <c r="B2704" s="424"/>
      <c r="C2704" s="425"/>
      <c r="D2704" s="426"/>
      <c r="E2704" s="419" t="s">
        <v>405</v>
      </c>
      <c r="F2704" s="420"/>
      <c r="G2704" s="64" t="s">
        <v>420</v>
      </c>
      <c r="H2704" s="419" t="s">
        <v>459</v>
      </c>
      <c r="I2704" s="420"/>
      <c r="K2704" s="57" t="s">
        <v>848</v>
      </c>
      <c r="L2704" s="57" t="s">
        <v>278</v>
      </c>
      <c r="S2704" s="57">
        <v>0</v>
      </c>
    </row>
    <row r="2705" spans="1:19" ht="11.85" customHeight="1" x14ac:dyDescent="0.2">
      <c r="A2705" s="57" t="s">
        <v>848</v>
      </c>
      <c r="B2705" s="424"/>
      <c r="C2705" s="425"/>
      <c r="D2705" s="426"/>
      <c r="E2705" s="419" t="s">
        <v>792</v>
      </c>
      <c r="F2705" s="420"/>
      <c r="G2705" s="64" t="s">
        <v>758</v>
      </c>
      <c r="H2705" s="419" t="s">
        <v>463</v>
      </c>
      <c r="I2705" s="420"/>
      <c r="K2705" s="57" t="s">
        <v>848</v>
      </c>
      <c r="L2705" s="57" t="s">
        <v>278</v>
      </c>
      <c r="S2705" s="57">
        <v>0</v>
      </c>
    </row>
    <row r="2706" spans="1:19" ht="11.1" customHeight="1" x14ac:dyDescent="0.2">
      <c r="A2706" s="57" t="s">
        <v>848</v>
      </c>
      <c r="B2706" s="424"/>
      <c r="C2706" s="425"/>
      <c r="D2706" s="426"/>
      <c r="E2706" s="419" t="s">
        <v>849</v>
      </c>
      <c r="F2706" s="420"/>
      <c r="G2706" s="64" t="s">
        <v>798</v>
      </c>
      <c r="H2706" s="419" t="s">
        <v>458</v>
      </c>
      <c r="I2706" s="420"/>
      <c r="K2706" s="57" t="s">
        <v>848</v>
      </c>
      <c r="L2706" s="57" t="s">
        <v>278</v>
      </c>
      <c r="S2706" s="57">
        <v>0</v>
      </c>
    </row>
    <row r="2707" spans="1:19" ht="11.85" customHeight="1" x14ac:dyDescent="0.2">
      <c r="A2707" s="57" t="s">
        <v>848</v>
      </c>
      <c r="B2707" s="416"/>
      <c r="C2707" s="417"/>
      <c r="D2707" s="418"/>
      <c r="E2707" s="419" t="s">
        <v>546</v>
      </c>
      <c r="F2707" s="420"/>
      <c r="G2707" s="64" t="s">
        <v>461</v>
      </c>
      <c r="H2707" s="419" t="s">
        <v>423</v>
      </c>
      <c r="I2707" s="420"/>
      <c r="K2707" s="57" t="s">
        <v>848</v>
      </c>
      <c r="L2707" s="57" t="s">
        <v>278</v>
      </c>
      <c r="S2707" s="65">
        <v>33.17</v>
      </c>
    </row>
    <row r="2708" spans="1:19" ht="11.85" customHeight="1" x14ac:dyDescent="0.2">
      <c r="A2708" s="57" t="s">
        <v>848</v>
      </c>
      <c r="B2708" s="62"/>
      <c r="C2708" s="411" t="s">
        <v>850</v>
      </c>
      <c r="D2708" s="412"/>
      <c r="E2708" s="412"/>
      <c r="F2708" s="412"/>
      <c r="G2708" s="412"/>
      <c r="H2708" s="412"/>
      <c r="I2708" s="411"/>
      <c r="K2708" s="57" t="s">
        <v>848</v>
      </c>
      <c r="L2708" s="57" t="s">
        <v>278</v>
      </c>
      <c r="S2708" s="57">
        <v>0</v>
      </c>
    </row>
    <row r="2709" spans="1:19" ht="11.85" customHeight="1" x14ac:dyDescent="0.2">
      <c r="A2709" s="57" t="s">
        <v>850</v>
      </c>
      <c r="B2709" s="413" t="s">
        <v>471</v>
      </c>
      <c r="C2709" s="427"/>
      <c r="D2709" s="428"/>
      <c r="E2709" s="419" t="s">
        <v>502</v>
      </c>
      <c r="F2709" s="420"/>
      <c r="G2709" s="64" t="s">
        <v>503</v>
      </c>
      <c r="H2709" s="419" t="s">
        <v>423</v>
      </c>
      <c r="I2709" s="420"/>
      <c r="K2709" s="57" t="s">
        <v>850</v>
      </c>
      <c r="L2709" s="57" t="s">
        <v>280</v>
      </c>
      <c r="S2709" s="57">
        <v>0</v>
      </c>
    </row>
    <row r="2710" spans="1:19" ht="11.1" customHeight="1" x14ac:dyDescent="0.2">
      <c r="A2710" s="57" t="s">
        <v>850</v>
      </c>
      <c r="B2710" s="413" t="s">
        <v>416</v>
      </c>
      <c r="C2710" s="414"/>
      <c r="D2710" s="415"/>
      <c r="E2710" s="419" t="s">
        <v>402</v>
      </c>
      <c r="F2710" s="420"/>
      <c r="G2710" s="64" t="s">
        <v>417</v>
      </c>
      <c r="H2710" s="419" t="s">
        <v>457</v>
      </c>
      <c r="I2710" s="420"/>
      <c r="K2710" s="57" t="s">
        <v>850</v>
      </c>
      <c r="L2710" s="57" t="s">
        <v>280</v>
      </c>
      <c r="S2710" s="57">
        <v>0</v>
      </c>
    </row>
    <row r="2711" spans="1:19" ht="11.85" customHeight="1" x14ac:dyDescent="0.2">
      <c r="A2711" s="57" t="s">
        <v>850</v>
      </c>
      <c r="B2711" s="424"/>
      <c r="C2711" s="425"/>
      <c r="D2711" s="426"/>
      <c r="E2711" s="419" t="s">
        <v>403</v>
      </c>
      <c r="F2711" s="420"/>
      <c r="G2711" s="64" t="s">
        <v>417</v>
      </c>
      <c r="H2711" s="419" t="s">
        <v>457</v>
      </c>
      <c r="I2711" s="420"/>
      <c r="K2711" s="57" t="s">
        <v>850</v>
      </c>
      <c r="L2711" s="57" t="s">
        <v>280</v>
      </c>
      <c r="S2711" s="57">
        <v>0</v>
      </c>
    </row>
    <row r="2712" spans="1:19" ht="11.85" customHeight="1" x14ac:dyDescent="0.2">
      <c r="A2712" s="57" t="s">
        <v>850</v>
      </c>
      <c r="B2712" s="424"/>
      <c r="C2712" s="425"/>
      <c r="D2712" s="426"/>
      <c r="E2712" s="419" t="s">
        <v>405</v>
      </c>
      <c r="F2712" s="420"/>
      <c r="G2712" s="64" t="s">
        <v>420</v>
      </c>
      <c r="H2712" s="419" t="s">
        <v>459</v>
      </c>
      <c r="I2712" s="420"/>
      <c r="K2712" s="57" t="s">
        <v>850</v>
      </c>
      <c r="L2712" s="57" t="s">
        <v>280</v>
      </c>
      <c r="S2712" s="57">
        <v>0</v>
      </c>
    </row>
    <row r="2713" spans="1:19" ht="11.85" customHeight="1" x14ac:dyDescent="0.2">
      <c r="A2713" s="57" t="s">
        <v>850</v>
      </c>
      <c r="B2713" s="424"/>
      <c r="C2713" s="425"/>
      <c r="D2713" s="426"/>
      <c r="E2713" s="419" t="s">
        <v>792</v>
      </c>
      <c r="F2713" s="420"/>
      <c r="G2713" s="64" t="s">
        <v>758</v>
      </c>
      <c r="H2713" s="419" t="s">
        <v>463</v>
      </c>
      <c r="I2713" s="420"/>
      <c r="K2713" s="57" t="s">
        <v>850</v>
      </c>
      <c r="L2713" s="57" t="s">
        <v>280</v>
      </c>
      <c r="S2713" s="57">
        <v>0</v>
      </c>
    </row>
    <row r="2714" spans="1:19" ht="11.1" customHeight="1" x14ac:dyDescent="0.2">
      <c r="A2714" s="57" t="s">
        <v>850</v>
      </c>
      <c r="B2714" s="424"/>
      <c r="C2714" s="425"/>
      <c r="D2714" s="426"/>
      <c r="E2714" s="419" t="s">
        <v>849</v>
      </c>
      <c r="F2714" s="420"/>
      <c r="G2714" s="64" t="s">
        <v>798</v>
      </c>
      <c r="H2714" s="419" t="s">
        <v>458</v>
      </c>
      <c r="I2714" s="420"/>
      <c r="K2714" s="57" t="s">
        <v>850</v>
      </c>
      <c r="L2714" s="57" t="s">
        <v>280</v>
      </c>
      <c r="S2714" s="57">
        <v>0</v>
      </c>
    </row>
    <row r="2715" spans="1:19" ht="11.85" customHeight="1" x14ac:dyDescent="0.2">
      <c r="A2715" s="57" t="s">
        <v>850</v>
      </c>
      <c r="B2715" s="416"/>
      <c r="C2715" s="417"/>
      <c r="D2715" s="418"/>
      <c r="E2715" s="419" t="s">
        <v>546</v>
      </c>
      <c r="F2715" s="420"/>
      <c r="G2715" s="64" t="s">
        <v>461</v>
      </c>
      <c r="H2715" s="419" t="s">
        <v>423</v>
      </c>
      <c r="I2715" s="420"/>
      <c r="K2715" s="57" t="s">
        <v>850</v>
      </c>
      <c r="L2715" s="57" t="s">
        <v>280</v>
      </c>
      <c r="S2715" s="65">
        <v>33.17</v>
      </c>
    </row>
    <row r="2716" spans="1:19" ht="11.85" customHeight="1" x14ac:dyDescent="0.2">
      <c r="A2716" s="57" t="s">
        <v>850</v>
      </c>
      <c r="B2716" s="62"/>
      <c r="C2716" s="411" t="s">
        <v>851</v>
      </c>
      <c r="D2716" s="412"/>
      <c r="E2716" s="412"/>
      <c r="F2716" s="412"/>
      <c r="G2716" s="412"/>
      <c r="H2716" s="412"/>
      <c r="I2716" s="411"/>
      <c r="K2716" s="57" t="s">
        <v>850</v>
      </c>
      <c r="L2716" s="57" t="s">
        <v>280</v>
      </c>
      <c r="S2716" s="57">
        <v>0</v>
      </c>
    </row>
    <row r="2717" spans="1:19" ht="11.85" customHeight="1" x14ac:dyDescent="0.2">
      <c r="A2717" s="57" t="s">
        <v>851</v>
      </c>
      <c r="B2717" s="413" t="s">
        <v>488</v>
      </c>
      <c r="C2717" s="427"/>
      <c r="D2717" s="428"/>
      <c r="E2717" s="419" t="s">
        <v>852</v>
      </c>
      <c r="F2717" s="420"/>
      <c r="G2717" s="64" t="s">
        <v>758</v>
      </c>
      <c r="H2717" s="419" t="s">
        <v>853</v>
      </c>
      <c r="I2717" s="420"/>
      <c r="K2717" s="57" t="s">
        <v>851</v>
      </c>
      <c r="L2717" s="57" t="s">
        <v>292</v>
      </c>
      <c r="S2717" s="57">
        <v>0</v>
      </c>
    </row>
    <row r="2718" spans="1:19" ht="11.1" customHeight="1" x14ac:dyDescent="0.2">
      <c r="A2718" s="57" t="s">
        <v>851</v>
      </c>
      <c r="B2718" s="413" t="s">
        <v>416</v>
      </c>
      <c r="C2718" s="414"/>
      <c r="D2718" s="415"/>
      <c r="E2718" s="419" t="s">
        <v>854</v>
      </c>
      <c r="F2718" s="420"/>
      <c r="G2718" s="64" t="s">
        <v>855</v>
      </c>
      <c r="H2718" s="419" t="s">
        <v>423</v>
      </c>
      <c r="I2718" s="420"/>
      <c r="K2718" s="57" t="s">
        <v>851</v>
      </c>
      <c r="L2718" s="57" t="s">
        <v>292</v>
      </c>
      <c r="S2718" s="65">
        <v>19.940000000000001</v>
      </c>
    </row>
    <row r="2719" spans="1:19" ht="11.85" customHeight="1" x14ac:dyDescent="0.2">
      <c r="A2719" s="57" t="s">
        <v>851</v>
      </c>
      <c r="B2719" s="416"/>
      <c r="C2719" s="417"/>
      <c r="D2719" s="418"/>
      <c r="E2719" s="419" t="s">
        <v>856</v>
      </c>
      <c r="F2719" s="420"/>
      <c r="G2719" s="64" t="s">
        <v>857</v>
      </c>
      <c r="H2719" s="419" t="s">
        <v>858</v>
      </c>
      <c r="I2719" s="420"/>
      <c r="K2719" s="57" t="s">
        <v>851</v>
      </c>
      <c r="L2719" s="57" t="s">
        <v>292</v>
      </c>
      <c r="S2719" s="57">
        <v>0</v>
      </c>
    </row>
    <row r="2720" spans="1:19" ht="11.85" customHeight="1" x14ac:dyDescent="0.2">
      <c r="A2720" s="57" t="s">
        <v>851</v>
      </c>
      <c r="B2720" s="62"/>
      <c r="C2720" s="411" t="s">
        <v>859</v>
      </c>
      <c r="D2720" s="412"/>
      <c r="E2720" s="412"/>
      <c r="F2720" s="412"/>
      <c r="G2720" s="412"/>
      <c r="H2720" s="412"/>
      <c r="I2720" s="411"/>
      <c r="K2720" s="57" t="s">
        <v>851</v>
      </c>
      <c r="L2720" s="57" t="s">
        <v>292</v>
      </c>
      <c r="S2720" s="57">
        <v>0</v>
      </c>
    </row>
    <row r="2721" spans="1:19" ht="11.85" customHeight="1" x14ac:dyDescent="0.2">
      <c r="A2721" s="57" t="s">
        <v>859</v>
      </c>
      <c r="B2721" s="413" t="s">
        <v>471</v>
      </c>
      <c r="C2721" s="427"/>
      <c r="D2721" s="428"/>
      <c r="E2721" s="419" t="s">
        <v>502</v>
      </c>
      <c r="F2721" s="420"/>
      <c r="G2721" s="64" t="s">
        <v>503</v>
      </c>
      <c r="H2721" s="419" t="s">
        <v>423</v>
      </c>
      <c r="I2721" s="420"/>
      <c r="K2721" s="57" t="s">
        <v>859</v>
      </c>
      <c r="L2721" s="57" t="s">
        <v>281</v>
      </c>
      <c r="S2721" s="57">
        <v>0</v>
      </c>
    </row>
    <row r="2722" spans="1:19" ht="11.1" customHeight="1" x14ac:dyDescent="0.2">
      <c r="A2722" s="57" t="s">
        <v>859</v>
      </c>
      <c r="B2722" s="413" t="s">
        <v>416</v>
      </c>
      <c r="C2722" s="414"/>
      <c r="D2722" s="415"/>
      <c r="E2722" s="419" t="s">
        <v>402</v>
      </c>
      <c r="F2722" s="420"/>
      <c r="G2722" s="64" t="s">
        <v>417</v>
      </c>
      <c r="H2722" s="419" t="s">
        <v>418</v>
      </c>
      <c r="I2722" s="420"/>
      <c r="K2722" s="57" t="s">
        <v>859</v>
      </c>
      <c r="L2722" s="57" t="s">
        <v>281</v>
      </c>
      <c r="S2722" s="57">
        <v>0</v>
      </c>
    </row>
    <row r="2723" spans="1:19" ht="11.85" customHeight="1" x14ac:dyDescent="0.2">
      <c r="A2723" s="57" t="s">
        <v>859</v>
      </c>
      <c r="B2723" s="424"/>
      <c r="C2723" s="425"/>
      <c r="D2723" s="426"/>
      <c r="E2723" s="419" t="s">
        <v>403</v>
      </c>
      <c r="F2723" s="420"/>
      <c r="G2723" s="64" t="s">
        <v>417</v>
      </c>
      <c r="H2723" s="419" t="s">
        <v>418</v>
      </c>
      <c r="I2723" s="420"/>
      <c r="K2723" s="57" t="s">
        <v>859</v>
      </c>
      <c r="L2723" s="57" t="s">
        <v>281</v>
      </c>
      <c r="S2723" s="57">
        <v>0</v>
      </c>
    </row>
    <row r="2724" spans="1:19" ht="11.85" customHeight="1" x14ac:dyDescent="0.2">
      <c r="A2724" s="57" t="s">
        <v>859</v>
      </c>
      <c r="B2724" s="424"/>
      <c r="C2724" s="425"/>
      <c r="D2724" s="426"/>
      <c r="E2724" s="419" t="s">
        <v>404</v>
      </c>
      <c r="F2724" s="420"/>
      <c r="G2724" s="64" t="s">
        <v>413</v>
      </c>
      <c r="H2724" s="419" t="s">
        <v>419</v>
      </c>
      <c r="I2724" s="420"/>
      <c r="K2724" s="57" t="s">
        <v>859</v>
      </c>
      <c r="L2724" s="57" t="s">
        <v>281</v>
      </c>
      <c r="S2724" s="57">
        <v>0</v>
      </c>
    </row>
    <row r="2725" spans="1:19" ht="11.85" customHeight="1" x14ac:dyDescent="0.2">
      <c r="A2725" s="57" t="s">
        <v>859</v>
      </c>
      <c r="B2725" s="424"/>
      <c r="C2725" s="425"/>
      <c r="D2725" s="426"/>
      <c r="E2725" s="419" t="s">
        <v>405</v>
      </c>
      <c r="F2725" s="420"/>
      <c r="G2725" s="64" t="s">
        <v>420</v>
      </c>
      <c r="H2725" s="419" t="s">
        <v>421</v>
      </c>
      <c r="I2725" s="420"/>
      <c r="K2725" s="57" t="s">
        <v>859</v>
      </c>
      <c r="L2725" s="57" t="s">
        <v>281</v>
      </c>
      <c r="S2725" s="57">
        <v>0</v>
      </c>
    </row>
    <row r="2726" spans="1:19" ht="11.1" customHeight="1" x14ac:dyDescent="0.2">
      <c r="A2726" s="57" t="s">
        <v>859</v>
      </c>
      <c r="B2726" s="424"/>
      <c r="C2726" s="425"/>
      <c r="D2726" s="426"/>
      <c r="E2726" s="419" t="s">
        <v>765</v>
      </c>
      <c r="F2726" s="420"/>
      <c r="G2726" s="64" t="s">
        <v>758</v>
      </c>
      <c r="H2726" s="419" t="s">
        <v>425</v>
      </c>
      <c r="I2726" s="420"/>
      <c r="K2726" s="57" t="s">
        <v>859</v>
      </c>
      <c r="L2726" s="57" t="s">
        <v>281</v>
      </c>
      <c r="S2726" s="57">
        <v>0</v>
      </c>
    </row>
    <row r="2727" spans="1:19" ht="11.85" customHeight="1" x14ac:dyDescent="0.2">
      <c r="A2727" s="57" t="s">
        <v>859</v>
      </c>
      <c r="B2727" s="416"/>
      <c r="C2727" s="417"/>
      <c r="D2727" s="418"/>
      <c r="E2727" s="419" t="s">
        <v>860</v>
      </c>
      <c r="F2727" s="420"/>
      <c r="G2727" s="64" t="s">
        <v>441</v>
      </c>
      <c r="H2727" s="419" t="s">
        <v>423</v>
      </c>
      <c r="I2727" s="420"/>
      <c r="K2727" s="57" t="s">
        <v>859</v>
      </c>
      <c r="L2727" s="57" t="s">
        <v>281</v>
      </c>
      <c r="S2727" s="65">
        <v>48.16</v>
      </c>
    </row>
    <row r="2728" spans="1:19" ht="11.85" customHeight="1" x14ac:dyDescent="0.2">
      <c r="A2728" s="57" t="s">
        <v>859</v>
      </c>
      <c r="B2728" s="62"/>
      <c r="C2728" s="411" t="s">
        <v>861</v>
      </c>
      <c r="D2728" s="412"/>
      <c r="E2728" s="412"/>
      <c r="F2728" s="412"/>
      <c r="G2728" s="412"/>
      <c r="H2728" s="412"/>
      <c r="I2728" s="411"/>
      <c r="K2728" s="57" t="s">
        <v>859</v>
      </c>
      <c r="L2728" s="57" t="s">
        <v>281</v>
      </c>
      <c r="S2728" s="57">
        <v>0</v>
      </c>
    </row>
    <row r="2729" spans="1:19" ht="11.85" customHeight="1" x14ac:dyDescent="0.2">
      <c r="A2729" s="57" t="s">
        <v>861</v>
      </c>
      <c r="B2729" s="413" t="s">
        <v>471</v>
      </c>
      <c r="C2729" s="427"/>
      <c r="D2729" s="428"/>
      <c r="E2729" s="419" t="s">
        <v>502</v>
      </c>
      <c r="F2729" s="420"/>
      <c r="G2729" s="64" t="s">
        <v>503</v>
      </c>
      <c r="H2729" s="419" t="s">
        <v>423</v>
      </c>
      <c r="I2729" s="420"/>
      <c r="K2729" s="57" t="s">
        <v>861</v>
      </c>
      <c r="L2729" s="57" t="s">
        <v>282</v>
      </c>
      <c r="S2729" s="57">
        <v>0</v>
      </c>
    </row>
    <row r="2730" spans="1:19" ht="11.1" customHeight="1" x14ac:dyDescent="0.2">
      <c r="A2730" s="57" t="s">
        <v>861</v>
      </c>
      <c r="B2730" s="413" t="s">
        <v>416</v>
      </c>
      <c r="C2730" s="414"/>
      <c r="D2730" s="415"/>
      <c r="E2730" s="419" t="s">
        <v>405</v>
      </c>
      <c r="F2730" s="420"/>
      <c r="G2730" s="64" t="s">
        <v>420</v>
      </c>
      <c r="H2730" s="419" t="s">
        <v>516</v>
      </c>
      <c r="I2730" s="420"/>
      <c r="K2730" s="57" t="s">
        <v>861</v>
      </c>
      <c r="L2730" s="57" t="s">
        <v>282</v>
      </c>
      <c r="S2730" s="57">
        <v>0</v>
      </c>
    </row>
    <row r="2731" spans="1:19" ht="11.85" customHeight="1" x14ac:dyDescent="0.2">
      <c r="A2731" s="57" t="s">
        <v>861</v>
      </c>
      <c r="B2731" s="424"/>
      <c r="C2731" s="425"/>
      <c r="D2731" s="426"/>
      <c r="E2731" s="419" t="s">
        <v>538</v>
      </c>
      <c r="F2731" s="420"/>
      <c r="G2731" s="64" t="s">
        <v>417</v>
      </c>
      <c r="H2731" s="419" t="s">
        <v>516</v>
      </c>
      <c r="I2731" s="420"/>
      <c r="K2731" s="57" t="s">
        <v>861</v>
      </c>
      <c r="L2731" s="57" t="s">
        <v>282</v>
      </c>
      <c r="S2731" s="57">
        <v>0</v>
      </c>
    </row>
    <row r="2732" spans="1:19" ht="11.85" customHeight="1" x14ac:dyDescent="0.2">
      <c r="A2732" s="57" t="s">
        <v>861</v>
      </c>
      <c r="B2732" s="424"/>
      <c r="C2732" s="425"/>
      <c r="D2732" s="426"/>
      <c r="E2732" s="419" t="s">
        <v>792</v>
      </c>
      <c r="F2732" s="420"/>
      <c r="G2732" s="64" t="s">
        <v>758</v>
      </c>
      <c r="H2732" s="419" t="s">
        <v>463</v>
      </c>
      <c r="I2732" s="420"/>
      <c r="K2732" s="57" t="s">
        <v>861</v>
      </c>
      <c r="L2732" s="57" t="s">
        <v>282</v>
      </c>
      <c r="S2732" s="57">
        <v>0</v>
      </c>
    </row>
    <row r="2733" spans="1:19" ht="11.85" customHeight="1" x14ac:dyDescent="0.2">
      <c r="A2733" s="57" t="s">
        <v>861</v>
      </c>
      <c r="B2733" s="416"/>
      <c r="C2733" s="417"/>
      <c r="D2733" s="418"/>
      <c r="E2733" s="419" t="s">
        <v>517</v>
      </c>
      <c r="F2733" s="420"/>
      <c r="G2733" s="64" t="s">
        <v>518</v>
      </c>
      <c r="H2733" s="419" t="s">
        <v>423</v>
      </c>
      <c r="I2733" s="420"/>
      <c r="K2733" s="57" t="s">
        <v>861</v>
      </c>
      <c r="L2733" s="57" t="s">
        <v>282</v>
      </c>
      <c r="S2733" s="65">
        <v>26.91</v>
      </c>
    </row>
    <row r="2734" spans="1:19" ht="11.1" customHeight="1" x14ac:dyDescent="0.2">
      <c r="A2734" s="57" t="s">
        <v>861</v>
      </c>
      <c r="B2734" s="62"/>
      <c r="C2734" s="411" t="s">
        <v>862</v>
      </c>
      <c r="D2734" s="412"/>
      <c r="E2734" s="412"/>
      <c r="F2734" s="412"/>
      <c r="G2734" s="412"/>
      <c r="H2734" s="412"/>
      <c r="I2734" s="411"/>
      <c r="K2734" s="57" t="s">
        <v>861</v>
      </c>
      <c r="L2734" s="57" t="s">
        <v>282</v>
      </c>
      <c r="S2734" s="57">
        <v>0</v>
      </c>
    </row>
    <row r="2735" spans="1:19" ht="11.85" customHeight="1" x14ac:dyDescent="0.2">
      <c r="A2735" s="57" t="s">
        <v>862</v>
      </c>
      <c r="B2735" s="413" t="s">
        <v>471</v>
      </c>
      <c r="C2735" s="427"/>
      <c r="D2735" s="428"/>
      <c r="E2735" s="419" t="s">
        <v>502</v>
      </c>
      <c r="F2735" s="420"/>
      <c r="G2735" s="64" t="s">
        <v>503</v>
      </c>
      <c r="H2735" s="419" t="s">
        <v>423</v>
      </c>
      <c r="I2735" s="420"/>
      <c r="K2735" s="57" t="s">
        <v>862</v>
      </c>
      <c r="L2735" s="57" t="s">
        <v>283</v>
      </c>
      <c r="S2735" s="57">
        <v>0</v>
      </c>
    </row>
    <row r="2736" spans="1:19" ht="11.85" customHeight="1" x14ac:dyDescent="0.2">
      <c r="A2736" s="57" t="s">
        <v>862</v>
      </c>
      <c r="B2736" s="413" t="s">
        <v>416</v>
      </c>
      <c r="C2736" s="414"/>
      <c r="D2736" s="415"/>
      <c r="E2736" s="419" t="s">
        <v>402</v>
      </c>
      <c r="F2736" s="420"/>
      <c r="G2736" s="64" t="s">
        <v>417</v>
      </c>
      <c r="H2736" s="419" t="s">
        <v>516</v>
      </c>
      <c r="I2736" s="420"/>
      <c r="K2736" s="57" t="s">
        <v>862</v>
      </c>
      <c r="L2736" s="57" t="s">
        <v>283</v>
      </c>
      <c r="S2736" s="57">
        <v>0</v>
      </c>
    </row>
    <row r="2737" spans="1:19" ht="11.85" customHeight="1" x14ac:dyDescent="0.2">
      <c r="A2737" s="57" t="s">
        <v>862</v>
      </c>
      <c r="B2737" s="424"/>
      <c r="C2737" s="425"/>
      <c r="D2737" s="426"/>
      <c r="E2737" s="419" t="s">
        <v>405</v>
      </c>
      <c r="F2737" s="420"/>
      <c r="G2737" s="64" t="s">
        <v>420</v>
      </c>
      <c r="H2737" s="419" t="s">
        <v>516</v>
      </c>
      <c r="I2737" s="420"/>
      <c r="K2737" s="57" t="s">
        <v>862</v>
      </c>
      <c r="L2737" s="57" t="s">
        <v>283</v>
      </c>
      <c r="S2737" s="57">
        <v>0</v>
      </c>
    </row>
    <row r="2738" spans="1:19" ht="11.1" customHeight="1" x14ac:dyDescent="0.2">
      <c r="A2738" s="57" t="s">
        <v>862</v>
      </c>
      <c r="B2738" s="424"/>
      <c r="C2738" s="425"/>
      <c r="D2738" s="426"/>
      <c r="E2738" s="419" t="s">
        <v>792</v>
      </c>
      <c r="F2738" s="420"/>
      <c r="G2738" s="64" t="s">
        <v>758</v>
      </c>
      <c r="H2738" s="419" t="s">
        <v>463</v>
      </c>
      <c r="I2738" s="420"/>
      <c r="K2738" s="57" t="s">
        <v>862</v>
      </c>
      <c r="L2738" s="57" t="s">
        <v>283</v>
      </c>
      <c r="S2738" s="57">
        <v>0</v>
      </c>
    </row>
    <row r="2739" spans="1:19" ht="11.85" customHeight="1" x14ac:dyDescent="0.2">
      <c r="A2739" s="57" t="s">
        <v>862</v>
      </c>
      <c r="B2739" s="416"/>
      <c r="C2739" s="417"/>
      <c r="D2739" s="418"/>
      <c r="E2739" s="419" t="s">
        <v>517</v>
      </c>
      <c r="F2739" s="420"/>
      <c r="G2739" s="64" t="s">
        <v>518</v>
      </c>
      <c r="H2739" s="419" t="s">
        <v>423</v>
      </c>
      <c r="I2739" s="420"/>
      <c r="K2739" s="57" t="s">
        <v>862</v>
      </c>
      <c r="L2739" s="57" t="s">
        <v>283</v>
      </c>
      <c r="S2739" s="65">
        <v>26.91</v>
      </c>
    </row>
    <row r="2740" spans="1:19" ht="11.85" customHeight="1" x14ac:dyDescent="0.2">
      <c r="A2740" s="57" t="s">
        <v>862</v>
      </c>
      <c r="B2740" s="62"/>
      <c r="C2740" s="411" t="s">
        <v>863</v>
      </c>
      <c r="D2740" s="412"/>
      <c r="E2740" s="412"/>
      <c r="F2740" s="412"/>
      <c r="G2740" s="412"/>
      <c r="H2740" s="412"/>
      <c r="I2740" s="411"/>
      <c r="K2740" s="57" t="s">
        <v>862</v>
      </c>
      <c r="L2740" s="57" t="s">
        <v>283</v>
      </c>
      <c r="S2740" s="57">
        <v>0</v>
      </c>
    </row>
    <row r="2741" spans="1:19" ht="11.85" customHeight="1" x14ac:dyDescent="0.2">
      <c r="A2741" s="57" t="s">
        <v>863</v>
      </c>
      <c r="B2741" s="413" t="s">
        <v>471</v>
      </c>
      <c r="C2741" s="427"/>
      <c r="D2741" s="428"/>
      <c r="E2741" s="419" t="s">
        <v>502</v>
      </c>
      <c r="F2741" s="420"/>
      <c r="G2741" s="64" t="s">
        <v>503</v>
      </c>
      <c r="H2741" s="419" t="s">
        <v>423</v>
      </c>
      <c r="I2741" s="420"/>
      <c r="K2741" s="57" t="s">
        <v>863</v>
      </c>
      <c r="L2741" s="57" t="s">
        <v>284</v>
      </c>
      <c r="S2741" s="57">
        <v>0</v>
      </c>
    </row>
    <row r="2742" spans="1:19" ht="11.1" customHeight="1" x14ac:dyDescent="0.2">
      <c r="A2742" s="57" t="s">
        <v>863</v>
      </c>
      <c r="B2742" s="413" t="s">
        <v>416</v>
      </c>
      <c r="C2742" s="414"/>
      <c r="D2742" s="415"/>
      <c r="E2742" s="419" t="s">
        <v>402</v>
      </c>
      <c r="F2742" s="420"/>
      <c r="G2742" s="64" t="s">
        <v>417</v>
      </c>
      <c r="H2742" s="419" t="s">
        <v>418</v>
      </c>
      <c r="I2742" s="420"/>
      <c r="K2742" s="57" t="s">
        <v>863</v>
      </c>
      <c r="L2742" s="57" t="s">
        <v>284</v>
      </c>
      <c r="S2742" s="57">
        <v>0</v>
      </c>
    </row>
    <row r="2743" spans="1:19" ht="11.85" customHeight="1" x14ac:dyDescent="0.2">
      <c r="A2743" s="57" t="s">
        <v>863</v>
      </c>
      <c r="B2743" s="424"/>
      <c r="C2743" s="425"/>
      <c r="D2743" s="426"/>
      <c r="E2743" s="419" t="s">
        <v>403</v>
      </c>
      <c r="F2743" s="420"/>
      <c r="G2743" s="64" t="s">
        <v>417</v>
      </c>
      <c r="H2743" s="419" t="s">
        <v>418</v>
      </c>
      <c r="I2743" s="420"/>
      <c r="K2743" s="57" t="s">
        <v>863</v>
      </c>
      <c r="L2743" s="57" t="s">
        <v>284</v>
      </c>
      <c r="S2743" s="57">
        <v>0</v>
      </c>
    </row>
    <row r="2744" spans="1:19" ht="11.85" customHeight="1" x14ac:dyDescent="0.2">
      <c r="A2744" s="57" t="s">
        <v>863</v>
      </c>
      <c r="B2744" s="424"/>
      <c r="C2744" s="425"/>
      <c r="D2744" s="426"/>
      <c r="E2744" s="419" t="s">
        <v>404</v>
      </c>
      <c r="F2744" s="420"/>
      <c r="G2744" s="64" t="s">
        <v>413</v>
      </c>
      <c r="H2744" s="419" t="s">
        <v>864</v>
      </c>
      <c r="I2744" s="420"/>
      <c r="K2744" s="57" t="s">
        <v>863</v>
      </c>
      <c r="L2744" s="57" t="s">
        <v>284</v>
      </c>
      <c r="S2744" s="57">
        <v>0</v>
      </c>
    </row>
    <row r="2745" spans="1:19" ht="11.85" customHeight="1" x14ac:dyDescent="0.2">
      <c r="A2745" s="57" t="s">
        <v>863</v>
      </c>
      <c r="B2745" s="416"/>
      <c r="C2745" s="417"/>
      <c r="D2745" s="418"/>
      <c r="E2745" s="419" t="s">
        <v>405</v>
      </c>
      <c r="F2745" s="420"/>
      <c r="G2745" s="64" t="s">
        <v>420</v>
      </c>
      <c r="H2745" s="419" t="s">
        <v>421</v>
      </c>
      <c r="I2745" s="420"/>
      <c r="K2745" s="57" t="s">
        <v>863</v>
      </c>
      <c r="L2745" s="57" t="s">
        <v>284</v>
      </c>
      <c r="S2745" s="57">
        <v>0</v>
      </c>
    </row>
    <row r="2746" spans="1:19" ht="11.85" customHeight="1" x14ac:dyDescent="0.2">
      <c r="A2746" s="57" t="s">
        <v>863</v>
      </c>
      <c r="B2746" s="413" t="s">
        <v>416</v>
      </c>
      <c r="C2746" s="414"/>
      <c r="D2746" s="415"/>
      <c r="E2746" s="419" t="s">
        <v>765</v>
      </c>
      <c r="F2746" s="420"/>
      <c r="G2746" s="64" t="s">
        <v>758</v>
      </c>
      <c r="H2746" s="419" t="s">
        <v>425</v>
      </c>
      <c r="I2746" s="420"/>
      <c r="K2746" s="57" t="s">
        <v>863</v>
      </c>
      <c r="L2746" s="57" t="s">
        <v>284</v>
      </c>
      <c r="S2746" s="57">
        <v>0</v>
      </c>
    </row>
    <row r="2747" spans="1:19" ht="11.85" customHeight="1" x14ac:dyDescent="0.2">
      <c r="A2747" s="57" t="s">
        <v>863</v>
      </c>
      <c r="B2747" s="416"/>
      <c r="C2747" s="417"/>
      <c r="D2747" s="418"/>
      <c r="E2747" s="419" t="s">
        <v>860</v>
      </c>
      <c r="F2747" s="420"/>
      <c r="G2747" s="64" t="s">
        <v>441</v>
      </c>
      <c r="H2747" s="419" t="s">
        <v>423</v>
      </c>
      <c r="I2747" s="420"/>
      <c r="K2747" s="57" t="s">
        <v>863</v>
      </c>
      <c r="L2747" s="57" t="s">
        <v>284</v>
      </c>
      <c r="S2747" s="65">
        <v>48.16</v>
      </c>
    </row>
    <row r="2748" spans="1:19" ht="11.85" customHeight="1" x14ac:dyDescent="0.2">
      <c r="A2748" s="57" t="s">
        <v>863</v>
      </c>
      <c r="B2748" s="62"/>
      <c r="C2748" s="411" t="s">
        <v>865</v>
      </c>
      <c r="D2748" s="412"/>
      <c r="E2748" s="412"/>
      <c r="F2748" s="412"/>
      <c r="G2748" s="412"/>
      <c r="H2748" s="412"/>
      <c r="I2748" s="411"/>
      <c r="K2748" s="57" t="s">
        <v>863</v>
      </c>
      <c r="L2748" s="57" t="s">
        <v>284</v>
      </c>
      <c r="S2748" s="57">
        <v>0</v>
      </c>
    </row>
    <row r="2749" spans="1:19" ht="11.1" customHeight="1" x14ac:dyDescent="0.2">
      <c r="A2749" s="57" t="s">
        <v>865</v>
      </c>
      <c r="B2749" s="413" t="s">
        <v>471</v>
      </c>
      <c r="C2749" s="427"/>
      <c r="D2749" s="428"/>
      <c r="E2749" s="419" t="s">
        <v>502</v>
      </c>
      <c r="F2749" s="420"/>
      <c r="G2749" s="64" t="s">
        <v>503</v>
      </c>
      <c r="H2749" s="419" t="s">
        <v>423</v>
      </c>
      <c r="I2749" s="420"/>
      <c r="K2749" s="57" t="s">
        <v>865</v>
      </c>
      <c r="L2749" s="57" t="s">
        <v>285</v>
      </c>
      <c r="S2749" s="57">
        <v>0</v>
      </c>
    </row>
    <row r="2750" spans="1:19" ht="11.85" customHeight="1" x14ac:dyDescent="0.2">
      <c r="A2750" s="57" t="s">
        <v>865</v>
      </c>
      <c r="B2750" s="413" t="s">
        <v>416</v>
      </c>
      <c r="C2750" s="414"/>
      <c r="D2750" s="415"/>
      <c r="E2750" s="419" t="s">
        <v>402</v>
      </c>
      <c r="F2750" s="420"/>
      <c r="G2750" s="64" t="s">
        <v>417</v>
      </c>
      <c r="H2750" s="419" t="s">
        <v>457</v>
      </c>
      <c r="I2750" s="420"/>
      <c r="K2750" s="57" t="s">
        <v>865</v>
      </c>
      <c r="L2750" s="57" t="s">
        <v>285</v>
      </c>
      <c r="S2750" s="57">
        <v>0</v>
      </c>
    </row>
    <row r="2751" spans="1:19" ht="11.85" customHeight="1" x14ac:dyDescent="0.2">
      <c r="A2751" s="57" t="s">
        <v>865</v>
      </c>
      <c r="B2751" s="424"/>
      <c r="C2751" s="425"/>
      <c r="D2751" s="426"/>
      <c r="E2751" s="419" t="s">
        <v>403</v>
      </c>
      <c r="F2751" s="420"/>
      <c r="G2751" s="64" t="s">
        <v>417</v>
      </c>
      <c r="H2751" s="419" t="s">
        <v>457</v>
      </c>
      <c r="I2751" s="420"/>
      <c r="K2751" s="57" t="s">
        <v>865</v>
      </c>
      <c r="L2751" s="57" t="s">
        <v>285</v>
      </c>
      <c r="S2751" s="57">
        <v>0</v>
      </c>
    </row>
    <row r="2752" spans="1:19" ht="11.85" customHeight="1" x14ac:dyDescent="0.2">
      <c r="A2752" s="57" t="s">
        <v>865</v>
      </c>
      <c r="B2752" s="424"/>
      <c r="C2752" s="425"/>
      <c r="D2752" s="426"/>
      <c r="E2752" s="419" t="s">
        <v>404</v>
      </c>
      <c r="F2752" s="420"/>
      <c r="G2752" s="64" t="s">
        <v>413</v>
      </c>
      <c r="H2752" s="419" t="s">
        <v>458</v>
      </c>
      <c r="I2752" s="420"/>
      <c r="K2752" s="57" t="s">
        <v>865</v>
      </c>
      <c r="L2752" s="57" t="s">
        <v>285</v>
      </c>
      <c r="S2752" s="57">
        <v>0</v>
      </c>
    </row>
    <row r="2753" spans="1:19" ht="11.1" customHeight="1" x14ac:dyDescent="0.2">
      <c r="A2753" s="57" t="s">
        <v>865</v>
      </c>
      <c r="B2753" s="424"/>
      <c r="C2753" s="425"/>
      <c r="D2753" s="426"/>
      <c r="E2753" s="419" t="s">
        <v>405</v>
      </c>
      <c r="F2753" s="420"/>
      <c r="G2753" s="64" t="s">
        <v>420</v>
      </c>
      <c r="H2753" s="419" t="s">
        <v>459</v>
      </c>
      <c r="I2753" s="420"/>
      <c r="K2753" s="57" t="s">
        <v>865</v>
      </c>
      <c r="L2753" s="57" t="s">
        <v>285</v>
      </c>
      <c r="S2753" s="57">
        <v>0</v>
      </c>
    </row>
    <row r="2754" spans="1:19" ht="11.85" customHeight="1" x14ac:dyDescent="0.2">
      <c r="A2754" s="57" t="s">
        <v>865</v>
      </c>
      <c r="B2754" s="424"/>
      <c r="C2754" s="425"/>
      <c r="D2754" s="426"/>
      <c r="E2754" s="419" t="s">
        <v>792</v>
      </c>
      <c r="F2754" s="420"/>
      <c r="G2754" s="64" t="s">
        <v>758</v>
      </c>
      <c r="H2754" s="419" t="s">
        <v>463</v>
      </c>
      <c r="I2754" s="420"/>
      <c r="K2754" s="57" t="s">
        <v>865</v>
      </c>
      <c r="L2754" s="57" t="s">
        <v>285</v>
      </c>
      <c r="S2754" s="57">
        <v>0</v>
      </c>
    </row>
    <row r="2755" spans="1:19" ht="11.85" customHeight="1" x14ac:dyDescent="0.2">
      <c r="A2755" s="57" t="s">
        <v>865</v>
      </c>
      <c r="B2755" s="416"/>
      <c r="C2755" s="417"/>
      <c r="D2755" s="418"/>
      <c r="E2755" s="419" t="s">
        <v>546</v>
      </c>
      <c r="F2755" s="420"/>
      <c r="G2755" s="64" t="s">
        <v>461</v>
      </c>
      <c r="H2755" s="419" t="s">
        <v>423</v>
      </c>
      <c r="I2755" s="420"/>
      <c r="K2755" s="57" t="s">
        <v>865</v>
      </c>
      <c r="L2755" s="57" t="s">
        <v>285</v>
      </c>
      <c r="S2755" s="65">
        <v>33.17</v>
      </c>
    </row>
    <row r="2756" spans="1:19" ht="11.85" customHeight="1" x14ac:dyDescent="0.2">
      <c r="A2756" s="57" t="s">
        <v>865</v>
      </c>
      <c r="B2756" s="62"/>
      <c r="C2756" s="411" t="s">
        <v>866</v>
      </c>
      <c r="D2756" s="412"/>
      <c r="E2756" s="412"/>
      <c r="F2756" s="412"/>
      <c r="G2756" s="412"/>
      <c r="H2756" s="412"/>
      <c r="I2756" s="411"/>
      <c r="K2756" s="57" t="s">
        <v>865</v>
      </c>
      <c r="L2756" s="57" t="s">
        <v>285</v>
      </c>
      <c r="S2756" s="57">
        <v>0</v>
      </c>
    </row>
    <row r="2757" spans="1:19" ht="11.1" customHeight="1" x14ac:dyDescent="0.2">
      <c r="A2757" s="57" t="s">
        <v>866</v>
      </c>
      <c r="B2757" s="413" t="s">
        <v>471</v>
      </c>
      <c r="C2757" s="427"/>
      <c r="D2757" s="428"/>
      <c r="E2757" s="419" t="s">
        <v>502</v>
      </c>
      <c r="F2757" s="420"/>
      <c r="G2757" s="64" t="s">
        <v>503</v>
      </c>
      <c r="H2757" s="419" t="s">
        <v>423</v>
      </c>
      <c r="I2757" s="420"/>
      <c r="K2757" s="57" t="s">
        <v>866</v>
      </c>
      <c r="L2757" s="57" t="s">
        <v>286</v>
      </c>
      <c r="S2757" s="57">
        <v>0</v>
      </c>
    </row>
    <row r="2758" spans="1:19" ht="11.85" customHeight="1" x14ac:dyDescent="0.2">
      <c r="A2758" s="57" t="s">
        <v>866</v>
      </c>
      <c r="B2758" s="413" t="s">
        <v>416</v>
      </c>
      <c r="C2758" s="414"/>
      <c r="D2758" s="415"/>
      <c r="E2758" s="419" t="s">
        <v>402</v>
      </c>
      <c r="F2758" s="420"/>
      <c r="G2758" s="64" t="s">
        <v>417</v>
      </c>
      <c r="H2758" s="419" t="s">
        <v>457</v>
      </c>
      <c r="I2758" s="420"/>
      <c r="K2758" s="57" t="s">
        <v>866</v>
      </c>
      <c r="L2758" s="57" t="s">
        <v>286</v>
      </c>
      <c r="S2758" s="57">
        <v>0</v>
      </c>
    </row>
    <row r="2759" spans="1:19" ht="11.85" customHeight="1" x14ac:dyDescent="0.2">
      <c r="A2759" s="57" t="s">
        <v>866</v>
      </c>
      <c r="B2759" s="424"/>
      <c r="C2759" s="425"/>
      <c r="D2759" s="426"/>
      <c r="E2759" s="419" t="s">
        <v>403</v>
      </c>
      <c r="F2759" s="420"/>
      <c r="G2759" s="64" t="s">
        <v>417</v>
      </c>
      <c r="H2759" s="419" t="s">
        <v>457</v>
      </c>
      <c r="I2759" s="420"/>
      <c r="K2759" s="57" t="s">
        <v>866</v>
      </c>
      <c r="L2759" s="57" t="s">
        <v>286</v>
      </c>
      <c r="S2759" s="57">
        <v>0</v>
      </c>
    </row>
    <row r="2760" spans="1:19" ht="11.85" customHeight="1" x14ac:dyDescent="0.2">
      <c r="A2760" s="57" t="s">
        <v>866</v>
      </c>
      <c r="B2760" s="424"/>
      <c r="C2760" s="425"/>
      <c r="D2760" s="426"/>
      <c r="E2760" s="419" t="s">
        <v>404</v>
      </c>
      <c r="F2760" s="420"/>
      <c r="G2760" s="64" t="s">
        <v>413</v>
      </c>
      <c r="H2760" s="419" t="s">
        <v>458</v>
      </c>
      <c r="I2760" s="420"/>
      <c r="K2760" s="57" t="s">
        <v>866</v>
      </c>
      <c r="L2760" s="57" t="s">
        <v>286</v>
      </c>
      <c r="S2760" s="57">
        <v>0</v>
      </c>
    </row>
    <row r="2761" spans="1:19" ht="11.1" customHeight="1" x14ac:dyDescent="0.2">
      <c r="A2761" s="57" t="s">
        <v>866</v>
      </c>
      <c r="B2761" s="424"/>
      <c r="C2761" s="425"/>
      <c r="D2761" s="426"/>
      <c r="E2761" s="419" t="s">
        <v>405</v>
      </c>
      <c r="F2761" s="420"/>
      <c r="G2761" s="64" t="s">
        <v>420</v>
      </c>
      <c r="H2761" s="419" t="s">
        <v>459</v>
      </c>
      <c r="I2761" s="420"/>
      <c r="K2761" s="57" t="s">
        <v>866</v>
      </c>
      <c r="L2761" s="57" t="s">
        <v>286</v>
      </c>
      <c r="S2761" s="57">
        <v>0</v>
      </c>
    </row>
    <row r="2762" spans="1:19" ht="11.85" customHeight="1" x14ac:dyDescent="0.2">
      <c r="A2762" s="57" t="s">
        <v>866</v>
      </c>
      <c r="B2762" s="424"/>
      <c r="C2762" s="425"/>
      <c r="D2762" s="426"/>
      <c r="E2762" s="419" t="s">
        <v>792</v>
      </c>
      <c r="F2762" s="420"/>
      <c r="G2762" s="64" t="s">
        <v>758</v>
      </c>
      <c r="H2762" s="419" t="s">
        <v>463</v>
      </c>
      <c r="I2762" s="420"/>
      <c r="K2762" s="57" t="s">
        <v>866</v>
      </c>
      <c r="L2762" s="57" t="s">
        <v>286</v>
      </c>
      <c r="S2762" s="57">
        <v>0</v>
      </c>
    </row>
    <row r="2763" spans="1:19" ht="11.85" customHeight="1" x14ac:dyDescent="0.2">
      <c r="A2763" s="57" t="s">
        <v>866</v>
      </c>
      <c r="B2763" s="416"/>
      <c r="C2763" s="417"/>
      <c r="D2763" s="418"/>
      <c r="E2763" s="419" t="s">
        <v>546</v>
      </c>
      <c r="F2763" s="420"/>
      <c r="G2763" s="64" t="s">
        <v>461</v>
      </c>
      <c r="H2763" s="419" t="s">
        <v>423</v>
      </c>
      <c r="I2763" s="420"/>
      <c r="K2763" s="57" t="s">
        <v>866</v>
      </c>
      <c r="L2763" s="57" t="s">
        <v>286</v>
      </c>
      <c r="S2763" s="65">
        <v>33.17</v>
      </c>
    </row>
    <row r="2764" spans="1:19" ht="11.85" customHeight="1" x14ac:dyDescent="0.2">
      <c r="A2764" s="57" t="s">
        <v>866</v>
      </c>
      <c r="B2764" s="62"/>
      <c r="C2764" s="411" t="s">
        <v>867</v>
      </c>
      <c r="D2764" s="412"/>
      <c r="E2764" s="412"/>
      <c r="F2764" s="412"/>
      <c r="G2764" s="412"/>
      <c r="H2764" s="412"/>
      <c r="I2764" s="411"/>
      <c r="K2764" s="57" t="s">
        <v>866</v>
      </c>
      <c r="L2764" s="57" t="s">
        <v>286</v>
      </c>
      <c r="S2764" s="57">
        <v>0</v>
      </c>
    </row>
    <row r="2765" spans="1:19" ht="11.1" customHeight="1" x14ac:dyDescent="0.2">
      <c r="A2765" s="57" t="s">
        <v>867</v>
      </c>
      <c r="B2765" s="413" t="s">
        <v>471</v>
      </c>
      <c r="C2765" s="427"/>
      <c r="D2765" s="428"/>
      <c r="E2765" s="419" t="s">
        <v>502</v>
      </c>
      <c r="F2765" s="420"/>
      <c r="G2765" s="64" t="s">
        <v>503</v>
      </c>
      <c r="H2765" s="419" t="s">
        <v>423</v>
      </c>
      <c r="I2765" s="420"/>
      <c r="K2765" s="57" t="s">
        <v>867</v>
      </c>
      <c r="L2765" s="57" t="s">
        <v>287</v>
      </c>
      <c r="S2765" s="57">
        <v>0</v>
      </c>
    </row>
    <row r="2766" spans="1:19" ht="11.85" customHeight="1" x14ac:dyDescent="0.2">
      <c r="A2766" s="57" t="s">
        <v>867</v>
      </c>
      <c r="B2766" s="413" t="s">
        <v>416</v>
      </c>
      <c r="C2766" s="414"/>
      <c r="D2766" s="415"/>
      <c r="E2766" s="419" t="s">
        <v>402</v>
      </c>
      <c r="F2766" s="420"/>
      <c r="G2766" s="64" t="s">
        <v>417</v>
      </c>
      <c r="H2766" s="419" t="s">
        <v>418</v>
      </c>
      <c r="I2766" s="420"/>
      <c r="K2766" s="57" t="s">
        <v>867</v>
      </c>
      <c r="L2766" s="57" t="s">
        <v>287</v>
      </c>
      <c r="S2766" s="57">
        <v>0</v>
      </c>
    </row>
    <row r="2767" spans="1:19" ht="11.85" customHeight="1" x14ac:dyDescent="0.2">
      <c r="A2767" s="57" t="s">
        <v>867</v>
      </c>
      <c r="B2767" s="424"/>
      <c r="C2767" s="425"/>
      <c r="D2767" s="426"/>
      <c r="E2767" s="419" t="s">
        <v>403</v>
      </c>
      <c r="F2767" s="420"/>
      <c r="G2767" s="64" t="s">
        <v>417</v>
      </c>
      <c r="H2767" s="419" t="s">
        <v>418</v>
      </c>
      <c r="I2767" s="420"/>
      <c r="K2767" s="57" t="s">
        <v>867</v>
      </c>
      <c r="L2767" s="57" t="s">
        <v>287</v>
      </c>
      <c r="S2767" s="57">
        <v>0</v>
      </c>
    </row>
    <row r="2768" spans="1:19" ht="11.85" customHeight="1" x14ac:dyDescent="0.2">
      <c r="A2768" s="57" t="s">
        <v>867</v>
      </c>
      <c r="B2768" s="424"/>
      <c r="C2768" s="425"/>
      <c r="D2768" s="426"/>
      <c r="E2768" s="419" t="s">
        <v>404</v>
      </c>
      <c r="F2768" s="420"/>
      <c r="G2768" s="64" t="s">
        <v>413</v>
      </c>
      <c r="H2768" s="419" t="s">
        <v>419</v>
      </c>
      <c r="I2768" s="420"/>
      <c r="K2768" s="57" t="s">
        <v>867</v>
      </c>
      <c r="L2768" s="57" t="s">
        <v>287</v>
      </c>
      <c r="S2768" s="57">
        <v>0</v>
      </c>
    </row>
    <row r="2769" spans="1:19" ht="11.1" customHeight="1" x14ac:dyDescent="0.2">
      <c r="A2769" s="57" t="s">
        <v>867</v>
      </c>
      <c r="B2769" s="424"/>
      <c r="C2769" s="425"/>
      <c r="D2769" s="426"/>
      <c r="E2769" s="419" t="s">
        <v>405</v>
      </c>
      <c r="F2769" s="420"/>
      <c r="G2769" s="64" t="s">
        <v>420</v>
      </c>
      <c r="H2769" s="419" t="s">
        <v>421</v>
      </c>
      <c r="I2769" s="420"/>
      <c r="K2769" s="57" t="s">
        <v>867</v>
      </c>
      <c r="L2769" s="57" t="s">
        <v>287</v>
      </c>
      <c r="S2769" s="57">
        <v>0</v>
      </c>
    </row>
    <row r="2770" spans="1:19" ht="11.85" customHeight="1" x14ac:dyDescent="0.2">
      <c r="A2770" s="57" t="s">
        <v>867</v>
      </c>
      <c r="B2770" s="424"/>
      <c r="C2770" s="425"/>
      <c r="D2770" s="426"/>
      <c r="E2770" s="419" t="s">
        <v>765</v>
      </c>
      <c r="F2770" s="420"/>
      <c r="G2770" s="64" t="s">
        <v>758</v>
      </c>
      <c r="H2770" s="419" t="s">
        <v>425</v>
      </c>
      <c r="I2770" s="420"/>
      <c r="K2770" s="57" t="s">
        <v>867</v>
      </c>
      <c r="L2770" s="57" t="s">
        <v>287</v>
      </c>
      <c r="S2770" s="57">
        <v>0</v>
      </c>
    </row>
    <row r="2771" spans="1:19" ht="11.85" customHeight="1" x14ac:dyDescent="0.2">
      <c r="A2771" s="57" t="s">
        <v>867</v>
      </c>
      <c r="B2771" s="416"/>
      <c r="C2771" s="417"/>
      <c r="D2771" s="418"/>
      <c r="E2771" s="419" t="s">
        <v>860</v>
      </c>
      <c r="F2771" s="420"/>
      <c r="G2771" s="64" t="s">
        <v>441</v>
      </c>
      <c r="H2771" s="419" t="s">
        <v>423</v>
      </c>
      <c r="I2771" s="420"/>
      <c r="K2771" s="57" t="s">
        <v>867</v>
      </c>
      <c r="L2771" s="57" t="s">
        <v>287</v>
      </c>
      <c r="S2771" s="65">
        <v>48.16</v>
      </c>
    </row>
    <row r="2772" spans="1:19" ht="11.85" customHeight="1" x14ac:dyDescent="0.2">
      <c r="A2772" s="57" t="s">
        <v>867</v>
      </c>
      <c r="B2772" s="62"/>
      <c r="C2772" s="411" t="s">
        <v>868</v>
      </c>
      <c r="D2772" s="412"/>
      <c r="E2772" s="412"/>
      <c r="F2772" s="412"/>
      <c r="G2772" s="412"/>
      <c r="H2772" s="412"/>
      <c r="I2772" s="411"/>
      <c r="K2772" s="57" t="s">
        <v>867</v>
      </c>
      <c r="L2772" s="57" t="s">
        <v>287</v>
      </c>
      <c r="S2772" s="57">
        <v>0</v>
      </c>
    </row>
    <row r="2773" spans="1:19" ht="11.1" customHeight="1" x14ac:dyDescent="0.2">
      <c r="A2773" s="57" t="s">
        <v>868</v>
      </c>
      <c r="B2773" s="413" t="s">
        <v>471</v>
      </c>
      <c r="C2773" s="427"/>
      <c r="D2773" s="428"/>
      <c r="E2773" s="419" t="s">
        <v>502</v>
      </c>
      <c r="F2773" s="420"/>
      <c r="G2773" s="64" t="s">
        <v>503</v>
      </c>
      <c r="H2773" s="419" t="s">
        <v>423</v>
      </c>
      <c r="I2773" s="420"/>
      <c r="K2773" s="57" t="s">
        <v>868</v>
      </c>
      <c r="L2773" s="57" t="s">
        <v>288</v>
      </c>
      <c r="S2773" s="57">
        <v>0</v>
      </c>
    </row>
    <row r="2774" spans="1:19" ht="11.85" customHeight="1" x14ac:dyDescent="0.2">
      <c r="A2774" s="57" t="s">
        <v>868</v>
      </c>
      <c r="B2774" s="413" t="s">
        <v>416</v>
      </c>
      <c r="C2774" s="414"/>
      <c r="D2774" s="415"/>
      <c r="E2774" s="419" t="s">
        <v>402</v>
      </c>
      <c r="F2774" s="420"/>
      <c r="G2774" s="64" t="s">
        <v>417</v>
      </c>
      <c r="H2774" s="419" t="s">
        <v>457</v>
      </c>
      <c r="I2774" s="420"/>
      <c r="K2774" s="57" t="s">
        <v>868</v>
      </c>
      <c r="L2774" s="57" t="s">
        <v>288</v>
      </c>
      <c r="S2774" s="57">
        <v>0</v>
      </c>
    </row>
    <row r="2775" spans="1:19" ht="11.85" customHeight="1" x14ac:dyDescent="0.2">
      <c r="A2775" s="57" t="s">
        <v>868</v>
      </c>
      <c r="B2775" s="424"/>
      <c r="C2775" s="425"/>
      <c r="D2775" s="426"/>
      <c r="E2775" s="419" t="s">
        <v>403</v>
      </c>
      <c r="F2775" s="420"/>
      <c r="G2775" s="64" t="s">
        <v>417</v>
      </c>
      <c r="H2775" s="419" t="s">
        <v>457</v>
      </c>
      <c r="I2775" s="420"/>
      <c r="K2775" s="57" t="s">
        <v>868</v>
      </c>
      <c r="L2775" s="57" t="s">
        <v>288</v>
      </c>
      <c r="S2775" s="57">
        <v>0</v>
      </c>
    </row>
    <row r="2776" spans="1:19" ht="11.85" customHeight="1" x14ac:dyDescent="0.2">
      <c r="A2776" s="57" t="s">
        <v>868</v>
      </c>
      <c r="B2776" s="424"/>
      <c r="C2776" s="425"/>
      <c r="D2776" s="426"/>
      <c r="E2776" s="419" t="s">
        <v>404</v>
      </c>
      <c r="F2776" s="420"/>
      <c r="G2776" s="64" t="s">
        <v>413</v>
      </c>
      <c r="H2776" s="419" t="s">
        <v>458</v>
      </c>
      <c r="I2776" s="420"/>
      <c r="K2776" s="57" t="s">
        <v>868</v>
      </c>
      <c r="L2776" s="57" t="s">
        <v>288</v>
      </c>
      <c r="S2776" s="57">
        <v>0</v>
      </c>
    </row>
    <row r="2777" spans="1:19" ht="11.1" customHeight="1" x14ac:dyDescent="0.2">
      <c r="A2777" s="57" t="s">
        <v>868</v>
      </c>
      <c r="B2777" s="424"/>
      <c r="C2777" s="425"/>
      <c r="D2777" s="426"/>
      <c r="E2777" s="419" t="s">
        <v>405</v>
      </c>
      <c r="F2777" s="420"/>
      <c r="G2777" s="64" t="s">
        <v>420</v>
      </c>
      <c r="H2777" s="419" t="s">
        <v>459</v>
      </c>
      <c r="I2777" s="420"/>
      <c r="K2777" s="57" t="s">
        <v>868</v>
      </c>
      <c r="L2777" s="57" t="s">
        <v>288</v>
      </c>
      <c r="S2777" s="57">
        <v>0</v>
      </c>
    </row>
    <row r="2778" spans="1:19" ht="11.85" customHeight="1" x14ac:dyDescent="0.2">
      <c r="A2778" s="57" t="s">
        <v>868</v>
      </c>
      <c r="B2778" s="424"/>
      <c r="C2778" s="425"/>
      <c r="D2778" s="426"/>
      <c r="E2778" s="419" t="s">
        <v>792</v>
      </c>
      <c r="F2778" s="420"/>
      <c r="G2778" s="64" t="s">
        <v>758</v>
      </c>
      <c r="H2778" s="419" t="s">
        <v>463</v>
      </c>
      <c r="I2778" s="420"/>
      <c r="K2778" s="57" t="s">
        <v>868</v>
      </c>
      <c r="L2778" s="57" t="s">
        <v>288</v>
      </c>
      <c r="S2778" s="57">
        <v>0</v>
      </c>
    </row>
    <row r="2779" spans="1:19" ht="11.85" customHeight="1" x14ac:dyDescent="0.2">
      <c r="A2779" s="57" t="s">
        <v>868</v>
      </c>
      <c r="B2779" s="416"/>
      <c r="C2779" s="417"/>
      <c r="D2779" s="418"/>
      <c r="E2779" s="419" t="s">
        <v>546</v>
      </c>
      <c r="F2779" s="420"/>
      <c r="G2779" s="64" t="s">
        <v>461</v>
      </c>
      <c r="H2779" s="419" t="s">
        <v>423</v>
      </c>
      <c r="I2779" s="420"/>
      <c r="K2779" s="57" t="s">
        <v>868</v>
      </c>
      <c r="L2779" s="57" t="s">
        <v>288</v>
      </c>
      <c r="S2779" s="65">
        <v>33.17</v>
      </c>
    </row>
    <row r="2780" spans="1:19" ht="11.85" customHeight="1" x14ac:dyDescent="0.2">
      <c r="A2780" s="57" t="s">
        <v>868</v>
      </c>
      <c r="B2780" s="62"/>
      <c r="C2780" s="411" t="s">
        <v>869</v>
      </c>
      <c r="D2780" s="412"/>
      <c r="E2780" s="412"/>
      <c r="F2780" s="412"/>
      <c r="G2780" s="412"/>
      <c r="H2780" s="412"/>
      <c r="I2780" s="411"/>
      <c r="K2780" s="57" t="s">
        <v>868</v>
      </c>
      <c r="L2780" s="57" t="s">
        <v>288</v>
      </c>
      <c r="S2780" s="57">
        <v>0</v>
      </c>
    </row>
    <row r="2781" spans="1:19" ht="11.1" customHeight="1" x14ac:dyDescent="0.2">
      <c r="A2781" s="57" t="s">
        <v>869</v>
      </c>
      <c r="B2781" s="413" t="s">
        <v>416</v>
      </c>
      <c r="C2781" s="414"/>
      <c r="D2781" s="415"/>
      <c r="E2781" s="419" t="s">
        <v>870</v>
      </c>
      <c r="F2781" s="420"/>
      <c r="G2781" s="64" t="s">
        <v>871</v>
      </c>
      <c r="H2781" s="419" t="s">
        <v>423</v>
      </c>
      <c r="I2781" s="420"/>
      <c r="K2781" s="57" t="s">
        <v>869</v>
      </c>
      <c r="L2781" s="57" t="s">
        <v>290</v>
      </c>
      <c r="S2781" s="65">
        <v>15</v>
      </c>
    </row>
    <row r="2782" spans="1:19" ht="11.85" customHeight="1" x14ac:dyDescent="0.2">
      <c r="A2782" s="57" t="s">
        <v>869</v>
      </c>
      <c r="B2782" s="416"/>
      <c r="C2782" s="417"/>
      <c r="D2782" s="418"/>
      <c r="E2782" s="419" t="s">
        <v>872</v>
      </c>
      <c r="F2782" s="420"/>
      <c r="G2782" s="64" t="s">
        <v>873</v>
      </c>
      <c r="H2782" s="419" t="s">
        <v>858</v>
      </c>
      <c r="I2782" s="420"/>
      <c r="K2782" s="57" t="s">
        <v>869</v>
      </c>
      <c r="L2782" s="57" t="s">
        <v>290</v>
      </c>
      <c r="S2782" s="57">
        <v>0</v>
      </c>
    </row>
    <row r="2783" spans="1:19" ht="11.85" customHeight="1" x14ac:dyDescent="0.2">
      <c r="A2783" s="57" t="s">
        <v>869</v>
      </c>
      <c r="B2783" s="62"/>
      <c r="C2783" s="411" t="s">
        <v>874</v>
      </c>
      <c r="D2783" s="412"/>
      <c r="E2783" s="412"/>
      <c r="F2783" s="412"/>
      <c r="G2783" s="412"/>
      <c r="H2783" s="412"/>
      <c r="I2783" s="411"/>
      <c r="K2783" s="57" t="s">
        <v>869</v>
      </c>
      <c r="L2783" s="57" t="s">
        <v>290</v>
      </c>
      <c r="S2783" s="57">
        <v>0</v>
      </c>
    </row>
    <row r="2784" spans="1:19" ht="11.85" customHeight="1" x14ac:dyDescent="0.2">
      <c r="A2784" s="57" t="s">
        <v>874</v>
      </c>
      <c r="B2784" s="413" t="s">
        <v>471</v>
      </c>
      <c r="C2784" s="427"/>
      <c r="D2784" s="428"/>
      <c r="E2784" s="419" t="s">
        <v>502</v>
      </c>
      <c r="F2784" s="420"/>
      <c r="G2784" s="64" t="s">
        <v>503</v>
      </c>
      <c r="H2784" s="419" t="s">
        <v>423</v>
      </c>
      <c r="I2784" s="420"/>
      <c r="K2784" s="57" t="s">
        <v>874</v>
      </c>
      <c r="L2784" s="57" t="s">
        <v>289</v>
      </c>
      <c r="S2784" s="57">
        <v>0</v>
      </c>
    </row>
    <row r="2785" spans="1:19" ht="11.1" customHeight="1" x14ac:dyDescent="0.2">
      <c r="A2785" s="57" t="s">
        <v>874</v>
      </c>
      <c r="B2785" s="413" t="s">
        <v>416</v>
      </c>
      <c r="C2785" s="414"/>
      <c r="D2785" s="415"/>
      <c r="E2785" s="419" t="s">
        <v>402</v>
      </c>
      <c r="F2785" s="420"/>
      <c r="G2785" s="64" t="s">
        <v>417</v>
      </c>
      <c r="H2785" s="419" t="s">
        <v>516</v>
      </c>
      <c r="I2785" s="420"/>
      <c r="K2785" s="57" t="s">
        <v>874</v>
      </c>
      <c r="L2785" s="57" t="s">
        <v>289</v>
      </c>
      <c r="S2785" s="57">
        <v>0</v>
      </c>
    </row>
    <row r="2786" spans="1:19" ht="11.85" customHeight="1" x14ac:dyDescent="0.2">
      <c r="A2786" s="57" t="s">
        <v>874</v>
      </c>
      <c r="B2786" s="424"/>
      <c r="C2786" s="425"/>
      <c r="D2786" s="426"/>
      <c r="E2786" s="419" t="s">
        <v>875</v>
      </c>
      <c r="F2786" s="420"/>
      <c r="G2786" s="64" t="s">
        <v>876</v>
      </c>
      <c r="H2786" s="419" t="s">
        <v>463</v>
      </c>
      <c r="I2786" s="420"/>
      <c r="K2786" s="57" t="s">
        <v>874</v>
      </c>
      <c r="L2786" s="57" t="s">
        <v>289</v>
      </c>
      <c r="S2786" s="57">
        <v>0</v>
      </c>
    </row>
    <row r="2787" spans="1:19" ht="11.85" customHeight="1" x14ac:dyDescent="0.2">
      <c r="A2787" s="57" t="s">
        <v>874</v>
      </c>
      <c r="B2787" s="416"/>
      <c r="C2787" s="417"/>
      <c r="D2787" s="418"/>
      <c r="E2787" s="419" t="s">
        <v>517</v>
      </c>
      <c r="F2787" s="420"/>
      <c r="G2787" s="64" t="s">
        <v>518</v>
      </c>
      <c r="H2787" s="419" t="s">
        <v>423</v>
      </c>
      <c r="I2787" s="420"/>
      <c r="K2787" s="57" t="s">
        <v>874</v>
      </c>
      <c r="L2787" s="57" t="s">
        <v>289</v>
      </c>
      <c r="S2787" s="65">
        <v>26.91</v>
      </c>
    </row>
    <row r="2788" spans="1:19" ht="11.85" customHeight="1" x14ac:dyDescent="0.2">
      <c r="A2788" s="57" t="s">
        <v>874</v>
      </c>
      <c r="B2788" s="62"/>
      <c r="C2788" s="411" t="s">
        <v>291</v>
      </c>
      <c r="D2788" s="412"/>
      <c r="E2788" s="412"/>
      <c r="F2788" s="412"/>
      <c r="G2788" s="412"/>
      <c r="H2788" s="412"/>
      <c r="I2788" s="411"/>
      <c r="K2788" s="57" t="s">
        <v>874</v>
      </c>
      <c r="L2788" s="57" t="s">
        <v>289</v>
      </c>
      <c r="S2788" s="57">
        <v>0</v>
      </c>
    </row>
    <row r="2789" spans="1:19" ht="11.1" customHeight="1" x14ac:dyDescent="0.2">
      <c r="A2789" s="57" t="s">
        <v>291</v>
      </c>
      <c r="B2789" s="413" t="s">
        <v>488</v>
      </c>
      <c r="C2789" s="427"/>
      <c r="D2789" s="428"/>
      <c r="E2789" s="419" t="s">
        <v>852</v>
      </c>
      <c r="F2789" s="420"/>
      <c r="G2789" s="64" t="s">
        <v>758</v>
      </c>
      <c r="H2789" s="419" t="s">
        <v>853</v>
      </c>
      <c r="I2789" s="420"/>
      <c r="K2789" s="57" t="s">
        <v>291</v>
      </c>
      <c r="L2789" s="57" t="s">
        <v>291</v>
      </c>
      <c r="S2789" s="57">
        <v>0</v>
      </c>
    </row>
    <row r="2790" spans="1:19" ht="11.85" customHeight="1" x14ac:dyDescent="0.2">
      <c r="A2790" s="57" t="s">
        <v>291</v>
      </c>
      <c r="B2790" s="413" t="s">
        <v>416</v>
      </c>
      <c r="C2790" s="414"/>
      <c r="D2790" s="415"/>
      <c r="E2790" s="419" t="s">
        <v>854</v>
      </c>
      <c r="F2790" s="420"/>
      <c r="G2790" s="64" t="s">
        <v>855</v>
      </c>
      <c r="H2790" s="419" t="s">
        <v>423</v>
      </c>
      <c r="I2790" s="420"/>
      <c r="K2790" s="57" t="s">
        <v>291</v>
      </c>
      <c r="L2790" s="57" t="s">
        <v>291</v>
      </c>
      <c r="S2790" s="65">
        <v>19.940000000000001</v>
      </c>
    </row>
    <row r="2791" spans="1:19" ht="11.85" customHeight="1" x14ac:dyDescent="0.2">
      <c r="A2791" s="57" t="s">
        <v>291</v>
      </c>
      <c r="B2791" s="416"/>
      <c r="C2791" s="417"/>
      <c r="D2791" s="418"/>
      <c r="E2791" s="419" t="s">
        <v>856</v>
      </c>
      <c r="F2791" s="420"/>
      <c r="G2791" s="64" t="s">
        <v>857</v>
      </c>
      <c r="H2791" s="419" t="s">
        <v>858</v>
      </c>
      <c r="I2791" s="420"/>
      <c r="K2791" s="57" t="s">
        <v>291</v>
      </c>
      <c r="L2791" s="57" t="s">
        <v>291</v>
      </c>
      <c r="S2791" s="57">
        <v>0</v>
      </c>
    </row>
    <row r="2792" spans="1:19" ht="11.85" customHeight="1" x14ac:dyDescent="0.2">
      <c r="B2792" s="66"/>
      <c r="C2792" s="66"/>
      <c r="D2792" s="66"/>
      <c r="E2792" s="66"/>
      <c r="F2792" s="66"/>
      <c r="G2792" s="66"/>
      <c r="H2792" s="66"/>
      <c r="I2792" s="66"/>
      <c r="K2792" s="31" t="s">
        <v>65</v>
      </c>
      <c r="L2792" s="31" t="s">
        <v>65</v>
      </c>
      <c r="S2792" s="11">
        <v>26.91</v>
      </c>
    </row>
    <row r="2793" spans="1:19" ht="40.700000000000003" customHeight="1" x14ac:dyDescent="0.2">
      <c r="B2793" s="430" t="s">
        <v>877</v>
      </c>
      <c r="C2793" s="430"/>
      <c r="D2793" s="430"/>
      <c r="E2793" s="430"/>
      <c r="F2793" s="430"/>
      <c r="G2793" s="430"/>
      <c r="H2793" s="430"/>
      <c r="I2793" s="430"/>
      <c r="K2793" s="31" t="s">
        <v>68</v>
      </c>
      <c r="L2793" s="31" t="s">
        <v>68</v>
      </c>
      <c r="S2793" s="11">
        <v>26.91</v>
      </c>
    </row>
  </sheetData>
  <autoFilter ref="B7:W2791">
    <filterColumn colId="0" showButton="0"/>
    <filterColumn colId="1" showButton="0"/>
    <filterColumn colId="3" showButton="0"/>
    <filterColumn colId="6" showButton="0"/>
  </autoFilter>
  <mergeCells count="5945">
    <mergeCell ref="B2793:I2793"/>
    <mergeCell ref="H2787:I2787"/>
    <mergeCell ref="C2788:I2788"/>
    <mergeCell ref="B2789:D2789"/>
    <mergeCell ref="E2789:F2789"/>
    <mergeCell ref="H2789:I2789"/>
    <mergeCell ref="B2790:D2791"/>
    <mergeCell ref="E2790:F2790"/>
    <mergeCell ref="H2790:I2790"/>
    <mergeCell ref="E2791:F2791"/>
    <mergeCell ref="H2791:I2791"/>
    <mergeCell ref="C2783:I2783"/>
    <mergeCell ref="B2784:D2784"/>
    <mergeCell ref="E2784:F2784"/>
    <mergeCell ref="H2784:I2784"/>
    <mergeCell ref="B2785:D2787"/>
    <mergeCell ref="E2785:F2785"/>
    <mergeCell ref="H2785:I2785"/>
    <mergeCell ref="E2786:F2786"/>
    <mergeCell ref="H2786:I2786"/>
    <mergeCell ref="E2787:F2787"/>
    <mergeCell ref="C2780:I2780"/>
    <mergeCell ref="B2781:D2782"/>
    <mergeCell ref="E2781:F2781"/>
    <mergeCell ref="H2781:I2781"/>
    <mergeCell ref="E2782:F2782"/>
    <mergeCell ref="H2782:I2782"/>
    <mergeCell ref="H2776:I2776"/>
    <mergeCell ref="E2777:F2777"/>
    <mergeCell ref="H2777:I2777"/>
    <mergeCell ref="E2778:F2778"/>
    <mergeCell ref="H2778:I2778"/>
    <mergeCell ref="E2779:F2779"/>
    <mergeCell ref="H2779:I2779"/>
    <mergeCell ref="C2772:I2772"/>
    <mergeCell ref="B2773:D2773"/>
    <mergeCell ref="E2773:F2773"/>
    <mergeCell ref="H2773:I2773"/>
    <mergeCell ref="B2774:D2779"/>
    <mergeCell ref="E2774:F2774"/>
    <mergeCell ref="H2774:I2774"/>
    <mergeCell ref="E2775:F2775"/>
    <mergeCell ref="H2775:I2775"/>
    <mergeCell ref="E2776:F2776"/>
    <mergeCell ref="H2768:I2768"/>
    <mergeCell ref="E2769:F2769"/>
    <mergeCell ref="H2769:I2769"/>
    <mergeCell ref="E2770:F2770"/>
    <mergeCell ref="H2770:I2770"/>
    <mergeCell ref="E2771:F2771"/>
    <mergeCell ref="H2771:I2771"/>
    <mergeCell ref="C2764:I2764"/>
    <mergeCell ref="B2765:D2765"/>
    <mergeCell ref="E2765:F2765"/>
    <mergeCell ref="H2765:I2765"/>
    <mergeCell ref="B2766:D2771"/>
    <mergeCell ref="E2766:F2766"/>
    <mergeCell ref="H2766:I2766"/>
    <mergeCell ref="E2767:F2767"/>
    <mergeCell ref="H2767:I2767"/>
    <mergeCell ref="E2768:F2768"/>
    <mergeCell ref="H2760:I2760"/>
    <mergeCell ref="E2761:F2761"/>
    <mergeCell ref="H2761:I2761"/>
    <mergeCell ref="E2762:F2762"/>
    <mergeCell ref="H2762:I2762"/>
    <mergeCell ref="E2763:F2763"/>
    <mergeCell ref="H2763:I2763"/>
    <mergeCell ref="C2756:I2756"/>
    <mergeCell ref="B2757:D2757"/>
    <mergeCell ref="E2757:F2757"/>
    <mergeCell ref="H2757:I2757"/>
    <mergeCell ref="B2758:D2763"/>
    <mergeCell ref="E2758:F2758"/>
    <mergeCell ref="H2758:I2758"/>
    <mergeCell ref="E2759:F2759"/>
    <mergeCell ref="H2759:I2759"/>
    <mergeCell ref="E2760:F2760"/>
    <mergeCell ref="H2752:I2752"/>
    <mergeCell ref="E2753:F2753"/>
    <mergeCell ref="H2753:I2753"/>
    <mergeCell ref="E2754:F2754"/>
    <mergeCell ref="H2754:I2754"/>
    <mergeCell ref="E2755:F2755"/>
    <mergeCell ref="H2755:I2755"/>
    <mergeCell ref="C2748:I2748"/>
    <mergeCell ref="B2749:D2749"/>
    <mergeCell ref="E2749:F2749"/>
    <mergeCell ref="H2749:I2749"/>
    <mergeCell ref="B2750:D2755"/>
    <mergeCell ref="E2750:F2750"/>
    <mergeCell ref="H2750:I2750"/>
    <mergeCell ref="E2751:F2751"/>
    <mergeCell ref="H2751:I2751"/>
    <mergeCell ref="E2752:F2752"/>
    <mergeCell ref="H2744:I2744"/>
    <mergeCell ref="E2745:F2745"/>
    <mergeCell ref="H2745:I2745"/>
    <mergeCell ref="B2746:D2747"/>
    <mergeCell ref="E2746:F2746"/>
    <mergeCell ref="H2746:I2746"/>
    <mergeCell ref="E2747:F2747"/>
    <mergeCell ref="H2747:I2747"/>
    <mergeCell ref="C2740:I2740"/>
    <mergeCell ref="B2741:D2741"/>
    <mergeCell ref="E2741:F2741"/>
    <mergeCell ref="H2741:I2741"/>
    <mergeCell ref="B2742:D2745"/>
    <mergeCell ref="E2742:F2742"/>
    <mergeCell ref="H2742:I2742"/>
    <mergeCell ref="E2743:F2743"/>
    <mergeCell ref="H2743:I2743"/>
    <mergeCell ref="E2744:F2744"/>
    <mergeCell ref="B2736:D2739"/>
    <mergeCell ref="E2736:F2736"/>
    <mergeCell ref="H2736:I2736"/>
    <mergeCell ref="E2737:F2737"/>
    <mergeCell ref="H2737:I2737"/>
    <mergeCell ref="E2738:F2738"/>
    <mergeCell ref="H2738:I2738"/>
    <mergeCell ref="E2739:F2739"/>
    <mergeCell ref="H2739:I2739"/>
    <mergeCell ref="H2732:I2732"/>
    <mergeCell ref="E2733:F2733"/>
    <mergeCell ref="H2733:I2733"/>
    <mergeCell ref="C2734:I2734"/>
    <mergeCell ref="B2735:D2735"/>
    <mergeCell ref="E2735:F2735"/>
    <mergeCell ref="H2735:I2735"/>
    <mergeCell ref="C2728:I2728"/>
    <mergeCell ref="B2729:D2729"/>
    <mergeCell ref="E2729:F2729"/>
    <mergeCell ref="H2729:I2729"/>
    <mergeCell ref="B2730:D2733"/>
    <mergeCell ref="E2730:F2730"/>
    <mergeCell ref="H2730:I2730"/>
    <mergeCell ref="E2731:F2731"/>
    <mergeCell ref="H2731:I2731"/>
    <mergeCell ref="E2732:F2732"/>
    <mergeCell ref="E2725:F2725"/>
    <mergeCell ref="H2725:I2725"/>
    <mergeCell ref="E2726:F2726"/>
    <mergeCell ref="H2726:I2726"/>
    <mergeCell ref="E2727:F2727"/>
    <mergeCell ref="H2727:I2727"/>
    <mergeCell ref="B2721:D2721"/>
    <mergeCell ref="E2721:F2721"/>
    <mergeCell ref="H2721:I2721"/>
    <mergeCell ref="B2722:D2727"/>
    <mergeCell ref="E2722:F2722"/>
    <mergeCell ref="H2722:I2722"/>
    <mergeCell ref="E2723:F2723"/>
    <mergeCell ref="H2723:I2723"/>
    <mergeCell ref="E2724:F2724"/>
    <mergeCell ref="H2724:I2724"/>
    <mergeCell ref="B2718:D2719"/>
    <mergeCell ref="E2718:F2718"/>
    <mergeCell ref="H2718:I2718"/>
    <mergeCell ref="E2719:F2719"/>
    <mergeCell ref="H2719:I2719"/>
    <mergeCell ref="C2720:I2720"/>
    <mergeCell ref="H2714:I2714"/>
    <mergeCell ref="E2715:F2715"/>
    <mergeCell ref="H2715:I2715"/>
    <mergeCell ref="C2716:I2716"/>
    <mergeCell ref="B2717:D2717"/>
    <mergeCell ref="E2717:F2717"/>
    <mergeCell ref="H2717:I2717"/>
    <mergeCell ref="B2710:D2715"/>
    <mergeCell ref="E2710:F2710"/>
    <mergeCell ref="H2710:I2710"/>
    <mergeCell ref="E2711:F2711"/>
    <mergeCell ref="H2711:I2711"/>
    <mergeCell ref="E2712:F2712"/>
    <mergeCell ref="H2712:I2712"/>
    <mergeCell ref="E2713:F2713"/>
    <mergeCell ref="H2713:I2713"/>
    <mergeCell ref="E2714:F2714"/>
    <mergeCell ref="H2706:I2706"/>
    <mergeCell ref="E2707:F2707"/>
    <mergeCell ref="H2707:I2707"/>
    <mergeCell ref="C2708:I2708"/>
    <mergeCell ref="B2709:D2709"/>
    <mergeCell ref="E2709:F2709"/>
    <mergeCell ref="H2709:I2709"/>
    <mergeCell ref="B2702:D2707"/>
    <mergeCell ref="E2702:F2702"/>
    <mergeCell ref="H2702:I2702"/>
    <mergeCell ref="E2703:F2703"/>
    <mergeCell ref="H2703:I2703"/>
    <mergeCell ref="E2704:F2704"/>
    <mergeCell ref="H2704:I2704"/>
    <mergeCell ref="E2705:F2705"/>
    <mergeCell ref="H2705:I2705"/>
    <mergeCell ref="E2706:F2706"/>
    <mergeCell ref="E2698:F2698"/>
    <mergeCell ref="H2698:I2698"/>
    <mergeCell ref="E2699:F2699"/>
    <mergeCell ref="H2699:I2699"/>
    <mergeCell ref="C2700:I2700"/>
    <mergeCell ref="B2701:D2701"/>
    <mergeCell ref="E2701:F2701"/>
    <mergeCell ref="H2701:I2701"/>
    <mergeCell ref="H2694:I2694"/>
    <mergeCell ref="E2695:F2695"/>
    <mergeCell ref="H2695:I2695"/>
    <mergeCell ref="E2696:F2696"/>
    <mergeCell ref="H2696:I2696"/>
    <mergeCell ref="E2697:F2697"/>
    <mergeCell ref="H2697:I2697"/>
    <mergeCell ref="E2690:F2690"/>
    <mergeCell ref="H2690:I2690"/>
    <mergeCell ref="E2691:F2691"/>
    <mergeCell ref="H2691:I2691"/>
    <mergeCell ref="B2692:D2699"/>
    <mergeCell ref="E2692:F2692"/>
    <mergeCell ref="H2692:I2692"/>
    <mergeCell ref="E2693:F2693"/>
    <mergeCell ref="H2693:I2693"/>
    <mergeCell ref="E2694:F2694"/>
    <mergeCell ref="E2685:F2685"/>
    <mergeCell ref="H2685:I2685"/>
    <mergeCell ref="C2686:I2686"/>
    <mergeCell ref="B2687:D2691"/>
    <mergeCell ref="E2687:F2687"/>
    <mergeCell ref="H2687:I2687"/>
    <mergeCell ref="E2688:F2688"/>
    <mergeCell ref="H2688:I2688"/>
    <mergeCell ref="E2689:F2689"/>
    <mergeCell ref="H2689:I2689"/>
    <mergeCell ref="E2682:F2682"/>
    <mergeCell ref="H2682:I2682"/>
    <mergeCell ref="E2683:F2683"/>
    <mergeCell ref="H2683:I2683"/>
    <mergeCell ref="E2684:F2684"/>
    <mergeCell ref="H2684:I2684"/>
    <mergeCell ref="B2678:D2678"/>
    <mergeCell ref="E2678:F2678"/>
    <mergeCell ref="H2678:I2678"/>
    <mergeCell ref="B2679:D2685"/>
    <mergeCell ref="E2679:F2679"/>
    <mergeCell ref="H2679:I2679"/>
    <mergeCell ref="E2680:F2680"/>
    <mergeCell ref="H2680:I2680"/>
    <mergeCell ref="E2681:F2681"/>
    <mergeCell ref="H2681:I2681"/>
    <mergeCell ref="E2675:F2675"/>
    <mergeCell ref="H2675:I2675"/>
    <mergeCell ref="E2676:F2676"/>
    <mergeCell ref="H2676:I2676"/>
    <mergeCell ref="E2677:F2677"/>
    <mergeCell ref="H2677:I2677"/>
    <mergeCell ref="E2670:F2670"/>
    <mergeCell ref="H2670:I2670"/>
    <mergeCell ref="E2671:F2671"/>
    <mergeCell ref="H2671:I2671"/>
    <mergeCell ref="C2672:I2672"/>
    <mergeCell ref="B2673:D2677"/>
    <mergeCell ref="E2673:F2673"/>
    <mergeCell ref="H2673:I2673"/>
    <mergeCell ref="E2674:F2674"/>
    <mergeCell ref="H2674:I2674"/>
    <mergeCell ref="H2666:I2666"/>
    <mergeCell ref="E2667:F2667"/>
    <mergeCell ref="H2667:I2667"/>
    <mergeCell ref="E2668:F2668"/>
    <mergeCell ref="H2668:I2668"/>
    <mergeCell ref="E2669:F2669"/>
    <mergeCell ref="H2669:I2669"/>
    <mergeCell ref="E2662:F2662"/>
    <mergeCell ref="H2662:I2662"/>
    <mergeCell ref="E2663:F2663"/>
    <mergeCell ref="H2663:I2663"/>
    <mergeCell ref="B2664:D2671"/>
    <mergeCell ref="E2664:F2664"/>
    <mergeCell ref="H2664:I2664"/>
    <mergeCell ref="E2665:F2665"/>
    <mergeCell ref="H2665:I2665"/>
    <mergeCell ref="E2666:F2666"/>
    <mergeCell ref="E2657:F2657"/>
    <mergeCell ref="H2657:I2657"/>
    <mergeCell ref="C2658:I2658"/>
    <mergeCell ref="B2659:D2663"/>
    <mergeCell ref="E2659:F2659"/>
    <mergeCell ref="H2659:I2659"/>
    <mergeCell ref="E2660:F2660"/>
    <mergeCell ref="H2660:I2660"/>
    <mergeCell ref="E2661:F2661"/>
    <mergeCell ref="H2661:I2661"/>
    <mergeCell ref="H2653:I2653"/>
    <mergeCell ref="E2654:F2654"/>
    <mergeCell ref="H2654:I2654"/>
    <mergeCell ref="E2655:F2655"/>
    <mergeCell ref="H2655:I2655"/>
    <mergeCell ref="E2656:F2656"/>
    <mergeCell ref="H2656:I2656"/>
    <mergeCell ref="E2649:F2649"/>
    <mergeCell ref="H2649:I2649"/>
    <mergeCell ref="B2650:D2657"/>
    <mergeCell ref="E2650:F2650"/>
    <mergeCell ref="H2650:I2650"/>
    <mergeCell ref="E2651:F2651"/>
    <mergeCell ref="H2651:I2651"/>
    <mergeCell ref="E2652:F2652"/>
    <mergeCell ref="H2652:I2652"/>
    <mergeCell ref="E2653:F2653"/>
    <mergeCell ref="C2644:I2644"/>
    <mergeCell ref="B2645:D2649"/>
    <mergeCell ref="E2645:F2645"/>
    <mergeCell ref="H2645:I2645"/>
    <mergeCell ref="E2646:F2646"/>
    <mergeCell ref="H2646:I2646"/>
    <mergeCell ref="E2647:F2647"/>
    <mergeCell ref="H2647:I2647"/>
    <mergeCell ref="E2648:F2648"/>
    <mergeCell ref="H2648:I2648"/>
    <mergeCell ref="H2640:I2640"/>
    <mergeCell ref="E2641:F2641"/>
    <mergeCell ref="H2641:I2641"/>
    <mergeCell ref="E2642:F2642"/>
    <mergeCell ref="H2642:I2642"/>
    <mergeCell ref="E2643:F2643"/>
    <mergeCell ref="H2643:I2643"/>
    <mergeCell ref="B2636:D2643"/>
    <mergeCell ref="E2636:F2636"/>
    <mergeCell ref="H2636:I2636"/>
    <mergeCell ref="E2637:F2637"/>
    <mergeCell ref="H2637:I2637"/>
    <mergeCell ref="E2638:F2638"/>
    <mergeCell ref="H2638:I2638"/>
    <mergeCell ref="E2639:F2639"/>
    <mergeCell ref="H2639:I2639"/>
    <mergeCell ref="E2640:F2640"/>
    <mergeCell ref="E2633:F2633"/>
    <mergeCell ref="H2633:I2633"/>
    <mergeCell ref="E2634:F2634"/>
    <mergeCell ref="H2634:I2634"/>
    <mergeCell ref="E2635:F2635"/>
    <mergeCell ref="H2635:I2635"/>
    <mergeCell ref="E2628:F2628"/>
    <mergeCell ref="H2628:I2628"/>
    <mergeCell ref="E2629:F2629"/>
    <mergeCell ref="H2629:I2629"/>
    <mergeCell ref="C2630:I2630"/>
    <mergeCell ref="B2631:D2635"/>
    <mergeCell ref="E2631:F2631"/>
    <mergeCell ref="H2631:I2631"/>
    <mergeCell ref="E2632:F2632"/>
    <mergeCell ref="H2632:I2632"/>
    <mergeCell ref="H2624:I2624"/>
    <mergeCell ref="E2625:F2625"/>
    <mergeCell ref="H2625:I2625"/>
    <mergeCell ref="E2626:F2626"/>
    <mergeCell ref="H2626:I2626"/>
    <mergeCell ref="E2627:F2627"/>
    <mergeCell ref="H2627:I2627"/>
    <mergeCell ref="H2604:I2604"/>
    <mergeCell ref="E2605:F2605"/>
    <mergeCell ref="H2605:I2605"/>
    <mergeCell ref="E2620:F2620"/>
    <mergeCell ref="H2620:I2620"/>
    <mergeCell ref="E2621:F2621"/>
    <mergeCell ref="H2621:I2621"/>
    <mergeCell ref="B2622:D2629"/>
    <mergeCell ref="E2622:F2622"/>
    <mergeCell ref="H2622:I2622"/>
    <mergeCell ref="E2623:F2623"/>
    <mergeCell ref="H2623:I2623"/>
    <mergeCell ref="E2624:F2624"/>
    <mergeCell ref="E2615:F2615"/>
    <mergeCell ref="H2615:I2615"/>
    <mergeCell ref="C2616:I2616"/>
    <mergeCell ref="B2617:D2621"/>
    <mergeCell ref="E2617:F2617"/>
    <mergeCell ref="H2617:I2617"/>
    <mergeCell ref="E2618:F2618"/>
    <mergeCell ref="H2618:I2618"/>
    <mergeCell ref="E2619:F2619"/>
    <mergeCell ref="H2619:I2619"/>
    <mergeCell ref="B2612:D2615"/>
    <mergeCell ref="E2612:F2612"/>
    <mergeCell ref="H2612:I2612"/>
    <mergeCell ref="E2613:F2613"/>
    <mergeCell ref="H2613:I2613"/>
    <mergeCell ref="E2614:F2614"/>
    <mergeCell ref="H2614:I2614"/>
    <mergeCell ref="E2599:F2599"/>
    <mergeCell ref="H2599:I2599"/>
    <mergeCell ref="E2600:F2600"/>
    <mergeCell ref="H2600:I2600"/>
    <mergeCell ref="H2610:I2610"/>
    <mergeCell ref="E2611:F2611"/>
    <mergeCell ref="H2611:I2611"/>
    <mergeCell ref="E2593:F2593"/>
    <mergeCell ref="H2593:I2593"/>
    <mergeCell ref="B2594:D2601"/>
    <mergeCell ref="E2594:F2594"/>
    <mergeCell ref="H2594:I2594"/>
    <mergeCell ref="E2595:F2595"/>
    <mergeCell ref="H2595:I2595"/>
    <mergeCell ref="E2596:F2596"/>
    <mergeCell ref="H2596:I2596"/>
    <mergeCell ref="E2597:F2597"/>
    <mergeCell ref="E2606:F2606"/>
    <mergeCell ref="H2606:I2606"/>
    <mergeCell ref="E2607:F2607"/>
    <mergeCell ref="H2607:I2607"/>
    <mergeCell ref="B2608:D2611"/>
    <mergeCell ref="E2608:F2608"/>
    <mergeCell ref="H2608:I2608"/>
    <mergeCell ref="E2609:F2609"/>
    <mergeCell ref="H2609:I2609"/>
    <mergeCell ref="E2610:F2610"/>
    <mergeCell ref="C2602:I2602"/>
    <mergeCell ref="B2603:D2607"/>
    <mergeCell ref="E2603:F2603"/>
    <mergeCell ref="H2603:I2603"/>
    <mergeCell ref="E2604:F2604"/>
    <mergeCell ref="C2588:I2588"/>
    <mergeCell ref="B2589:D2593"/>
    <mergeCell ref="E2589:F2589"/>
    <mergeCell ref="H2589:I2589"/>
    <mergeCell ref="E2590:F2590"/>
    <mergeCell ref="H2590:I2590"/>
    <mergeCell ref="E2591:F2591"/>
    <mergeCell ref="H2591:I2591"/>
    <mergeCell ref="E2592:F2592"/>
    <mergeCell ref="H2592:I2592"/>
    <mergeCell ref="E2601:F2601"/>
    <mergeCell ref="H2601:I2601"/>
    <mergeCell ref="H2584:I2584"/>
    <mergeCell ref="E2585:F2585"/>
    <mergeCell ref="H2585:I2585"/>
    <mergeCell ref="E2586:F2586"/>
    <mergeCell ref="H2586:I2586"/>
    <mergeCell ref="E2587:F2587"/>
    <mergeCell ref="H2587:I2587"/>
    <mergeCell ref="B2580:D2587"/>
    <mergeCell ref="E2580:F2580"/>
    <mergeCell ref="H2580:I2580"/>
    <mergeCell ref="E2581:F2581"/>
    <mergeCell ref="H2581:I2581"/>
    <mergeCell ref="E2582:F2582"/>
    <mergeCell ref="H2582:I2582"/>
    <mergeCell ref="E2583:F2583"/>
    <mergeCell ref="H2583:I2583"/>
    <mergeCell ref="E2584:F2584"/>
    <mergeCell ref="H2597:I2597"/>
    <mergeCell ref="E2598:F2598"/>
    <mergeCell ref="H2598:I2598"/>
    <mergeCell ref="E2577:F2577"/>
    <mergeCell ref="H2577:I2577"/>
    <mergeCell ref="E2578:F2578"/>
    <mergeCell ref="H2578:I2578"/>
    <mergeCell ref="E2579:F2579"/>
    <mergeCell ref="H2579:I2579"/>
    <mergeCell ref="E2572:F2572"/>
    <mergeCell ref="H2572:I2572"/>
    <mergeCell ref="E2573:F2573"/>
    <mergeCell ref="H2573:I2573"/>
    <mergeCell ref="C2574:I2574"/>
    <mergeCell ref="B2575:D2579"/>
    <mergeCell ref="E2575:F2575"/>
    <mergeCell ref="H2575:I2575"/>
    <mergeCell ref="E2576:F2576"/>
    <mergeCell ref="H2576:I2576"/>
    <mergeCell ref="H2568:I2568"/>
    <mergeCell ref="E2569:F2569"/>
    <mergeCell ref="H2569:I2569"/>
    <mergeCell ref="E2570:F2570"/>
    <mergeCell ref="H2570:I2570"/>
    <mergeCell ref="E2571:F2571"/>
    <mergeCell ref="H2571:I2571"/>
    <mergeCell ref="E2564:F2564"/>
    <mergeCell ref="H2564:I2564"/>
    <mergeCell ref="E2565:F2565"/>
    <mergeCell ref="H2565:I2565"/>
    <mergeCell ref="B2566:D2573"/>
    <mergeCell ref="E2566:F2566"/>
    <mergeCell ref="H2566:I2566"/>
    <mergeCell ref="E2567:F2567"/>
    <mergeCell ref="H2567:I2567"/>
    <mergeCell ref="E2568:F2568"/>
    <mergeCell ref="E2559:F2559"/>
    <mergeCell ref="H2559:I2559"/>
    <mergeCell ref="C2560:I2560"/>
    <mergeCell ref="B2561:D2565"/>
    <mergeCell ref="E2561:F2561"/>
    <mergeCell ref="H2561:I2561"/>
    <mergeCell ref="E2562:F2562"/>
    <mergeCell ref="H2562:I2562"/>
    <mergeCell ref="E2563:F2563"/>
    <mergeCell ref="H2563:I2563"/>
    <mergeCell ref="E2540:F2540"/>
    <mergeCell ref="H2540:I2540"/>
    <mergeCell ref="E2541:F2541"/>
    <mergeCell ref="H2541:I2541"/>
    <mergeCell ref="E2542:F2542"/>
    <mergeCell ref="H2542:I2542"/>
    <mergeCell ref="E2543:F2543"/>
    <mergeCell ref="H2555:I2555"/>
    <mergeCell ref="E2556:F2556"/>
    <mergeCell ref="H2556:I2556"/>
    <mergeCell ref="E2557:F2557"/>
    <mergeCell ref="H2557:I2557"/>
    <mergeCell ref="E2558:F2558"/>
    <mergeCell ref="H2558:I2558"/>
    <mergeCell ref="E2551:F2551"/>
    <mergeCell ref="H2551:I2551"/>
    <mergeCell ref="B2552:D2559"/>
    <mergeCell ref="E2552:F2552"/>
    <mergeCell ref="H2552:I2552"/>
    <mergeCell ref="E2553:F2553"/>
    <mergeCell ref="H2553:I2553"/>
    <mergeCell ref="E2554:F2554"/>
    <mergeCell ref="H2554:I2554"/>
    <mergeCell ref="E2555:F2555"/>
    <mergeCell ref="C2536:I2536"/>
    <mergeCell ref="B2537:D2538"/>
    <mergeCell ref="E2537:F2537"/>
    <mergeCell ref="H2537:I2537"/>
    <mergeCell ref="E2538:F2538"/>
    <mergeCell ref="H2538:I2538"/>
    <mergeCell ref="H2530:I2530"/>
    <mergeCell ref="E2531:F2531"/>
    <mergeCell ref="H2531:I2531"/>
    <mergeCell ref="E2532:F2532"/>
    <mergeCell ref="H2532:I2532"/>
    <mergeCell ref="E2533:F2533"/>
    <mergeCell ref="H2533:I2533"/>
    <mergeCell ref="C2546:I2546"/>
    <mergeCell ref="B2547:D2551"/>
    <mergeCell ref="E2547:F2547"/>
    <mergeCell ref="H2547:I2547"/>
    <mergeCell ref="E2548:F2548"/>
    <mergeCell ref="H2548:I2548"/>
    <mergeCell ref="E2549:F2549"/>
    <mergeCell ref="H2549:I2549"/>
    <mergeCell ref="E2550:F2550"/>
    <mergeCell ref="H2550:I2550"/>
    <mergeCell ref="H2543:I2543"/>
    <mergeCell ref="E2544:F2544"/>
    <mergeCell ref="H2544:I2544"/>
    <mergeCell ref="B2545:D2545"/>
    <mergeCell ref="E2545:F2545"/>
    <mergeCell ref="H2545:I2545"/>
    <mergeCell ref="B2539:D2544"/>
    <mergeCell ref="E2539:F2539"/>
    <mergeCell ref="H2539:I2539"/>
    <mergeCell ref="E2526:F2526"/>
    <mergeCell ref="H2526:I2526"/>
    <mergeCell ref="E2527:F2527"/>
    <mergeCell ref="H2527:I2527"/>
    <mergeCell ref="B2528:D2535"/>
    <mergeCell ref="E2528:F2528"/>
    <mergeCell ref="H2528:I2528"/>
    <mergeCell ref="E2529:F2529"/>
    <mergeCell ref="H2529:I2529"/>
    <mergeCell ref="E2530:F2530"/>
    <mergeCell ref="E2521:F2521"/>
    <mergeCell ref="H2521:I2521"/>
    <mergeCell ref="C2522:I2522"/>
    <mergeCell ref="B2523:D2527"/>
    <mergeCell ref="E2523:F2523"/>
    <mergeCell ref="H2523:I2523"/>
    <mergeCell ref="E2524:F2524"/>
    <mergeCell ref="H2524:I2524"/>
    <mergeCell ref="E2525:F2525"/>
    <mergeCell ref="H2525:I2525"/>
    <mergeCell ref="E2534:F2534"/>
    <mergeCell ref="H2534:I2534"/>
    <mergeCell ref="E2535:F2535"/>
    <mergeCell ref="H2535:I2535"/>
    <mergeCell ref="H2517:I2517"/>
    <mergeCell ref="E2518:F2518"/>
    <mergeCell ref="H2518:I2518"/>
    <mergeCell ref="E2519:F2519"/>
    <mergeCell ref="H2519:I2519"/>
    <mergeCell ref="E2520:F2520"/>
    <mergeCell ref="H2520:I2520"/>
    <mergeCell ref="E2513:F2513"/>
    <mergeCell ref="H2513:I2513"/>
    <mergeCell ref="B2514:D2521"/>
    <mergeCell ref="E2514:F2514"/>
    <mergeCell ref="H2514:I2514"/>
    <mergeCell ref="E2515:F2515"/>
    <mergeCell ref="H2515:I2515"/>
    <mergeCell ref="E2516:F2516"/>
    <mergeCell ref="H2516:I2516"/>
    <mergeCell ref="E2517:F2517"/>
    <mergeCell ref="C2508:I2508"/>
    <mergeCell ref="B2509:D2513"/>
    <mergeCell ref="E2509:F2509"/>
    <mergeCell ref="H2509:I2509"/>
    <mergeCell ref="E2510:F2510"/>
    <mergeCell ref="H2510:I2510"/>
    <mergeCell ref="E2511:F2511"/>
    <mergeCell ref="H2511:I2511"/>
    <mergeCell ref="E2512:F2512"/>
    <mergeCell ref="H2512:I2512"/>
    <mergeCell ref="E2505:F2505"/>
    <mergeCell ref="H2505:I2505"/>
    <mergeCell ref="E2506:F2506"/>
    <mergeCell ref="H2506:I2506"/>
    <mergeCell ref="E2507:F2507"/>
    <mergeCell ref="H2507:I2507"/>
    <mergeCell ref="E2502:F2502"/>
    <mergeCell ref="H2502:I2502"/>
    <mergeCell ref="E2503:F2503"/>
    <mergeCell ref="H2503:I2503"/>
    <mergeCell ref="E2504:F2504"/>
    <mergeCell ref="H2504:I2504"/>
    <mergeCell ref="B2500:D2507"/>
    <mergeCell ref="E2500:F2500"/>
    <mergeCell ref="H2500:I2500"/>
    <mergeCell ref="E2501:F2501"/>
    <mergeCell ref="H2501:I2501"/>
    <mergeCell ref="C2493:I2493"/>
    <mergeCell ref="B2494:D2494"/>
    <mergeCell ref="E2494:F2494"/>
    <mergeCell ref="H2494:I2494"/>
    <mergeCell ref="B2495:D2499"/>
    <mergeCell ref="E2495:F2495"/>
    <mergeCell ref="H2495:I2495"/>
    <mergeCell ref="E2496:F2496"/>
    <mergeCell ref="H2496:I2496"/>
    <mergeCell ref="E2497:F2497"/>
    <mergeCell ref="B2485:D2492"/>
    <mergeCell ref="E2485:F2485"/>
    <mergeCell ref="H2485:I2485"/>
    <mergeCell ref="E2486:F2486"/>
    <mergeCell ref="H2486:I2486"/>
    <mergeCell ref="H2475:I2475"/>
    <mergeCell ref="E2476:F2476"/>
    <mergeCell ref="H2476:I2476"/>
    <mergeCell ref="E2477:F2477"/>
    <mergeCell ref="H2477:I2477"/>
    <mergeCell ref="E2489:F2489"/>
    <mergeCell ref="H2489:I2489"/>
    <mergeCell ref="H2482:I2482"/>
    <mergeCell ref="E2483:F2483"/>
    <mergeCell ref="H2483:I2483"/>
    <mergeCell ref="E2484:F2484"/>
    <mergeCell ref="H2484:I2484"/>
    <mergeCell ref="H2497:I2497"/>
    <mergeCell ref="E2498:F2498"/>
    <mergeCell ref="H2498:I2498"/>
    <mergeCell ref="E2499:F2499"/>
    <mergeCell ref="H2499:I2499"/>
    <mergeCell ref="E2490:F2490"/>
    <mergeCell ref="H2490:I2490"/>
    <mergeCell ref="E2491:F2491"/>
    <mergeCell ref="H2491:I2491"/>
    <mergeCell ref="E2492:F2492"/>
    <mergeCell ref="H2492:I2492"/>
    <mergeCell ref="E2487:F2487"/>
    <mergeCell ref="H2487:I2487"/>
    <mergeCell ref="E2488:F2488"/>
    <mergeCell ref="H2488:I2488"/>
    <mergeCell ref="E2470:F2470"/>
    <mergeCell ref="H2470:I2470"/>
    <mergeCell ref="B2471:D2477"/>
    <mergeCell ref="E2471:F2471"/>
    <mergeCell ref="H2471:I2471"/>
    <mergeCell ref="E2472:F2472"/>
    <mergeCell ref="H2472:I2472"/>
    <mergeCell ref="E2473:F2473"/>
    <mergeCell ref="H2473:I2473"/>
    <mergeCell ref="E2474:F2474"/>
    <mergeCell ref="B2478:D2478"/>
    <mergeCell ref="E2478:F2478"/>
    <mergeCell ref="H2478:I2478"/>
    <mergeCell ref="C2479:I2479"/>
    <mergeCell ref="B2480:D2484"/>
    <mergeCell ref="E2480:F2480"/>
    <mergeCell ref="H2480:I2480"/>
    <mergeCell ref="E2481:F2481"/>
    <mergeCell ref="H2481:I2481"/>
    <mergeCell ref="E2482:F2482"/>
    <mergeCell ref="H2474:I2474"/>
    <mergeCell ref="E2475:F2475"/>
    <mergeCell ref="C2465:I2465"/>
    <mergeCell ref="B2466:D2470"/>
    <mergeCell ref="E2466:F2466"/>
    <mergeCell ref="H2466:I2466"/>
    <mergeCell ref="E2467:F2467"/>
    <mergeCell ref="H2467:I2467"/>
    <mergeCell ref="E2468:F2468"/>
    <mergeCell ref="H2468:I2468"/>
    <mergeCell ref="E2469:F2469"/>
    <mergeCell ref="H2469:I2469"/>
    <mergeCell ref="H2461:I2461"/>
    <mergeCell ref="E2462:F2462"/>
    <mergeCell ref="H2462:I2462"/>
    <mergeCell ref="E2463:F2463"/>
    <mergeCell ref="H2463:I2463"/>
    <mergeCell ref="E2464:F2464"/>
    <mergeCell ref="H2464:I2464"/>
    <mergeCell ref="B2457:D2464"/>
    <mergeCell ref="E2457:F2457"/>
    <mergeCell ref="H2457:I2457"/>
    <mergeCell ref="E2458:F2458"/>
    <mergeCell ref="H2458:I2458"/>
    <mergeCell ref="E2459:F2459"/>
    <mergeCell ref="H2459:I2459"/>
    <mergeCell ref="E2460:F2460"/>
    <mergeCell ref="H2460:I2460"/>
    <mergeCell ref="E2461:F2461"/>
    <mergeCell ref="E2454:F2454"/>
    <mergeCell ref="H2454:I2454"/>
    <mergeCell ref="E2455:F2455"/>
    <mergeCell ref="H2455:I2455"/>
    <mergeCell ref="E2456:F2456"/>
    <mergeCell ref="H2456:I2456"/>
    <mergeCell ref="E2449:F2449"/>
    <mergeCell ref="H2449:I2449"/>
    <mergeCell ref="E2450:F2450"/>
    <mergeCell ref="H2450:I2450"/>
    <mergeCell ref="C2451:I2451"/>
    <mergeCell ref="B2452:D2456"/>
    <mergeCell ref="E2452:F2452"/>
    <mergeCell ref="H2452:I2452"/>
    <mergeCell ref="E2453:F2453"/>
    <mergeCell ref="H2453:I2453"/>
    <mergeCell ref="H2445:I2445"/>
    <mergeCell ref="E2446:F2446"/>
    <mergeCell ref="H2446:I2446"/>
    <mergeCell ref="E2447:F2447"/>
    <mergeCell ref="H2447:I2447"/>
    <mergeCell ref="E2448:F2448"/>
    <mergeCell ref="H2448:I2448"/>
    <mergeCell ref="E2441:F2441"/>
    <mergeCell ref="H2441:I2441"/>
    <mergeCell ref="E2442:F2442"/>
    <mergeCell ref="H2442:I2442"/>
    <mergeCell ref="B2443:D2450"/>
    <mergeCell ref="E2443:F2443"/>
    <mergeCell ref="H2443:I2443"/>
    <mergeCell ref="E2444:F2444"/>
    <mergeCell ref="H2444:I2444"/>
    <mergeCell ref="E2445:F2445"/>
    <mergeCell ref="E2436:F2436"/>
    <mergeCell ref="H2436:I2436"/>
    <mergeCell ref="C2437:I2437"/>
    <mergeCell ref="B2438:D2442"/>
    <mergeCell ref="E2438:F2438"/>
    <mergeCell ref="H2438:I2438"/>
    <mergeCell ref="E2439:F2439"/>
    <mergeCell ref="H2439:I2439"/>
    <mergeCell ref="E2440:F2440"/>
    <mergeCell ref="H2440:I2440"/>
    <mergeCell ref="H2432:I2432"/>
    <mergeCell ref="E2433:F2433"/>
    <mergeCell ref="H2433:I2433"/>
    <mergeCell ref="E2434:F2434"/>
    <mergeCell ref="H2434:I2434"/>
    <mergeCell ref="E2435:F2435"/>
    <mergeCell ref="H2435:I2435"/>
    <mergeCell ref="E2428:F2428"/>
    <mergeCell ref="H2428:I2428"/>
    <mergeCell ref="B2429:D2436"/>
    <mergeCell ref="E2429:F2429"/>
    <mergeCell ref="H2429:I2429"/>
    <mergeCell ref="E2430:F2430"/>
    <mergeCell ref="H2430:I2430"/>
    <mergeCell ref="E2431:F2431"/>
    <mergeCell ref="H2431:I2431"/>
    <mergeCell ref="E2432:F2432"/>
    <mergeCell ref="C2423:I2423"/>
    <mergeCell ref="B2424:D2428"/>
    <mergeCell ref="E2424:F2424"/>
    <mergeCell ref="H2424:I2424"/>
    <mergeCell ref="E2425:F2425"/>
    <mergeCell ref="H2425:I2425"/>
    <mergeCell ref="E2426:F2426"/>
    <mergeCell ref="H2426:I2426"/>
    <mergeCell ref="E2427:F2427"/>
    <mergeCell ref="H2427:I2427"/>
    <mergeCell ref="H2419:I2419"/>
    <mergeCell ref="E2420:F2420"/>
    <mergeCell ref="H2420:I2420"/>
    <mergeCell ref="E2421:F2421"/>
    <mergeCell ref="H2421:I2421"/>
    <mergeCell ref="E2422:F2422"/>
    <mergeCell ref="H2422:I2422"/>
    <mergeCell ref="B2415:D2422"/>
    <mergeCell ref="E2415:F2415"/>
    <mergeCell ref="H2415:I2415"/>
    <mergeCell ref="E2416:F2416"/>
    <mergeCell ref="H2416:I2416"/>
    <mergeCell ref="E2417:F2417"/>
    <mergeCell ref="H2417:I2417"/>
    <mergeCell ref="E2418:F2418"/>
    <mergeCell ref="H2418:I2418"/>
    <mergeCell ref="E2419:F2419"/>
    <mergeCell ref="B2411:D2414"/>
    <mergeCell ref="E2411:F2411"/>
    <mergeCell ref="H2411:I2411"/>
    <mergeCell ref="E2412:F2412"/>
    <mergeCell ref="H2412:I2412"/>
    <mergeCell ref="E2413:F2413"/>
    <mergeCell ref="H2413:I2413"/>
    <mergeCell ref="E2414:F2414"/>
    <mergeCell ref="H2414:I2414"/>
    <mergeCell ref="E2408:F2408"/>
    <mergeCell ref="H2408:I2408"/>
    <mergeCell ref="C2409:I2409"/>
    <mergeCell ref="B2410:D2410"/>
    <mergeCell ref="E2410:F2410"/>
    <mergeCell ref="H2410:I2410"/>
    <mergeCell ref="H2404:I2404"/>
    <mergeCell ref="E2405:F2405"/>
    <mergeCell ref="H2405:I2405"/>
    <mergeCell ref="E2406:F2406"/>
    <mergeCell ref="H2406:I2406"/>
    <mergeCell ref="E2407:F2407"/>
    <mergeCell ref="H2407:I2407"/>
    <mergeCell ref="E2400:F2400"/>
    <mergeCell ref="H2400:I2400"/>
    <mergeCell ref="B2401:D2408"/>
    <mergeCell ref="E2401:F2401"/>
    <mergeCell ref="H2401:I2401"/>
    <mergeCell ref="E2402:F2402"/>
    <mergeCell ref="H2402:I2402"/>
    <mergeCell ref="E2403:F2403"/>
    <mergeCell ref="H2403:I2403"/>
    <mergeCell ref="E2404:F2404"/>
    <mergeCell ref="C2395:I2395"/>
    <mergeCell ref="B2396:D2400"/>
    <mergeCell ref="E2396:F2396"/>
    <mergeCell ref="H2396:I2396"/>
    <mergeCell ref="E2397:F2397"/>
    <mergeCell ref="H2397:I2397"/>
    <mergeCell ref="E2398:F2398"/>
    <mergeCell ref="H2398:I2398"/>
    <mergeCell ref="E2399:F2399"/>
    <mergeCell ref="H2399:I2399"/>
    <mergeCell ref="H2391:I2391"/>
    <mergeCell ref="E2392:F2392"/>
    <mergeCell ref="H2392:I2392"/>
    <mergeCell ref="E2393:F2393"/>
    <mergeCell ref="H2393:I2393"/>
    <mergeCell ref="E2394:F2394"/>
    <mergeCell ref="H2394:I2394"/>
    <mergeCell ref="B2387:D2394"/>
    <mergeCell ref="E2387:F2387"/>
    <mergeCell ref="H2387:I2387"/>
    <mergeCell ref="E2388:F2388"/>
    <mergeCell ref="H2388:I2388"/>
    <mergeCell ref="E2389:F2389"/>
    <mergeCell ref="H2389:I2389"/>
    <mergeCell ref="E2390:F2390"/>
    <mergeCell ref="H2390:I2390"/>
    <mergeCell ref="E2391:F2391"/>
    <mergeCell ref="B2384:D2386"/>
    <mergeCell ref="E2384:F2384"/>
    <mergeCell ref="H2384:I2384"/>
    <mergeCell ref="E2385:F2385"/>
    <mergeCell ref="H2385:I2385"/>
    <mergeCell ref="E2386:F2386"/>
    <mergeCell ref="H2386:I2386"/>
    <mergeCell ref="C2381:I2381"/>
    <mergeCell ref="B2382:D2383"/>
    <mergeCell ref="E2382:F2382"/>
    <mergeCell ref="H2382:I2382"/>
    <mergeCell ref="E2383:F2383"/>
    <mergeCell ref="H2383:I2383"/>
    <mergeCell ref="H2377:I2377"/>
    <mergeCell ref="E2378:F2378"/>
    <mergeCell ref="H2378:I2378"/>
    <mergeCell ref="E2379:F2379"/>
    <mergeCell ref="H2379:I2379"/>
    <mergeCell ref="E2380:F2380"/>
    <mergeCell ref="H2380:I2380"/>
    <mergeCell ref="B2373:D2380"/>
    <mergeCell ref="E2373:F2373"/>
    <mergeCell ref="H2373:I2373"/>
    <mergeCell ref="E2374:F2374"/>
    <mergeCell ref="H2374:I2374"/>
    <mergeCell ref="E2375:F2375"/>
    <mergeCell ref="H2375:I2375"/>
    <mergeCell ref="E2376:F2376"/>
    <mergeCell ref="H2376:I2376"/>
    <mergeCell ref="E2377:F2377"/>
    <mergeCell ref="B2370:D2372"/>
    <mergeCell ref="E2370:F2370"/>
    <mergeCell ref="H2370:I2370"/>
    <mergeCell ref="E2371:F2371"/>
    <mergeCell ref="H2371:I2371"/>
    <mergeCell ref="E2372:F2372"/>
    <mergeCell ref="H2372:I2372"/>
    <mergeCell ref="C2367:I2367"/>
    <mergeCell ref="B2368:D2369"/>
    <mergeCell ref="E2368:F2368"/>
    <mergeCell ref="H2368:I2368"/>
    <mergeCell ref="E2369:F2369"/>
    <mergeCell ref="H2369:I2369"/>
    <mergeCell ref="H2363:I2363"/>
    <mergeCell ref="E2364:F2364"/>
    <mergeCell ref="H2364:I2364"/>
    <mergeCell ref="E2365:F2365"/>
    <mergeCell ref="H2365:I2365"/>
    <mergeCell ref="E2366:F2366"/>
    <mergeCell ref="H2366:I2366"/>
    <mergeCell ref="B2359:D2366"/>
    <mergeCell ref="E2359:F2359"/>
    <mergeCell ref="H2359:I2359"/>
    <mergeCell ref="E2360:F2360"/>
    <mergeCell ref="H2360:I2360"/>
    <mergeCell ref="E2361:F2361"/>
    <mergeCell ref="H2361:I2361"/>
    <mergeCell ref="E2362:F2362"/>
    <mergeCell ref="H2362:I2362"/>
    <mergeCell ref="E2363:F2363"/>
    <mergeCell ref="B2356:D2358"/>
    <mergeCell ref="E2356:F2356"/>
    <mergeCell ref="H2356:I2356"/>
    <mergeCell ref="E2357:F2357"/>
    <mergeCell ref="H2357:I2357"/>
    <mergeCell ref="E2358:F2358"/>
    <mergeCell ref="H2358:I2358"/>
    <mergeCell ref="C2353:I2353"/>
    <mergeCell ref="B2354:D2355"/>
    <mergeCell ref="E2354:F2354"/>
    <mergeCell ref="H2354:I2354"/>
    <mergeCell ref="E2355:F2355"/>
    <mergeCell ref="H2355:I2355"/>
    <mergeCell ref="H2349:I2349"/>
    <mergeCell ref="E2350:F2350"/>
    <mergeCell ref="H2350:I2350"/>
    <mergeCell ref="E2351:F2351"/>
    <mergeCell ref="H2351:I2351"/>
    <mergeCell ref="E2352:F2352"/>
    <mergeCell ref="H2352:I2352"/>
    <mergeCell ref="B2345:D2352"/>
    <mergeCell ref="E2345:F2345"/>
    <mergeCell ref="H2345:I2345"/>
    <mergeCell ref="E2346:F2346"/>
    <mergeCell ref="H2346:I2346"/>
    <mergeCell ref="E2347:F2347"/>
    <mergeCell ref="H2347:I2347"/>
    <mergeCell ref="E2348:F2348"/>
    <mergeCell ref="H2348:I2348"/>
    <mergeCell ref="E2349:F2349"/>
    <mergeCell ref="B2342:D2343"/>
    <mergeCell ref="E2342:F2342"/>
    <mergeCell ref="H2342:I2342"/>
    <mergeCell ref="E2343:F2343"/>
    <mergeCell ref="H2343:I2343"/>
    <mergeCell ref="B2344:D2344"/>
    <mergeCell ref="E2344:F2344"/>
    <mergeCell ref="H2344:I2344"/>
    <mergeCell ref="C2339:I2339"/>
    <mergeCell ref="B2340:D2341"/>
    <mergeCell ref="E2340:F2340"/>
    <mergeCell ref="H2340:I2340"/>
    <mergeCell ref="E2341:F2341"/>
    <mergeCell ref="H2341:I2341"/>
    <mergeCell ref="H2335:I2335"/>
    <mergeCell ref="E2336:F2336"/>
    <mergeCell ref="H2336:I2336"/>
    <mergeCell ref="E2337:F2337"/>
    <mergeCell ref="H2337:I2337"/>
    <mergeCell ref="E2338:F2338"/>
    <mergeCell ref="H2338:I2338"/>
    <mergeCell ref="B2331:D2338"/>
    <mergeCell ref="E2331:F2331"/>
    <mergeCell ref="H2331:I2331"/>
    <mergeCell ref="E2332:F2332"/>
    <mergeCell ref="H2332:I2332"/>
    <mergeCell ref="E2333:F2333"/>
    <mergeCell ref="H2333:I2333"/>
    <mergeCell ref="E2334:F2334"/>
    <mergeCell ref="H2334:I2334"/>
    <mergeCell ref="E2335:F2335"/>
    <mergeCell ref="B2328:D2330"/>
    <mergeCell ref="E2328:F2328"/>
    <mergeCell ref="H2328:I2328"/>
    <mergeCell ref="E2329:F2329"/>
    <mergeCell ref="H2329:I2329"/>
    <mergeCell ref="E2330:F2330"/>
    <mergeCell ref="H2330:I2330"/>
    <mergeCell ref="C2325:I2325"/>
    <mergeCell ref="B2326:D2327"/>
    <mergeCell ref="E2326:F2326"/>
    <mergeCell ref="H2326:I2326"/>
    <mergeCell ref="E2327:F2327"/>
    <mergeCell ref="H2327:I2327"/>
    <mergeCell ref="H2321:I2321"/>
    <mergeCell ref="E2322:F2322"/>
    <mergeCell ref="H2322:I2322"/>
    <mergeCell ref="E2323:F2323"/>
    <mergeCell ref="H2323:I2323"/>
    <mergeCell ref="E2324:F2324"/>
    <mergeCell ref="H2324:I2324"/>
    <mergeCell ref="B2317:D2324"/>
    <mergeCell ref="E2317:F2317"/>
    <mergeCell ref="H2317:I2317"/>
    <mergeCell ref="E2318:F2318"/>
    <mergeCell ref="H2318:I2318"/>
    <mergeCell ref="E2319:F2319"/>
    <mergeCell ref="H2319:I2319"/>
    <mergeCell ref="E2320:F2320"/>
    <mergeCell ref="H2320:I2320"/>
    <mergeCell ref="E2321:F2321"/>
    <mergeCell ref="B2314:D2316"/>
    <mergeCell ref="E2314:F2314"/>
    <mergeCell ref="H2314:I2314"/>
    <mergeCell ref="E2315:F2315"/>
    <mergeCell ref="H2315:I2315"/>
    <mergeCell ref="E2316:F2316"/>
    <mergeCell ref="H2316:I2316"/>
    <mergeCell ref="C2311:I2311"/>
    <mergeCell ref="B2312:D2313"/>
    <mergeCell ref="E2312:F2312"/>
    <mergeCell ref="H2312:I2312"/>
    <mergeCell ref="E2313:F2313"/>
    <mergeCell ref="H2313:I2313"/>
    <mergeCell ref="H2307:I2307"/>
    <mergeCell ref="E2308:F2308"/>
    <mergeCell ref="H2308:I2308"/>
    <mergeCell ref="E2309:F2309"/>
    <mergeCell ref="H2309:I2309"/>
    <mergeCell ref="E2310:F2310"/>
    <mergeCell ref="H2310:I2310"/>
    <mergeCell ref="B2303:D2310"/>
    <mergeCell ref="E2303:F2303"/>
    <mergeCell ref="H2303:I2303"/>
    <mergeCell ref="E2304:F2304"/>
    <mergeCell ref="H2304:I2304"/>
    <mergeCell ref="E2305:F2305"/>
    <mergeCell ref="H2305:I2305"/>
    <mergeCell ref="E2306:F2306"/>
    <mergeCell ref="H2306:I2306"/>
    <mergeCell ref="E2307:F2307"/>
    <mergeCell ref="B2300:D2302"/>
    <mergeCell ref="E2300:F2300"/>
    <mergeCell ref="H2300:I2300"/>
    <mergeCell ref="E2301:F2301"/>
    <mergeCell ref="H2301:I2301"/>
    <mergeCell ref="E2302:F2302"/>
    <mergeCell ref="H2302:I2302"/>
    <mergeCell ref="C2297:I2297"/>
    <mergeCell ref="B2298:D2299"/>
    <mergeCell ref="E2298:F2298"/>
    <mergeCell ref="H2298:I2298"/>
    <mergeCell ref="E2299:F2299"/>
    <mergeCell ref="H2299:I2299"/>
    <mergeCell ref="H2293:I2293"/>
    <mergeCell ref="E2294:F2294"/>
    <mergeCell ref="H2294:I2294"/>
    <mergeCell ref="E2295:F2295"/>
    <mergeCell ref="H2295:I2295"/>
    <mergeCell ref="E2296:F2296"/>
    <mergeCell ref="H2296:I2296"/>
    <mergeCell ref="B2289:D2296"/>
    <mergeCell ref="E2289:F2289"/>
    <mergeCell ref="H2289:I2289"/>
    <mergeCell ref="E2290:F2290"/>
    <mergeCell ref="H2290:I2290"/>
    <mergeCell ref="E2291:F2291"/>
    <mergeCell ref="H2291:I2291"/>
    <mergeCell ref="E2292:F2292"/>
    <mergeCell ref="H2292:I2292"/>
    <mergeCell ref="E2293:F2293"/>
    <mergeCell ref="B2286:D2288"/>
    <mergeCell ref="E2286:F2286"/>
    <mergeCell ref="H2286:I2286"/>
    <mergeCell ref="E2287:F2287"/>
    <mergeCell ref="H2287:I2287"/>
    <mergeCell ref="E2288:F2288"/>
    <mergeCell ref="H2288:I2288"/>
    <mergeCell ref="E2282:F2282"/>
    <mergeCell ref="H2282:I2282"/>
    <mergeCell ref="C2283:I2283"/>
    <mergeCell ref="B2284:D2285"/>
    <mergeCell ref="E2284:F2284"/>
    <mergeCell ref="H2284:I2284"/>
    <mergeCell ref="E2285:F2285"/>
    <mergeCell ref="H2285:I2285"/>
    <mergeCell ref="E2279:F2279"/>
    <mergeCell ref="H2279:I2279"/>
    <mergeCell ref="E2280:F2280"/>
    <mergeCell ref="H2280:I2280"/>
    <mergeCell ref="E2281:F2281"/>
    <mergeCell ref="H2281:I2281"/>
    <mergeCell ref="B2275:D2276"/>
    <mergeCell ref="E2275:F2275"/>
    <mergeCell ref="H2275:I2275"/>
    <mergeCell ref="E2276:F2276"/>
    <mergeCell ref="H2276:I2276"/>
    <mergeCell ref="B2277:D2282"/>
    <mergeCell ref="E2277:F2277"/>
    <mergeCell ref="H2277:I2277"/>
    <mergeCell ref="E2278:F2278"/>
    <mergeCell ref="H2278:I2278"/>
    <mergeCell ref="B2272:D2274"/>
    <mergeCell ref="E2272:F2272"/>
    <mergeCell ref="H2272:I2272"/>
    <mergeCell ref="E2273:F2273"/>
    <mergeCell ref="H2273:I2273"/>
    <mergeCell ref="E2274:F2274"/>
    <mergeCell ref="H2274:I2274"/>
    <mergeCell ref="C2269:I2269"/>
    <mergeCell ref="B2270:D2271"/>
    <mergeCell ref="E2270:F2270"/>
    <mergeCell ref="H2270:I2270"/>
    <mergeCell ref="E2271:F2271"/>
    <mergeCell ref="H2271:I2271"/>
    <mergeCell ref="H2265:I2265"/>
    <mergeCell ref="E2266:F2266"/>
    <mergeCell ref="H2266:I2266"/>
    <mergeCell ref="E2267:F2267"/>
    <mergeCell ref="H2267:I2267"/>
    <mergeCell ref="E2268:F2268"/>
    <mergeCell ref="H2268:I2268"/>
    <mergeCell ref="B2261:D2261"/>
    <mergeCell ref="E2261:F2261"/>
    <mergeCell ref="H2261:I2261"/>
    <mergeCell ref="C2262:I2262"/>
    <mergeCell ref="B2263:D2268"/>
    <mergeCell ref="E2263:F2263"/>
    <mergeCell ref="H2263:I2263"/>
    <mergeCell ref="E2264:F2264"/>
    <mergeCell ref="H2264:I2264"/>
    <mergeCell ref="E2265:F2265"/>
    <mergeCell ref="E2258:F2258"/>
    <mergeCell ref="H2258:I2258"/>
    <mergeCell ref="B2259:D2260"/>
    <mergeCell ref="E2259:F2259"/>
    <mergeCell ref="H2259:I2259"/>
    <mergeCell ref="E2260:F2260"/>
    <mergeCell ref="H2260:I2260"/>
    <mergeCell ref="E2255:F2255"/>
    <mergeCell ref="H2255:I2255"/>
    <mergeCell ref="E2256:F2256"/>
    <mergeCell ref="H2256:I2256"/>
    <mergeCell ref="E2257:F2257"/>
    <mergeCell ref="H2257:I2257"/>
    <mergeCell ref="H2250:I2250"/>
    <mergeCell ref="B2251:D2258"/>
    <mergeCell ref="E2251:F2251"/>
    <mergeCell ref="H2251:I2251"/>
    <mergeCell ref="E2252:F2252"/>
    <mergeCell ref="H2252:I2252"/>
    <mergeCell ref="E2253:F2253"/>
    <mergeCell ref="H2253:I2253"/>
    <mergeCell ref="E2254:F2254"/>
    <mergeCell ref="H2254:I2254"/>
    <mergeCell ref="H2245:I2245"/>
    <mergeCell ref="E2246:F2246"/>
    <mergeCell ref="H2246:I2246"/>
    <mergeCell ref="C2247:I2247"/>
    <mergeCell ref="B2248:D2250"/>
    <mergeCell ref="E2248:F2248"/>
    <mergeCell ref="H2248:I2248"/>
    <mergeCell ref="E2249:F2249"/>
    <mergeCell ref="H2249:I2249"/>
    <mergeCell ref="E2250:F2250"/>
    <mergeCell ref="B2241:D2246"/>
    <mergeCell ref="E2241:F2241"/>
    <mergeCell ref="H2241:I2241"/>
    <mergeCell ref="E2242:F2242"/>
    <mergeCell ref="H2242:I2242"/>
    <mergeCell ref="E2243:F2243"/>
    <mergeCell ref="H2243:I2243"/>
    <mergeCell ref="E2244:F2244"/>
    <mergeCell ref="H2244:I2244"/>
    <mergeCell ref="E2245:F2245"/>
    <mergeCell ref="H2237:I2237"/>
    <mergeCell ref="E2238:F2238"/>
    <mergeCell ref="H2238:I2238"/>
    <mergeCell ref="C2239:I2239"/>
    <mergeCell ref="B2240:D2240"/>
    <mergeCell ref="E2240:F2240"/>
    <mergeCell ref="H2240:I2240"/>
    <mergeCell ref="B2233:D2238"/>
    <mergeCell ref="E2233:F2233"/>
    <mergeCell ref="H2233:I2233"/>
    <mergeCell ref="E2234:F2234"/>
    <mergeCell ref="H2234:I2234"/>
    <mergeCell ref="E2235:F2235"/>
    <mergeCell ref="H2235:I2235"/>
    <mergeCell ref="E2236:F2236"/>
    <mergeCell ref="H2236:I2236"/>
    <mergeCell ref="E2237:F2237"/>
    <mergeCell ref="E2230:F2230"/>
    <mergeCell ref="H2230:I2230"/>
    <mergeCell ref="E2231:F2231"/>
    <mergeCell ref="H2231:I2231"/>
    <mergeCell ref="E2232:F2232"/>
    <mergeCell ref="H2232:I2232"/>
    <mergeCell ref="H2225:I2225"/>
    <mergeCell ref="E2226:F2226"/>
    <mergeCell ref="H2226:I2226"/>
    <mergeCell ref="B2227:D2232"/>
    <mergeCell ref="E2227:F2227"/>
    <mergeCell ref="H2227:I2227"/>
    <mergeCell ref="E2228:F2228"/>
    <mergeCell ref="H2228:I2228"/>
    <mergeCell ref="E2229:F2229"/>
    <mergeCell ref="H2229:I2229"/>
    <mergeCell ref="H2220:I2220"/>
    <mergeCell ref="E2221:F2221"/>
    <mergeCell ref="H2221:I2221"/>
    <mergeCell ref="C2222:I2222"/>
    <mergeCell ref="B2223:D2226"/>
    <mergeCell ref="E2223:F2223"/>
    <mergeCell ref="H2223:I2223"/>
    <mergeCell ref="E2224:F2224"/>
    <mergeCell ref="H2224:I2224"/>
    <mergeCell ref="E2225:F2225"/>
    <mergeCell ref="B2216:D2221"/>
    <mergeCell ref="E2216:F2216"/>
    <mergeCell ref="H2216:I2216"/>
    <mergeCell ref="E2217:F2217"/>
    <mergeCell ref="H2217:I2217"/>
    <mergeCell ref="E2218:F2218"/>
    <mergeCell ref="H2218:I2218"/>
    <mergeCell ref="E2219:F2219"/>
    <mergeCell ref="H2219:I2219"/>
    <mergeCell ref="E2220:F2220"/>
    <mergeCell ref="H2212:I2212"/>
    <mergeCell ref="E2213:F2213"/>
    <mergeCell ref="H2213:I2213"/>
    <mergeCell ref="E2214:F2214"/>
    <mergeCell ref="H2214:I2214"/>
    <mergeCell ref="C2215:I2215"/>
    <mergeCell ref="C2208:I2208"/>
    <mergeCell ref="B2209:D2209"/>
    <mergeCell ref="E2209:F2209"/>
    <mergeCell ref="H2209:I2209"/>
    <mergeCell ref="B2210:D2214"/>
    <mergeCell ref="E2210:F2210"/>
    <mergeCell ref="H2210:I2210"/>
    <mergeCell ref="E2211:F2211"/>
    <mergeCell ref="H2211:I2211"/>
    <mergeCell ref="E2212:F2212"/>
    <mergeCell ref="H2203:I2203"/>
    <mergeCell ref="E2204:F2204"/>
    <mergeCell ref="H2204:I2204"/>
    <mergeCell ref="B2205:D2207"/>
    <mergeCell ref="E2205:F2205"/>
    <mergeCell ref="H2205:I2205"/>
    <mergeCell ref="E2206:F2206"/>
    <mergeCell ref="H2206:I2206"/>
    <mergeCell ref="E2207:F2207"/>
    <mergeCell ref="H2207:I2207"/>
    <mergeCell ref="B2199:D2204"/>
    <mergeCell ref="E2199:F2199"/>
    <mergeCell ref="H2199:I2199"/>
    <mergeCell ref="E2200:F2200"/>
    <mergeCell ref="H2200:I2200"/>
    <mergeCell ref="E2201:F2201"/>
    <mergeCell ref="H2201:I2201"/>
    <mergeCell ref="E2202:F2202"/>
    <mergeCell ref="H2202:I2202"/>
    <mergeCell ref="E2203:F2203"/>
    <mergeCell ref="C2196:I2196"/>
    <mergeCell ref="B2197:D2198"/>
    <mergeCell ref="E2197:F2197"/>
    <mergeCell ref="H2197:I2197"/>
    <mergeCell ref="E2198:F2198"/>
    <mergeCell ref="H2198:I2198"/>
    <mergeCell ref="C2191:I2191"/>
    <mergeCell ref="B2192:D2195"/>
    <mergeCell ref="E2192:F2192"/>
    <mergeCell ref="H2192:I2192"/>
    <mergeCell ref="E2193:F2193"/>
    <mergeCell ref="H2193:I2193"/>
    <mergeCell ref="E2194:F2194"/>
    <mergeCell ref="H2194:I2194"/>
    <mergeCell ref="E2195:F2195"/>
    <mergeCell ref="H2195:I2195"/>
    <mergeCell ref="E2188:F2188"/>
    <mergeCell ref="H2188:I2188"/>
    <mergeCell ref="E2189:F2189"/>
    <mergeCell ref="H2189:I2189"/>
    <mergeCell ref="E2190:F2190"/>
    <mergeCell ref="H2190:I2190"/>
    <mergeCell ref="H2183:I2183"/>
    <mergeCell ref="E2184:F2184"/>
    <mergeCell ref="H2184:I2184"/>
    <mergeCell ref="B2185:D2190"/>
    <mergeCell ref="E2185:F2185"/>
    <mergeCell ref="H2185:I2185"/>
    <mergeCell ref="E2186:F2186"/>
    <mergeCell ref="H2186:I2186"/>
    <mergeCell ref="E2187:F2187"/>
    <mergeCell ref="H2187:I2187"/>
    <mergeCell ref="B2179:D2184"/>
    <mergeCell ref="E2179:F2179"/>
    <mergeCell ref="H2179:I2179"/>
    <mergeCell ref="E2180:F2180"/>
    <mergeCell ref="H2180:I2180"/>
    <mergeCell ref="E2181:F2181"/>
    <mergeCell ref="H2181:I2181"/>
    <mergeCell ref="E2182:F2182"/>
    <mergeCell ref="H2182:I2182"/>
    <mergeCell ref="E2183:F2183"/>
    <mergeCell ref="C2174:I2174"/>
    <mergeCell ref="B2175:D2178"/>
    <mergeCell ref="E2175:F2175"/>
    <mergeCell ref="H2175:I2175"/>
    <mergeCell ref="E2176:F2176"/>
    <mergeCell ref="H2176:I2176"/>
    <mergeCell ref="E2177:F2177"/>
    <mergeCell ref="H2177:I2177"/>
    <mergeCell ref="E2178:F2178"/>
    <mergeCell ref="H2178:I2178"/>
    <mergeCell ref="H2169:I2169"/>
    <mergeCell ref="E2170:F2170"/>
    <mergeCell ref="H2170:I2170"/>
    <mergeCell ref="B2171:D2173"/>
    <mergeCell ref="E2171:F2171"/>
    <mergeCell ref="H2171:I2171"/>
    <mergeCell ref="E2172:F2172"/>
    <mergeCell ref="H2172:I2172"/>
    <mergeCell ref="E2173:F2173"/>
    <mergeCell ref="H2173:I2173"/>
    <mergeCell ref="B2165:D2170"/>
    <mergeCell ref="E2165:F2165"/>
    <mergeCell ref="H2165:I2165"/>
    <mergeCell ref="E2166:F2166"/>
    <mergeCell ref="H2166:I2166"/>
    <mergeCell ref="E2167:F2167"/>
    <mergeCell ref="H2167:I2167"/>
    <mergeCell ref="E2168:F2168"/>
    <mergeCell ref="H2168:I2168"/>
    <mergeCell ref="E2169:F2169"/>
    <mergeCell ref="C2162:I2162"/>
    <mergeCell ref="B2163:D2164"/>
    <mergeCell ref="E2163:F2163"/>
    <mergeCell ref="H2163:I2163"/>
    <mergeCell ref="E2164:F2164"/>
    <mergeCell ref="H2164:I2164"/>
    <mergeCell ref="H2157:I2157"/>
    <mergeCell ref="E2158:F2158"/>
    <mergeCell ref="H2158:I2158"/>
    <mergeCell ref="B2159:D2161"/>
    <mergeCell ref="E2159:F2159"/>
    <mergeCell ref="H2159:I2159"/>
    <mergeCell ref="E2160:F2160"/>
    <mergeCell ref="H2160:I2160"/>
    <mergeCell ref="E2161:F2161"/>
    <mergeCell ref="H2161:I2161"/>
    <mergeCell ref="B2153:D2158"/>
    <mergeCell ref="E2153:F2153"/>
    <mergeCell ref="H2153:I2153"/>
    <mergeCell ref="E2154:F2154"/>
    <mergeCell ref="H2154:I2154"/>
    <mergeCell ref="E2155:F2155"/>
    <mergeCell ref="H2155:I2155"/>
    <mergeCell ref="E2156:F2156"/>
    <mergeCell ref="H2156:I2156"/>
    <mergeCell ref="E2157:F2157"/>
    <mergeCell ref="C2150:I2150"/>
    <mergeCell ref="B2151:D2152"/>
    <mergeCell ref="E2151:F2151"/>
    <mergeCell ref="H2151:I2151"/>
    <mergeCell ref="E2152:F2152"/>
    <mergeCell ref="H2152:I2152"/>
    <mergeCell ref="E2147:F2147"/>
    <mergeCell ref="H2147:I2147"/>
    <mergeCell ref="E2148:F2148"/>
    <mergeCell ref="H2148:I2148"/>
    <mergeCell ref="E2149:F2149"/>
    <mergeCell ref="H2149:I2149"/>
    <mergeCell ref="E2142:F2142"/>
    <mergeCell ref="H2142:I2142"/>
    <mergeCell ref="C2143:I2143"/>
    <mergeCell ref="B2144:D2149"/>
    <mergeCell ref="E2144:F2144"/>
    <mergeCell ref="H2144:I2144"/>
    <mergeCell ref="E2145:F2145"/>
    <mergeCell ref="H2145:I2145"/>
    <mergeCell ref="E2146:F2146"/>
    <mergeCell ref="H2146:I2146"/>
    <mergeCell ref="E2139:F2139"/>
    <mergeCell ref="H2139:I2139"/>
    <mergeCell ref="E2140:F2140"/>
    <mergeCell ref="H2140:I2140"/>
    <mergeCell ref="E2141:F2141"/>
    <mergeCell ref="H2141:I2141"/>
    <mergeCell ref="E2134:F2134"/>
    <mergeCell ref="H2134:I2134"/>
    <mergeCell ref="E2135:F2135"/>
    <mergeCell ref="H2135:I2135"/>
    <mergeCell ref="C2136:I2136"/>
    <mergeCell ref="B2137:D2142"/>
    <mergeCell ref="E2137:F2137"/>
    <mergeCell ref="H2137:I2137"/>
    <mergeCell ref="E2138:F2138"/>
    <mergeCell ref="H2138:I2138"/>
    <mergeCell ref="C2129:I2129"/>
    <mergeCell ref="B2130:D2135"/>
    <mergeCell ref="E2130:F2130"/>
    <mergeCell ref="H2130:I2130"/>
    <mergeCell ref="E2131:F2131"/>
    <mergeCell ref="H2131:I2131"/>
    <mergeCell ref="E2132:F2132"/>
    <mergeCell ref="H2132:I2132"/>
    <mergeCell ref="E2133:F2133"/>
    <mergeCell ref="H2133:I2133"/>
    <mergeCell ref="E2126:F2126"/>
    <mergeCell ref="H2126:I2126"/>
    <mergeCell ref="B2127:D2128"/>
    <mergeCell ref="E2127:F2127"/>
    <mergeCell ref="H2127:I2127"/>
    <mergeCell ref="E2128:F2128"/>
    <mergeCell ref="H2128:I2128"/>
    <mergeCell ref="E2123:F2123"/>
    <mergeCell ref="H2123:I2123"/>
    <mergeCell ref="E2124:F2124"/>
    <mergeCell ref="H2124:I2124"/>
    <mergeCell ref="E2125:F2125"/>
    <mergeCell ref="H2125:I2125"/>
    <mergeCell ref="E2118:F2118"/>
    <mergeCell ref="H2118:I2118"/>
    <mergeCell ref="E2119:F2119"/>
    <mergeCell ref="H2119:I2119"/>
    <mergeCell ref="C2120:I2120"/>
    <mergeCell ref="B2121:D2126"/>
    <mergeCell ref="E2121:F2121"/>
    <mergeCell ref="H2121:I2121"/>
    <mergeCell ref="E2122:F2122"/>
    <mergeCell ref="H2122:I2122"/>
    <mergeCell ref="C2113:I2113"/>
    <mergeCell ref="B2114:D2119"/>
    <mergeCell ref="E2114:F2114"/>
    <mergeCell ref="H2114:I2114"/>
    <mergeCell ref="E2115:F2115"/>
    <mergeCell ref="H2115:I2115"/>
    <mergeCell ref="E2116:F2116"/>
    <mergeCell ref="H2116:I2116"/>
    <mergeCell ref="E2117:F2117"/>
    <mergeCell ref="H2117:I2117"/>
    <mergeCell ref="H2108:I2108"/>
    <mergeCell ref="E2109:F2109"/>
    <mergeCell ref="H2109:I2109"/>
    <mergeCell ref="B2110:D2112"/>
    <mergeCell ref="E2110:F2110"/>
    <mergeCell ref="H2110:I2110"/>
    <mergeCell ref="E2111:F2111"/>
    <mergeCell ref="H2111:I2111"/>
    <mergeCell ref="E2112:F2112"/>
    <mergeCell ref="H2112:I2112"/>
    <mergeCell ref="B2104:D2109"/>
    <mergeCell ref="E2104:F2104"/>
    <mergeCell ref="H2104:I2104"/>
    <mergeCell ref="E2105:F2105"/>
    <mergeCell ref="H2105:I2105"/>
    <mergeCell ref="E2106:F2106"/>
    <mergeCell ref="H2106:I2106"/>
    <mergeCell ref="E2107:F2107"/>
    <mergeCell ref="H2107:I2107"/>
    <mergeCell ref="E2108:F2108"/>
    <mergeCell ref="C2101:I2101"/>
    <mergeCell ref="B2102:D2103"/>
    <mergeCell ref="E2102:F2102"/>
    <mergeCell ref="H2102:I2102"/>
    <mergeCell ref="E2103:F2103"/>
    <mergeCell ref="H2103:I2103"/>
    <mergeCell ref="H2096:I2096"/>
    <mergeCell ref="E2097:F2097"/>
    <mergeCell ref="H2097:I2097"/>
    <mergeCell ref="B2098:D2100"/>
    <mergeCell ref="E2098:F2098"/>
    <mergeCell ref="H2098:I2098"/>
    <mergeCell ref="E2099:F2099"/>
    <mergeCell ref="H2099:I2099"/>
    <mergeCell ref="E2100:F2100"/>
    <mergeCell ref="H2100:I2100"/>
    <mergeCell ref="B2092:D2097"/>
    <mergeCell ref="E2092:F2092"/>
    <mergeCell ref="H2092:I2092"/>
    <mergeCell ref="E2093:F2093"/>
    <mergeCell ref="H2093:I2093"/>
    <mergeCell ref="E2094:F2094"/>
    <mergeCell ref="H2094:I2094"/>
    <mergeCell ref="E2095:F2095"/>
    <mergeCell ref="H2095:I2095"/>
    <mergeCell ref="E2096:F2096"/>
    <mergeCell ref="C2089:I2089"/>
    <mergeCell ref="B2090:D2091"/>
    <mergeCell ref="E2090:F2090"/>
    <mergeCell ref="H2090:I2090"/>
    <mergeCell ref="E2091:F2091"/>
    <mergeCell ref="H2091:I2091"/>
    <mergeCell ref="H2084:I2084"/>
    <mergeCell ref="E2085:F2085"/>
    <mergeCell ref="H2085:I2085"/>
    <mergeCell ref="B2086:D2088"/>
    <mergeCell ref="E2086:F2086"/>
    <mergeCell ref="H2086:I2086"/>
    <mergeCell ref="E2087:F2087"/>
    <mergeCell ref="H2087:I2087"/>
    <mergeCell ref="E2088:F2088"/>
    <mergeCell ref="H2088:I2088"/>
    <mergeCell ref="B2080:D2085"/>
    <mergeCell ref="E2080:F2080"/>
    <mergeCell ref="H2080:I2080"/>
    <mergeCell ref="E2081:F2081"/>
    <mergeCell ref="H2081:I2081"/>
    <mergeCell ref="E2082:F2082"/>
    <mergeCell ref="H2082:I2082"/>
    <mergeCell ref="E2083:F2083"/>
    <mergeCell ref="H2083:I2083"/>
    <mergeCell ref="E2084:F2084"/>
    <mergeCell ref="C2077:I2077"/>
    <mergeCell ref="B2078:D2079"/>
    <mergeCell ref="E2078:F2078"/>
    <mergeCell ref="H2078:I2078"/>
    <mergeCell ref="E2079:F2079"/>
    <mergeCell ref="H2079:I2079"/>
    <mergeCell ref="H2072:I2072"/>
    <mergeCell ref="E2073:F2073"/>
    <mergeCell ref="H2073:I2073"/>
    <mergeCell ref="B2074:D2076"/>
    <mergeCell ref="E2074:F2074"/>
    <mergeCell ref="H2074:I2074"/>
    <mergeCell ref="E2075:F2075"/>
    <mergeCell ref="H2075:I2075"/>
    <mergeCell ref="E2076:F2076"/>
    <mergeCell ref="H2076:I2076"/>
    <mergeCell ref="B2068:D2073"/>
    <mergeCell ref="E2068:F2068"/>
    <mergeCell ref="H2068:I2068"/>
    <mergeCell ref="E2069:F2069"/>
    <mergeCell ref="H2069:I2069"/>
    <mergeCell ref="E2070:F2070"/>
    <mergeCell ref="H2070:I2070"/>
    <mergeCell ref="E2071:F2071"/>
    <mergeCell ref="H2071:I2071"/>
    <mergeCell ref="E2072:F2072"/>
    <mergeCell ref="C2065:I2065"/>
    <mergeCell ref="B2066:D2067"/>
    <mergeCell ref="E2066:F2066"/>
    <mergeCell ref="H2066:I2066"/>
    <mergeCell ref="E2067:F2067"/>
    <mergeCell ref="H2067:I2067"/>
    <mergeCell ref="E2061:F2061"/>
    <mergeCell ref="H2061:I2061"/>
    <mergeCell ref="E2062:F2062"/>
    <mergeCell ref="H2062:I2062"/>
    <mergeCell ref="B2063:D2064"/>
    <mergeCell ref="E2063:F2063"/>
    <mergeCell ref="H2063:I2063"/>
    <mergeCell ref="E2064:F2064"/>
    <mergeCell ref="H2064:I2064"/>
    <mergeCell ref="C2056:I2056"/>
    <mergeCell ref="B2057:D2062"/>
    <mergeCell ref="E2057:F2057"/>
    <mergeCell ref="H2057:I2057"/>
    <mergeCell ref="E2058:F2058"/>
    <mergeCell ref="H2058:I2058"/>
    <mergeCell ref="E2059:F2059"/>
    <mergeCell ref="H2059:I2059"/>
    <mergeCell ref="E2060:F2060"/>
    <mergeCell ref="H2060:I2060"/>
    <mergeCell ref="H2051:I2051"/>
    <mergeCell ref="E2052:F2052"/>
    <mergeCell ref="H2052:I2052"/>
    <mergeCell ref="B2053:D2055"/>
    <mergeCell ref="E2053:F2053"/>
    <mergeCell ref="H2053:I2053"/>
    <mergeCell ref="E2054:F2054"/>
    <mergeCell ref="H2054:I2054"/>
    <mergeCell ref="E2055:F2055"/>
    <mergeCell ref="H2055:I2055"/>
    <mergeCell ref="B2047:D2052"/>
    <mergeCell ref="E2047:F2047"/>
    <mergeCell ref="H2047:I2047"/>
    <mergeCell ref="E2048:F2048"/>
    <mergeCell ref="H2048:I2048"/>
    <mergeCell ref="E2049:F2049"/>
    <mergeCell ref="H2049:I2049"/>
    <mergeCell ref="E2050:F2050"/>
    <mergeCell ref="H2050:I2050"/>
    <mergeCell ref="E2051:F2051"/>
    <mergeCell ref="C2044:I2044"/>
    <mergeCell ref="B2045:D2046"/>
    <mergeCell ref="E2045:F2045"/>
    <mergeCell ref="H2045:I2045"/>
    <mergeCell ref="E2046:F2046"/>
    <mergeCell ref="H2046:I2046"/>
    <mergeCell ref="H2039:I2039"/>
    <mergeCell ref="E2040:F2040"/>
    <mergeCell ref="H2040:I2040"/>
    <mergeCell ref="B2041:D2043"/>
    <mergeCell ref="E2041:F2041"/>
    <mergeCell ref="H2041:I2041"/>
    <mergeCell ref="E2042:F2042"/>
    <mergeCell ref="H2042:I2042"/>
    <mergeCell ref="E2043:F2043"/>
    <mergeCell ref="H2043:I2043"/>
    <mergeCell ref="B2035:D2040"/>
    <mergeCell ref="E2035:F2035"/>
    <mergeCell ref="H2035:I2035"/>
    <mergeCell ref="E2036:F2036"/>
    <mergeCell ref="H2036:I2036"/>
    <mergeCell ref="E2037:F2037"/>
    <mergeCell ref="H2037:I2037"/>
    <mergeCell ref="E2038:F2038"/>
    <mergeCell ref="H2038:I2038"/>
    <mergeCell ref="E2039:F2039"/>
    <mergeCell ref="C2032:I2032"/>
    <mergeCell ref="B2033:D2034"/>
    <mergeCell ref="E2033:F2033"/>
    <mergeCell ref="H2033:I2033"/>
    <mergeCell ref="E2034:F2034"/>
    <mergeCell ref="H2034:I2034"/>
    <mergeCell ref="H2027:I2027"/>
    <mergeCell ref="E2028:F2028"/>
    <mergeCell ref="H2028:I2028"/>
    <mergeCell ref="B2029:D2031"/>
    <mergeCell ref="E2029:F2029"/>
    <mergeCell ref="H2029:I2029"/>
    <mergeCell ref="E2030:F2030"/>
    <mergeCell ref="H2030:I2030"/>
    <mergeCell ref="E2031:F2031"/>
    <mergeCell ref="H2031:I2031"/>
    <mergeCell ref="B2023:D2028"/>
    <mergeCell ref="E2023:F2023"/>
    <mergeCell ref="H2023:I2023"/>
    <mergeCell ref="E2024:F2024"/>
    <mergeCell ref="H2024:I2024"/>
    <mergeCell ref="E2025:F2025"/>
    <mergeCell ref="H2025:I2025"/>
    <mergeCell ref="E2026:F2026"/>
    <mergeCell ref="H2026:I2026"/>
    <mergeCell ref="E2027:F2027"/>
    <mergeCell ref="C2020:I2020"/>
    <mergeCell ref="B2021:D2022"/>
    <mergeCell ref="E2021:F2021"/>
    <mergeCell ref="H2021:I2021"/>
    <mergeCell ref="E2022:F2022"/>
    <mergeCell ref="H2022:I2022"/>
    <mergeCell ref="H2015:I2015"/>
    <mergeCell ref="E2016:F2016"/>
    <mergeCell ref="H2016:I2016"/>
    <mergeCell ref="B2017:D2019"/>
    <mergeCell ref="E2017:F2017"/>
    <mergeCell ref="H2017:I2017"/>
    <mergeCell ref="E2018:F2018"/>
    <mergeCell ref="H2018:I2018"/>
    <mergeCell ref="E2019:F2019"/>
    <mergeCell ref="H2019:I2019"/>
    <mergeCell ref="B2011:D2016"/>
    <mergeCell ref="E2011:F2011"/>
    <mergeCell ref="H2011:I2011"/>
    <mergeCell ref="E2012:F2012"/>
    <mergeCell ref="H2012:I2012"/>
    <mergeCell ref="E2013:F2013"/>
    <mergeCell ref="H2013:I2013"/>
    <mergeCell ref="E2014:F2014"/>
    <mergeCell ref="H2014:I2014"/>
    <mergeCell ref="E2015:F2015"/>
    <mergeCell ref="C2008:I2008"/>
    <mergeCell ref="B2009:D2009"/>
    <mergeCell ref="E2009:F2009"/>
    <mergeCell ref="H2009:I2009"/>
    <mergeCell ref="B2010:D2010"/>
    <mergeCell ref="E2010:F2010"/>
    <mergeCell ref="H2010:I2010"/>
    <mergeCell ref="H2003:I2003"/>
    <mergeCell ref="E2004:F2004"/>
    <mergeCell ref="H2004:I2004"/>
    <mergeCell ref="B2005:D2007"/>
    <mergeCell ref="E2005:F2005"/>
    <mergeCell ref="H2005:I2005"/>
    <mergeCell ref="E2006:F2006"/>
    <mergeCell ref="H2006:I2006"/>
    <mergeCell ref="E2007:F2007"/>
    <mergeCell ref="H2007:I2007"/>
    <mergeCell ref="B1999:D2004"/>
    <mergeCell ref="E1999:F1999"/>
    <mergeCell ref="H1999:I1999"/>
    <mergeCell ref="E2000:F2000"/>
    <mergeCell ref="H2000:I2000"/>
    <mergeCell ref="E2001:F2001"/>
    <mergeCell ref="H2001:I2001"/>
    <mergeCell ref="E2002:F2002"/>
    <mergeCell ref="H2002:I2002"/>
    <mergeCell ref="E2003:F2003"/>
    <mergeCell ref="C1996:I1996"/>
    <mergeCell ref="B1997:D1998"/>
    <mergeCell ref="E1997:F1997"/>
    <mergeCell ref="H1997:I1997"/>
    <mergeCell ref="E1998:F1998"/>
    <mergeCell ref="H1998:I1998"/>
    <mergeCell ref="H1991:I1991"/>
    <mergeCell ref="E1992:F1992"/>
    <mergeCell ref="H1992:I1992"/>
    <mergeCell ref="B1993:D1995"/>
    <mergeCell ref="E1993:F1993"/>
    <mergeCell ref="H1993:I1993"/>
    <mergeCell ref="E1994:F1994"/>
    <mergeCell ref="H1994:I1994"/>
    <mergeCell ref="E1995:F1995"/>
    <mergeCell ref="H1995:I1995"/>
    <mergeCell ref="B1987:D1992"/>
    <mergeCell ref="E1987:F1987"/>
    <mergeCell ref="H1987:I1987"/>
    <mergeCell ref="E1988:F1988"/>
    <mergeCell ref="H1988:I1988"/>
    <mergeCell ref="E1989:F1989"/>
    <mergeCell ref="H1989:I1989"/>
    <mergeCell ref="E1990:F1990"/>
    <mergeCell ref="H1990:I1990"/>
    <mergeCell ref="E1991:F1991"/>
    <mergeCell ref="C1984:I1984"/>
    <mergeCell ref="B1985:D1986"/>
    <mergeCell ref="E1985:F1985"/>
    <mergeCell ref="H1985:I1985"/>
    <mergeCell ref="E1986:F1986"/>
    <mergeCell ref="H1986:I1986"/>
    <mergeCell ref="H1979:I1979"/>
    <mergeCell ref="E1980:F1980"/>
    <mergeCell ref="H1980:I1980"/>
    <mergeCell ref="B1981:D1983"/>
    <mergeCell ref="E1981:F1981"/>
    <mergeCell ref="H1981:I1981"/>
    <mergeCell ref="E1982:F1982"/>
    <mergeCell ref="H1982:I1982"/>
    <mergeCell ref="E1983:F1983"/>
    <mergeCell ref="H1983:I1983"/>
    <mergeCell ref="B1975:D1980"/>
    <mergeCell ref="E1975:F1975"/>
    <mergeCell ref="H1975:I1975"/>
    <mergeCell ref="E1976:F1976"/>
    <mergeCell ref="H1976:I1976"/>
    <mergeCell ref="E1977:F1977"/>
    <mergeCell ref="H1977:I1977"/>
    <mergeCell ref="E1978:F1978"/>
    <mergeCell ref="H1978:I1978"/>
    <mergeCell ref="E1979:F1979"/>
    <mergeCell ref="C1972:I1972"/>
    <mergeCell ref="B1973:D1974"/>
    <mergeCell ref="E1973:F1973"/>
    <mergeCell ref="H1973:I1973"/>
    <mergeCell ref="E1974:F1974"/>
    <mergeCell ref="H1974:I1974"/>
    <mergeCell ref="H1967:I1967"/>
    <mergeCell ref="E1968:F1968"/>
    <mergeCell ref="H1968:I1968"/>
    <mergeCell ref="B1969:D1971"/>
    <mergeCell ref="E1969:F1969"/>
    <mergeCell ref="H1969:I1969"/>
    <mergeCell ref="E1970:F1970"/>
    <mergeCell ref="H1970:I1970"/>
    <mergeCell ref="E1971:F1971"/>
    <mergeCell ref="H1971:I1971"/>
    <mergeCell ref="B1963:D1968"/>
    <mergeCell ref="E1963:F1963"/>
    <mergeCell ref="H1963:I1963"/>
    <mergeCell ref="E1964:F1964"/>
    <mergeCell ref="H1964:I1964"/>
    <mergeCell ref="E1965:F1965"/>
    <mergeCell ref="H1965:I1965"/>
    <mergeCell ref="E1966:F1966"/>
    <mergeCell ref="H1966:I1966"/>
    <mergeCell ref="E1967:F1967"/>
    <mergeCell ref="C1960:I1960"/>
    <mergeCell ref="B1961:D1962"/>
    <mergeCell ref="E1961:F1961"/>
    <mergeCell ref="H1961:I1961"/>
    <mergeCell ref="E1962:F1962"/>
    <mergeCell ref="H1962:I1962"/>
    <mergeCell ref="E1956:F1956"/>
    <mergeCell ref="H1956:I1956"/>
    <mergeCell ref="B1957:D1959"/>
    <mergeCell ref="E1957:F1957"/>
    <mergeCell ref="H1957:I1957"/>
    <mergeCell ref="E1958:F1958"/>
    <mergeCell ref="H1958:I1958"/>
    <mergeCell ref="E1959:F1959"/>
    <mergeCell ref="H1959:I1959"/>
    <mergeCell ref="E1953:F1953"/>
    <mergeCell ref="H1953:I1953"/>
    <mergeCell ref="E1954:F1954"/>
    <mergeCell ref="H1954:I1954"/>
    <mergeCell ref="E1955:F1955"/>
    <mergeCell ref="H1955:I1955"/>
    <mergeCell ref="B1949:D1950"/>
    <mergeCell ref="E1949:F1949"/>
    <mergeCell ref="H1949:I1949"/>
    <mergeCell ref="E1950:F1950"/>
    <mergeCell ref="H1950:I1950"/>
    <mergeCell ref="B1951:D1956"/>
    <mergeCell ref="E1951:F1951"/>
    <mergeCell ref="H1951:I1951"/>
    <mergeCell ref="E1952:F1952"/>
    <mergeCell ref="H1952:I1952"/>
    <mergeCell ref="H1945:I1945"/>
    <mergeCell ref="E1946:F1946"/>
    <mergeCell ref="H1946:I1946"/>
    <mergeCell ref="E1947:F1947"/>
    <mergeCell ref="H1947:I1947"/>
    <mergeCell ref="C1948:I1948"/>
    <mergeCell ref="C1941:I1941"/>
    <mergeCell ref="B1942:D1942"/>
    <mergeCell ref="E1942:F1942"/>
    <mergeCell ref="H1942:I1942"/>
    <mergeCell ref="B1943:D1947"/>
    <mergeCell ref="E1943:F1943"/>
    <mergeCell ref="H1943:I1943"/>
    <mergeCell ref="E1944:F1944"/>
    <mergeCell ref="H1944:I1944"/>
    <mergeCell ref="E1945:F1945"/>
    <mergeCell ref="H1936:I1936"/>
    <mergeCell ref="E1937:F1937"/>
    <mergeCell ref="H1937:I1937"/>
    <mergeCell ref="B1938:D1940"/>
    <mergeCell ref="E1938:F1938"/>
    <mergeCell ref="H1938:I1938"/>
    <mergeCell ref="E1939:F1939"/>
    <mergeCell ref="H1939:I1939"/>
    <mergeCell ref="E1940:F1940"/>
    <mergeCell ref="H1940:I1940"/>
    <mergeCell ref="B1932:D1937"/>
    <mergeCell ref="E1932:F1932"/>
    <mergeCell ref="H1932:I1932"/>
    <mergeCell ref="E1933:F1933"/>
    <mergeCell ref="H1933:I1933"/>
    <mergeCell ref="E1934:F1934"/>
    <mergeCell ref="H1934:I1934"/>
    <mergeCell ref="E1935:F1935"/>
    <mergeCell ref="H1935:I1935"/>
    <mergeCell ref="E1936:F1936"/>
    <mergeCell ref="C1929:I1929"/>
    <mergeCell ref="B1930:D1931"/>
    <mergeCell ref="E1930:F1930"/>
    <mergeCell ref="H1930:I1930"/>
    <mergeCell ref="E1931:F1931"/>
    <mergeCell ref="H1931:I1931"/>
    <mergeCell ref="H1924:I1924"/>
    <mergeCell ref="E1925:F1925"/>
    <mergeCell ref="H1925:I1925"/>
    <mergeCell ref="B1926:D1928"/>
    <mergeCell ref="E1926:F1926"/>
    <mergeCell ref="H1926:I1926"/>
    <mergeCell ref="E1927:F1927"/>
    <mergeCell ref="H1927:I1927"/>
    <mergeCell ref="E1928:F1928"/>
    <mergeCell ref="H1928:I1928"/>
    <mergeCell ref="B1920:D1925"/>
    <mergeCell ref="E1920:F1920"/>
    <mergeCell ref="H1920:I1920"/>
    <mergeCell ref="E1921:F1921"/>
    <mergeCell ref="H1921:I1921"/>
    <mergeCell ref="E1922:F1922"/>
    <mergeCell ref="H1922:I1922"/>
    <mergeCell ref="E1923:F1923"/>
    <mergeCell ref="H1923:I1923"/>
    <mergeCell ref="E1924:F1924"/>
    <mergeCell ref="C1917:I1917"/>
    <mergeCell ref="B1918:D1919"/>
    <mergeCell ref="E1918:F1918"/>
    <mergeCell ref="H1918:I1918"/>
    <mergeCell ref="E1919:F1919"/>
    <mergeCell ref="H1919:I1919"/>
    <mergeCell ref="H1912:I1912"/>
    <mergeCell ref="E1913:F1913"/>
    <mergeCell ref="H1913:I1913"/>
    <mergeCell ref="B1914:D1916"/>
    <mergeCell ref="E1914:F1914"/>
    <mergeCell ref="H1914:I1914"/>
    <mergeCell ref="E1915:F1915"/>
    <mergeCell ref="H1915:I1915"/>
    <mergeCell ref="E1916:F1916"/>
    <mergeCell ref="H1916:I1916"/>
    <mergeCell ref="B1908:D1913"/>
    <mergeCell ref="E1908:F1908"/>
    <mergeCell ref="H1908:I1908"/>
    <mergeCell ref="E1909:F1909"/>
    <mergeCell ref="H1909:I1909"/>
    <mergeCell ref="E1910:F1910"/>
    <mergeCell ref="H1910:I1910"/>
    <mergeCell ref="E1911:F1911"/>
    <mergeCell ref="H1911:I1911"/>
    <mergeCell ref="E1912:F1912"/>
    <mergeCell ref="C1905:I1905"/>
    <mergeCell ref="B1906:D1907"/>
    <mergeCell ref="E1906:F1906"/>
    <mergeCell ref="H1906:I1906"/>
    <mergeCell ref="E1907:F1907"/>
    <mergeCell ref="H1907:I1907"/>
    <mergeCell ref="H1900:I1900"/>
    <mergeCell ref="E1901:F1901"/>
    <mergeCell ref="H1901:I1901"/>
    <mergeCell ref="B1902:D1904"/>
    <mergeCell ref="E1902:F1902"/>
    <mergeCell ref="H1902:I1902"/>
    <mergeCell ref="E1903:F1903"/>
    <mergeCell ref="H1903:I1903"/>
    <mergeCell ref="E1904:F1904"/>
    <mergeCell ref="H1904:I1904"/>
    <mergeCell ref="B1896:D1901"/>
    <mergeCell ref="E1896:F1896"/>
    <mergeCell ref="H1896:I1896"/>
    <mergeCell ref="E1897:F1897"/>
    <mergeCell ref="H1897:I1897"/>
    <mergeCell ref="E1898:F1898"/>
    <mergeCell ref="H1898:I1898"/>
    <mergeCell ref="E1899:F1899"/>
    <mergeCell ref="H1899:I1899"/>
    <mergeCell ref="E1900:F1900"/>
    <mergeCell ref="C1893:I1893"/>
    <mergeCell ref="B1894:D1895"/>
    <mergeCell ref="E1894:F1894"/>
    <mergeCell ref="H1894:I1894"/>
    <mergeCell ref="E1895:F1895"/>
    <mergeCell ref="H1895:I1895"/>
    <mergeCell ref="H1888:I1888"/>
    <mergeCell ref="E1889:F1889"/>
    <mergeCell ref="H1889:I1889"/>
    <mergeCell ref="B1890:D1892"/>
    <mergeCell ref="E1890:F1890"/>
    <mergeCell ref="H1890:I1890"/>
    <mergeCell ref="E1891:F1891"/>
    <mergeCell ref="H1891:I1891"/>
    <mergeCell ref="E1892:F1892"/>
    <mergeCell ref="H1892:I1892"/>
    <mergeCell ref="B1884:D1889"/>
    <mergeCell ref="E1884:F1884"/>
    <mergeCell ref="H1884:I1884"/>
    <mergeCell ref="E1885:F1885"/>
    <mergeCell ref="H1885:I1885"/>
    <mergeCell ref="E1886:F1886"/>
    <mergeCell ref="H1886:I1886"/>
    <mergeCell ref="E1887:F1887"/>
    <mergeCell ref="H1887:I1887"/>
    <mergeCell ref="E1888:F1888"/>
    <mergeCell ref="E1880:F1880"/>
    <mergeCell ref="H1880:I1880"/>
    <mergeCell ref="C1881:I1881"/>
    <mergeCell ref="B1882:D1883"/>
    <mergeCell ref="E1882:F1882"/>
    <mergeCell ref="H1882:I1882"/>
    <mergeCell ref="E1883:F1883"/>
    <mergeCell ref="H1883:I1883"/>
    <mergeCell ref="B1876:D1877"/>
    <mergeCell ref="E1876:F1876"/>
    <mergeCell ref="H1876:I1876"/>
    <mergeCell ref="E1877:F1877"/>
    <mergeCell ref="H1877:I1877"/>
    <mergeCell ref="B1878:D1880"/>
    <mergeCell ref="E1878:F1878"/>
    <mergeCell ref="H1878:I1878"/>
    <mergeCell ref="E1879:F1879"/>
    <mergeCell ref="H1879:I1879"/>
    <mergeCell ref="B1872:D1875"/>
    <mergeCell ref="E1872:F1872"/>
    <mergeCell ref="H1872:I1872"/>
    <mergeCell ref="E1873:F1873"/>
    <mergeCell ref="H1873:I1873"/>
    <mergeCell ref="E1874:F1874"/>
    <mergeCell ref="H1874:I1874"/>
    <mergeCell ref="E1875:F1875"/>
    <mergeCell ref="H1875:I1875"/>
    <mergeCell ref="E1867:F1867"/>
    <mergeCell ref="H1867:I1867"/>
    <mergeCell ref="E1868:F1868"/>
    <mergeCell ref="H1868:I1868"/>
    <mergeCell ref="C1869:I1869"/>
    <mergeCell ref="B1870:D1871"/>
    <mergeCell ref="E1870:F1870"/>
    <mergeCell ref="H1870:I1870"/>
    <mergeCell ref="E1871:F1871"/>
    <mergeCell ref="H1871:I1871"/>
    <mergeCell ref="C1862:I1862"/>
    <mergeCell ref="B1863:D1868"/>
    <mergeCell ref="E1863:F1863"/>
    <mergeCell ref="H1863:I1863"/>
    <mergeCell ref="E1864:F1864"/>
    <mergeCell ref="H1864:I1864"/>
    <mergeCell ref="E1865:F1865"/>
    <mergeCell ref="H1865:I1865"/>
    <mergeCell ref="E1866:F1866"/>
    <mergeCell ref="H1866:I1866"/>
    <mergeCell ref="H1857:I1857"/>
    <mergeCell ref="E1858:F1858"/>
    <mergeCell ref="H1858:I1858"/>
    <mergeCell ref="B1859:D1861"/>
    <mergeCell ref="E1859:F1859"/>
    <mergeCell ref="H1859:I1859"/>
    <mergeCell ref="E1860:F1860"/>
    <mergeCell ref="H1860:I1860"/>
    <mergeCell ref="E1861:F1861"/>
    <mergeCell ref="H1861:I1861"/>
    <mergeCell ref="B1853:D1858"/>
    <mergeCell ref="E1853:F1853"/>
    <mergeCell ref="H1853:I1853"/>
    <mergeCell ref="E1854:F1854"/>
    <mergeCell ref="H1854:I1854"/>
    <mergeCell ref="E1855:F1855"/>
    <mergeCell ref="H1855:I1855"/>
    <mergeCell ref="E1856:F1856"/>
    <mergeCell ref="H1856:I1856"/>
    <mergeCell ref="E1857:F1857"/>
    <mergeCell ref="E1849:F1849"/>
    <mergeCell ref="H1849:I1849"/>
    <mergeCell ref="C1850:I1850"/>
    <mergeCell ref="B1851:D1852"/>
    <mergeCell ref="E1851:F1851"/>
    <mergeCell ref="H1851:I1851"/>
    <mergeCell ref="E1852:F1852"/>
    <mergeCell ref="H1852:I1852"/>
    <mergeCell ref="E1846:F1846"/>
    <mergeCell ref="H1846:I1846"/>
    <mergeCell ref="E1847:F1847"/>
    <mergeCell ref="H1847:I1847"/>
    <mergeCell ref="E1848:F1848"/>
    <mergeCell ref="H1848:I1848"/>
    <mergeCell ref="E1841:F1841"/>
    <mergeCell ref="H1841:I1841"/>
    <mergeCell ref="E1842:F1842"/>
    <mergeCell ref="H1842:I1842"/>
    <mergeCell ref="C1843:I1843"/>
    <mergeCell ref="B1844:D1849"/>
    <mergeCell ref="E1844:F1844"/>
    <mergeCell ref="H1844:I1844"/>
    <mergeCell ref="E1845:F1845"/>
    <mergeCell ref="H1845:I1845"/>
    <mergeCell ref="C1836:I1836"/>
    <mergeCell ref="B1837:D1842"/>
    <mergeCell ref="E1837:F1837"/>
    <mergeCell ref="H1837:I1837"/>
    <mergeCell ref="E1838:F1838"/>
    <mergeCell ref="H1838:I1838"/>
    <mergeCell ref="E1839:F1839"/>
    <mergeCell ref="H1839:I1839"/>
    <mergeCell ref="E1840:F1840"/>
    <mergeCell ref="H1840:I1840"/>
    <mergeCell ref="H1831:I1831"/>
    <mergeCell ref="E1832:F1832"/>
    <mergeCell ref="H1832:I1832"/>
    <mergeCell ref="B1833:D1835"/>
    <mergeCell ref="E1833:F1833"/>
    <mergeCell ref="H1833:I1833"/>
    <mergeCell ref="E1834:F1834"/>
    <mergeCell ref="H1834:I1834"/>
    <mergeCell ref="E1835:F1835"/>
    <mergeCell ref="H1835:I1835"/>
    <mergeCell ref="B1827:D1832"/>
    <mergeCell ref="E1827:F1827"/>
    <mergeCell ref="H1827:I1827"/>
    <mergeCell ref="E1828:F1828"/>
    <mergeCell ref="H1828:I1828"/>
    <mergeCell ref="E1829:F1829"/>
    <mergeCell ref="H1829:I1829"/>
    <mergeCell ref="E1830:F1830"/>
    <mergeCell ref="H1830:I1830"/>
    <mergeCell ref="E1831:F1831"/>
    <mergeCell ref="C1824:I1824"/>
    <mergeCell ref="B1825:D1826"/>
    <mergeCell ref="E1825:F1825"/>
    <mergeCell ref="H1825:I1825"/>
    <mergeCell ref="E1826:F1826"/>
    <mergeCell ref="H1826:I1826"/>
    <mergeCell ref="H1819:I1819"/>
    <mergeCell ref="E1820:F1820"/>
    <mergeCell ref="H1820:I1820"/>
    <mergeCell ref="B1821:D1823"/>
    <mergeCell ref="E1821:F1821"/>
    <mergeCell ref="H1821:I1821"/>
    <mergeCell ref="E1822:F1822"/>
    <mergeCell ref="H1822:I1822"/>
    <mergeCell ref="E1823:F1823"/>
    <mergeCell ref="H1823:I1823"/>
    <mergeCell ref="B1815:D1820"/>
    <mergeCell ref="E1815:F1815"/>
    <mergeCell ref="H1815:I1815"/>
    <mergeCell ref="E1816:F1816"/>
    <mergeCell ref="H1816:I1816"/>
    <mergeCell ref="E1817:F1817"/>
    <mergeCell ref="H1817:I1817"/>
    <mergeCell ref="E1818:F1818"/>
    <mergeCell ref="H1818:I1818"/>
    <mergeCell ref="E1819:F1819"/>
    <mergeCell ref="C1812:I1812"/>
    <mergeCell ref="B1813:D1814"/>
    <mergeCell ref="E1813:F1813"/>
    <mergeCell ref="H1813:I1813"/>
    <mergeCell ref="E1814:F1814"/>
    <mergeCell ref="H1814:I1814"/>
    <mergeCell ref="H1807:I1807"/>
    <mergeCell ref="E1808:F1808"/>
    <mergeCell ref="H1808:I1808"/>
    <mergeCell ref="B1809:D1811"/>
    <mergeCell ref="E1809:F1809"/>
    <mergeCell ref="H1809:I1809"/>
    <mergeCell ref="E1810:F1810"/>
    <mergeCell ref="H1810:I1810"/>
    <mergeCell ref="E1811:F1811"/>
    <mergeCell ref="H1811:I1811"/>
    <mergeCell ref="B1803:D1808"/>
    <mergeCell ref="E1803:F1803"/>
    <mergeCell ref="H1803:I1803"/>
    <mergeCell ref="E1804:F1804"/>
    <mergeCell ref="H1804:I1804"/>
    <mergeCell ref="E1805:F1805"/>
    <mergeCell ref="H1805:I1805"/>
    <mergeCell ref="E1806:F1806"/>
    <mergeCell ref="H1806:I1806"/>
    <mergeCell ref="E1807:F1807"/>
    <mergeCell ref="C1800:I1800"/>
    <mergeCell ref="B1801:D1802"/>
    <mergeCell ref="E1801:F1801"/>
    <mergeCell ref="H1801:I1801"/>
    <mergeCell ref="E1802:F1802"/>
    <mergeCell ref="H1802:I1802"/>
    <mergeCell ref="H1795:I1795"/>
    <mergeCell ref="E1796:F1796"/>
    <mergeCell ref="H1796:I1796"/>
    <mergeCell ref="B1797:D1799"/>
    <mergeCell ref="E1797:F1797"/>
    <mergeCell ref="H1797:I1797"/>
    <mergeCell ref="E1798:F1798"/>
    <mergeCell ref="H1798:I1798"/>
    <mergeCell ref="E1799:F1799"/>
    <mergeCell ref="H1799:I1799"/>
    <mergeCell ref="B1791:D1796"/>
    <mergeCell ref="E1791:F1791"/>
    <mergeCell ref="H1791:I1791"/>
    <mergeCell ref="E1792:F1792"/>
    <mergeCell ref="H1792:I1792"/>
    <mergeCell ref="E1793:F1793"/>
    <mergeCell ref="H1793:I1793"/>
    <mergeCell ref="E1794:F1794"/>
    <mergeCell ref="H1794:I1794"/>
    <mergeCell ref="E1795:F1795"/>
    <mergeCell ref="C1788:I1788"/>
    <mergeCell ref="B1789:D1790"/>
    <mergeCell ref="E1789:F1789"/>
    <mergeCell ref="H1789:I1789"/>
    <mergeCell ref="E1790:F1790"/>
    <mergeCell ref="H1790:I1790"/>
    <mergeCell ref="H1783:I1783"/>
    <mergeCell ref="E1784:F1784"/>
    <mergeCell ref="H1784:I1784"/>
    <mergeCell ref="B1785:D1787"/>
    <mergeCell ref="E1785:F1785"/>
    <mergeCell ref="H1785:I1785"/>
    <mergeCell ref="E1786:F1786"/>
    <mergeCell ref="H1786:I1786"/>
    <mergeCell ref="E1787:F1787"/>
    <mergeCell ref="H1787:I1787"/>
    <mergeCell ref="B1779:D1784"/>
    <mergeCell ref="E1779:F1779"/>
    <mergeCell ref="H1779:I1779"/>
    <mergeCell ref="E1780:F1780"/>
    <mergeCell ref="H1780:I1780"/>
    <mergeCell ref="E1781:F1781"/>
    <mergeCell ref="H1781:I1781"/>
    <mergeCell ref="E1782:F1782"/>
    <mergeCell ref="H1782:I1782"/>
    <mergeCell ref="E1783:F1783"/>
    <mergeCell ref="C1776:I1776"/>
    <mergeCell ref="B1777:D1778"/>
    <mergeCell ref="E1777:F1777"/>
    <mergeCell ref="H1777:I1777"/>
    <mergeCell ref="E1778:F1778"/>
    <mergeCell ref="H1778:I1778"/>
    <mergeCell ref="H1772:I1772"/>
    <mergeCell ref="E1773:F1773"/>
    <mergeCell ref="H1773:I1773"/>
    <mergeCell ref="E1774:F1774"/>
    <mergeCell ref="H1774:I1774"/>
    <mergeCell ref="E1775:F1775"/>
    <mergeCell ref="H1775:I1775"/>
    <mergeCell ref="H1767:I1767"/>
    <mergeCell ref="E1768:F1768"/>
    <mergeCell ref="H1768:I1768"/>
    <mergeCell ref="C1769:I1769"/>
    <mergeCell ref="B1770:D1775"/>
    <mergeCell ref="E1770:F1770"/>
    <mergeCell ref="H1770:I1770"/>
    <mergeCell ref="E1771:F1771"/>
    <mergeCell ref="H1771:I1771"/>
    <mergeCell ref="E1772:F1772"/>
    <mergeCell ref="B1763:D1768"/>
    <mergeCell ref="E1763:F1763"/>
    <mergeCell ref="H1763:I1763"/>
    <mergeCell ref="E1764:F1764"/>
    <mergeCell ref="H1764:I1764"/>
    <mergeCell ref="E1765:F1765"/>
    <mergeCell ref="H1765:I1765"/>
    <mergeCell ref="E1766:F1766"/>
    <mergeCell ref="H1766:I1766"/>
    <mergeCell ref="E1767:F1767"/>
    <mergeCell ref="H1759:I1759"/>
    <mergeCell ref="E1760:F1760"/>
    <mergeCell ref="H1760:I1760"/>
    <mergeCell ref="E1761:F1761"/>
    <mergeCell ref="H1761:I1761"/>
    <mergeCell ref="E1762:F1762"/>
    <mergeCell ref="H1762:I1762"/>
    <mergeCell ref="E1755:F1755"/>
    <mergeCell ref="H1755:I1755"/>
    <mergeCell ref="E1756:F1756"/>
    <mergeCell ref="H1756:I1756"/>
    <mergeCell ref="B1757:D1762"/>
    <mergeCell ref="E1757:F1757"/>
    <mergeCell ref="H1757:I1757"/>
    <mergeCell ref="E1758:F1758"/>
    <mergeCell ref="H1758:I1758"/>
    <mergeCell ref="E1759:F1759"/>
    <mergeCell ref="E1750:F1750"/>
    <mergeCell ref="H1750:I1750"/>
    <mergeCell ref="E1751:F1751"/>
    <mergeCell ref="H1751:I1751"/>
    <mergeCell ref="C1752:I1752"/>
    <mergeCell ref="B1753:D1756"/>
    <mergeCell ref="E1753:F1753"/>
    <mergeCell ref="H1753:I1753"/>
    <mergeCell ref="E1754:F1754"/>
    <mergeCell ref="H1754:I1754"/>
    <mergeCell ref="C1745:I1745"/>
    <mergeCell ref="B1746:D1751"/>
    <mergeCell ref="E1746:F1746"/>
    <mergeCell ref="H1746:I1746"/>
    <mergeCell ref="E1747:F1747"/>
    <mergeCell ref="H1747:I1747"/>
    <mergeCell ref="E1748:F1748"/>
    <mergeCell ref="H1748:I1748"/>
    <mergeCell ref="E1749:F1749"/>
    <mergeCell ref="H1749:I1749"/>
    <mergeCell ref="B1742:D1744"/>
    <mergeCell ref="E1742:F1742"/>
    <mergeCell ref="H1742:I1742"/>
    <mergeCell ref="E1743:F1743"/>
    <mergeCell ref="H1743:I1743"/>
    <mergeCell ref="E1744:F1744"/>
    <mergeCell ref="H1744:I1744"/>
    <mergeCell ref="C1738:I1738"/>
    <mergeCell ref="B1739:D1741"/>
    <mergeCell ref="E1739:F1739"/>
    <mergeCell ref="H1739:I1739"/>
    <mergeCell ref="E1740:F1740"/>
    <mergeCell ref="H1740:I1740"/>
    <mergeCell ref="E1741:F1741"/>
    <mergeCell ref="H1741:I1741"/>
    <mergeCell ref="H1733:I1733"/>
    <mergeCell ref="E1734:F1734"/>
    <mergeCell ref="H1734:I1734"/>
    <mergeCell ref="B1735:D1737"/>
    <mergeCell ref="E1735:F1735"/>
    <mergeCell ref="H1735:I1735"/>
    <mergeCell ref="E1736:F1736"/>
    <mergeCell ref="H1736:I1736"/>
    <mergeCell ref="E1737:F1737"/>
    <mergeCell ref="H1737:I1737"/>
    <mergeCell ref="B1729:D1734"/>
    <mergeCell ref="E1729:F1729"/>
    <mergeCell ref="H1729:I1729"/>
    <mergeCell ref="E1730:F1730"/>
    <mergeCell ref="H1730:I1730"/>
    <mergeCell ref="E1731:F1731"/>
    <mergeCell ref="H1731:I1731"/>
    <mergeCell ref="E1732:F1732"/>
    <mergeCell ref="H1732:I1732"/>
    <mergeCell ref="E1733:F1733"/>
    <mergeCell ref="C1726:I1726"/>
    <mergeCell ref="B1727:D1728"/>
    <mergeCell ref="E1727:F1727"/>
    <mergeCell ref="H1727:I1727"/>
    <mergeCell ref="E1728:F1728"/>
    <mergeCell ref="H1728:I1728"/>
    <mergeCell ref="H1722:I1722"/>
    <mergeCell ref="E1723:F1723"/>
    <mergeCell ref="H1723:I1723"/>
    <mergeCell ref="E1724:F1724"/>
    <mergeCell ref="H1724:I1724"/>
    <mergeCell ref="E1725:F1725"/>
    <mergeCell ref="H1725:I1725"/>
    <mergeCell ref="C1718:I1718"/>
    <mergeCell ref="B1719:D1719"/>
    <mergeCell ref="E1719:F1719"/>
    <mergeCell ref="H1719:I1719"/>
    <mergeCell ref="B1720:D1725"/>
    <mergeCell ref="E1720:F1720"/>
    <mergeCell ref="H1720:I1720"/>
    <mergeCell ref="E1721:F1721"/>
    <mergeCell ref="H1721:I1721"/>
    <mergeCell ref="E1722:F1722"/>
    <mergeCell ref="C1714:I1714"/>
    <mergeCell ref="B1715:D1715"/>
    <mergeCell ref="E1715:F1715"/>
    <mergeCell ref="H1715:I1715"/>
    <mergeCell ref="C1716:I1716"/>
    <mergeCell ref="B1717:D1717"/>
    <mergeCell ref="E1717:F1717"/>
    <mergeCell ref="H1717:I1717"/>
    <mergeCell ref="H1710:I1710"/>
    <mergeCell ref="E1711:F1711"/>
    <mergeCell ref="H1711:I1711"/>
    <mergeCell ref="C1712:I1712"/>
    <mergeCell ref="B1713:D1713"/>
    <mergeCell ref="E1713:F1713"/>
    <mergeCell ref="H1713:I1713"/>
    <mergeCell ref="B1706:D1711"/>
    <mergeCell ref="E1706:F1706"/>
    <mergeCell ref="H1706:I1706"/>
    <mergeCell ref="E1707:F1707"/>
    <mergeCell ref="H1707:I1707"/>
    <mergeCell ref="E1708:F1708"/>
    <mergeCell ref="H1708:I1708"/>
    <mergeCell ref="E1709:F1709"/>
    <mergeCell ref="H1709:I1709"/>
    <mergeCell ref="E1710:F1710"/>
    <mergeCell ref="H1702:I1702"/>
    <mergeCell ref="E1703:F1703"/>
    <mergeCell ref="H1703:I1703"/>
    <mergeCell ref="C1704:I1704"/>
    <mergeCell ref="B1705:D1705"/>
    <mergeCell ref="E1705:F1705"/>
    <mergeCell ref="H1705:I1705"/>
    <mergeCell ref="B1698:D1703"/>
    <mergeCell ref="E1698:F1698"/>
    <mergeCell ref="H1698:I1698"/>
    <mergeCell ref="E1699:F1699"/>
    <mergeCell ref="H1699:I1699"/>
    <mergeCell ref="E1700:F1700"/>
    <mergeCell ref="H1700:I1700"/>
    <mergeCell ref="E1701:F1701"/>
    <mergeCell ref="H1701:I1701"/>
    <mergeCell ref="E1702:F1702"/>
    <mergeCell ref="H1693:I1693"/>
    <mergeCell ref="E1694:F1694"/>
    <mergeCell ref="H1694:I1694"/>
    <mergeCell ref="C1695:I1695"/>
    <mergeCell ref="B1696:D1697"/>
    <mergeCell ref="E1696:F1696"/>
    <mergeCell ref="H1696:I1696"/>
    <mergeCell ref="E1697:F1697"/>
    <mergeCell ref="H1697:I1697"/>
    <mergeCell ref="B1689:D1694"/>
    <mergeCell ref="E1689:F1689"/>
    <mergeCell ref="H1689:I1689"/>
    <mergeCell ref="E1690:F1690"/>
    <mergeCell ref="H1690:I1690"/>
    <mergeCell ref="E1691:F1691"/>
    <mergeCell ref="H1691:I1691"/>
    <mergeCell ref="E1692:F1692"/>
    <mergeCell ref="H1692:I1692"/>
    <mergeCell ref="E1693:F1693"/>
    <mergeCell ref="C1686:I1686"/>
    <mergeCell ref="B1687:D1688"/>
    <mergeCell ref="E1687:F1687"/>
    <mergeCell ref="H1687:I1687"/>
    <mergeCell ref="E1688:F1688"/>
    <mergeCell ref="H1688:I1688"/>
    <mergeCell ref="H1682:I1682"/>
    <mergeCell ref="E1683:F1683"/>
    <mergeCell ref="H1683:I1683"/>
    <mergeCell ref="E1684:F1684"/>
    <mergeCell ref="H1684:I1684"/>
    <mergeCell ref="E1685:F1685"/>
    <mergeCell ref="H1685:I1685"/>
    <mergeCell ref="C1678:I1678"/>
    <mergeCell ref="B1679:D1679"/>
    <mergeCell ref="E1679:F1679"/>
    <mergeCell ref="H1679:I1679"/>
    <mergeCell ref="B1680:D1685"/>
    <mergeCell ref="E1680:F1680"/>
    <mergeCell ref="H1680:I1680"/>
    <mergeCell ref="E1681:F1681"/>
    <mergeCell ref="H1681:I1681"/>
    <mergeCell ref="E1682:F1682"/>
    <mergeCell ref="C1673:I1673"/>
    <mergeCell ref="B1674:D1674"/>
    <mergeCell ref="E1674:F1674"/>
    <mergeCell ref="H1674:I1674"/>
    <mergeCell ref="C1675:I1675"/>
    <mergeCell ref="B1676:D1677"/>
    <mergeCell ref="E1676:F1676"/>
    <mergeCell ref="H1676:I1676"/>
    <mergeCell ref="E1677:F1677"/>
    <mergeCell ref="H1677:I1677"/>
    <mergeCell ref="H1669:I1669"/>
    <mergeCell ref="E1670:F1670"/>
    <mergeCell ref="H1670:I1670"/>
    <mergeCell ref="E1671:F1671"/>
    <mergeCell ref="H1671:I1671"/>
    <mergeCell ref="E1672:F1672"/>
    <mergeCell ref="H1672:I1672"/>
    <mergeCell ref="C1665:I1665"/>
    <mergeCell ref="B1666:D1666"/>
    <mergeCell ref="E1666:F1666"/>
    <mergeCell ref="H1666:I1666"/>
    <mergeCell ref="B1667:D1672"/>
    <mergeCell ref="E1667:F1667"/>
    <mergeCell ref="H1667:I1667"/>
    <mergeCell ref="E1668:F1668"/>
    <mergeCell ref="H1668:I1668"/>
    <mergeCell ref="E1669:F1669"/>
    <mergeCell ref="C1662:I1662"/>
    <mergeCell ref="B1663:D1664"/>
    <mergeCell ref="E1663:F1663"/>
    <mergeCell ref="H1663:I1663"/>
    <mergeCell ref="E1664:F1664"/>
    <mergeCell ref="H1664:I1664"/>
    <mergeCell ref="C1658:I1658"/>
    <mergeCell ref="B1659:D1659"/>
    <mergeCell ref="E1659:F1659"/>
    <mergeCell ref="H1659:I1659"/>
    <mergeCell ref="C1660:I1660"/>
    <mergeCell ref="B1661:D1661"/>
    <mergeCell ref="E1661:F1661"/>
    <mergeCell ref="H1661:I1661"/>
    <mergeCell ref="H1654:I1654"/>
    <mergeCell ref="E1655:F1655"/>
    <mergeCell ref="H1655:I1655"/>
    <mergeCell ref="E1656:F1656"/>
    <mergeCell ref="H1656:I1656"/>
    <mergeCell ref="E1657:F1657"/>
    <mergeCell ref="H1657:I1657"/>
    <mergeCell ref="C1650:I1650"/>
    <mergeCell ref="B1651:D1651"/>
    <mergeCell ref="E1651:F1651"/>
    <mergeCell ref="H1651:I1651"/>
    <mergeCell ref="B1652:D1657"/>
    <mergeCell ref="E1652:F1652"/>
    <mergeCell ref="H1652:I1652"/>
    <mergeCell ref="E1653:F1653"/>
    <mergeCell ref="H1653:I1653"/>
    <mergeCell ref="E1654:F1654"/>
    <mergeCell ref="C1646:I1646"/>
    <mergeCell ref="B1647:D1647"/>
    <mergeCell ref="E1647:F1647"/>
    <mergeCell ref="H1647:I1647"/>
    <mergeCell ref="C1648:I1648"/>
    <mergeCell ref="B1649:D1649"/>
    <mergeCell ref="E1649:F1649"/>
    <mergeCell ref="H1649:I1649"/>
    <mergeCell ref="C1642:I1642"/>
    <mergeCell ref="B1643:D1643"/>
    <mergeCell ref="E1643:F1643"/>
    <mergeCell ref="H1643:I1643"/>
    <mergeCell ref="C1644:I1644"/>
    <mergeCell ref="B1645:D1645"/>
    <mergeCell ref="E1645:F1645"/>
    <mergeCell ref="H1645:I1645"/>
    <mergeCell ref="H1638:I1638"/>
    <mergeCell ref="E1639:F1639"/>
    <mergeCell ref="H1639:I1639"/>
    <mergeCell ref="C1640:I1640"/>
    <mergeCell ref="B1641:D1641"/>
    <mergeCell ref="E1641:F1641"/>
    <mergeCell ref="H1641:I1641"/>
    <mergeCell ref="B1634:D1639"/>
    <mergeCell ref="E1634:F1634"/>
    <mergeCell ref="H1634:I1634"/>
    <mergeCell ref="E1635:F1635"/>
    <mergeCell ref="H1635:I1635"/>
    <mergeCell ref="E1636:F1636"/>
    <mergeCell ref="H1636:I1636"/>
    <mergeCell ref="E1637:F1637"/>
    <mergeCell ref="H1637:I1637"/>
    <mergeCell ref="E1638:F1638"/>
    <mergeCell ref="C1630:I1630"/>
    <mergeCell ref="B1631:D1631"/>
    <mergeCell ref="E1631:F1631"/>
    <mergeCell ref="H1631:I1631"/>
    <mergeCell ref="C1632:I1632"/>
    <mergeCell ref="B1633:D1633"/>
    <mergeCell ref="E1633:F1633"/>
    <mergeCell ref="H1633:I1633"/>
    <mergeCell ref="C1627:I1627"/>
    <mergeCell ref="B1628:D1628"/>
    <mergeCell ref="E1628:F1628"/>
    <mergeCell ref="H1628:I1628"/>
    <mergeCell ref="B1629:D1629"/>
    <mergeCell ref="E1629:F1629"/>
    <mergeCell ref="H1629:I1629"/>
    <mergeCell ref="H1623:I1623"/>
    <mergeCell ref="E1624:F1624"/>
    <mergeCell ref="H1624:I1624"/>
    <mergeCell ref="C1625:I1625"/>
    <mergeCell ref="B1626:D1626"/>
    <mergeCell ref="E1626:F1626"/>
    <mergeCell ref="H1626:I1626"/>
    <mergeCell ref="B1619:D1624"/>
    <mergeCell ref="E1619:F1619"/>
    <mergeCell ref="H1619:I1619"/>
    <mergeCell ref="E1620:F1620"/>
    <mergeCell ref="H1620:I1620"/>
    <mergeCell ref="E1621:F1621"/>
    <mergeCell ref="H1621:I1621"/>
    <mergeCell ref="E1622:F1622"/>
    <mergeCell ref="H1622:I1622"/>
    <mergeCell ref="E1623:F1623"/>
    <mergeCell ref="H1615:I1615"/>
    <mergeCell ref="E1616:F1616"/>
    <mergeCell ref="H1616:I1616"/>
    <mergeCell ref="C1617:I1617"/>
    <mergeCell ref="B1618:D1618"/>
    <mergeCell ref="E1618:F1618"/>
    <mergeCell ref="H1618:I1618"/>
    <mergeCell ref="B1611:D1616"/>
    <mergeCell ref="E1611:F1611"/>
    <mergeCell ref="H1611:I1611"/>
    <mergeCell ref="E1612:F1612"/>
    <mergeCell ref="H1612:I1612"/>
    <mergeCell ref="E1613:F1613"/>
    <mergeCell ref="H1613:I1613"/>
    <mergeCell ref="E1614:F1614"/>
    <mergeCell ref="H1614:I1614"/>
    <mergeCell ref="E1615:F1615"/>
    <mergeCell ref="H1607:I1607"/>
    <mergeCell ref="E1608:F1608"/>
    <mergeCell ref="H1608:I1608"/>
    <mergeCell ref="C1609:I1609"/>
    <mergeCell ref="B1610:D1610"/>
    <mergeCell ref="E1610:F1610"/>
    <mergeCell ref="H1610:I1610"/>
    <mergeCell ref="B1603:D1608"/>
    <mergeCell ref="E1603:F1603"/>
    <mergeCell ref="H1603:I1603"/>
    <mergeCell ref="E1604:F1604"/>
    <mergeCell ref="H1604:I1604"/>
    <mergeCell ref="E1605:F1605"/>
    <mergeCell ref="H1605:I1605"/>
    <mergeCell ref="E1606:F1606"/>
    <mergeCell ref="H1606:I1606"/>
    <mergeCell ref="E1607:F1607"/>
    <mergeCell ref="C1600:I1600"/>
    <mergeCell ref="B1601:D1602"/>
    <mergeCell ref="E1601:F1601"/>
    <mergeCell ref="H1601:I1601"/>
    <mergeCell ref="E1602:F1602"/>
    <mergeCell ref="H1602:I1602"/>
    <mergeCell ref="H1596:I1596"/>
    <mergeCell ref="E1597:F1597"/>
    <mergeCell ref="H1597:I1597"/>
    <mergeCell ref="E1598:F1598"/>
    <mergeCell ref="H1598:I1598"/>
    <mergeCell ref="E1599:F1599"/>
    <mergeCell ref="H1599:I1599"/>
    <mergeCell ref="C1592:I1592"/>
    <mergeCell ref="B1593:D1593"/>
    <mergeCell ref="E1593:F1593"/>
    <mergeCell ref="H1593:I1593"/>
    <mergeCell ref="B1594:D1599"/>
    <mergeCell ref="E1594:F1594"/>
    <mergeCell ref="H1594:I1594"/>
    <mergeCell ref="E1595:F1595"/>
    <mergeCell ref="H1595:I1595"/>
    <mergeCell ref="E1596:F1596"/>
    <mergeCell ref="B1588:D1591"/>
    <mergeCell ref="E1588:F1588"/>
    <mergeCell ref="H1588:I1588"/>
    <mergeCell ref="E1589:F1589"/>
    <mergeCell ref="H1589:I1589"/>
    <mergeCell ref="E1590:F1590"/>
    <mergeCell ref="H1590:I1590"/>
    <mergeCell ref="E1591:F1591"/>
    <mergeCell ref="H1591:I1591"/>
    <mergeCell ref="C1585:I1585"/>
    <mergeCell ref="B1586:D1587"/>
    <mergeCell ref="E1586:F1586"/>
    <mergeCell ref="H1586:I1586"/>
    <mergeCell ref="E1587:F1587"/>
    <mergeCell ref="H1587:I1587"/>
    <mergeCell ref="H1581:I1581"/>
    <mergeCell ref="E1582:F1582"/>
    <mergeCell ref="H1582:I1582"/>
    <mergeCell ref="E1583:F1583"/>
    <mergeCell ref="H1583:I1583"/>
    <mergeCell ref="E1584:F1584"/>
    <mergeCell ref="H1584:I1584"/>
    <mergeCell ref="C1577:I1577"/>
    <mergeCell ref="B1578:D1578"/>
    <mergeCell ref="E1578:F1578"/>
    <mergeCell ref="H1578:I1578"/>
    <mergeCell ref="B1579:D1584"/>
    <mergeCell ref="E1579:F1579"/>
    <mergeCell ref="H1579:I1579"/>
    <mergeCell ref="E1580:F1580"/>
    <mergeCell ref="H1580:I1580"/>
    <mergeCell ref="E1581:F1581"/>
    <mergeCell ref="H1572:I1572"/>
    <mergeCell ref="E1573:F1573"/>
    <mergeCell ref="H1573:I1573"/>
    <mergeCell ref="C1574:I1574"/>
    <mergeCell ref="B1575:D1576"/>
    <mergeCell ref="E1575:F1575"/>
    <mergeCell ref="H1575:I1575"/>
    <mergeCell ref="E1576:F1576"/>
    <mergeCell ref="H1576:I1576"/>
    <mergeCell ref="B1568:D1573"/>
    <mergeCell ref="E1568:F1568"/>
    <mergeCell ref="H1568:I1568"/>
    <mergeCell ref="E1569:F1569"/>
    <mergeCell ref="H1569:I1569"/>
    <mergeCell ref="E1570:F1570"/>
    <mergeCell ref="H1570:I1570"/>
    <mergeCell ref="E1571:F1571"/>
    <mergeCell ref="H1571:I1571"/>
    <mergeCell ref="E1572:F1572"/>
    <mergeCell ref="H1564:I1564"/>
    <mergeCell ref="E1565:F1565"/>
    <mergeCell ref="H1565:I1565"/>
    <mergeCell ref="C1566:I1566"/>
    <mergeCell ref="B1567:D1567"/>
    <mergeCell ref="E1567:F1567"/>
    <mergeCell ref="H1567:I1567"/>
    <mergeCell ref="B1560:D1565"/>
    <mergeCell ref="E1560:F1560"/>
    <mergeCell ref="H1560:I1560"/>
    <mergeCell ref="E1561:F1561"/>
    <mergeCell ref="H1561:I1561"/>
    <mergeCell ref="E1562:F1562"/>
    <mergeCell ref="H1562:I1562"/>
    <mergeCell ref="E1563:F1563"/>
    <mergeCell ref="H1563:I1563"/>
    <mergeCell ref="E1564:F1564"/>
    <mergeCell ref="H1555:I1555"/>
    <mergeCell ref="E1556:F1556"/>
    <mergeCell ref="H1556:I1556"/>
    <mergeCell ref="C1557:I1557"/>
    <mergeCell ref="B1558:D1559"/>
    <mergeCell ref="E1558:F1558"/>
    <mergeCell ref="H1558:I1558"/>
    <mergeCell ref="E1559:F1559"/>
    <mergeCell ref="H1559:I1559"/>
    <mergeCell ref="B1551:D1556"/>
    <mergeCell ref="E1551:F1551"/>
    <mergeCell ref="H1551:I1551"/>
    <mergeCell ref="E1552:F1552"/>
    <mergeCell ref="H1552:I1552"/>
    <mergeCell ref="E1553:F1553"/>
    <mergeCell ref="H1553:I1553"/>
    <mergeCell ref="E1554:F1554"/>
    <mergeCell ref="H1554:I1554"/>
    <mergeCell ref="E1555:F1555"/>
    <mergeCell ref="C1547:I1547"/>
    <mergeCell ref="B1548:D1548"/>
    <mergeCell ref="E1548:F1548"/>
    <mergeCell ref="H1548:I1548"/>
    <mergeCell ref="C1549:I1549"/>
    <mergeCell ref="B1550:D1550"/>
    <mergeCell ref="E1550:F1550"/>
    <mergeCell ref="H1550:I1550"/>
    <mergeCell ref="B1543:D1546"/>
    <mergeCell ref="E1543:F1543"/>
    <mergeCell ref="H1543:I1543"/>
    <mergeCell ref="E1544:F1544"/>
    <mergeCell ref="H1544:I1544"/>
    <mergeCell ref="E1545:F1545"/>
    <mergeCell ref="H1545:I1545"/>
    <mergeCell ref="E1546:F1546"/>
    <mergeCell ref="H1546:I1546"/>
    <mergeCell ref="E1538:F1538"/>
    <mergeCell ref="H1538:I1538"/>
    <mergeCell ref="E1539:F1539"/>
    <mergeCell ref="H1539:I1539"/>
    <mergeCell ref="C1540:I1540"/>
    <mergeCell ref="B1541:D1542"/>
    <mergeCell ref="E1541:F1541"/>
    <mergeCell ref="H1541:I1541"/>
    <mergeCell ref="E1542:F1542"/>
    <mergeCell ref="H1542:I1542"/>
    <mergeCell ref="C1533:I1533"/>
    <mergeCell ref="B1534:D1539"/>
    <mergeCell ref="E1534:F1534"/>
    <mergeCell ref="H1534:I1534"/>
    <mergeCell ref="E1535:F1535"/>
    <mergeCell ref="H1535:I1535"/>
    <mergeCell ref="E1536:F1536"/>
    <mergeCell ref="H1536:I1536"/>
    <mergeCell ref="E1537:F1537"/>
    <mergeCell ref="H1537:I1537"/>
    <mergeCell ref="H1528:I1528"/>
    <mergeCell ref="E1529:F1529"/>
    <mergeCell ref="H1529:I1529"/>
    <mergeCell ref="B1530:D1532"/>
    <mergeCell ref="E1530:F1530"/>
    <mergeCell ref="H1530:I1530"/>
    <mergeCell ref="E1531:F1531"/>
    <mergeCell ref="H1531:I1531"/>
    <mergeCell ref="E1532:F1532"/>
    <mergeCell ref="H1532:I1532"/>
    <mergeCell ref="B1524:D1529"/>
    <mergeCell ref="E1524:F1524"/>
    <mergeCell ref="H1524:I1524"/>
    <mergeCell ref="E1525:F1525"/>
    <mergeCell ref="H1525:I1525"/>
    <mergeCell ref="E1526:F1526"/>
    <mergeCell ref="H1526:I1526"/>
    <mergeCell ref="E1527:F1527"/>
    <mergeCell ref="H1527:I1527"/>
    <mergeCell ref="E1528:F1528"/>
    <mergeCell ref="C1521:I1521"/>
    <mergeCell ref="B1522:D1523"/>
    <mergeCell ref="E1522:F1522"/>
    <mergeCell ref="H1522:I1522"/>
    <mergeCell ref="E1523:F1523"/>
    <mergeCell ref="H1523:I1523"/>
    <mergeCell ref="H1516:I1516"/>
    <mergeCell ref="E1517:F1517"/>
    <mergeCell ref="H1517:I1517"/>
    <mergeCell ref="B1518:D1520"/>
    <mergeCell ref="E1518:F1518"/>
    <mergeCell ref="H1518:I1518"/>
    <mergeCell ref="E1519:F1519"/>
    <mergeCell ref="H1519:I1519"/>
    <mergeCell ref="E1520:F1520"/>
    <mergeCell ref="H1520:I1520"/>
    <mergeCell ref="B1512:D1517"/>
    <mergeCell ref="E1512:F1512"/>
    <mergeCell ref="H1512:I1512"/>
    <mergeCell ref="E1513:F1513"/>
    <mergeCell ref="H1513:I1513"/>
    <mergeCell ref="E1514:F1514"/>
    <mergeCell ref="H1514:I1514"/>
    <mergeCell ref="E1515:F1515"/>
    <mergeCell ref="H1515:I1515"/>
    <mergeCell ref="E1516:F1516"/>
    <mergeCell ref="C1509:I1509"/>
    <mergeCell ref="B1510:D1511"/>
    <mergeCell ref="E1510:F1510"/>
    <mergeCell ref="H1510:I1510"/>
    <mergeCell ref="E1511:F1511"/>
    <mergeCell ref="H1511:I1511"/>
    <mergeCell ref="H1504:I1504"/>
    <mergeCell ref="E1505:F1505"/>
    <mergeCell ref="H1505:I1505"/>
    <mergeCell ref="B1506:D1508"/>
    <mergeCell ref="E1506:F1506"/>
    <mergeCell ref="H1506:I1506"/>
    <mergeCell ref="E1507:F1507"/>
    <mergeCell ref="H1507:I1507"/>
    <mergeCell ref="E1508:F1508"/>
    <mergeCell ref="H1508:I1508"/>
    <mergeCell ref="B1500:D1505"/>
    <mergeCell ref="E1500:F1500"/>
    <mergeCell ref="H1500:I1500"/>
    <mergeCell ref="E1501:F1501"/>
    <mergeCell ref="H1501:I1501"/>
    <mergeCell ref="E1502:F1502"/>
    <mergeCell ref="H1502:I1502"/>
    <mergeCell ref="E1503:F1503"/>
    <mergeCell ref="H1503:I1503"/>
    <mergeCell ref="E1504:F1504"/>
    <mergeCell ref="C1497:I1497"/>
    <mergeCell ref="B1498:D1499"/>
    <mergeCell ref="E1498:F1498"/>
    <mergeCell ref="H1498:I1498"/>
    <mergeCell ref="E1499:F1499"/>
    <mergeCell ref="H1499:I1499"/>
    <mergeCell ref="H1492:I1492"/>
    <mergeCell ref="E1493:F1493"/>
    <mergeCell ref="H1493:I1493"/>
    <mergeCell ref="B1494:D1496"/>
    <mergeCell ref="E1494:F1494"/>
    <mergeCell ref="H1494:I1494"/>
    <mergeCell ref="E1495:F1495"/>
    <mergeCell ref="H1495:I1495"/>
    <mergeCell ref="E1496:F1496"/>
    <mergeCell ref="H1496:I1496"/>
    <mergeCell ref="B1488:D1493"/>
    <mergeCell ref="E1488:F1488"/>
    <mergeCell ref="H1488:I1488"/>
    <mergeCell ref="E1489:F1489"/>
    <mergeCell ref="H1489:I1489"/>
    <mergeCell ref="E1490:F1490"/>
    <mergeCell ref="H1490:I1490"/>
    <mergeCell ref="E1491:F1491"/>
    <mergeCell ref="H1491:I1491"/>
    <mergeCell ref="E1492:F1492"/>
    <mergeCell ref="C1485:I1485"/>
    <mergeCell ref="B1486:D1487"/>
    <mergeCell ref="E1486:F1486"/>
    <mergeCell ref="H1486:I1486"/>
    <mergeCell ref="E1487:F1487"/>
    <mergeCell ref="H1487:I1487"/>
    <mergeCell ref="H1480:I1480"/>
    <mergeCell ref="E1481:F1481"/>
    <mergeCell ref="H1481:I1481"/>
    <mergeCell ref="B1482:D1484"/>
    <mergeCell ref="E1482:F1482"/>
    <mergeCell ref="H1482:I1482"/>
    <mergeCell ref="E1483:F1483"/>
    <mergeCell ref="H1483:I1483"/>
    <mergeCell ref="E1484:F1484"/>
    <mergeCell ref="H1484:I1484"/>
    <mergeCell ref="B1476:D1481"/>
    <mergeCell ref="E1476:F1476"/>
    <mergeCell ref="H1476:I1476"/>
    <mergeCell ref="E1477:F1477"/>
    <mergeCell ref="H1477:I1477"/>
    <mergeCell ref="E1478:F1478"/>
    <mergeCell ref="H1478:I1478"/>
    <mergeCell ref="E1479:F1479"/>
    <mergeCell ref="H1479:I1479"/>
    <mergeCell ref="E1480:F1480"/>
    <mergeCell ref="E1471:F1471"/>
    <mergeCell ref="H1471:I1471"/>
    <mergeCell ref="E1472:F1472"/>
    <mergeCell ref="H1472:I1472"/>
    <mergeCell ref="C1473:I1473"/>
    <mergeCell ref="B1474:D1475"/>
    <mergeCell ref="E1474:F1474"/>
    <mergeCell ref="H1474:I1474"/>
    <mergeCell ref="E1475:F1475"/>
    <mergeCell ref="H1475:I1475"/>
    <mergeCell ref="C1466:I1466"/>
    <mergeCell ref="B1467:D1472"/>
    <mergeCell ref="E1467:F1467"/>
    <mergeCell ref="H1467:I1467"/>
    <mergeCell ref="E1468:F1468"/>
    <mergeCell ref="H1468:I1468"/>
    <mergeCell ref="E1469:F1469"/>
    <mergeCell ref="H1469:I1469"/>
    <mergeCell ref="E1470:F1470"/>
    <mergeCell ref="H1470:I1470"/>
    <mergeCell ref="H1461:I1461"/>
    <mergeCell ref="E1462:F1462"/>
    <mergeCell ref="H1462:I1462"/>
    <mergeCell ref="B1463:D1465"/>
    <mergeCell ref="E1463:F1463"/>
    <mergeCell ref="H1463:I1463"/>
    <mergeCell ref="E1464:F1464"/>
    <mergeCell ref="H1464:I1464"/>
    <mergeCell ref="E1465:F1465"/>
    <mergeCell ref="H1465:I1465"/>
    <mergeCell ref="B1457:D1462"/>
    <mergeCell ref="E1457:F1457"/>
    <mergeCell ref="H1457:I1457"/>
    <mergeCell ref="E1458:F1458"/>
    <mergeCell ref="H1458:I1458"/>
    <mergeCell ref="E1459:F1459"/>
    <mergeCell ref="H1459:I1459"/>
    <mergeCell ref="E1460:F1460"/>
    <mergeCell ref="H1460:I1460"/>
    <mergeCell ref="E1461:F1461"/>
    <mergeCell ref="C1454:I1454"/>
    <mergeCell ref="B1455:D1456"/>
    <mergeCell ref="E1455:F1455"/>
    <mergeCell ref="H1455:I1455"/>
    <mergeCell ref="E1456:F1456"/>
    <mergeCell ref="H1456:I1456"/>
    <mergeCell ref="H1449:I1449"/>
    <mergeCell ref="E1450:F1450"/>
    <mergeCell ref="H1450:I1450"/>
    <mergeCell ref="B1451:D1453"/>
    <mergeCell ref="E1451:F1451"/>
    <mergeCell ref="H1451:I1451"/>
    <mergeCell ref="E1452:F1452"/>
    <mergeCell ref="H1452:I1452"/>
    <mergeCell ref="E1453:F1453"/>
    <mergeCell ref="H1453:I1453"/>
    <mergeCell ref="B1445:D1450"/>
    <mergeCell ref="E1445:F1445"/>
    <mergeCell ref="H1445:I1445"/>
    <mergeCell ref="E1446:F1446"/>
    <mergeCell ref="H1446:I1446"/>
    <mergeCell ref="E1447:F1447"/>
    <mergeCell ref="H1447:I1447"/>
    <mergeCell ref="E1448:F1448"/>
    <mergeCell ref="H1448:I1448"/>
    <mergeCell ref="E1449:F1449"/>
    <mergeCell ref="C1442:I1442"/>
    <mergeCell ref="B1443:D1444"/>
    <mergeCell ref="E1443:F1443"/>
    <mergeCell ref="H1443:I1443"/>
    <mergeCell ref="E1444:F1444"/>
    <mergeCell ref="H1444:I1444"/>
    <mergeCell ref="H1437:I1437"/>
    <mergeCell ref="E1438:F1438"/>
    <mergeCell ref="H1438:I1438"/>
    <mergeCell ref="B1439:D1441"/>
    <mergeCell ref="E1439:F1439"/>
    <mergeCell ref="H1439:I1439"/>
    <mergeCell ref="E1440:F1440"/>
    <mergeCell ref="H1440:I1440"/>
    <mergeCell ref="E1441:F1441"/>
    <mergeCell ref="H1441:I1441"/>
    <mergeCell ref="B1433:D1438"/>
    <mergeCell ref="E1433:F1433"/>
    <mergeCell ref="H1433:I1433"/>
    <mergeCell ref="E1434:F1434"/>
    <mergeCell ref="H1434:I1434"/>
    <mergeCell ref="E1435:F1435"/>
    <mergeCell ref="H1435:I1435"/>
    <mergeCell ref="E1436:F1436"/>
    <mergeCell ref="H1436:I1436"/>
    <mergeCell ref="E1437:F1437"/>
    <mergeCell ref="B1429:D1429"/>
    <mergeCell ref="E1429:F1429"/>
    <mergeCell ref="H1429:I1429"/>
    <mergeCell ref="C1430:I1430"/>
    <mergeCell ref="B1431:D1432"/>
    <mergeCell ref="E1431:F1431"/>
    <mergeCell ref="H1431:I1431"/>
    <mergeCell ref="E1432:F1432"/>
    <mergeCell ref="H1432:I1432"/>
    <mergeCell ref="H1425:I1425"/>
    <mergeCell ref="E1426:F1426"/>
    <mergeCell ref="H1426:I1426"/>
    <mergeCell ref="E1427:F1427"/>
    <mergeCell ref="H1427:I1427"/>
    <mergeCell ref="E1428:F1428"/>
    <mergeCell ref="H1428:I1428"/>
    <mergeCell ref="C1421:I1421"/>
    <mergeCell ref="B1422:D1422"/>
    <mergeCell ref="E1422:F1422"/>
    <mergeCell ref="H1422:I1422"/>
    <mergeCell ref="B1423:D1428"/>
    <mergeCell ref="E1423:F1423"/>
    <mergeCell ref="H1423:I1423"/>
    <mergeCell ref="E1424:F1424"/>
    <mergeCell ref="H1424:I1424"/>
    <mergeCell ref="E1425:F1425"/>
    <mergeCell ref="H1416:I1416"/>
    <mergeCell ref="E1417:F1417"/>
    <mergeCell ref="H1417:I1417"/>
    <mergeCell ref="B1418:D1420"/>
    <mergeCell ref="E1418:F1418"/>
    <mergeCell ref="H1418:I1418"/>
    <mergeCell ref="E1419:F1419"/>
    <mergeCell ref="H1419:I1419"/>
    <mergeCell ref="E1420:F1420"/>
    <mergeCell ref="H1420:I1420"/>
    <mergeCell ref="B1412:D1417"/>
    <mergeCell ref="E1412:F1412"/>
    <mergeCell ref="H1412:I1412"/>
    <mergeCell ref="E1413:F1413"/>
    <mergeCell ref="H1413:I1413"/>
    <mergeCell ref="E1414:F1414"/>
    <mergeCell ref="H1414:I1414"/>
    <mergeCell ref="E1415:F1415"/>
    <mergeCell ref="H1415:I1415"/>
    <mergeCell ref="E1416:F1416"/>
    <mergeCell ref="E1407:F1407"/>
    <mergeCell ref="H1407:I1407"/>
    <mergeCell ref="E1408:F1408"/>
    <mergeCell ref="H1408:I1408"/>
    <mergeCell ref="C1409:I1409"/>
    <mergeCell ref="B1410:D1411"/>
    <mergeCell ref="E1410:F1410"/>
    <mergeCell ref="H1410:I1410"/>
    <mergeCell ref="E1411:F1411"/>
    <mergeCell ref="H1411:I1411"/>
    <mergeCell ref="C1402:I1402"/>
    <mergeCell ref="B1403:D1408"/>
    <mergeCell ref="E1403:F1403"/>
    <mergeCell ref="H1403:I1403"/>
    <mergeCell ref="E1404:F1404"/>
    <mergeCell ref="H1404:I1404"/>
    <mergeCell ref="E1405:F1405"/>
    <mergeCell ref="H1405:I1405"/>
    <mergeCell ref="E1406:F1406"/>
    <mergeCell ref="H1406:I1406"/>
    <mergeCell ref="H1397:I1397"/>
    <mergeCell ref="E1398:F1398"/>
    <mergeCell ref="H1398:I1398"/>
    <mergeCell ref="B1399:D1401"/>
    <mergeCell ref="E1399:F1399"/>
    <mergeCell ref="H1399:I1399"/>
    <mergeCell ref="E1400:F1400"/>
    <mergeCell ref="H1400:I1400"/>
    <mergeCell ref="E1401:F1401"/>
    <mergeCell ref="H1401:I1401"/>
    <mergeCell ref="B1393:D1398"/>
    <mergeCell ref="E1393:F1393"/>
    <mergeCell ref="H1393:I1393"/>
    <mergeCell ref="E1394:F1394"/>
    <mergeCell ref="H1394:I1394"/>
    <mergeCell ref="E1395:F1395"/>
    <mergeCell ref="H1395:I1395"/>
    <mergeCell ref="E1396:F1396"/>
    <mergeCell ref="H1396:I1396"/>
    <mergeCell ref="E1397:F1397"/>
    <mergeCell ref="C1390:I1390"/>
    <mergeCell ref="B1391:D1392"/>
    <mergeCell ref="E1391:F1391"/>
    <mergeCell ref="H1391:I1391"/>
    <mergeCell ref="E1392:F1392"/>
    <mergeCell ref="H1392:I1392"/>
    <mergeCell ref="H1385:I1385"/>
    <mergeCell ref="E1386:F1386"/>
    <mergeCell ref="H1386:I1386"/>
    <mergeCell ref="B1387:D1389"/>
    <mergeCell ref="E1387:F1387"/>
    <mergeCell ref="H1387:I1387"/>
    <mergeCell ref="E1388:F1388"/>
    <mergeCell ref="H1388:I1388"/>
    <mergeCell ref="E1389:F1389"/>
    <mergeCell ref="H1389:I1389"/>
    <mergeCell ref="B1381:D1386"/>
    <mergeCell ref="E1381:F1381"/>
    <mergeCell ref="H1381:I1381"/>
    <mergeCell ref="E1382:F1382"/>
    <mergeCell ref="H1382:I1382"/>
    <mergeCell ref="E1383:F1383"/>
    <mergeCell ref="H1383:I1383"/>
    <mergeCell ref="E1384:F1384"/>
    <mergeCell ref="H1384:I1384"/>
    <mergeCell ref="E1385:F1385"/>
    <mergeCell ref="E1376:F1376"/>
    <mergeCell ref="H1376:I1376"/>
    <mergeCell ref="E1377:F1377"/>
    <mergeCell ref="H1377:I1377"/>
    <mergeCell ref="C1378:I1378"/>
    <mergeCell ref="B1379:D1380"/>
    <mergeCell ref="E1379:F1379"/>
    <mergeCell ref="H1379:I1379"/>
    <mergeCell ref="E1380:F1380"/>
    <mergeCell ref="H1380:I1380"/>
    <mergeCell ref="C1371:I1371"/>
    <mergeCell ref="B1372:D1377"/>
    <mergeCell ref="E1372:F1372"/>
    <mergeCell ref="H1372:I1372"/>
    <mergeCell ref="E1373:F1373"/>
    <mergeCell ref="H1373:I1373"/>
    <mergeCell ref="E1374:F1374"/>
    <mergeCell ref="H1374:I1374"/>
    <mergeCell ref="E1375:F1375"/>
    <mergeCell ref="H1375:I1375"/>
    <mergeCell ref="H1366:I1366"/>
    <mergeCell ref="E1367:F1367"/>
    <mergeCell ref="H1367:I1367"/>
    <mergeCell ref="B1368:D1370"/>
    <mergeCell ref="E1368:F1368"/>
    <mergeCell ref="H1368:I1368"/>
    <mergeCell ref="E1369:F1369"/>
    <mergeCell ref="H1369:I1369"/>
    <mergeCell ref="E1370:F1370"/>
    <mergeCell ref="H1370:I1370"/>
    <mergeCell ref="B1362:D1367"/>
    <mergeCell ref="E1362:F1362"/>
    <mergeCell ref="H1362:I1362"/>
    <mergeCell ref="E1363:F1363"/>
    <mergeCell ref="H1363:I1363"/>
    <mergeCell ref="E1364:F1364"/>
    <mergeCell ref="H1364:I1364"/>
    <mergeCell ref="E1365:F1365"/>
    <mergeCell ref="H1365:I1365"/>
    <mergeCell ref="E1366:F1366"/>
    <mergeCell ref="C1359:I1359"/>
    <mergeCell ref="B1360:D1361"/>
    <mergeCell ref="E1360:F1360"/>
    <mergeCell ref="H1360:I1360"/>
    <mergeCell ref="E1361:F1361"/>
    <mergeCell ref="H1361:I1361"/>
    <mergeCell ref="H1354:I1354"/>
    <mergeCell ref="E1355:F1355"/>
    <mergeCell ref="H1355:I1355"/>
    <mergeCell ref="B1356:D1358"/>
    <mergeCell ref="E1356:F1356"/>
    <mergeCell ref="H1356:I1356"/>
    <mergeCell ref="E1357:F1357"/>
    <mergeCell ref="H1357:I1357"/>
    <mergeCell ref="E1358:F1358"/>
    <mergeCell ref="H1358:I1358"/>
    <mergeCell ref="B1350:D1355"/>
    <mergeCell ref="E1350:F1350"/>
    <mergeCell ref="H1350:I1350"/>
    <mergeCell ref="E1351:F1351"/>
    <mergeCell ref="H1351:I1351"/>
    <mergeCell ref="E1352:F1352"/>
    <mergeCell ref="H1352:I1352"/>
    <mergeCell ref="E1353:F1353"/>
    <mergeCell ref="H1353:I1353"/>
    <mergeCell ref="E1354:F1354"/>
    <mergeCell ref="E1346:F1346"/>
    <mergeCell ref="H1346:I1346"/>
    <mergeCell ref="C1347:I1347"/>
    <mergeCell ref="B1348:D1349"/>
    <mergeCell ref="E1348:F1348"/>
    <mergeCell ref="H1348:I1348"/>
    <mergeCell ref="E1349:F1349"/>
    <mergeCell ref="H1349:I1349"/>
    <mergeCell ref="B1342:D1343"/>
    <mergeCell ref="E1342:F1342"/>
    <mergeCell ref="H1342:I1342"/>
    <mergeCell ref="E1343:F1343"/>
    <mergeCell ref="H1343:I1343"/>
    <mergeCell ref="B1344:D1346"/>
    <mergeCell ref="E1344:F1344"/>
    <mergeCell ref="H1344:I1344"/>
    <mergeCell ref="E1345:F1345"/>
    <mergeCell ref="H1345:I1345"/>
    <mergeCell ref="B1338:D1341"/>
    <mergeCell ref="E1338:F1338"/>
    <mergeCell ref="H1338:I1338"/>
    <mergeCell ref="E1339:F1339"/>
    <mergeCell ref="H1339:I1339"/>
    <mergeCell ref="E1340:F1340"/>
    <mergeCell ref="H1340:I1340"/>
    <mergeCell ref="E1341:F1341"/>
    <mergeCell ref="H1341:I1341"/>
    <mergeCell ref="C1335:I1335"/>
    <mergeCell ref="B1336:D1337"/>
    <mergeCell ref="E1336:F1336"/>
    <mergeCell ref="H1336:I1336"/>
    <mergeCell ref="E1337:F1337"/>
    <mergeCell ref="H1337:I1337"/>
    <mergeCell ref="H1330:I1330"/>
    <mergeCell ref="E1331:F1331"/>
    <mergeCell ref="H1331:I1331"/>
    <mergeCell ref="B1332:D1334"/>
    <mergeCell ref="E1332:F1332"/>
    <mergeCell ref="H1332:I1332"/>
    <mergeCell ref="E1333:F1333"/>
    <mergeCell ref="H1333:I1333"/>
    <mergeCell ref="E1334:F1334"/>
    <mergeCell ref="H1334:I1334"/>
    <mergeCell ref="B1326:D1331"/>
    <mergeCell ref="E1326:F1326"/>
    <mergeCell ref="H1326:I1326"/>
    <mergeCell ref="E1327:F1327"/>
    <mergeCell ref="H1327:I1327"/>
    <mergeCell ref="E1328:F1328"/>
    <mergeCell ref="H1328:I1328"/>
    <mergeCell ref="E1329:F1329"/>
    <mergeCell ref="H1329:I1329"/>
    <mergeCell ref="E1330:F1330"/>
    <mergeCell ref="C1323:I1323"/>
    <mergeCell ref="B1324:D1325"/>
    <mergeCell ref="E1324:F1324"/>
    <mergeCell ref="H1324:I1324"/>
    <mergeCell ref="E1325:F1325"/>
    <mergeCell ref="H1325:I1325"/>
    <mergeCell ref="H1318:I1318"/>
    <mergeCell ref="E1319:F1319"/>
    <mergeCell ref="H1319:I1319"/>
    <mergeCell ref="B1320:D1322"/>
    <mergeCell ref="E1320:F1320"/>
    <mergeCell ref="H1320:I1320"/>
    <mergeCell ref="E1321:F1321"/>
    <mergeCell ref="H1321:I1321"/>
    <mergeCell ref="E1322:F1322"/>
    <mergeCell ref="H1322:I1322"/>
    <mergeCell ref="B1314:D1319"/>
    <mergeCell ref="E1314:F1314"/>
    <mergeCell ref="H1314:I1314"/>
    <mergeCell ref="E1315:F1315"/>
    <mergeCell ref="H1315:I1315"/>
    <mergeCell ref="E1316:F1316"/>
    <mergeCell ref="H1316:I1316"/>
    <mergeCell ref="E1317:F1317"/>
    <mergeCell ref="H1317:I1317"/>
    <mergeCell ref="E1318:F1318"/>
    <mergeCell ref="C1311:I1311"/>
    <mergeCell ref="B1312:D1313"/>
    <mergeCell ref="E1312:F1312"/>
    <mergeCell ref="H1312:I1312"/>
    <mergeCell ref="E1313:F1313"/>
    <mergeCell ref="H1313:I1313"/>
    <mergeCell ref="H1306:I1306"/>
    <mergeCell ref="E1307:F1307"/>
    <mergeCell ref="H1307:I1307"/>
    <mergeCell ref="B1308:D1310"/>
    <mergeCell ref="E1308:F1308"/>
    <mergeCell ref="H1308:I1308"/>
    <mergeCell ref="E1309:F1309"/>
    <mergeCell ref="H1309:I1309"/>
    <mergeCell ref="E1310:F1310"/>
    <mergeCell ref="H1310:I1310"/>
    <mergeCell ref="B1302:D1307"/>
    <mergeCell ref="E1302:F1302"/>
    <mergeCell ref="H1302:I1302"/>
    <mergeCell ref="E1303:F1303"/>
    <mergeCell ref="H1303:I1303"/>
    <mergeCell ref="E1304:F1304"/>
    <mergeCell ref="H1304:I1304"/>
    <mergeCell ref="E1305:F1305"/>
    <mergeCell ref="H1305:I1305"/>
    <mergeCell ref="E1306:F1306"/>
    <mergeCell ref="H1297:I1297"/>
    <mergeCell ref="E1298:F1298"/>
    <mergeCell ref="H1298:I1298"/>
    <mergeCell ref="C1299:I1299"/>
    <mergeCell ref="B1300:D1301"/>
    <mergeCell ref="E1300:F1300"/>
    <mergeCell ref="H1300:I1300"/>
    <mergeCell ref="E1301:F1301"/>
    <mergeCell ref="H1301:I1301"/>
    <mergeCell ref="B1293:D1298"/>
    <mergeCell ref="E1293:F1293"/>
    <mergeCell ref="H1293:I1293"/>
    <mergeCell ref="E1294:F1294"/>
    <mergeCell ref="H1294:I1294"/>
    <mergeCell ref="E1295:F1295"/>
    <mergeCell ref="H1295:I1295"/>
    <mergeCell ref="E1296:F1296"/>
    <mergeCell ref="H1296:I1296"/>
    <mergeCell ref="E1297:F1297"/>
    <mergeCell ref="H1289:I1289"/>
    <mergeCell ref="E1290:F1290"/>
    <mergeCell ref="H1290:I1290"/>
    <mergeCell ref="E1291:F1291"/>
    <mergeCell ref="H1291:I1291"/>
    <mergeCell ref="E1292:F1292"/>
    <mergeCell ref="H1292:I1292"/>
    <mergeCell ref="E1285:F1285"/>
    <mergeCell ref="H1285:I1285"/>
    <mergeCell ref="E1286:F1286"/>
    <mergeCell ref="H1286:I1286"/>
    <mergeCell ref="B1287:D1292"/>
    <mergeCell ref="E1287:F1287"/>
    <mergeCell ref="H1287:I1287"/>
    <mergeCell ref="E1288:F1288"/>
    <mergeCell ref="H1288:I1288"/>
    <mergeCell ref="E1289:F1289"/>
    <mergeCell ref="E1280:F1280"/>
    <mergeCell ref="H1280:I1280"/>
    <mergeCell ref="E1281:F1281"/>
    <mergeCell ref="H1281:I1281"/>
    <mergeCell ref="C1282:I1282"/>
    <mergeCell ref="B1283:D1286"/>
    <mergeCell ref="E1283:F1283"/>
    <mergeCell ref="H1283:I1283"/>
    <mergeCell ref="E1284:F1284"/>
    <mergeCell ref="H1284:I1284"/>
    <mergeCell ref="C1275:I1275"/>
    <mergeCell ref="B1276:D1281"/>
    <mergeCell ref="E1276:F1276"/>
    <mergeCell ref="H1276:I1276"/>
    <mergeCell ref="E1277:F1277"/>
    <mergeCell ref="H1277:I1277"/>
    <mergeCell ref="E1278:F1278"/>
    <mergeCell ref="H1278:I1278"/>
    <mergeCell ref="E1279:F1279"/>
    <mergeCell ref="H1279:I1279"/>
    <mergeCell ref="E1271:F1271"/>
    <mergeCell ref="H1271:I1271"/>
    <mergeCell ref="E1272:F1272"/>
    <mergeCell ref="H1272:I1272"/>
    <mergeCell ref="B1273:D1274"/>
    <mergeCell ref="E1273:F1273"/>
    <mergeCell ref="H1273:I1273"/>
    <mergeCell ref="E1274:F1274"/>
    <mergeCell ref="H1274:I1274"/>
    <mergeCell ref="C1266:I1266"/>
    <mergeCell ref="B1267:D1272"/>
    <mergeCell ref="E1267:F1267"/>
    <mergeCell ref="H1267:I1267"/>
    <mergeCell ref="E1268:F1268"/>
    <mergeCell ref="H1268:I1268"/>
    <mergeCell ref="E1269:F1269"/>
    <mergeCell ref="H1269:I1269"/>
    <mergeCell ref="E1270:F1270"/>
    <mergeCell ref="H1270:I1270"/>
    <mergeCell ref="H1263:I1263"/>
    <mergeCell ref="E1264:F1264"/>
    <mergeCell ref="H1264:I1264"/>
    <mergeCell ref="B1265:D1265"/>
    <mergeCell ref="E1265:F1265"/>
    <mergeCell ref="H1265:I1265"/>
    <mergeCell ref="B1259:D1264"/>
    <mergeCell ref="E1259:F1259"/>
    <mergeCell ref="H1259:I1259"/>
    <mergeCell ref="E1260:F1260"/>
    <mergeCell ref="H1260:I1260"/>
    <mergeCell ref="E1261:F1261"/>
    <mergeCell ref="H1261:I1261"/>
    <mergeCell ref="E1262:F1262"/>
    <mergeCell ref="H1262:I1262"/>
    <mergeCell ref="E1263:F1263"/>
    <mergeCell ref="B1256:D1256"/>
    <mergeCell ref="E1256:F1256"/>
    <mergeCell ref="H1256:I1256"/>
    <mergeCell ref="C1257:I1257"/>
    <mergeCell ref="B1258:D1258"/>
    <mergeCell ref="E1258:F1258"/>
    <mergeCell ref="H1258:I1258"/>
    <mergeCell ref="H1252:I1252"/>
    <mergeCell ref="E1253:F1253"/>
    <mergeCell ref="H1253:I1253"/>
    <mergeCell ref="E1254:F1254"/>
    <mergeCell ref="H1254:I1254"/>
    <mergeCell ref="E1255:F1255"/>
    <mergeCell ref="H1255:I1255"/>
    <mergeCell ref="C1248:I1248"/>
    <mergeCell ref="B1249:D1249"/>
    <mergeCell ref="E1249:F1249"/>
    <mergeCell ref="H1249:I1249"/>
    <mergeCell ref="B1250:D1255"/>
    <mergeCell ref="E1250:F1250"/>
    <mergeCell ref="H1250:I1250"/>
    <mergeCell ref="E1251:F1251"/>
    <mergeCell ref="H1251:I1251"/>
    <mergeCell ref="E1252:F1252"/>
    <mergeCell ref="H1243:I1243"/>
    <mergeCell ref="E1244:F1244"/>
    <mergeCell ref="H1244:I1244"/>
    <mergeCell ref="B1245:D1247"/>
    <mergeCell ref="E1245:F1245"/>
    <mergeCell ref="H1245:I1245"/>
    <mergeCell ref="E1246:F1246"/>
    <mergeCell ref="H1246:I1246"/>
    <mergeCell ref="E1247:F1247"/>
    <mergeCell ref="H1247:I1247"/>
    <mergeCell ref="B1239:D1244"/>
    <mergeCell ref="E1239:F1239"/>
    <mergeCell ref="H1239:I1239"/>
    <mergeCell ref="E1240:F1240"/>
    <mergeCell ref="H1240:I1240"/>
    <mergeCell ref="E1241:F1241"/>
    <mergeCell ref="H1241:I1241"/>
    <mergeCell ref="E1242:F1242"/>
    <mergeCell ref="H1242:I1242"/>
    <mergeCell ref="E1243:F1243"/>
    <mergeCell ref="C1236:I1236"/>
    <mergeCell ref="B1237:D1238"/>
    <mergeCell ref="E1237:F1237"/>
    <mergeCell ref="H1237:I1237"/>
    <mergeCell ref="E1238:F1238"/>
    <mergeCell ref="H1238:I1238"/>
    <mergeCell ref="H1231:I1231"/>
    <mergeCell ref="E1232:F1232"/>
    <mergeCell ref="H1232:I1232"/>
    <mergeCell ref="B1233:D1235"/>
    <mergeCell ref="E1233:F1233"/>
    <mergeCell ref="H1233:I1233"/>
    <mergeCell ref="E1234:F1234"/>
    <mergeCell ref="H1234:I1234"/>
    <mergeCell ref="E1235:F1235"/>
    <mergeCell ref="H1235:I1235"/>
    <mergeCell ref="B1227:D1232"/>
    <mergeCell ref="E1227:F1227"/>
    <mergeCell ref="H1227:I1227"/>
    <mergeCell ref="E1228:F1228"/>
    <mergeCell ref="H1228:I1228"/>
    <mergeCell ref="E1229:F1229"/>
    <mergeCell ref="H1229:I1229"/>
    <mergeCell ref="E1230:F1230"/>
    <mergeCell ref="H1230:I1230"/>
    <mergeCell ref="E1231:F1231"/>
    <mergeCell ref="E1222:F1222"/>
    <mergeCell ref="H1222:I1222"/>
    <mergeCell ref="E1223:F1223"/>
    <mergeCell ref="H1223:I1223"/>
    <mergeCell ref="C1224:I1224"/>
    <mergeCell ref="B1225:D1226"/>
    <mergeCell ref="E1225:F1225"/>
    <mergeCell ref="H1225:I1225"/>
    <mergeCell ref="E1226:F1226"/>
    <mergeCell ref="H1226:I1226"/>
    <mergeCell ref="C1217:I1217"/>
    <mergeCell ref="B1218:D1223"/>
    <mergeCell ref="E1218:F1218"/>
    <mergeCell ref="H1218:I1218"/>
    <mergeCell ref="E1219:F1219"/>
    <mergeCell ref="H1219:I1219"/>
    <mergeCell ref="E1220:F1220"/>
    <mergeCell ref="H1220:I1220"/>
    <mergeCell ref="E1221:F1221"/>
    <mergeCell ref="H1221:I1221"/>
    <mergeCell ref="H1213:I1213"/>
    <mergeCell ref="E1214:F1214"/>
    <mergeCell ref="H1214:I1214"/>
    <mergeCell ref="E1215:F1215"/>
    <mergeCell ref="H1215:I1215"/>
    <mergeCell ref="E1216:F1216"/>
    <mergeCell ref="H1216:I1216"/>
    <mergeCell ref="B1209:D1209"/>
    <mergeCell ref="E1209:F1209"/>
    <mergeCell ref="H1209:I1209"/>
    <mergeCell ref="C1210:I1210"/>
    <mergeCell ref="B1211:D1216"/>
    <mergeCell ref="E1211:F1211"/>
    <mergeCell ref="H1211:I1211"/>
    <mergeCell ref="E1212:F1212"/>
    <mergeCell ref="H1212:I1212"/>
    <mergeCell ref="E1213:F1213"/>
    <mergeCell ref="E1206:F1206"/>
    <mergeCell ref="H1206:I1206"/>
    <mergeCell ref="E1207:F1207"/>
    <mergeCell ref="H1207:I1207"/>
    <mergeCell ref="E1208:F1208"/>
    <mergeCell ref="H1208:I1208"/>
    <mergeCell ref="E1201:F1201"/>
    <mergeCell ref="H1201:I1201"/>
    <mergeCell ref="E1202:F1202"/>
    <mergeCell ref="H1202:I1202"/>
    <mergeCell ref="C1203:I1203"/>
    <mergeCell ref="B1204:D1208"/>
    <mergeCell ref="E1204:F1204"/>
    <mergeCell ref="H1204:I1204"/>
    <mergeCell ref="E1205:F1205"/>
    <mergeCell ref="H1205:I1205"/>
    <mergeCell ref="C1196:I1196"/>
    <mergeCell ref="B1197:D1202"/>
    <mergeCell ref="E1197:F1197"/>
    <mergeCell ref="H1197:I1197"/>
    <mergeCell ref="E1198:F1198"/>
    <mergeCell ref="H1198:I1198"/>
    <mergeCell ref="E1199:F1199"/>
    <mergeCell ref="H1199:I1199"/>
    <mergeCell ref="E1200:F1200"/>
    <mergeCell ref="H1200:I1200"/>
    <mergeCell ref="H1191:I1191"/>
    <mergeCell ref="E1192:F1192"/>
    <mergeCell ref="H1192:I1192"/>
    <mergeCell ref="B1193:D1195"/>
    <mergeCell ref="E1193:F1193"/>
    <mergeCell ref="H1193:I1193"/>
    <mergeCell ref="E1194:F1194"/>
    <mergeCell ref="H1194:I1194"/>
    <mergeCell ref="E1195:F1195"/>
    <mergeCell ref="H1195:I1195"/>
    <mergeCell ref="B1187:D1192"/>
    <mergeCell ref="E1187:F1187"/>
    <mergeCell ref="H1187:I1187"/>
    <mergeCell ref="E1188:F1188"/>
    <mergeCell ref="H1188:I1188"/>
    <mergeCell ref="E1189:F1189"/>
    <mergeCell ref="H1189:I1189"/>
    <mergeCell ref="E1190:F1190"/>
    <mergeCell ref="H1190:I1190"/>
    <mergeCell ref="E1191:F1191"/>
    <mergeCell ref="E1183:F1183"/>
    <mergeCell ref="H1183:I1183"/>
    <mergeCell ref="C1184:I1184"/>
    <mergeCell ref="B1185:D1186"/>
    <mergeCell ref="E1185:F1185"/>
    <mergeCell ref="H1185:I1185"/>
    <mergeCell ref="E1186:F1186"/>
    <mergeCell ref="H1186:I1186"/>
    <mergeCell ref="E1180:F1180"/>
    <mergeCell ref="H1180:I1180"/>
    <mergeCell ref="E1181:F1181"/>
    <mergeCell ref="H1181:I1181"/>
    <mergeCell ref="E1182:F1182"/>
    <mergeCell ref="H1182:I1182"/>
    <mergeCell ref="E1175:F1175"/>
    <mergeCell ref="H1175:I1175"/>
    <mergeCell ref="E1176:F1176"/>
    <mergeCell ref="H1176:I1176"/>
    <mergeCell ref="C1177:I1177"/>
    <mergeCell ref="B1178:D1183"/>
    <mergeCell ref="E1178:F1178"/>
    <mergeCell ref="H1178:I1178"/>
    <mergeCell ref="E1179:F1179"/>
    <mergeCell ref="H1179:I1179"/>
    <mergeCell ref="C1170:I1170"/>
    <mergeCell ref="B1171:D1176"/>
    <mergeCell ref="E1171:F1171"/>
    <mergeCell ref="H1171:I1171"/>
    <mergeCell ref="E1172:F1172"/>
    <mergeCell ref="H1172:I1172"/>
    <mergeCell ref="E1173:F1173"/>
    <mergeCell ref="H1173:I1173"/>
    <mergeCell ref="E1174:F1174"/>
    <mergeCell ref="H1174:I1174"/>
    <mergeCell ref="E1166:F1166"/>
    <mergeCell ref="H1166:I1166"/>
    <mergeCell ref="E1167:F1167"/>
    <mergeCell ref="H1167:I1167"/>
    <mergeCell ref="C1168:I1168"/>
    <mergeCell ref="B1169:D1169"/>
    <mergeCell ref="E1169:F1169"/>
    <mergeCell ref="H1169:I1169"/>
    <mergeCell ref="C1161:I1161"/>
    <mergeCell ref="B1162:D1167"/>
    <mergeCell ref="E1162:F1162"/>
    <mergeCell ref="H1162:I1162"/>
    <mergeCell ref="E1163:F1163"/>
    <mergeCell ref="H1163:I1163"/>
    <mergeCell ref="E1164:F1164"/>
    <mergeCell ref="H1164:I1164"/>
    <mergeCell ref="E1165:F1165"/>
    <mergeCell ref="H1165:I1165"/>
    <mergeCell ref="H1156:I1156"/>
    <mergeCell ref="E1157:F1157"/>
    <mergeCell ref="H1157:I1157"/>
    <mergeCell ref="B1158:D1160"/>
    <mergeCell ref="E1158:F1158"/>
    <mergeCell ref="H1158:I1158"/>
    <mergeCell ref="E1159:F1159"/>
    <mergeCell ref="H1159:I1159"/>
    <mergeCell ref="E1160:F1160"/>
    <mergeCell ref="H1160:I1160"/>
    <mergeCell ref="B1152:D1157"/>
    <mergeCell ref="E1152:F1152"/>
    <mergeCell ref="H1152:I1152"/>
    <mergeCell ref="E1153:F1153"/>
    <mergeCell ref="H1153:I1153"/>
    <mergeCell ref="E1154:F1154"/>
    <mergeCell ref="H1154:I1154"/>
    <mergeCell ref="E1155:F1155"/>
    <mergeCell ref="H1155:I1155"/>
    <mergeCell ref="E1156:F1156"/>
    <mergeCell ref="C1149:I1149"/>
    <mergeCell ref="B1150:D1151"/>
    <mergeCell ref="E1150:F1150"/>
    <mergeCell ref="H1150:I1150"/>
    <mergeCell ref="E1151:F1151"/>
    <mergeCell ref="H1151:I1151"/>
    <mergeCell ref="H1146:I1146"/>
    <mergeCell ref="B1147:D1148"/>
    <mergeCell ref="E1147:F1147"/>
    <mergeCell ref="H1147:I1147"/>
    <mergeCell ref="E1148:F1148"/>
    <mergeCell ref="H1148:I1148"/>
    <mergeCell ref="B1142:D1146"/>
    <mergeCell ref="E1142:F1142"/>
    <mergeCell ref="H1142:I1142"/>
    <mergeCell ref="E1143:F1143"/>
    <mergeCell ref="H1143:I1143"/>
    <mergeCell ref="E1144:F1144"/>
    <mergeCell ref="H1144:I1144"/>
    <mergeCell ref="E1145:F1145"/>
    <mergeCell ref="H1145:I1145"/>
    <mergeCell ref="E1146:F1146"/>
    <mergeCell ref="E1138:F1138"/>
    <mergeCell ref="H1138:I1138"/>
    <mergeCell ref="E1139:F1139"/>
    <mergeCell ref="H1139:I1139"/>
    <mergeCell ref="C1140:I1140"/>
    <mergeCell ref="B1141:D1141"/>
    <mergeCell ref="E1141:F1141"/>
    <mergeCell ref="H1141:I1141"/>
    <mergeCell ref="C1133:I1133"/>
    <mergeCell ref="B1134:D1139"/>
    <mergeCell ref="E1134:F1134"/>
    <mergeCell ref="H1134:I1134"/>
    <mergeCell ref="E1135:F1135"/>
    <mergeCell ref="H1135:I1135"/>
    <mergeCell ref="E1136:F1136"/>
    <mergeCell ref="H1136:I1136"/>
    <mergeCell ref="E1137:F1137"/>
    <mergeCell ref="H1137:I1137"/>
    <mergeCell ref="H1128:I1128"/>
    <mergeCell ref="E1129:F1129"/>
    <mergeCell ref="H1129:I1129"/>
    <mergeCell ref="B1130:D1132"/>
    <mergeCell ref="E1130:F1130"/>
    <mergeCell ref="H1130:I1130"/>
    <mergeCell ref="E1131:F1131"/>
    <mergeCell ref="H1131:I1131"/>
    <mergeCell ref="E1132:F1132"/>
    <mergeCell ref="H1132:I1132"/>
    <mergeCell ref="B1124:D1129"/>
    <mergeCell ref="E1124:F1124"/>
    <mergeCell ref="H1124:I1124"/>
    <mergeCell ref="E1125:F1125"/>
    <mergeCell ref="H1125:I1125"/>
    <mergeCell ref="E1126:F1126"/>
    <mergeCell ref="H1126:I1126"/>
    <mergeCell ref="E1127:F1127"/>
    <mergeCell ref="H1127:I1127"/>
    <mergeCell ref="E1128:F1128"/>
    <mergeCell ref="C1121:I1121"/>
    <mergeCell ref="B1122:D1123"/>
    <mergeCell ref="E1122:F1122"/>
    <mergeCell ref="H1122:I1122"/>
    <mergeCell ref="E1123:F1123"/>
    <mergeCell ref="H1123:I1123"/>
    <mergeCell ref="E1118:F1118"/>
    <mergeCell ref="H1118:I1118"/>
    <mergeCell ref="E1119:F1119"/>
    <mergeCell ref="H1119:I1119"/>
    <mergeCell ref="E1120:F1120"/>
    <mergeCell ref="H1120:I1120"/>
    <mergeCell ref="H1113:I1113"/>
    <mergeCell ref="E1114:F1114"/>
    <mergeCell ref="H1114:I1114"/>
    <mergeCell ref="B1115:D1120"/>
    <mergeCell ref="E1115:F1115"/>
    <mergeCell ref="H1115:I1115"/>
    <mergeCell ref="E1116:F1116"/>
    <mergeCell ref="H1116:I1116"/>
    <mergeCell ref="E1117:F1117"/>
    <mergeCell ref="H1117:I1117"/>
    <mergeCell ref="B1109:D1114"/>
    <mergeCell ref="E1109:F1109"/>
    <mergeCell ref="H1109:I1109"/>
    <mergeCell ref="E1110:F1110"/>
    <mergeCell ref="H1110:I1110"/>
    <mergeCell ref="E1111:F1111"/>
    <mergeCell ref="H1111:I1111"/>
    <mergeCell ref="E1112:F1112"/>
    <mergeCell ref="H1112:I1112"/>
    <mergeCell ref="E1113:F1113"/>
    <mergeCell ref="C1104:I1104"/>
    <mergeCell ref="B1105:D1108"/>
    <mergeCell ref="E1105:F1105"/>
    <mergeCell ref="H1105:I1105"/>
    <mergeCell ref="E1106:F1106"/>
    <mergeCell ref="H1106:I1106"/>
    <mergeCell ref="E1107:F1107"/>
    <mergeCell ref="H1107:I1107"/>
    <mergeCell ref="E1108:F1108"/>
    <mergeCell ref="H1108:I1108"/>
    <mergeCell ref="H1099:I1099"/>
    <mergeCell ref="E1100:F1100"/>
    <mergeCell ref="H1100:I1100"/>
    <mergeCell ref="B1101:D1103"/>
    <mergeCell ref="E1101:F1101"/>
    <mergeCell ref="H1101:I1101"/>
    <mergeCell ref="E1102:F1102"/>
    <mergeCell ref="H1102:I1102"/>
    <mergeCell ref="E1103:F1103"/>
    <mergeCell ref="H1103:I1103"/>
    <mergeCell ref="B1095:D1100"/>
    <mergeCell ref="E1095:F1095"/>
    <mergeCell ref="H1095:I1095"/>
    <mergeCell ref="E1096:F1096"/>
    <mergeCell ref="H1096:I1096"/>
    <mergeCell ref="E1097:F1097"/>
    <mergeCell ref="H1097:I1097"/>
    <mergeCell ref="E1098:F1098"/>
    <mergeCell ref="H1098:I1098"/>
    <mergeCell ref="E1099:F1099"/>
    <mergeCell ref="C1092:I1092"/>
    <mergeCell ref="B1093:D1094"/>
    <mergeCell ref="E1093:F1093"/>
    <mergeCell ref="H1093:I1093"/>
    <mergeCell ref="E1094:F1094"/>
    <mergeCell ref="H1094:I1094"/>
    <mergeCell ref="H1087:I1087"/>
    <mergeCell ref="E1088:F1088"/>
    <mergeCell ref="H1088:I1088"/>
    <mergeCell ref="B1089:D1091"/>
    <mergeCell ref="E1089:F1089"/>
    <mergeCell ref="H1089:I1089"/>
    <mergeCell ref="E1090:F1090"/>
    <mergeCell ref="H1090:I1090"/>
    <mergeCell ref="E1091:F1091"/>
    <mergeCell ref="H1091:I1091"/>
    <mergeCell ref="B1083:D1088"/>
    <mergeCell ref="E1083:F1083"/>
    <mergeCell ref="H1083:I1083"/>
    <mergeCell ref="E1084:F1084"/>
    <mergeCell ref="H1084:I1084"/>
    <mergeCell ref="E1085:F1085"/>
    <mergeCell ref="H1085:I1085"/>
    <mergeCell ref="E1086:F1086"/>
    <mergeCell ref="H1086:I1086"/>
    <mergeCell ref="E1087:F1087"/>
    <mergeCell ref="E1079:F1079"/>
    <mergeCell ref="H1079:I1079"/>
    <mergeCell ref="C1080:I1080"/>
    <mergeCell ref="B1081:D1082"/>
    <mergeCell ref="E1081:F1081"/>
    <mergeCell ref="H1081:I1081"/>
    <mergeCell ref="E1082:F1082"/>
    <mergeCell ref="H1082:I1082"/>
    <mergeCell ref="B1075:D1076"/>
    <mergeCell ref="E1075:F1075"/>
    <mergeCell ref="H1075:I1075"/>
    <mergeCell ref="E1076:F1076"/>
    <mergeCell ref="H1076:I1076"/>
    <mergeCell ref="B1077:D1079"/>
    <mergeCell ref="E1077:F1077"/>
    <mergeCell ref="H1077:I1077"/>
    <mergeCell ref="E1078:F1078"/>
    <mergeCell ref="H1078:I1078"/>
    <mergeCell ref="B1071:D1074"/>
    <mergeCell ref="E1071:F1071"/>
    <mergeCell ref="H1071:I1071"/>
    <mergeCell ref="E1072:F1072"/>
    <mergeCell ref="H1072:I1072"/>
    <mergeCell ref="E1073:F1073"/>
    <mergeCell ref="H1073:I1073"/>
    <mergeCell ref="E1074:F1074"/>
    <mergeCell ref="H1074:I1074"/>
    <mergeCell ref="C1068:I1068"/>
    <mergeCell ref="B1069:D1070"/>
    <mergeCell ref="E1069:F1069"/>
    <mergeCell ref="H1069:I1069"/>
    <mergeCell ref="E1070:F1070"/>
    <mergeCell ref="H1070:I1070"/>
    <mergeCell ref="H1063:I1063"/>
    <mergeCell ref="E1064:F1064"/>
    <mergeCell ref="H1064:I1064"/>
    <mergeCell ref="B1065:D1067"/>
    <mergeCell ref="E1065:F1065"/>
    <mergeCell ref="H1065:I1065"/>
    <mergeCell ref="E1066:F1066"/>
    <mergeCell ref="H1066:I1066"/>
    <mergeCell ref="E1067:F1067"/>
    <mergeCell ref="H1067:I1067"/>
    <mergeCell ref="B1059:D1064"/>
    <mergeCell ref="E1059:F1059"/>
    <mergeCell ref="H1059:I1059"/>
    <mergeCell ref="E1060:F1060"/>
    <mergeCell ref="H1060:I1060"/>
    <mergeCell ref="E1061:F1061"/>
    <mergeCell ref="H1061:I1061"/>
    <mergeCell ref="E1062:F1062"/>
    <mergeCell ref="H1062:I1062"/>
    <mergeCell ref="E1063:F1063"/>
    <mergeCell ref="B1055:D1055"/>
    <mergeCell ref="E1055:F1055"/>
    <mergeCell ref="H1055:I1055"/>
    <mergeCell ref="C1056:I1056"/>
    <mergeCell ref="B1057:D1058"/>
    <mergeCell ref="E1057:F1057"/>
    <mergeCell ref="H1057:I1057"/>
    <mergeCell ref="E1058:F1058"/>
    <mergeCell ref="H1058:I1058"/>
    <mergeCell ref="E1051:F1051"/>
    <mergeCell ref="H1051:I1051"/>
    <mergeCell ref="E1052:F1052"/>
    <mergeCell ref="H1052:I1052"/>
    <mergeCell ref="C1053:I1053"/>
    <mergeCell ref="B1054:D1054"/>
    <mergeCell ref="E1054:F1054"/>
    <mergeCell ref="H1054:I1054"/>
    <mergeCell ref="C1046:I1046"/>
    <mergeCell ref="B1047:D1052"/>
    <mergeCell ref="E1047:F1047"/>
    <mergeCell ref="H1047:I1047"/>
    <mergeCell ref="E1048:F1048"/>
    <mergeCell ref="H1048:I1048"/>
    <mergeCell ref="E1049:F1049"/>
    <mergeCell ref="H1049:I1049"/>
    <mergeCell ref="E1050:F1050"/>
    <mergeCell ref="H1050:I1050"/>
    <mergeCell ref="B1043:D1045"/>
    <mergeCell ref="E1043:F1043"/>
    <mergeCell ref="H1043:I1043"/>
    <mergeCell ref="E1044:F1044"/>
    <mergeCell ref="H1044:I1044"/>
    <mergeCell ref="E1045:F1045"/>
    <mergeCell ref="H1045:I1045"/>
    <mergeCell ref="H1039:I1039"/>
    <mergeCell ref="E1040:F1040"/>
    <mergeCell ref="H1040:I1040"/>
    <mergeCell ref="E1041:F1041"/>
    <mergeCell ref="H1041:I1041"/>
    <mergeCell ref="E1042:F1042"/>
    <mergeCell ref="H1042:I1042"/>
    <mergeCell ref="B1035:D1042"/>
    <mergeCell ref="E1035:F1035"/>
    <mergeCell ref="H1035:I1035"/>
    <mergeCell ref="E1036:F1036"/>
    <mergeCell ref="H1036:I1036"/>
    <mergeCell ref="E1037:F1037"/>
    <mergeCell ref="H1037:I1037"/>
    <mergeCell ref="E1038:F1038"/>
    <mergeCell ref="H1038:I1038"/>
    <mergeCell ref="E1039:F1039"/>
    <mergeCell ref="C1032:I1032"/>
    <mergeCell ref="B1033:D1034"/>
    <mergeCell ref="E1033:F1033"/>
    <mergeCell ref="H1033:I1033"/>
    <mergeCell ref="E1034:F1034"/>
    <mergeCell ref="H1034:I1034"/>
    <mergeCell ref="H1027:I1027"/>
    <mergeCell ref="E1028:F1028"/>
    <mergeCell ref="H1028:I1028"/>
    <mergeCell ref="B1029:D1031"/>
    <mergeCell ref="E1029:F1029"/>
    <mergeCell ref="H1029:I1029"/>
    <mergeCell ref="E1030:F1030"/>
    <mergeCell ref="H1030:I1030"/>
    <mergeCell ref="E1031:F1031"/>
    <mergeCell ref="H1031:I1031"/>
    <mergeCell ref="B1023:D1028"/>
    <mergeCell ref="E1023:F1023"/>
    <mergeCell ref="H1023:I1023"/>
    <mergeCell ref="E1024:F1024"/>
    <mergeCell ref="H1024:I1024"/>
    <mergeCell ref="E1025:F1025"/>
    <mergeCell ref="H1025:I1025"/>
    <mergeCell ref="E1026:F1026"/>
    <mergeCell ref="H1026:I1026"/>
    <mergeCell ref="E1027:F1027"/>
    <mergeCell ref="H1018:I1018"/>
    <mergeCell ref="E1019:F1019"/>
    <mergeCell ref="H1019:I1019"/>
    <mergeCell ref="C1020:I1020"/>
    <mergeCell ref="B1021:D1022"/>
    <mergeCell ref="E1021:F1021"/>
    <mergeCell ref="H1021:I1021"/>
    <mergeCell ref="E1022:F1022"/>
    <mergeCell ref="H1022:I1022"/>
    <mergeCell ref="B1014:D1019"/>
    <mergeCell ref="E1014:F1014"/>
    <mergeCell ref="H1014:I1014"/>
    <mergeCell ref="E1015:F1015"/>
    <mergeCell ref="H1015:I1015"/>
    <mergeCell ref="E1016:F1016"/>
    <mergeCell ref="H1016:I1016"/>
    <mergeCell ref="E1017:F1017"/>
    <mergeCell ref="H1017:I1017"/>
    <mergeCell ref="E1018:F1018"/>
    <mergeCell ref="H1010:I1010"/>
    <mergeCell ref="E1011:F1011"/>
    <mergeCell ref="H1011:I1011"/>
    <mergeCell ref="E1012:F1012"/>
    <mergeCell ref="H1012:I1012"/>
    <mergeCell ref="C1013:I1013"/>
    <mergeCell ref="C1006:I1006"/>
    <mergeCell ref="B1007:D1007"/>
    <mergeCell ref="E1007:F1007"/>
    <mergeCell ref="H1007:I1007"/>
    <mergeCell ref="B1008:D1012"/>
    <mergeCell ref="E1008:F1008"/>
    <mergeCell ref="H1008:I1008"/>
    <mergeCell ref="E1009:F1009"/>
    <mergeCell ref="H1009:I1009"/>
    <mergeCell ref="E1010:F1010"/>
    <mergeCell ref="H1001:I1001"/>
    <mergeCell ref="E1002:F1002"/>
    <mergeCell ref="H1002:I1002"/>
    <mergeCell ref="B1003:D1005"/>
    <mergeCell ref="E1003:F1003"/>
    <mergeCell ref="H1003:I1003"/>
    <mergeCell ref="E1004:F1004"/>
    <mergeCell ref="H1004:I1004"/>
    <mergeCell ref="E1005:F1005"/>
    <mergeCell ref="H1005:I1005"/>
    <mergeCell ref="B997:D1002"/>
    <mergeCell ref="E997:F997"/>
    <mergeCell ref="H997:I997"/>
    <mergeCell ref="E998:F998"/>
    <mergeCell ref="H998:I998"/>
    <mergeCell ref="E999:F999"/>
    <mergeCell ref="H999:I999"/>
    <mergeCell ref="E1000:F1000"/>
    <mergeCell ref="H1000:I1000"/>
    <mergeCell ref="E1001:F1001"/>
    <mergeCell ref="E993:F993"/>
    <mergeCell ref="H993:I993"/>
    <mergeCell ref="C994:I994"/>
    <mergeCell ref="B995:D996"/>
    <mergeCell ref="E995:F995"/>
    <mergeCell ref="H995:I995"/>
    <mergeCell ref="E996:F996"/>
    <mergeCell ref="H996:I996"/>
    <mergeCell ref="E990:F990"/>
    <mergeCell ref="H990:I990"/>
    <mergeCell ref="E991:F991"/>
    <mergeCell ref="H991:I991"/>
    <mergeCell ref="E992:F992"/>
    <mergeCell ref="H992:I992"/>
    <mergeCell ref="E985:F985"/>
    <mergeCell ref="H985:I985"/>
    <mergeCell ref="E986:F986"/>
    <mergeCell ref="H986:I986"/>
    <mergeCell ref="C987:I987"/>
    <mergeCell ref="B988:D993"/>
    <mergeCell ref="E988:F988"/>
    <mergeCell ref="H988:I988"/>
    <mergeCell ref="E989:F989"/>
    <mergeCell ref="H989:I989"/>
    <mergeCell ref="C980:I980"/>
    <mergeCell ref="B981:D986"/>
    <mergeCell ref="E981:F981"/>
    <mergeCell ref="H981:I981"/>
    <mergeCell ref="E982:F982"/>
    <mergeCell ref="H982:I982"/>
    <mergeCell ref="E983:F983"/>
    <mergeCell ref="H983:I983"/>
    <mergeCell ref="E984:F984"/>
    <mergeCell ref="H984:I984"/>
    <mergeCell ref="E976:F976"/>
    <mergeCell ref="H976:I976"/>
    <mergeCell ref="E977:F977"/>
    <mergeCell ref="H977:I977"/>
    <mergeCell ref="B978:D979"/>
    <mergeCell ref="E978:F978"/>
    <mergeCell ref="H978:I978"/>
    <mergeCell ref="E979:F979"/>
    <mergeCell ref="H979:I979"/>
    <mergeCell ref="C971:I971"/>
    <mergeCell ref="B972:D977"/>
    <mergeCell ref="E972:F972"/>
    <mergeCell ref="H972:I972"/>
    <mergeCell ref="E973:F973"/>
    <mergeCell ref="H973:I973"/>
    <mergeCell ref="E974:F974"/>
    <mergeCell ref="H974:I974"/>
    <mergeCell ref="E975:F975"/>
    <mergeCell ref="H975:I975"/>
    <mergeCell ref="H966:I966"/>
    <mergeCell ref="E967:F967"/>
    <mergeCell ref="H967:I967"/>
    <mergeCell ref="B968:D970"/>
    <mergeCell ref="E968:F968"/>
    <mergeCell ref="H968:I968"/>
    <mergeCell ref="E969:F969"/>
    <mergeCell ref="H969:I969"/>
    <mergeCell ref="E970:F970"/>
    <mergeCell ref="H970:I970"/>
    <mergeCell ref="B962:D967"/>
    <mergeCell ref="E962:F962"/>
    <mergeCell ref="H962:I962"/>
    <mergeCell ref="E963:F963"/>
    <mergeCell ref="H963:I963"/>
    <mergeCell ref="E964:F964"/>
    <mergeCell ref="H964:I964"/>
    <mergeCell ref="E965:F965"/>
    <mergeCell ref="H965:I965"/>
    <mergeCell ref="E966:F966"/>
    <mergeCell ref="H957:I957"/>
    <mergeCell ref="E958:F958"/>
    <mergeCell ref="H958:I958"/>
    <mergeCell ref="C959:I959"/>
    <mergeCell ref="B960:D961"/>
    <mergeCell ref="E960:F960"/>
    <mergeCell ref="H960:I960"/>
    <mergeCell ref="E961:F961"/>
    <mergeCell ref="H961:I961"/>
    <mergeCell ref="B953:D958"/>
    <mergeCell ref="E953:F953"/>
    <mergeCell ref="H953:I953"/>
    <mergeCell ref="E954:F954"/>
    <mergeCell ref="H954:I954"/>
    <mergeCell ref="E955:F955"/>
    <mergeCell ref="H955:I955"/>
    <mergeCell ref="E956:F956"/>
    <mergeCell ref="H956:I956"/>
    <mergeCell ref="E957:F957"/>
    <mergeCell ref="H949:I949"/>
    <mergeCell ref="E950:F950"/>
    <mergeCell ref="H950:I950"/>
    <mergeCell ref="E951:F951"/>
    <mergeCell ref="H951:I951"/>
    <mergeCell ref="C952:I952"/>
    <mergeCell ref="H944:I944"/>
    <mergeCell ref="C945:I945"/>
    <mergeCell ref="B946:D951"/>
    <mergeCell ref="E946:F946"/>
    <mergeCell ref="H946:I946"/>
    <mergeCell ref="E947:F947"/>
    <mergeCell ref="H947:I947"/>
    <mergeCell ref="E948:F948"/>
    <mergeCell ref="H948:I948"/>
    <mergeCell ref="E949:F949"/>
    <mergeCell ref="H940:I940"/>
    <mergeCell ref="B941:D941"/>
    <mergeCell ref="E941:F941"/>
    <mergeCell ref="H941:I941"/>
    <mergeCell ref="B942:D944"/>
    <mergeCell ref="E942:F942"/>
    <mergeCell ref="H942:I942"/>
    <mergeCell ref="E943:F943"/>
    <mergeCell ref="H943:I943"/>
    <mergeCell ref="E944:F944"/>
    <mergeCell ref="B936:D940"/>
    <mergeCell ref="E936:F936"/>
    <mergeCell ref="H936:I936"/>
    <mergeCell ref="E937:F937"/>
    <mergeCell ref="H937:I937"/>
    <mergeCell ref="E938:F938"/>
    <mergeCell ref="H938:I938"/>
    <mergeCell ref="E939:F939"/>
    <mergeCell ref="H939:I939"/>
    <mergeCell ref="E940:F940"/>
    <mergeCell ref="E931:F931"/>
    <mergeCell ref="H931:I931"/>
    <mergeCell ref="E932:F932"/>
    <mergeCell ref="H932:I932"/>
    <mergeCell ref="C933:I933"/>
    <mergeCell ref="B934:D935"/>
    <mergeCell ref="E934:F934"/>
    <mergeCell ref="H934:I934"/>
    <mergeCell ref="E935:F935"/>
    <mergeCell ref="H935:I935"/>
    <mergeCell ref="C926:I926"/>
    <mergeCell ref="B927:D932"/>
    <mergeCell ref="E927:F927"/>
    <mergeCell ref="H927:I927"/>
    <mergeCell ref="E928:F928"/>
    <mergeCell ref="H928:I928"/>
    <mergeCell ref="E929:F929"/>
    <mergeCell ref="H929:I929"/>
    <mergeCell ref="E930:F930"/>
    <mergeCell ref="H930:I930"/>
    <mergeCell ref="H921:I921"/>
    <mergeCell ref="E922:F922"/>
    <mergeCell ref="H922:I922"/>
    <mergeCell ref="B923:D925"/>
    <mergeCell ref="E923:F923"/>
    <mergeCell ref="H923:I923"/>
    <mergeCell ref="E924:F924"/>
    <mergeCell ref="H924:I924"/>
    <mergeCell ref="E925:F925"/>
    <mergeCell ref="H925:I925"/>
    <mergeCell ref="B917:D922"/>
    <mergeCell ref="E917:F917"/>
    <mergeCell ref="H917:I917"/>
    <mergeCell ref="E918:F918"/>
    <mergeCell ref="H918:I918"/>
    <mergeCell ref="E919:F919"/>
    <mergeCell ref="H919:I919"/>
    <mergeCell ref="E920:F920"/>
    <mergeCell ref="H920:I920"/>
    <mergeCell ref="E921:F921"/>
    <mergeCell ref="C914:I914"/>
    <mergeCell ref="B915:D916"/>
    <mergeCell ref="E915:F915"/>
    <mergeCell ref="H915:I915"/>
    <mergeCell ref="E916:F916"/>
    <mergeCell ref="H916:I916"/>
    <mergeCell ref="H909:I909"/>
    <mergeCell ref="E910:F910"/>
    <mergeCell ref="H910:I910"/>
    <mergeCell ref="B911:D913"/>
    <mergeCell ref="E911:F911"/>
    <mergeCell ref="H911:I911"/>
    <mergeCell ref="E912:F912"/>
    <mergeCell ref="H912:I912"/>
    <mergeCell ref="E913:F913"/>
    <mergeCell ref="H913:I913"/>
    <mergeCell ref="B905:D910"/>
    <mergeCell ref="E905:F905"/>
    <mergeCell ref="H905:I905"/>
    <mergeCell ref="E906:F906"/>
    <mergeCell ref="H906:I906"/>
    <mergeCell ref="E907:F907"/>
    <mergeCell ref="H907:I907"/>
    <mergeCell ref="E908:F908"/>
    <mergeCell ref="H908:I908"/>
    <mergeCell ref="E909:F909"/>
    <mergeCell ref="C902:I902"/>
    <mergeCell ref="B903:D904"/>
    <mergeCell ref="E903:F903"/>
    <mergeCell ref="H903:I903"/>
    <mergeCell ref="E904:F904"/>
    <mergeCell ref="H904:I904"/>
    <mergeCell ref="E898:F898"/>
    <mergeCell ref="H898:I898"/>
    <mergeCell ref="B899:D901"/>
    <mergeCell ref="E899:F899"/>
    <mergeCell ref="H899:I899"/>
    <mergeCell ref="E900:F900"/>
    <mergeCell ref="H900:I900"/>
    <mergeCell ref="E901:F901"/>
    <mergeCell ref="H901:I901"/>
    <mergeCell ref="E895:F895"/>
    <mergeCell ref="H895:I895"/>
    <mergeCell ref="E896:F896"/>
    <mergeCell ref="H896:I896"/>
    <mergeCell ref="E897:F897"/>
    <mergeCell ref="H897:I897"/>
    <mergeCell ref="B891:D892"/>
    <mergeCell ref="E891:F891"/>
    <mergeCell ref="H891:I891"/>
    <mergeCell ref="E892:F892"/>
    <mergeCell ref="H892:I892"/>
    <mergeCell ref="B893:D898"/>
    <mergeCell ref="E893:F893"/>
    <mergeCell ref="H893:I893"/>
    <mergeCell ref="E894:F894"/>
    <mergeCell ref="H894:I894"/>
    <mergeCell ref="E888:F888"/>
    <mergeCell ref="H888:I888"/>
    <mergeCell ref="B889:D889"/>
    <mergeCell ref="E889:F889"/>
    <mergeCell ref="H889:I889"/>
    <mergeCell ref="C890:I890"/>
    <mergeCell ref="E885:F885"/>
    <mergeCell ref="H885:I885"/>
    <mergeCell ref="E886:F886"/>
    <mergeCell ref="H886:I886"/>
    <mergeCell ref="E887:F887"/>
    <mergeCell ref="H887:I887"/>
    <mergeCell ref="H880:I880"/>
    <mergeCell ref="C881:I881"/>
    <mergeCell ref="B882:D882"/>
    <mergeCell ref="E882:F882"/>
    <mergeCell ref="H882:I882"/>
    <mergeCell ref="B883:D888"/>
    <mergeCell ref="E883:F883"/>
    <mergeCell ref="H883:I883"/>
    <mergeCell ref="E884:F884"/>
    <mergeCell ref="H884:I884"/>
    <mergeCell ref="E876:F876"/>
    <mergeCell ref="H876:I876"/>
    <mergeCell ref="E877:F877"/>
    <mergeCell ref="H877:I877"/>
    <mergeCell ref="B878:D880"/>
    <mergeCell ref="E878:F878"/>
    <mergeCell ref="H878:I878"/>
    <mergeCell ref="E879:F879"/>
    <mergeCell ref="H879:I879"/>
    <mergeCell ref="E880:F880"/>
    <mergeCell ref="B872:D873"/>
    <mergeCell ref="E872:F872"/>
    <mergeCell ref="H872:I872"/>
    <mergeCell ref="E873:F873"/>
    <mergeCell ref="H873:I873"/>
    <mergeCell ref="B874:D877"/>
    <mergeCell ref="E874:F874"/>
    <mergeCell ref="H874:I874"/>
    <mergeCell ref="E875:F875"/>
    <mergeCell ref="H875:I875"/>
    <mergeCell ref="E867:F867"/>
    <mergeCell ref="H867:I867"/>
    <mergeCell ref="E868:F868"/>
    <mergeCell ref="H868:I868"/>
    <mergeCell ref="C869:I869"/>
    <mergeCell ref="B870:D871"/>
    <mergeCell ref="E870:F870"/>
    <mergeCell ref="H870:I870"/>
    <mergeCell ref="E871:F871"/>
    <mergeCell ref="H871:I871"/>
    <mergeCell ref="C862:I862"/>
    <mergeCell ref="B863:D868"/>
    <mergeCell ref="E863:F863"/>
    <mergeCell ref="H863:I863"/>
    <mergeCell ref="E864:F864"/>
    <mergeCell ref="H864:I864"/>
    <mergeCell ref="E865:F865"/>
    <mergeCell ref="H865:I865"/>
    <mergeCell ref="E866:F866"/>
    <mergeCell ref="H866:I866"/>
    <mergeCell ref="H857:I857"/>
    <mergeCell ref="E858:F858"/>
    <mergeCell ref="H858:I858"/>
    <mergeCell ref="B859:D861"/>
    <mergeCell ref="E859:F859"/>
    <mergeCell ref="H859:I859"/>
    <mergeCell ref="E860:F860"/>
    <mergeCell ref="H860:I860"/>
    <mergeCell ref="E861:F861"/>
    <mergeCell ref="H861:I861"/>
    <mergeCell ref="B853:D858"/>
    <mergeCell ref="E853:F853"/>
    <mergeCell ref="H853:I853"/>
    <mergeCell ref="E854:F854"/>
    <mergeCell ref="H854:I854"/>
    <mergeCell ref="E855:F855"/>
    <mergeCell ref="H855:I855"/>
    <mergeCell ref="E856:F856"/>
    <mergeCell ref="H856:I856"/>
    <mergeCell ref="E857:F857"/>
    <mergeCell ref="C850:I850"/>
    <mergeCell ref="B851:D852"/>
    <mergeCell ref="E851:F851"/>
    <mergeCell ref="H851:I851"/>
    <mergeCell ref="E852:F852"/>
    <mergeCell ref="H852:I852"/>
    <mergeCell ref="H845:I845"/>
    <mergeCell ref="E846:F846"/>
    <mergeCell ref="H846:I846"/>
    <mergeCell ref="B847:D849"/>
    <mergeCell ref="E847:F847"/>
    <mergeCell ref="H847:I847"/>
    <mergeCell ref="E848:F848"/>
    <mergeCell ref="H848:I848"/>
    <mergeCell ref="E849:F849"/>
    <mergeCell ref="H849:I849"/>
    <mergeCell ref="B841:D846"/>
    <mergeCell ref="E841:F841"/>
    <mergeCell ref="H841:I841"/>
    <mergeCell ref="E842:F842"/>
    <mergeCell ref="H842:I842"/>
    <mergeCell ref="E843:F843"/>
    <mergeCell ref="H843:I843"/>
    <mergeCell ref="E844:F844"/>
    <mergeCell ref="H844:I844"/>
    <mergeCell ref="E845:F845"/>
    <mergeCell ref="C838:I838"/>
    <mergeCell ref="B839:D840"/>
    <mergeCell ref="E839:F839"/>
    <mergeCell ref="H839:I839"/>
    <mergeCell ref="E840:F840"/>
    <mergeCell ref="H840:I840"/>
    <mergeCell ref="H833:I833"/>
    <mergeCell ref="E834:F834"/>
    <mergeCell ref="H834:I834"/>
    <mergeCell ref="B835:D837"/>
    <mergeCell ref="E835:F835"/>
    <mergeCell ref="H835:I835"/>
    <mergeCell ref="E836:F836"/>
    <mergeCell ref="H836:I836"/>
    <mergeCell ref="E837:F837"/>
    <mergeCell ref="H837:I837"/>
    <mergeCell ref="B829:D834"/>
    <mergeCell ref="E829:F829"/>
    <mergeCell ref="H829:I829"/>
    <mergeCell ref="E830:F830"/>
    <mergeCell ref="H830:I830"/>
    <mergeCell ref="E831:F831"/>
    <mergeCell ref="H831:I831"/>
    <mergeCell ref="E832:F832"/>
    <mergeCell ref="H832:I832"/>
    <mergeCell ref="E833:F833"/>
    <mergeCell ref="C826:I826"/>
    <mergeCell ref="B827:D828"/>
    <mergeCell ref="E827:F827"/>
    <mergeCell ref="H827:I827"/>
    <mergeCell ref="E828:F828"/>
    <mergeCell ref="H828:I828"/>
    <mergeCell ref="H821:I821"/>
    <mergeCell ref="E822:F822"/>
    <mergeCell ref="H822:I822"/>
    <mergeCell ref="B823:D825"/>
    <mergeCell ref="E823:F823"/>
    <mergeCell ref="H823:I823"/>
    <mergeCell ref="E824:F824"/>
    <mergeCell ref="H824:I824"/>
    <mergeCell ref="E825:F825"/>
    <mergeCell ref="H825:I825"/>
    <mergeCell ref="B817:D822"/>
    <mergeCell ref="E817:F817"/>
    <mergeCell ref="H817:I817"/>
    <mergeCell ref="E818:F818"/>
    <mergeCell ref="H818:I818"/>
    <mergeCell ref="E819:F819"/>
    <mergeCell ref="H819:I819"/>
    <mergeCell ref="E820:F820"/>
    <mergeCell ref="H820:I820"/>
    <mergeCell ref="E821:F821"/>
    <mergeCell ref="H813:I813"/>
    <mergeCell ref="C814:I814"/>
    <mergeCell ref="B815:D816"/>
    <mergeCell ref="E815:F815"/>
    <mergeCell ref="H815:I815"/>
    <mergeCell ref="E816:F816"/>
    <mergeCell ref="H816:I816"/>
    <mergeCell ref="E809:F809"/>
    <mergeCell ref="H809:I809"/>
    <mergeCell ref="E810:F810"/>
    <mergeCell ref="H810:I810"/>
    <mergeCell ref="B811:D813"/>
    <mergeCell ref="E811:F811"/>
    <mergeCell ref="H811:I811"/>
    <mergeCell ref="E812:F812"/>
    <mergeCell ref="H812:I812"/>
    <mergeCell ref="E813:F813"/>
    <mergeCell ref="B805:D806"/>
    <mergeCell ref="E805:F805"/>
    <mergeCell ref="H805:I805"/>
    <mergeCell ref="E806:F806"/>
    <mergeCell ref="H806:I806"/>
    <mergeCell ref="B807:D810"/>
    <mergeCell ref="E807:F807"/>
    <mergeCell ref="H807:I807"/>
    <mergeCell ref="E808:F808"/>
    <mergeCell ref="H808:I808"/>
    <mergeCell ref="E801:F801"/>
    <mergeCell ref="H801:I801"/>
    <mergeCell ref="C802:I802"/>
    <mergeCell ref="B803:D804"/>
    <mergeCell ref="E803:F803"/>
    <mergeCell ref="H803:I803"/>
    <mergeCell ref="E804:F804"/>
    <mergeCell ref="H804:I804"/>
    <mergeCell ref="E798:F798"/>
    <mergeCell ref="H798:I798"/>
    <mergeCell ref="E799:F799"/>
    <mergeCell ref="H799:I799"/>
    <mergeCell ref="E800:F800"/>
    <mergeCell ref="H800:I800"/>
    <mergeCell ref="E793:F793"/>
    <mergeCell ref="H793:I793"/>
    <mergeCell ref="E794:F794"/>
    <mergeCell ref="H794:I794"/>
    <mergeCell ref="C795:I795"/>
    <mergeCell ref="B796:D801"/>
    <mergeCell ref="E796:F796"/>
    <mergeCell ref="H796:I796"/>
    <mergeCell ref="E797:F797"/>
    <mergeCell ref="H797:I797"/>
    <mergeCell ref="C788:I788"/>
    <mergeCell ref="B789:D794"/>
    <mergeCell ref="E789:F789"/>
    <mergeCell ref="H789:I789"/>
    <mergeCell ref="E790:F790"/>
    <mergeCell ref="H790:I790"/>
    <mergeCell ref="E791:F791"/>
    <mergeCell ref="H791:I791"/>
    <mergeCell ref="E792:F792"/>
    <mergeCell ref="H792:I792"/>
    <mergeCell ref="H783:I783"/>
    <mergeCell ref="E784:F784"/>
    <mergeCell ref="H784:I784"/>
    <mergeCell ref="B785:D787"/>
    <mergeCell ref="E785:F785"/>
    <mergeCell ref="H785:I785"/>
    <mergeCell ref="E786:F786"/>
    <mergeCell ref="H786:I786"/>
    <mergeCell ref="E787:F787"/>
    <mergeCell ref="H787:I787"/>
    <mergeCell ref="B779:D784"/>
    <mergeCell ref="E779:F779"/>
    <mergeCell ref="H779:I779"/>
    <mergeCell ref="E780:F780"/>
    <mergeCell ref="H780:I780"/>
    <mergeCell ref="E781:F781"/>
    <mergeCell ref="H781:I781"/>
    <mergeCell ref="E782:F782"/>
    <mergeCell ref="H782:I782"/>
    <mergeCell ref="E783:F783"/>
    <mergeCell ref="C776:I776"/>
    <mergeCell ref="B777:D778"/>
    <mergeCell ref="E777:F777"/>
    <mergeCell ref="H777:I777"/>
    <mergeCell ref="E778:F778"/>
    <mergeCell ref="H778:I778"/>
    <mergeCell ref="H771:I771"/>
    <mergeCell ref="E772:F772"/>
    <mergeCell ref="H772:I772"/>
    <mergeCell ref="B773:D775"/>
    <mergeCell ref="E773:F773"/>
    <mergeCell ref="H773:I773"/>
    <mergeCell ref="E774:F774"/>
    <mergeCell ref="H774:I774"/>
    <mergeCell ref="E775:F775"/>
    <mergeCell ref="H775:I775"/>
    <mergeCell ref="B767:D772"/>
    <mergeCell ref="E767:F767"/>
    <mergeCell ref="H767:I767"/>
    <mergeCell ref="E768:F768"/>
    <mergeCell ref="H768:I768"/>
    <mergeCell ref="E769:F769"/>
    <mergeCell ref="H769:I769"/>
    <mergeCell ref="E770:F770"/>
    <mergeCell ref="H770:I770"/>
    <mergeCell ref="E771:F771"/>
    <mergeCell ref="C764:I764"/>
    <mergeCell ref="B765:D766"/>
    <mergeCell ref="E765:F765"/>
    <mergeCell ref="H765:I765"/>
    <mergeCell ref="E766:F766"/>
    <mergeCell ref="H766:I766"/>
    <mergeCell ref="H759:I759"/>
    <mergeCell ref="E760:F760"/>
    <mergeCell ref="H760:I760"/>
    <mergeCell ref="B761:D763"/>
    <mergeCell ref="E761:F761"/>
    <mergeCell ref="H761:I761"/>
    <mergeCell ref="E762:F762"/>
    <mergeCell ref="H762:I762"/>
    <mergeCell ref="E763:F763"/>
    <mergeCell ref="H763:I763"/>
    <mergeCell ref="B755:D760"/>
    <mergeCell ref="E755:F755"/>
    <mergeCell ref="H755:I755"/>
    <mergeCell ref="E756:F756"/>
    <mergeCell ref="H756:I756"/>
    <mergeCell ref="E757:F757"/>
    <mergeCell ref="H757:I757"/>
    <mergeCell ref="E758:F758"/>
    <mergeCell ref="H758:I758"/>
    <mergeCell ref="E759:F759"/>
    <mergeCell ref="C752:I752"/>
    <mergeCell ref="B753:D754"/>
    <mergeCell ref="E753:F753"/>
    <mergeCell ref="H753:I753"/>
    <mergeCell ref="E754:F754"/>
    <mergeCell ref="H754:I754"/>
    <mergeCell ref="H747:I747"/>
    <mergeCell ref="E748:F748"/>
    <mergeCell ref="H748:I748"/>
    <mergeCell ref="B749:D751"/>
    <mergeCell ref="E749:F749"/>
    <mergeCell ref="H749:I749"/>
    <mergeCell ref="E750:F750"/>
    <mergeCell ref="H750:I750"/>
    <mergeCell ref="E751:F751"/>
    <mergeCell ref="H751:I751"/>
    <mergeCell ref="B743:D748"/>
    <mergeCell ref="E743:F743"/>
    <mergeCell ref="H743:I743"/>
    <mergeCell ref="E744:F744"/>
    <mergeCell ref="H744:I744"/>
    <mergeCell ref="E745:F745"/>
    <mergeCell ref="H745:I745"/>
    <mergeCell ref="E746:F746"/>
    <mergeCell ref="H746:I746"/>
    <mergeCell ref="E747:F747"/>
    <mergeCell ref="C740:I740"/>
    <mergeCell ref="B741:D742"/>
    <mergeCell ref="E741:F741"/>
    <mergeCell ref="H741:I741"/>
    <mergeCell ref="E742:F742"/>
    <mergeCell ref="H742:I742"/>
    <mergeCell ref="H735:I735"/>
    <mergeCell ref="E736:F736"/>
    <mergeCell ref="H736:I736"/>
    <mergeCell ref="B737:D739"/>
    <mergeCell ref="E737:F737"/>
    <mergeCell ref="H737:I737"/>
    <mergeCell ref="E738:F738"/>
    <mergeCell ref="H738:I738"/>
    <mergeCell ref="E739:F739"/>
    <mergeCell ref="H739:I739"/>
    <mergeCell ref="B731:D736"/>
    <mergeCell ref="E731:F731"/>
    <mergeCell ref="H731:I731"/>
    <mergeCell ref="E732:F732"/>
    <mergeCell ref="H732:I732"/>
    <mergeCell ref="E733:F733"/>
    <mergeCell ref="H733:I733"/>
    <mergeCell ref="E734:F734"/>
    <mergeCell ref="H734:I734"/>
    <mergeCell ref="E735:F735"/>
    <mergeCell ref="E726:F726"/>
    <mergeCell ref="H726:I726"/>
    <mergeCell ref="E727:F727"/>
    <mergeCell ref="H727:I727"/>
    <mergeCell ref="C728:I728"/>
    <mergeCell ref="B729:D730"/>
    <mergeCell ref="E729:F729"/>
    <mergeCell ref="H729:I729"/>
    <mergeCell ref="E730:F730"/>
    <mergeCell ref="H730:I730"/>
    <mergeCell ref="C721:I721"/>
    <mergeCell ref="B722:D727"/>
    <mergeCell ref="E722:F722"/>
    <mergeCell ref="H722:I722"/>
    <mergeCell ref="E723:F723"/>
    <mergeCell ref="H723:I723"/>
    <mergeCell ref="E724:F724"/>
    <mergeCell ref="H724:I724"/>
    <mergeCell ref="E725:F725"/>
    <mergeCell ref="H725:I725"/>
    <mergeCell ref="H716:I716"/>
    <mergeCell ref="E717:F717"/>
    <mergeCell ref="H717:I717"/>
    <mergeCell ref="B718:D720"/>
    <mergeCell ref="E718:F718"/>
    <mergeCell ref="H718:I718"/>
    <mergeCell ref="E719:F719"/>
    <mergeCell ref="H719:I719"/>
    <mergeCell ref="E720:F720"/>
    <mergeCell ref="H720:I720"/>
    <mergeCell ref="B712:D717"/>
    <mergeCell ref="E712:F712"/>
    <mergeCell ref="H712:I712"/>
    <mergeCell ref="E713:F713"/>
    <mergeCell ref="H713:I713"/>
    <mergeCell ref="E714:F714"/>
    <mergeCell ref="H714:I714"/>
    <mergeCell ref="E715:F715"/>
    <mergeCell ref="H715:I715"/>
    <mergeCell ref="E716:F716"/>
    <mergeCell ref="C709:I709"/>
    <mergeCell ref="B710:D711"/>
    <mergeCell ref="E710:F710"/>
    <mergeCell ref="H710:I710"/>
    <mergeCell ref="E711:F711"/>
    <mergeCell ref="H711:I711"/>
    <mergeCell ref="H704:I704"/>
    <mergeCell ref="E705:F705"/>
    <mergeCell ref="H705:I705"/>
    <mergeCell ref="E706:F706"/>
    <mergeCell ref="H706:I706"/>
    <mergeCell ref="B707:D708"/>
    <mergeCell ref="E707:F707"/>
    <mergeCell ref="H707:I707"/>
    <mergeCell ref="E708:F708"/>
    <mergeCell ref="H708:I708"/>
    <mergeCell ref="B700:D706"/>
    <mergeCell ref="E700:F700"/>
    <mergeCell ref="H700:I700"/>
    <mergeCell ref="E701:F701"/>
    <mergeCell ref="H701:I701"/>
    <mergeCell ref="E702:F702"/>
    <mergeCell ref="H702:I702"/>
    <mergeCell ref="E703:F703"/>
    <mergeCell ref="H703:I703"/>
    <mergeCell ref="E704:F704"/>
    <mergeCell ref="E696:F696"/>
    <mergeCell ref="H696:I696"/>
    <mergeCell ref="C697:I697"/>
    <mergeCell ref="B698:D699"/>
    <mergeCell ref="E698:F698"/>
    <mergeCell ref="H698:I698"/>
    <mergeCell ref="E699:F699"/>
    <mergeCell ref="H699:I699"/>
    <mergeCell ref="E693:F693"/>
    <mergeCell ref="H693:I693"/>
    <mergeCell ref="E694:F694"/>
    <mergeCell ref="H694:I694"/>
    <mergeCell ref="E695:F695"/>
    <mergeCell ref="H695:I695"/>
    <mergeCell ref="C688:I688"/>
    <mergeCell ref="B689:D689"/>
    <mergeCell ref="E689:F689"/>
    <mergeCell ref="H689:I689"/>
    <mergeCell ref="C690:I690"/>
    <mergeCell ref="B691:D696"/>
    <mergeCell ref="E691:F691"/>
    <mergeCell ref="H691:I691"/>
    <mergeCell ref="E692:F692"/>
    <mergeCell ref="H692:I692"/>
    <mergeCell ref="C684:I684"/>
    <mergeCell ref="B685:D685"/>
    <mergeCell ref="E685:F685"/>
    <mergeCell ref="H685:I685"/>
    <mergeCell ref="C686:I686"/>
    <mergeCell ref="B687:D687"/>
    <mergeCell ref="E687:F687"/>
    <mergeCell ref="H687:I687"/>
    <mergeCell ref="C680:I680"/>
    <mergeCell ref="B681:D681"/>
    <mergeCell ref="E681:F681"/>
    <mergeCell ref="H681:I681"/>
    <mergeCell ref="C682:I682"/>
    <mergeCell ref="B683:D683"/>
    <mergeCell ref="E683:F683"/>
    <mergeCell ref="H683:I683"/>
    <mergeCell ref="C676:I676"/>
    <mergeCell ref="B677:D677"/>
    <mergeCell ref="E677:F677"/>
    <mergeCell ref="H677:I677"/>
    <mergeCell ref="C678:I678"/>
    <mergeCell ref="B679:D679"/>
    <mergeCell ref="E679:F679"/>
    <mergeCell ref="H679:I679"/>
    <mergeCell ref="H672:I672"/>
    <mergeCell ref="E673:F673"/>
    <mergeCell ref="H673:I673"/>
    <mergeCell ref="C674:I674"/>
    <mergeCell ref="B675:D675"/>
    <mergeCell ref="E675:F675"/>
    <mergeCell ref="H675:I675"/>
    <mergeCell ref="B668:D673"/>
    <mergeCell ref="E668:F668"/>
    <mergeCell ref="H668:I668"/>
    <mergeCell ref="E669:F669"/>
    <mergeCell ref="H669:I669"/>
    <mergeCell ref="E670:F670"/>
    <mergeCell ref="H670:I670"/>
    <mergeCell ref="E671:F671"/>
    <mergeCell ref="H671:I671"/>
    <mergeCell ref="E672:F672"/>
    <mergeCell ref="H664:I664"/>
    <mergeCell ref="E665:F665"/>
    <mergeCell ref="H665:I665"/>
    <mergeCell ref="C666:I666"/>
    <mergeCell ref="B667:D667"/>
    <mergeCell ref="E667:F667"/>
    <mergeCell ref="H667:I667"/>
    <mergeCell ref="B660:D665"/>
    <mergeCell ref="E660:F660"/>
    <mergeCell ref="H660:I660"/>
    <mergeCell ref="E661:F661"/>
    <mergeCell ref="H661:I661"/>
    <mergeCell ref="E662:F662"/>
    <mergeCell ref="H662:I662"/>
    <mergeCell ref="E663:F663"/>
    <mergeCell ref="H663:I663"/>
    <mergeCell ref="E664:F664"/>
    <mergeCell ref="H656:I656"/>
    <mergeCell ref="E657:F657"/>
    <mergeCell ref="H657:I657"/>
    <mergeCell ref="C658:I658"/>
    <mergeCell ref="B659:D659"/>
    <mergeCell ref="E659:F659"/>
    <mergeCell ref="H659:I659"/>
    <mergeCell ref="B652:D657"/>
    <mergeCell ref="E652:F652"/>
    <mergeCell ref="H652:I652"/>
    <mergeCell ref="E653:F653"/>
    <mergeCell ref="H653:I653"/>
    <mergeCell ref="E654:F654"/>
    <mergeCell ref="H654:I654"/>
    <mergeCell ref="E655:F655"/>
    <mergeCell ref="H655:I655"/>
    <mergeCell ref="E656:F656"/>
    <mergeCell ref="H648:I648"/>
    <mergeCell ref="E649:F649"/>
    <mergeCell ref="H649:I649"/>
    <mergeCell ref="C650:I650"/>
    <mergeCell ref="B651:D651"/>
    <mergeCell ref="E651:F651"/>
    <mergeCell ref="H651:I651"/>
    <mergeCell ref="B644:D649"/>
    <mergeCell ref="E644:F644"/>
    <mergeCell ref="H644:I644"/>
    <mergeCell ref="E645:F645"/>
    <mergeCell ref="H645:I645"/>
    <mergeCell ref="E646:F646"/>
    <mergeCell ref="H646:I646"/>
    <mergeCell ref="E647:F647"/>
    <mergeCell ref="H647:I647"/>
    <mergeCell ref="E648:F648"/>
    <mergeCell ref="H640:I640"/>
    <mergeCell ref="E641:F641"/>
    <mergeCell ref="H641:I641"/>
    <mergeCell ref="C642:I642"/>
    <mergeCell ref="B643:D643"/>
    <mergeCell ref="E643:F643"/>
    <mergeCell ref="H643:I643"/>
    <mergeCell ref="B636:D641"/>
    <mergeCell ref="E636:F636"/>
    <mergeCell ref="H636:I636"/>
    <mergeCell ref="E637:F637"/>
    <mergeCell ref="H637:I637"/>
    <mergeCell ref="E638:F638"/>
    <mergeCell ref="H638:I638"/>
    <mergeCell ref="E639:F639"/>
    <mergeCell ref="H639:I639"/>
    <mergeCell ref="E640:F640"/>
    <mergeCell ref="C632:I632"/>
    <mergeCell ref="B633:D633"/>
    <mergeCell ref="E633:F633"/>
    <mergeCell ref="H633:I633"/>
    <mergeCell ref="C634:I634"/>
    <mergeCell ref="B635:D635"/>
    <mergeCell ref="E635:F635"/>
    <mergeCell ref="H635:I635"/>
    <mergeCell ref="H628:I628"/>
    <mergeCell ref="E629:F629"/>
    <mergeCell ref="H629:I629"/>
    <mergeCell ref="E630:F630"/>
    <mergeCell ref="H630:I630"/>
    <mergeCell ref="E631:F631"/>
    <mergeCell ref="H631:I631"/>
    <mergeCell ref="C624:I624"/>
    <mergeCell ref="B625:D625"/>
    <mergeCell ref="E625:F625"/>
    <mergeCell ref="H625:I625"/>
    <mergeCell ref="B626:D631"/>
    <mergeCell ref="E626:F626"/>
    <mergeCell ref="H626:I626"/>
    <mergeCell ref="E627:F627"/>
    <mergeCell ref="H627:I627"/>
    <mergeCell ref="E628:F628"/>
    <mergeCell ref="H619:I619"/>
    <mergeCell ref="E620:F620"/>
    <mergeCell ref="H620:I620"/>
    <mergeCell ref="B621:D623"/>
    <mergeCell ref="E621:F621"/>
    <mergeCell ref="H621:I621"/>
    <mergeCell ref="E622:F622"/>
    <mergeCell ref="H622:I622"/>
    <mergeCell ref="E623:F623"/>
    <mergeCell ref="H623:I623"/>
    <mergeCell ref="B615:D620"/>
    <mergeCell ref="E615:F615"/>
    <mergeCell ref="H615:I615"/>
    <mergeCell ref="E616:F616"/>
    <mergeCell ref="H616:I616"/>
    <mergeCell ref="E617:F617"/>
    <mergeCell ref="H617:I617"/>
    <mergeCell ref="E618:F618"/>
    <mergeCell ref="H618:I618"/>
    <mergeCell ref="E619:F619"/>
    <mergeCell ref="E611:F611"/>
    <mergeCell ref="H611:I611"/>
    <mergeCell ref="C612:I612"/>
    <mergeCell ref="B613:D614"/>
    <mergeCell ref="E613:F613"/>
    <mergeCell ref="H613:I613"/>
    <mergeCell ref="E614:F614"/>
    <mergeCell ref="H614:I614"/>
    <mergeCell ref="B607:D608"/>
    <mergeCell ref="E607:F607"/>
    <mergeCell ref="H607:I607"/>
    <mergeCell ref="E608:F608"/>
    <mergeCell ref="H608:I608"/>
    <mergeCell ref="B609:D611"/>
    <mergeCell ref="E609:F609"/>
    <mergeCell ref="H609:I609"/>
    <mergeCell ref="E610:F610"/>
    <mergeCell ref="H610:I610"/>
    <mergeCell ref="B603:D606"/>
    <mergeCell ref="E603:F603"/>
    <mergeCell ref="H603:I603"/>
    <mergeCell ref="E604:F604"/>
    <mergeCell ref="H604:I604"/>
    <mergeCell ref="E605:F605"/>
    <mergeCell ref="H605:I605"/>
    <mergeCell ref="E606:F606"/>
    <mergeCell ref="H606:I606"/>
    <mergeCell ref="E599:F599"/>
    <mergeCell ref="H599:I599"/>
    <mergeCell ref="C600:I600"/>
    <mergeCell ref="B601:D602"/>
    <mergeCell ref="E601:F601"/>
    <mergeCell ref="H601:I601"/>
    <mergeCell ref="E602:F602"/>
    <mergeCell ref="H602:I602"/>
    <mergeCell ref="E596:F596"/>
    <mergeCell ref="H596:I596"/>
    <mergeCell ref="E597:F597"/>
    <mergeCell ref="H597:I597"/>
    <mergeCell ref="E598:F598"/>
    <mergeCell ref="H598:I598"/>
    <mergeCell ref="E591:F591"/>
    <mergeCell ref="H591:I591"/>
    <mergeCell ref="E592:F592"/>
    <mergeCell ref="H592:I592"/>
    <mergeCell ref="C593:I593"/>
    <mergeCell ref="B594:D599"/>
    <mergeCell ref="E594:F594"/>
    <mergeCell ref="H594:I594"/>
    <mergeCell ref="E595:F595"/>
    <mergeCell ref="H595:I595"/>
    <mergeCell ref="C586:I586"/>
    <mergeCell ref="B587:D592"/>
    <mergeCell ref="E587:F587"/>
    <mergeCell ref="H587:I587"/>
    <mergeCell ref="E588:F588"/>
    <mergeCell ref="H588:I588"/>
    <mergeCell ref="E589:F589"/>
    <mergeCell ref="H589:I589"/>
    <mergeCell ref="E590:F590"/>
    <mergeCell ref="H590:I590"/>
    <mergeCell ref="C582:I582"/>
    <mergeCell ref="B583:D585"/>
    <mergeCell ref="E583:F583"/>
    <mergeCell ref="H583:I583"/>
    <mergeCell ref="E584:F584"/>
    <mergeCell ref="H584:I584"/>
    <mergeCell ref="E585:F585"/>
    <mergeCell ref="H585:I585"/>
    <mergeCell ref="B578:D581"/>
    <mergeCell ref="E578:F578"/>
    <mergeCell ref="H578:I578"/>
    <mergeCell ref="E579:F579"/>
    <mergeCell ref="H579:I579"/>
    <mergeCell ref="E580:F580"/>
    <mergeCell ref="H580:I580"/>
    <mergeCell ref="E581:F581"/>
    <mergeCell ref="H581:I581"/>
    <mergeCell ref="H574:I574"/>
    <mergeCell ref="E575:F575"/>
    <mergeCell ref="H575:I575"/>
    <mergeCell ref="C576:I576"/>
    <mergeCell ref="B577:D577"/>
    <mergeCell ref="E577:F577"/>
    <mergeCell ref="H577:I577"/>
    <mergeCell ref="C570:I570"/>
    <mergeCell ref="B571:D571"/>
    <mergeCell ref="E571:F571"/>
    <mergeCell ref="H571:I571"/>
    <mergeCell ref="B572:D575"/>
    <mergeCell ref="E572:F572"/>
    <mergeCell ref="H572:I572"/>
    <mergeCell ref="E573:F573"/>
    <mergeCell ref="H573:I573"/>
    <mergeCell ref="E574:F574"/>
    <mergeCell ref="H566:I566"/>
    <mergeCell ref="E567:F567"/>
    <mergeCell ref="H567:I567"/>
    <mergeCell ref="E568:F568"/>
    <mergeCell ref="H568:I568"/>
    <mergeCell ref="E569:F569"/>
    <mergeCell ref="H569:I569"/>
    <mergeCell ref="C562:I562"/>
    <mergeCell ref="B563:D563"/>
    <mergeCell ref="E563:F563"/>
    <mergeCell ref="H563:I563"/>
    <mergeCell ref="B564:D569"/>
    <mergeCell ref="E564:F564"/>
    <mergeCell ref="H564:I564"/>
    <mergeCell ref="E565:F565"/>
    <mergeCell ref="H565:I565"/>
    <mergeCell ref="E566:F566"/>
    <mergeCell ref="H558:I558"/>
    <mergeCell ref="E559:F559"/>
    <mergeCell ref="H559:I559"/>
    <mergeCell ref="C560:I560"/>
    <mergeCell ref="B561:D561"/>
    <mergeCell ref="E561:F561"/>
    <mergeCell ref="H561:I561"/>
    <mergeCell ref="C554:I554"/>
    <mergeCell ref="B555:D555"/>
    <mergeCell ref="E555:F555"/>
    <mergeCell ref="H555:I555"/>
    <mergeCell ref="B556:D559"/>
    <mergeCell ref="E556:F556"/>
    <mergeCell ref="H556:I556"/>
    <mergeCell ref="E557:F557"/>
    <mergeCell ref="H557:I557"/>
    <mergeCell ref="E558:F558"/>
    <mergeCell ref="B550:D553"/>
    <mergeCell ref="E550:F550"/>
    <mergeCell ref="H550:I550"/>
    <mergeCell ref="E551:F551"/>
    <mergeCell ref="H551:I551"/>
    <mergeCell ref="E552:F552"/>
    <mergeCell ref="H552:I552"/>
    <mergeCell ref="E553:F553"/>
    <mergeCell ref="H553:I553"/>
    <mergeCell ref="H546:I546"/>
    <mergeCell ref="E547:F547"/>
    <mergeCell ref="H547:I547"/>
    <mergeCell ref="C548:I548"/>
    <mergeCell ref="B549:D549"/>
    <mergeCell ref="E549:F549"/>
    <mergeCell ref="H549:I549"/>
    <mergeCell ref="C542:I542"/>
    <mergeCell ref="B543:D543"/>
    <mergeCell ref="E543:F543"/>
    <mergeCell ref="H543:I543"/>
    <mergeCell ref="B544:D547"/>
    <mergeCell ref="E544:F544"/>
    <mergeCell ref="H544:I544"/>
    <mergeCell ref="E545:F545"/>
    <mergeCell ref="H545:I545"/>
    <mergeCell ref="E546:F546"/>
    <mergeCell ref="B538:D539"/>
    <mergeCell ref="E538:F538"/>
    <mergeCell ref="H538:I538"/>
    <mergeCell ref="E539:F539"/>
    <mergeCell ref="H539:I539"/>
    <mergeCell ref="B540:D541"/>
    <mergeCell ref="E540:F540"/>
    <mergeCell ref="H540:I540"/>
    <mergeCell ref="E541:F541"/>
    <mergeCell ref="H541:I541"/>
    <mergeCell ref="H534:I534"/>
    <mergeCell ref="E535:F535"/>
    <mergeCell ref="H535:I535"/>
    <mergeCell ref="C536:I536"/>
    <mergeCell ref="B537:D537"/>
    <mergeCell ref="E537:F537"/>
    <mergeCell ref="H537:I537"/>
    <mergeCell ref="C530:I530"/>
    <mergeCell ref="B531:D531"/>
    <mergeCell ref="E531:F531"/>
    <mergeCell ref="H531:I531"/>
    <mergeCell ref="B532:D535"/>
    <mergeCell ref="E532:F532"/>
    <mergeCell ref="H532:I532"/>
    <mergeCell ref="E533:F533"/>
    <mergeCell ref="H533:I533"/>
    <mergeCell ref="E534:F534"/>
    <mergeCell ref="C526:I526"/>
    <mergeCell ref="B527:D527"/>
    <mergeCell ref="E527:F527"/>
    <mergeCell ref="H527:I527"/>
    <mergeCell ref="C528:I528"/>
    <mergeCell ref="B529:D529"/>
    <mergeCell ref="E529:F529"/>
    <mergeCell ref="H529:I529"/>
    <mergeCell ref="B523:D525"/>
    <mergeCell ref="E523:F523"/>
    <mergeCell ref="H523:I523"/>
    <mergeCell ref="E524:F524"/>
    <mergeCell ref="H524:I524"/>
    <mergeCell ref="E525:F525"/>
    <mergeCell ref="H525:I525"/>
    <mergeCell ref="H519:I519"/>
    <mergeCell ref="E520:F520"/>
    <mergeCell ref="H520:I520"/>
    <mergeCell ref="E521:F521"/>
    <mergeCell ref="H521:I521"/>
    <mergeCell ref="E522:F522"/>
    <mergeCell ref="H522:I522"/>
    <mergeCell ref="C515:I515"/>
    <mergeCell ref="B516:D516"/>
    <mergeCell ref="E516:F516"/>
    <mergeCell ref="H516:I516"/>
    <mergeCell ref="B517:D522"/>
    <mergeCell ref="E517:F517"/>
    <mergeCell ref="H517:I517"/>
    <mergeCell ref="E518:F518"/>
    <mergeCell ref="H518:I518"/>
    <mergeCell ref="E519:F519"/>
    <mergeCell ref="H510:I510"/>
    <mergeCell ref="E511:F511"/>
    <mergeCell ref="H511:I511"/>
    <mergeCell ref="B512:D514"/>
    <mergeCell ref="E512:F512"/>
    <mergeCell ref="H512:I512"/>
    <mergeCell ref="E513:F513"/>
    <mergeCell ref="H513:I513"/>
    <mergeCell ref="E514:F514"/>
    <mergeCell ref="H514:I514"/>
    <mergeCell ref="B506:D511"/>
    <mergeCell ref="E506:F506"/>
    <mergeCell ref="H506:I506"/>
    <mergeCell ref="E507:F507"/>
    <mergeCell ref="H507:I507"/>
    <mergeCell ref="E508:F508"/>
    <mergeCell ref="H508:I508"/>
    <mergeCell ref="E509:F509"/>
    <mergeCell ref="H509:I509"/>
    <mergeCell ref="E510:F510"/>
    <mergeCell ref="C501:I501"/>
    <mergeCell ref="B502:D502"/>
    <mergeCell ref="E502:F502"/>
    <mergeCell ref="H502:I502"/>
    <mergeCell ref="C503:I503"/>
    <mergeCell ref="B504:D505"/>
    <mergeCell ref="E504:F504"/>
    <mergeCell ref="H504:I504"/>
    <mergeCell ref="E505:F505"/>
    <mergeCell ref="H505:I505"/>
    <mergeCell ref="H496:I496"/>
    <mergeCell ref="E497:F497"/>
    <mergeCell ref="H497:I497"/>
    <mergeCell ref="B498:D500"/>
    <mergeCell ref="E498:F498"/>
    <mergeCell ref="H498:I498"/>
    <mergeCell ref="E499:F499"/>
    <mergeCell ref="H499:I499"/>
    <mergeCell ref="E500:F500"/>
    <mergeCell ref="H500:I500"/>
    <mergeCell ref="B492:D497"/>
    <mergeCell ref="E492:F492"/>
    <mergeCell ref="H492:I492"/>
    <mergeCell ref="E493:F493"/>
    <mergeCell ref="H493:I493"/>
    <mergeCell ref="E494:F494"/>
    <mergeCell ref="H494:I494"/>
    <mergeCell ref="E495:F495"/>
    <mergeCell ref="H495:I495"/>
    <mergeCell ref="E496:F496"/>
    <mergeCell ref="C489:I489"/>
    <mergeCell ref="B490:D491"/>
    <mergeCell ref="E490:F490"/>
    <mergeCell ref="H490:I490"/>
    <mergeCell ref="E491:F491"/>
    <mergeCell ref="H491:I491"/>
    <mergeCell ref="H484:I484"/>
    <mergeCell ref="E485:F485"/>
    <mergeCell ref="H485:I485"/>
    <mergeCell ref="B486:D488"/>
    <mergeCell ref="E486:F486"/>
    <mergeCell ref="H486:I486"/>
    <mergeCell ref="E487:F487"/>
    <mergeCell ref="H487:I487"/>
    <mergeCell ref="E488:F488"/>
    <mergeCell ref="H488:I488"/>
    <mergeCell ref="B480:D485"/>
    <mergeCell ref="E480:F480"/>
    <mergeCell ref="H480:I480"/>
    <mergeCell ref="E481:F481"/>
    <mergeCell ref="H481:I481"/>
    <mergeCell ref="E482:F482"/>
    <mergeCell ref="H482:I482"/>
    <mergeCell ref="E483:F483"/>
    <mergeCell ref="H483:I483"/>
    <mergeCell ref="E484:F484"/>
    <mergeCell ref="H476:I476"/>
    <mergeCell ref="C477:I477"/>
    <mergeCell ref="B478:D479"/>
    <mergeCell ref="E478:F478"/>
    <mergeCell ref="H478:I478"/>
    <mergeCell ref="E479:F479"/>
    <mergeCell ref="H479:I479"/>
    <mergeCell ref="H472:I472"/>
    <mergeCell ref="B473:D473"/>
    <mergeCell ref="E473:F473"/>
    <mergeCell ref="H473:I473"/>
    <mergeCell ref="B474:D476"/>
    <mergeCell ref="E474:F474"/>
    <mergeCell ref="H474:I474"/>
    <mergeCell ref="E475:F475"/>
    <mergeCell ref="H475:I475"/>
    <mergeCell ref="E476:F476"/>
    <mergeCell ref="B468:D472"/>
    <mergeCell ref="E468:F468"/>
    <mergeCell ref="H468:I468"/>
    <mergeCell ref="E469:F469"/>
    <mergeCell ref="H469:I469"/>
    <mergeCell ref="E470:F470"/>
    <mergeCell ref="H470:I470"/>
    <mergeCell ref="E471:F471"/>
    <mergeCell ref="H471:I471"/>
    <mergeCell ref="E472:F472"/>
    <mergeCell ref="C465:I465"/>
    <mergeCell ref="B466:D467"/>
    <mergeCell ref="E466:F466"/>
    <mergeCell ref="H466:I466"/>
    <mergeCell ref="E467:F467"/>
    <mergeCell ref="H467:I467"/>
    <mergeCell ref="H460:I460"/>
    <mergeCell ref="E461:F461"/>
    <mergeCell ref="H461:I461"/>
    <mergeCell ref="B462:D464"/>
    <mergeCell ref="E462:F462"/>
    <mergeCell ref="H462:I462"/>
    <mergeCell ref="E463:F463"/>
    <mergeCell ref="H463:I463"/>
    <mergeCell ref="E464:F464"/>
    <mergeCell ref="H464:I464"/>
    <mergeCell ref="B456:D461"/>
    <mergeCell ref="E456:F456"/>
    <mergeCell ref="H456:I456"/>
    <mergeCell ref="E457:F457"/>
    <mergeCell ref="H457:I457"/>
    <mergeCell ref="E458:F458"/>
    <mergeCell ref="H458:I458"/>
    <mergeCell ref="E459:F459"/>
    <mergeCell ref="H459:I459"/>
    <mergeCell ref="E460:F460"/>
    <mergeCell ref="C453:I453"/>
    <mergeCell ref="B454:D455"/>
    <mergeCell ref="E454:F454"/>
    <mergeCell ref="H454:I454"/>
    <mergeCell ref="E455:F455"/>
    <mergeCell ref="H455:I455"/>
    <mergeCell ref="H448:I448"/>
    <mergeCell ref="E449:F449"/>
    <mergeCell ref="H449:I449"/>
    <mergeCell ref="B450:D452"/>
    <mergeCell ref="E450:F450"/>
    <mergeCell ref="H450:I450"/>
    <mergeCell ref="E451:F451"/>
    <mergeCell ref="H451:I451"/>
    <mergeCell ref="E452:F452"/>
    <mergeCell ref="H452:I452"/>
    <mergeCell ref="B444:D449"/>
    <mergeCell ref="E444:F444"/>
    <mergeCell ref="H444:I444"/>
    <mergeCell ref="E445:F445"/>
    <mergeCell ref="H445:I445"/>
    <mergeCell ref="E446:F446"/>
    <mergeCell ref="H446:I446"/>
    <mergeCell ref="E447:F447"/>
    <mergeCell ref="H447:I447"/>
    <mergeCell ref="E448:F448"/>
    <mergeCell ref="C441:I441"/>
    <mergeCell ref="B442:D443"/>
    <mergeCell ref="E442:F442"/>
    <mergeCell ref="H442:I442"/>
    <mergeCell ref="E443:F443"/>
    <mergeCell ref="H443:I443"/>
    <mergeCell ref="H437:I437"/>
    <mergeCell ref="E438:F438"/>
    <mergeCell ref="H438:I438"/>
    <mergeCell ref="E439:F439"/>
    <mergeCell ref="H439:I439"/>
    <mergeCell ref="E440:F440"/>
    <mergeCell ref="H440:I440"/>
    <mergeCell ref="C433:I433"/>
    <mergeCell ref="B434:D434"/>
    <mergeCell ref="E434:F434"/>
    <mergeCell ref="H434:I434"/>
    <mergeCell ref="B435:D440"/>
    <mergeCell ref="E435:F435"/>
    <mergeCell ref="H435:I435"/>
    <mergeCell ref="E436:F436"/>
    <mergeCell ref="H436:I436"/>
    <mergeCell ref="E437:F437"/>
    <mergeCell ref="B429:D432"/>
    <mergeCell ref="E429:F429"/>
    <mergeCell ref="H429:I429"/>
    <mergeCell ref="E430:F430"/>
    <mergeCell ref="H430:I430"/>
    <mergeCell ref="E431:F431"/>
    <mergeCell ref="H431:I431"/>
    <mergeCell ref="E432:F432"/>
    <mergeCell ref="H432:I432"/>
    <mergeCell ref="H425:I425"/>
    <mergeCell ref="E426:F426"/>
    <mergeCell ref="H426:I426"/>
    <mergeCell ref="C427:I427"/>
    <mergeCell ref="B428:D428"/>
    <mergeCell ref="E428:F428"/>
    <mergeCell ref="H428:I428"/>
    <mergeCell ref="C421:I421"/>
    <mergeCell ref="B422:D422"/>
    <mergeCell ref="E422:F422"/>
    <mergeCell ref="H422:I422"/>
    <mergeCell ref="B423:D426"/>
    <mergeCell ref="E423:F423"/>
    <mergeCell ref="H423:I423"/>
    <mergeCell ref="E424:F424"/>
    <mergeCell ref="H424:I424"/>
    <mergeCell ref="E425:F425"/>
    <mergeCell ref="B417:D420"/>
    <mergeCell ref="E417:F417"/>
    <mergeCell ref="H417:I417"/>
    <mergeCell ref="E418:F418"/>
    <mergeCell ref="H418:I418"/>
    <mergeCell ref="E419:F419"/>
    <mergeCell ref="H419:I419"/>
    <mergeCell ref="E420:F420"/>
    <mergeCell ref="H420:I420"/>
    <mergeCell ref="C413:I413"/>
    <mergeCell ref="B414:D414"/>
    <mergeCell ref="E414:F414"/>
    <mergeCell ref="H414:I414"/>
    <mergeCell ref="C415:I415"/>
    <mergeCell ref="B416:D416"/>
    <mergeCell ref="E416:F416"/>
    <mergeCell ref="H416:I416"/>
    <mergeCell ref="C409:I409"/>
    <mergeCell ref="B410:D410"/>
    <mergeCell ref="E410:F410"/>
    <mergeCell ref="H410:I410"/>
    <mergeCell ref="C411:I411"/>
    <mergeCell ref="B412:D412"/>
    <mergeCell ref="E412:F412"/>
    <mergeCell ref="H412:I412"/>
    <mergeCell ref="B406:D408"/>
    <mergeCell ref="E406:F406"/>
    <mergeCell ref="H406:I406"/>
    <mergeCell ref="E407:F407"/>
    <mergeCell ref="H407:I407"/>
    <mergeCell ref="E408:F408"/>
    <mergeCell ref="H408:I408"/>
    <mergeCell ref="B403:D405"/>
    <mergeCell ref="E403:F403"/>
    <mergeCell ref="H403:I403"/>
    <mergeCell ref="E404:F404"/>
    <mergeCell ref="H404:I404"/>
    <mergeCell ref="E405:F405"/>
    <mergeCell ref="H405:I405"/>
    <mergeCell ref="H399:I399"/>
    <mergeCell ref="E400:F400"/>
    <mergeCell ref="H400:I400"/>
    <mergeCell ref="C401:I401"/>
    <mergeCell ref="B402:D402"/>
    <mergeCell ref="E402:F402"/>
    <mergeCell ref="H402:I402"/>
    <mergeCell ref="B395:D400"/>
    <mergeCell ref="E395:F395"/>
    <mergeCell ref="H395:I395"/>
    <mergeCell ref="E396:F396"/>
    <mergeCell ref="H396:I396"/>
    <mergeCell ref="E397:F397"/>
    <mergeCell ref="H397:I397"/>
    <mergeCell ref="E398:F398"/>
    <mergeCell ref="H398:I398"/>
    <mergeCell ref="E399:F399"/>
    <mergeCell ref="H391:I391"/>
    <mergeCell ref="E392:F392"/>
    <mergeCell ref="H392:I392"/>
    <mergeCell ref="C393:I393"/>
    <mergeCell ref="B394:D394"/>
    <mergeCell ref="E394:F394"/>
    <mergeCell ref="H394:I394"/>
    <mergeCell ref="B387:D392"/>
    <mergeCell ref="E387:F387"/>
    <mergeCell ref="H387:I387"/>
    <mergeCell ref="E388:F388"/>
    <mergeCell ref="H388:I388"/>
    <mergeCell ref="E389:F389"/>
    <mergeCell ref="H389:I389"/>
    <mergeCell ref="E390:F390"/>
    <mergeCell ref="H390:I390"/>
    <mergeCell ref="E391:F391"/>
    <mergeCell ref="C384:I384"/>
    <mergeCell ref="B385:D386"/>
    <mergeCell ref="E385:F385"/>
    <mergeCell ref="H385:I385"/>
    <mergeCell ref="E386:F386"/>
    <mergeCell ref="H386:I386"/>
    <mergeCell ref="H379:I379"/>
    <mergeCell ref="E380:F380"/>
    <mergeCell ref="H380:I380"/>
    <mergeCell ref="C381:I381"/>
    <mergeCell ref="B382:D383"/>
    <mergeCell ref="E382:F382"/>
    <mergeCell ref="H382:I382"/>
    <mergeCell ref="E383:F383"/>
    <mergeCell ref="H383:I383"/>
    <mergeCell ref="B375:D380"/>
    <mergeCell ref="E375:F375"/>
    <mergeCell ref="H375:I375"/>
    <mergeCell ref="E376:F376"/>
    <mergeCell ref="H376:I376"/>
    <mergeCell ref="E377:F377"/>
    <mergeCell ref="H377:I377"/>
    <mergeCell ref="E378:F378"/>
    <mergeCell ref="H378:I378"/>
    <mergeCell ref="E379:F379"/>
    <mergeCell ref="H371:I371"/>
    <mergeCell ref="E372:F372"/>
    <mergeCell ref="H372:I372"/>
    <mergeCell ref="E373:F373"/>
    <mergeCell ref="H373:I373"/>
    <mergeCell ref="C374:I374"/>
    <mergeCell ref="E367:F367"/>
    <mergeCell ref="H367:I367"/>
    <mergeCell ref="B368:D373"/>
    <mergeCell ref="E368:F368"/>
    <mergeCell ref="H368:I368"/>
    <mergeCell ref="E369:F369"/>
    <mergeCell ref="H369:I369"/>
    <mergeCell ref="E370:F370"/>
    <mergeCell ref="H370:I370"/>
    <mergeCell ref="E371:F371"/>
    <mergeCell ref="E362:F362"/>
    <mergeCell ref="H362:I362"/>
    <mergeCell ref="E363:F363"/>
    <mergeCell ref="H363:I363"/>
    <mergeCell ref="C364:I364"/>
    <mergeCell ref="B365:D367"/>
    <mergeCell ref="E365:F365"/>
    <mergeCell ref="H365:I365"/>
    <mergeCell ref="E366:F366"/>
    <mergeCell ref="H366:I366"/>
    <mergeCell ref="H357:I357"/>
    <mergeCell ref="B358:D363"/>
    <mergeCell ref="E358:F358"/>
    <mergeCell ref="H358:I358"/>
    <mergeCell ref="E359:F359"/>
    <mergeCell ref="H359:I359"/>
    <mergeCell ref="E360:F360"/>
    <mergeCell ref="H360:I360"/>
    <mergeCell ref="E361:F361"/>
    <mergeCell ref="H361:I361"/>
    <mergeCell ref="H352:I352"/>
    <mergeCell ref="E353:F353"/>
    <mergeCell ref="H353:I353"/>
    <mergeCell ref="C354:I354"/>
    <mergeCell ref="B355:D357"/>
    <mergeCell ref="E355:F355"/>
    <mergeCell ref="H355:I355"/>
    <mergeCell ref="E356:F356"/>
    <mergeCell ref="H356:I356"/>
    <mergeCell ref="E357:F357"/>
    <mergeCell ref="B348:D353"/>
    <mergeCell ref="E348:F348"/>
    <mergeCell ref="H348:I348"/>
    <mergeCell ref="E349:F349"/>
    <mergeCell ref="H349:I349"/>
    <mergeCell ref="E350:F350"/>
    <mergeCell ref="H350:I350"/>
    <mergeCell ref="E351:F351"/>
    <mergeCell ref="H351:I351"/>
    <mergeCell ref="E352:F352"/>
    <mergeCell ref="B345:D347"/>
    <mergeCell ref="E345:F345"/>
    <mergeCell ref="H345:I345"/>
    <mergeCell ref="E346:F346"/>
    <mergeCell ref="H346:I346"/>
    <mergeCell ref="E347:F347"/>
    <mergeCell ref="H347:I347"/>
    <mergeCell ref="H341:I341"/>
    <mergeCell ref="E342:F342"/>
    <mergeCell ref="H342:I342"/>
    <mergeCell ref="E343:F343"/>
    <mergeCell ref="H343:I343"/>
    <mergeCell ref="C344:I344"/>
    <mergeCell ref="C337:I337"/>
    <mergeCell ref="B338:D338"/>
    <mergeCell ref="E338:F338"/>
    <mergeCell ref="H338:I338"/>
    <mergeCell ref="B339:D343"/>
    <mergeCell ref="E339:F339"/>
    <mergeCell ref="H339:I339"/>
    <mergeCell ref="E340:F340"/>
    <mergeCell ref="H340:I340"/>
    <mergeCell ref="E341:F341"/>
    <mergeCell ref="H333:I333"/>
    <mergeCell ref="E334:F334"/>
    <mergeCell ref="H334:I334"/>
    <mergeCell ref="E335:F335"/>
    <mergeCell ref="H335:I335"/>
    <mergeCell ref="E336:F336"/>
    <mergeCell ref="H336:I336"/>
    <mergeCell ref="H328:I328"/>
    <mergeCell ref="E329:F329"/>
    <mergeCell ref="H329:I329"/>
    <mergeCell ref="C330:I330"/>
    <mergeCell ref="B331:D336"/>
    <mergeCell ref="E331:F331"/>
    <mergeCell ref="H331:I331"/>
    <mergeCell ref="E332:F332"/>
    <mergeCell ref="H332:I332"/>
    <mergeCell ref="E333:F333"/>
    <mergeCell ref="B324:D329"/>
    <mergeCell ref="E324:F324"/>
    <mergeCell ref="H324:I324"/>
    <mergeCell ref="E325:F325"/>
    <mergeCell ref="H325:I325"/>
    <mergeCell ref="E326:F326"/>
    <mergeCell ref="H326:I326"/>
    <mergeCell ref="E327:F327"/>
    <mergeCell ref="H327:I327"/>
    <mergeCell ref="E328:F328"/>
    <mergeCell ref="E320:F320"/>
    <mergeCell ref="H320:I320"/>
    <mergeCell ref="E321:F321"/>
    <mergeCell ref="H321:I321"/>
    <mergeCell ref="C322:I322"/>
    <mergeCell ref="B323:D323"/>
    <mergeCell ref="E323:F323"/>
    <mergeCell ref="H323:I323"/>
    <mergeCell ref="C315:I315"/>
    <mergeCell ref="B316:D321"/>
    <mergeCell ref="E316:F316"/>
    <mergeCell ref="H316:I316"/>
    <mergeCell ref="E317:F317"/>
    <mergeCell ref="H317:I317"/>
    <mergeCell ref="E318:F318"/>
    <mergeCell ref="H318:I318"/>
    <mergeCell ref="E319:F319"/>
    <mergeCell ref="H319:I319"/>
    <mergeCell ref="H310:I310"/>
    <mergeCell ref="E311:F311"/>
    <mergeCell ref="H311:I311"/>
    <mergeCell ref="B312:D314"/>
    <mergeCell ref="E312:F312"/>
    <mergeCell ref="H312:I312"/>
    <mergeCell ref="E313:F313"/>
    <mergeCell ref="H313:I313"/>
    <mergeCell ref="E314:F314"/>
    <mergeCell ref="H314:I314"/>
    <mergeCell ref="B306:D311"/>
    <mergeCell ref="E306:F306"/>
    <mergeCell ref="H306:I306"/>
    <mergeCell ref="E307:F307"/>
    <mergeCell ref="H307:I307"/>
    <mergeCell ref="E308:F308"/>
    <mergeCell ref="H308:I308"/>
    <mergeCell ref="E309:F309"/>
    <mergeCell ref="H309:I309"/>
    <mergeCell ref="E310:F310"/>
    <mergeCell ref="C303:I303"/>
    <mergeCell ref="B304:D305"/>
    <mergeCell ref="E304:F304"/>
    <mergeCell ref="H304:I304"/>
    <mergeCell ref="E305:F305"/>
    <mergeCell ref="H305:I305"/>
    <mergeCell ref="H298:I298"/>
    <mergeCell ref="E299:F299"/>
    <mergeCell ref="H299:I299"/>
    <mergeCell ref="B300:D302"/>
    <mergeCell ref="E300:F300"/>
    <mergeCell ref="H300:I300"/>
    <mergeCell ref="E301:F301"/>
    <mergeCell ref="H301:I301"/>
    <mergeCell ref="E302:F302"/>
    <mergeCell ref="H302:I302"/>
    <mergeCell ref="B294:D299"/>
    <mergeCell ref="E294:F294"/>
    <mergeCell ref="H294:I294"/>
    <mergeCell ref="E295:F295"/>
    <mergeCell ref="H295:I295"/>
    <mergeCell ref="E296:F296"/>
    <mergeCell ref="H296:I296"/>
    <mergeCell ref="E297:F297"/>
    <mergeCell ref="H297:I297"/>
    <mergeCell ref="E298:F298"/>
    <mergeCell ref="C291:I291"/>
    <mergeCell ref="B292:D293"/>
    <mergeCell ref="E292:F292"/>
    <mergeCell ref="H292:I292"/>
    <mergeCell ref="E293:F293"/>
    <mergeCell ref="H293:I293"/>
    <mergeCell ref="H287:I287"/>
    <mergeCell ref="E288:F288"/>
    <mergeCell ref="H288:I288"/>
    <mergeCell ref="E289:F289"/>
    <mergeCell ref="H289:I289"/>
    <mergeCell ref="E290:F290"/>
    <mergeCell ref="H290:I290"/>
    <mergeCell ref="H282:I282"/>
    <mergeCell ref="E283:F283"/>
    <mergeCell ref="H283:I283"/>
    <mergeCell ref="C284:I284"/>
    <mergeCell ref="B285:D290"/>
    <mergeCell ref="E285:F285"/>
    <mergeCell ref="H285:I285"/>
    <mergeCell ref="E286:F286"/>
    <mergeCell ref="H286:I286"/>
    <mergeCell ref="E287:F287"/>
    <mergeCell ref="B278:D283"/>
    <mergeCell ref="E278:F278"/>
    <mergeCell ref="H278:I278"/>
    <mergeCell ref="E279:F279"/>
    <mergeCell ref="H279:I279"/>
    <mergeCell ref="E280:F280"/>
    <mergeCell ref="H280:I280"/>
    <mergeCell ref="E281:F281"/>
    <mergeCell ref="H281:I281"/>
    <mergeCell ref="E282:F282"/>
    <mergeCell ref="H274:I274"/>
    <mergeCell ref="E275:F275"/>
    <mergeCell ref="H275:I275"/>
    <mergeCell ref="E276:F276"/>
    <mergeCell ref="H276:I276"/>
    <mergeCell ref="C277:I277"/>
    <mergeCell ref="C270:I270"/>
    <mergeCell ref="B271:D271"/>
    <mergeCell ref="E271:F271"/>
    <mergeCell ref="H271:I271"/>
    <mergeCell ref="B272:D276"/>
    <mergeCell ref="E272:F272"/>
    <mergeCell ref="H272:I272"/>
    <mergeCell ref="E273:F273"/>
    <mergeCell ref="H273:I273"/>
    <mergeCell ref="E274:F274"/>
    <mergeCell ref="E267:F267"/>
    <mergeCell ref="H267:I267"/>
    <mergeCell ref="E268:F268"/>
    <mergeCell ref="H268:I268"/>
    <mergeCell ref="E269:F269"/>
    <mergeCell ref="H269:I269"/>
    <mergeCell ref="E262:F262"/>
    <mergeCell ref="H262:I262"/>
    <mergeCell ref="C263:I263"/>
    <mergeCell ref="B264:D269"/>
    <mergeCell ref="E264:F264"/>
    <mergeCell ref="H264:I264"/>
    <mergeCell ref="E265:F265"/>
    <mergeCell ref="H265:I265"/>
    <mergeCell ref="E266:F266"/>
    <mergeCell ref="H266:I266"/>
    <mergeCell ref="E259:F259"/>
    <mergeCell ref="H259:I259"/>
    <mergeCell ref="E260:F260"/>
    <mergeCell ref="H260:I260"/>
    <mergeCell ref="E261:F261"/>
    <mergeCell ref="H261:I261"/>
    <mergeCell ref="E254:F254"/>
    <mergeCell ref="H254:I254"/>
    <mergeCell ref="E255:F255"/>
    <mergeCell ref="H255:I255"/>
    <mergeCell ref="C256:I256"/>
    <mergeCell ref="B257:D262"/>
    <mergeCell ref="E257:F257"/>
    <mergeCell ref="H257:I257"/>
    <mergeCell ref="E258:F258"/>
    <mergeCell ref="H258:I258"/>
    <mergeCell ref="C249:I249"/>
    <mergeCell ref="B250:D255"/>
    <mergeCell ref="E250:F250"/>
    <mergeCell ref="H250:I250"/>
    <mergeCell ref="E251:F251"/>
    <mergeCell ref="H251:I251"/>
    <mergeCell ref="E252:F252"/>
    <mergeCell ref="H252:I252"/>
    <mergeCell ref="E253:F253"/>
    <mergeCell ref="H253:I253"/>
    <mergeCell ref="H244:I244"/>
    <mergeCell ref="E245:F245"/>
    <mergeCell ref="H245:I245"/>
    <mergeCell ref="B246:D248"/>
    <mergeCell ref="E246:F246"/>
    <mergeCell ref="H246:I246"/>
    <mergeCell ref="E247:F247"/>
    <mergeCell ref="H247:I247"/>
    <mergeCell ref="E248:F248"/>
    <mergeCell ref="H248:I248"/>
    <mergeCell ref="B240:D245"/>
    <mergeCell ref="E240:F240"/>
    <mergeCell ref="H240:I240"/>
    <mergeCell ref="E241:F241"/>
    <mergeCell ref="H241:I241"/>
    <mergeCell ref="E242:F242"/>
    <mergeCell ref="H242:I242"/>
    <mergeCell ref="E243:F243"/>
    <mergeCell ref="H243:I243"/>
    <mergeCell ref="E244:F244"/>
    <mergeCell ref="C237:I237"/>
    <mergeCell ref="B238:D239"/>
    <mergeCell ref="E238:F238"/>
    <mergeCell ref="H238:I238"/>
    <mergeCell ref="E239:F239"/>
    <mergeCell ref="H239:I239"/>
    <mergeCell ref="H232:I232"/>
    <mergeCell ref="E233:F233"/>
    <mergeCell ref="H233:I233"/>
    <mergeCell ref="B234:D236"/>
    <mergeCell ref="E234:F234"/>
    <mergeCell ref="H234:I234"/>
    <mergeCell ref="E235:F235"/>
    <mergeCell ref="H235:I235"/>
    <mergeCell ref="E236:F236"/>
    <mergeCell ref="H236:I236"/>
    <mergeCell ref="B228:D233"/>
    <mergeCell ref="E228:F228"/>
    <mergeCell ref="H228:I228"/>
    <mergeCell ref="E229:F229"/>
    <mergeCell ref="H229:I229"/>
    <mergeCell ref="E230:F230"/>
    <mergeCell ref="H230:I230"/>
    <mergeCell ref="E231:F231"/>
    <mergeCell ref="H231:I231"/>
    <mergeCell ref="E232:F232"/>
    <mergeCell ref="C225:I225"/>
    <mergeCell ref="B226:D227"/>
    <mergeCell ref="E226:F226"/>
    <mergeCell ref="H226:I226"/>
    <mergeCell ref="E227:F227"/>
    <mergeCell ref="H227:I227"/>
    <mergeCell ref="H220:I220"/>
    <mergeCell ref="E221:F221"/>
    <mergeCell ref="H221:I221"/>
    <mergeCell ref="B222:D224"/>
    <mergeCell ref="E222:F222"/>
    <mergeCell ref="H222:I222"/>
    <mergeCell ref="E223:F223"/>
    <mergeCell ref="H223:I223"/>
    <mergeCell ref="E224:F224"/>
    <mergeCell ref="H224:I224"/>
    <mergeCell ref="B216:D221"/>
    <mergeCell ref="E216:F216"/>
    <mergeCell ref="H216:I216"/>
    <mergeCell ref="E217:F217"/>
    <mergeCell ref="H217:I217"/>
    <mergeCell ref="E218:F218"/>
    <mergeCell ref="H218:I218"/>
    <mergeCell ref="E219:F219"/>
    <mergeCell ref="H219:I219"/>
    <mergeCell ref="E220:F220"/>
    <mergeCell ref="H211:I211"/>
    <mergeCell ref="E212:F212"/>
    <mergeCell ref="H212:I212"/>
    <mergeCell ref="C213:I213"/>
    <mergeCell ref="B214:D215"/>
    <mergeCell ref="E214:F214"/>
    <mergeCell ref="H214:I214"/>
    <mergeCell ref="E215:F215"/>
    <mergeCell ref="H215:I215"/>
    <mergeCell ref="B207:D212"/>
    <mergeCell ref="E207:F207"/>
    <mergeCell ref="H207:I207"/>
    <mergeCell ref="E208:F208"/>
    <mergeCell ref="H208:I208"/>
    <mergeCell ref="E209:F209"/>
    <mergeCell ref="H209:I209"/>
    <mergeCell ref="E210:F210"/>
    <mergeCell ref="H210:I210"/>
    <mergeCell ref="E211:F211"/>
    <mergeCell ref="B204:D204"/>
    <mergeCell ref="E204:F204"/>
    <mergeCell ref="H204:I204"/>
    <mergeCell ref="C205:I205"/>
    <mergeCell ref="B206:D206"/>
    <mergeCell ref="E206:F206"/>
    <mergeCell ref="H206:I206"/>
    <mergeCell ref="H200:I200"/>
    <mergeCell ref="E201:F201"/>
    <mergeCell ref="H201:I201"/>
    <mergeCell ref="E202:F202"/>
    <mergeCell ref="H202:I202"/>
    <mergeCell ref="E203:F203"/>
    <mergeCell ref="H203:I203"/>
    <mergeCell ref="C196:I196"/>
    <mergeCell ref="B197:D197"/>
    <mergeCell ref="E197:F197"/>
    <mergeCell ref="H197:I197"/>
    <mergeCell ref="B198:D203"/>
    <mergeCell ref="E198:F198"/>
    <mergeCell ref="H198:I198"/>
    <mergeCell ref="E199:F199"/>
    <mergeCell ref="H199:I199"/>
    <mergeCell ref="E200:F200"/>
    <mergeCell ref="H191:I191"/>
    <mergeCell ref="E192:F192"/>
    <mergeCell ref="H192:I192"/>
    <mergeCell ref="B193:D195"/>
    <mergeCell ref="E193:F193"/>
    <mergeCell ref="H193:I193"/>
    <mergeCell ref="E194:F194"/>
    <mergeCell ref="H194:I194"/>
    <mergeCell ref="E195:F195"/>
    <mergeCell ref="H195:I195"/>
    <mergeCell ref="B187:D192"/>
    <mergeCell ref="E187:F187"/>
    <mergeCell ref="H187:I187"/>
    <mergeCell ref="E188:F188"/>
    <mergeCell ref="H188:I188"/>
    <mergeCell ref="E189:F189"/>
    <mergeCell ref="H189:I189"/>
    <mergeCell ref="E190:F190"/>
    <mergeCell ref="H190:I190"/>
    <mergeCell ref="E191:F191"/>
    <mergeCell ref="C184:I184"/>
    <mergeCell ref="B185:D186"/>
    <mergeCell ref="E185:F185"/>
    <mergeCell ref="H185:I185"/>
    <mergeCell ref="E186:F186"/>
    <mergeCell ref="H186:I186"/>
    <mergeCell ref="H179:I179"/>
    <mergeCell ref="E180:F180"/>
    <mergeCell ref="H180:I180"/>
    <mergeCell ref="B181:D183"/>
    <mergeCell ref="E181:F181"/>
    <mergeCell ref="H181:I181"/>
    <mergeCell ref="E182:F182"/>
    <mergeCell ref="H182:I182"/>
    <mergeCell ref="E183:F183"/>
    <mergeCell ref="H183:I183"/>
    <mergeCell ref="B175:D180"/>
    <mergeCell ref="E175:F175"/>
    <mergeCell ref="H175:I175"/>
    <mergeCell ref="E176:F176"/>
    <mergeCell ref="H176:I176"/>
    <mergeCell ref="E177:F177"/>
    <mergeCell ref="H177:I177"/>
    <mergeCell ref="E178:F178"/>
    <mergeCell ref="H178:I178"/>
    <mergeCell ref="E179:F179"/>
    <mergeCell ref="C172:I172"/>
    <mergeCell ref="B173:D174"/>
    <mergeCell ref="E173:F173"/>
    <mergeCell ref="H173:I173"/>
    <mergeCell ref="E174:F174"/>
    <mergeCell ref="H174:I174"/>
    <mergeCell ref="H167:I167"/>
    <mergeCell ref="E168:F168"/>
    <mergeCell ref="H168:I168"/>
    <mergeCell ref="B169:D171"/>
    <mergeCell ref="E169:F169"/>
    <mergeCell ref="H169:I169"/>
    <mergeCell ref="E170:F170"/>
    <mergeCell ref="H170:I170"/>
    <mergeCell ref="E171:F171"/>
    <mergeCell ref="H171:I171"/>
    <mergeCell ref="B163:D168"/>
    <mergeCell ref="E163:F163"/>
    <mergeCell ref="H163:I163"/>
    <mergeCell ref="E164:F164"/>
    <mergeCell ref="H164:I164"/>
    <mergeCell ref="E165:F165"/>
    <mergeCell ref="H165:I165"/>
    <mergeCell ref="E166:F166"/>
    <mergeCell ref="H166:I166"/>
    <mergeCell ref="E167:F167"/>
    <mergeCell ref="E159:F159"/>
    <mergeCell ref="H159:I159"/>
    <mergeCell ref="C160:I160"/>
    <mergeCell ref="B161:D162"/>
    <mergeCell ref="E161:F161"/>
    <mergeCell ref="H161:I161"/>
    <mergeCell ref="E162:F162"/>
    <mergeCell ref="H162:I162"/>
    <mergeCell ref="E156:F156"/>
    <mergeCell ref="H156:I156"/>
    <mergeCell ref="E157:F157"/>
    <mergeCell ref="H157:I157"/>
    <mergeCell ref="E158:F158"/>
    <mergeCell ref="H158:I158"/>
    <mergeCell ref="H151:I151"/>
    <mergeCell ref="E152:F152"/>
    <mergeCell ref="H152:I152"/>
    <mergeCell ref="E153:F153"/>
    <mergeCell ref="H153:I153"/>
    <mergeCell ref="B154:D159"/>
    <mergeCell ref="E154:F154"/>
    <mergeCell ref="H154:I154"/>
    <mergeCell ref="E155:F155"/>
    <mergeCell ref="H155:I155"/>
    <mergeCell ref="E147:F147"/>
    <mergeCell ref="H147:I147"/>
    <mergeCell ref="B148:D153"/>
    <mergeCell ref="E148:F148"/>
    <mergeCell ref="H148:I148"/>
    <mergeCell ref="E149:F149"/>
    <mergeCell ref="H149:I149"/>
    <mergeCell ref="E150:F150"/>
    <mergeCell ref="H150:I150"/>
    <mergeCell ref="E151:F151"/>
    <mergeCell ref="E142:F142"/>
    <mergeCell ref="H142:I142"/>
    <mergeCell ref="C143:I143"/>
    <mergeCell ref="B144:D147"/>
    <mergeCell ref="E144:F144"/>
    <mergeCell ref="H144:I144"/>
    <mergeCell ref="E145:F145"/>
    <mergeCell ref="H145:I145"/>
    <mergeCell ref="E146:F146"/>
    <mergeCell ref="H146:I146"/>
    <mergeCell ref="B138:D139"/>
    <mergeCell ref="E138:F138"/>
    <mergeCell ref="H138:I138"/>
    <mergeCell ref="E139:F139"/>
    <mergeCell ref="H139:I139"/>
    <mergeCell ref="B140:D142"/>
    <mergeCell ref="E140:F140"/>
    <mergeCell ref="H140:I140"/>
    <mergeCell ref="E141:F141"/>
    <mergeCell ref="H141:I141"/>
    <mergeCell ref="B134:D137"/>
    <mergeCell ref="E134:F134"/>
    <mergeCell ref="H134:I134"/>
    <mergeCell ref="E135:F135"/>
    <mergeCell ref="H135:I135"/>
    <mergeCell ref="E136:F136"/>
    <mergeCell ref="H136:I136"/>
    <mergeCell ref="E137:F137"/>
    <mergeCell ref="H137:I137"/>
    <mergeCell ref="C131:I131"/>
    <mergeCell ref="B132:D133"/>
    <mergeCell ref="E132:F132"/>
    <mergeCell ref="H132:I132"/>
    <mergeCell ref="E133:F133"/>
    <mergeCell ref="H133:I133"/>
    <mergeCell ref="H126:I126"/>
    <mergeCell ref="E127:F127"/>
    <mergeCell ref="H127:I127"/>
    <mergeCell ref="B128:D130"/>
    <mergeCell ref="E128:F128"/>
    <mergeCell ref="H128:I128"/>
    <mergeCell ref="E129:F129"/>
    <mergeCell ref="H129:I129"/>
    <mergeCell ref="E130:F130"/>
    <mergeCell ref="H130:I130"/>
    <mergeCell ref="B122:D127"/>
    <mergeCell ref="E122:F122"/>
    <mergeCell ref="H122:I122"/>
    <mergeCell ref="E123:F123"/>
    <mergeCell ref="H123:I123"/>
    <mergeCell ref="E124:F124"/>
    <mergeCell ref="H124:I124"/>
    <mergeCell ref="E125:F125"/>
    <mergeCell ref="H125:I125"/>
    <mergeCell ref="E126:F126"/>
    <mergeCell ref="E118:F118"/>
    <mergeCell ref="H118:I118"/>
    <mergeCell ref="C119:I119"/>
    <mergeCell ref="B120:D121"/>
    <mergeCell ref="E120:F120"/>
    <mergeCell ref="H120:I120"/>
    <mergeCell ref="E121:F121"/>
    <mergeCell ref="H121:I121"/>
    <mergeCell ref="E115:F115"/>
    <mergeCell ref="H115:I115"/>
    <mergeCell ref="E116:F116"/>
    <mergeCell ref="H116:I116"/>
    <mergeCell ref="E117:F117"/>
    <mergeCell ref="H117:I117"/>
    <mergeCell ref="E110:F110"/>
    <mergeCell ref="H110:I110"/>
    <mergeCell ref="E111:F111"/>
    <mergeCell ref="H111:I111"/>
    <mergeCell ref="C112:I112"/>
    <mergeCell ref="B113:D118"/>
    <mergeCell ref="E113:F113"/>
    <mergeCell ref="H113:I113"/>
    <mergeCell ref="E114:F114"/>
    <mergeCell ref="H114:I114"/>
    <mergeCell ref="C105:I105"/>
    <mergeCell ref="B106:D111"/>
    <mergeCell ref="E106:F106"/>
    <mergeCell ref="H106:I106"/>
    <mergeCell ref="E107:F107"/>
    <mergeCell ref="H107:I107"/>
    <mergeCell ref="E108:F108"/>
    <mergeCell ref="H108:I108"/>
    <mergeCell ref="E109:F109"/>
    <mergeCell ref="H109:I109"/>
    <mergeCell ref="H100:I100"/>
    <mergeCell ref="E101:F101"/>
    <mergeCell ref="H101:I101"/>
    <mergeCell ref="B102:D104"/>
    <mergeCell ref="E102:F102"/>
    <mergeCell ref="H102:I102"/>
    <mergeCell ref="E103:F103"/>
    <mergeCell ref="H103:I103"/>
    <mergeCell ref="E104:F104"/>
    <mergeCell ref="H104:I104"/>
    <mergeCell ref="B96:D101"/>
    <mergeCell ref="E96:F96"/>
    <mergeCell ref="H96:I96"/>
    <mergeCell ref="E97:F97"/>
    <mergeCell ref="H97:I97"/>
    <mergeCell ref="E98:F98"/>
    <mergeCell ref="H98:I98"/>
    <mergeCell ref="E99:F99"/>
    <mergeCell ref="H99:I99"/>
    <mergeCell ref="E100:F100"/>
    <mergeCell ref="C93:I93"/>
    <mergeCell ref="B94:D95"/>
    <mergeCell ref="E94:F94"/>
    <mergeCell ref="H94:I94"/>
    <mergeCell ref="E95:F95"/>
    <mergeCell ref="H95:I95"/>
    <mergeCell ref="H88:I88"/>
    <mergeCell ref="E89:F89"/>
    <mergeCell ref="H89:I89"/>
    <mergeCell ref="B90:D92"/>
    <mergeCell ref="E90:F90"/>
    <mergeCell ref="H90:I90"/>
    <mergeCell ref="E91:F91"/>
    <mergeCell ref="H91:I91"/>
    <mergeCell ref="E92:F92"/>
    <mergeCell ref="H92:I92"/>
    <mergeCell ref="B84:D89"/>
    <mergeCell ref="E84:F84"/>
    <mergeCell ref="H84:I84"/>
    <mergeCell ref="E85:F85"/>
    <mergeCell ref="H85:I85"/>
    <mergeCell ref="E86:F86"/>
    <mergeCell ref="H86:I86"/>
    <mergeCell ref="E87:F87"/>
    <mergeCell ref="H87:I87"/>
    <mergeCell ref="E88:F88"/>
    <mergeCell ref="C81:I81"/>
    <mergeCell ref="B82:D83"/>
    <mergeCell ref="E82:F82"/>
    <mergeCell ref="H82:I82"/>
    <mergeCell ref="E83:F83"/>
    <mergeCell ref="H83:I83"/>
    <mergeCell ref="H76:I76"/>
    <mergeCell ref="E77:F77"/>
    <mergeCell ref="H77:I77"/>
    <mergeCell ref="B78:D80"/>
    <mergeCell ref="E78:F78"/>
    <mergeCell ref="H78:I78"/>
    <mergeCell ref="E79:F79"/>
    <mergeCell ref="H79:I79"/>
    <mergeCell ref="E80:F80"/>
    <mergeCell ref="H80:I80"/>
    <mergeCell ref="B72:D77"/>
    <mergeCell ref="E72:F72"/>
    <mergeCell ref="H72:I72"/>
    <mergeCell ref="E73:F73"/>
    <mergeCell ref="H73:I73"/>
    <mergeCell ref="E74:F74"/>
    <mergeCell ref="H74:I74"/>
    <mergeCell ref="E75:F75"/>
    <mergeCell ref="H75:I75"/>
    <mergeCell ref="E76:F76"/>
    <mergeCell ref="C68:I68"/>
    <mergeCell ref="B69:D69"/>
    <mergeCell ref="E69:F69"/>
    <mergeCell ref="H69:I69"/>
    <mergeCell ref="B70:I70"/>
    <mergeCell ref="B71:D71"/>
    <mergeCell ref="E71:F71"/>
    <mergeCell ref="H71:I71"/>
    <mergeCell ref="H63:I63"/>
    <mergeCell ref="E64:F64"/>
    <mergeCell ref="H64:I64"/>
    <mergeCell ref="B65:D67"/>
    <mergeCell ref="E65:F65"/>
    <mergeCell ref="H65:I65"/>
    <mergeCell ref="E66:F66"/>
    <mergeCell ref="H66:I66"/>
    <mergeCell ref="E67:F67"/>
    <mergeCell ref="H67:I67"/>
    <mergeCell ref="B59:D64"/>
    <mergeCell ref="E59:F59"/>
    <mergeCell ref="H59:I59"/>
    <mergeCell ref="E60:F60"/>
    <mergeCell ref="H60:I60"/>
    <mergeCell ref="E61:F61"/>
    <mergeCell ref="H61:I61"/>
    <mergeCell ref="E62:F62"/>
    <mergeCell ref="H62:I62"/>
    <mergeCell ref="E63:F63"/>
    <mergeCell ref="C56:I56"/>
    <mergeCell ref="B57:D58"/>
    <mergeCell ref="E57:F57"/>
    <mergeCell ref="H57:I57"/>
    <mergeCell ref="E58:F58"/>
    <mergeCell ref="H58:I58"/>
    <mergeCell ref="H51:I51"/>
    <mergeCell ref="E52:F52"/>
    <mergeCell ref="H52:I52"/>
    <mergeCell ref="B53:D55"/>
    <mergeCell ref="E53:F53"/>
    <mergeCell ref="H53:I53"/>
    <mergeCell ref="E54:F54"/>
    <mergeCell ref="H54:I54"/>
    <mergeCell ref="E55:F55"/>
    <mergeCell ref="H55:I55"/>
    <mergeCell ref="B47:D52"/>
    <mergeCell ref="E47:F47"/>
    <mergeCell ref="H47:I47"/>
    <mergeCell ref="E48:F48"/>
    <mergeCell ref="H48:I48"/>
    <mergeCell ref="E49:F49"/>
    <mergeCell ref="H49:I49"/>
    <mergeCell ref="E50:F50"/>
    <mergeCell ref="H50:I50"/>
    <mergeCell ref="E51:F51"/>
    <mergeCell ref="C44:I44"/>
    <mergeCell ref="B45:D46"/>
    <mergeCell ref="E45:F45"/>
    <mergeCell ref="H45:I45"/>
    <mergeCell ref="E46:F46"/>
    <mergeCell ref="H46:I46"/>
    <mergeCell ref="H39:I39"/>
    <mergeCell ref="E40:F40"/>
    <mergeCell ref="H40:I40"/>
    <mergeCell ref="B41:D43"/>
    <mergeCell ref="E41:F41"/>
    <mergeCell ref="H41:I41"/>
    <mergeCell ref="E42:F42"/>
    <mergeCell ref="H42:I42"/>
    <mergeCell ref="E43:F43"/>
    <mergeCell ref="H43:I43"/>
    <mergeCell ref="B35:D40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C32:I32"/>
    <mergeCell ref="B33:D34"/>
    <mergeCell ref="E33:F33"/>
    <mergeCell ref="H33:I33"/>
    <mergeCell ref="E34:F34"/>
    <mergeCell ref="H34:I34"/>
    <mergeCell ref="H27:I27"/>
    <mergeCell ref="E28:F28"/>
    <mergeCell ref="H28:I28"/>
    <mergeCell ref="B29:D31"/>
    <mergeCell ref="E29:F29"/>
    <mergeCell ref="H29:I29"/>
    <mergeCell ref="E30:F30"/>
    <mergeCell ref="H30:I30"/>
    <mergeCell ref="E31:F31"/>
    <mergeCell ref="H31:I31"/>
    <mergeCell ref="B23:D28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C20:I20"/>
    <mergeCell ref="B21:D22"/>
    <mergeCell ref="E21:F21"/>
    <mergeCell ref="H21:I21"/>
    <mergeCell ref="E22:F22"/>
    <mergeCell ref="H22:I22"/>
    <mergeCell ref="H15:I15"/>
    <mergeCell ref="E16:F16"/>
    <mergeCell ref="H16:I16"/>
    <mergeCell ref="B17:D19"/>
    <mergeCell ref="E17:F17"/>
    <mergeCell ref="H17:I17"/>
    <mergeCell ref="E18:F18"/>
    <mergeCell ref="H18:I18"/>
    <mergeCell ref="E19:F19"/>
    <mergeCell ref="H19:I19"/>
    <mergeCell ref="B11:D16"/>
    <mergeCell ref="E11:F11"/>
    <mergeCell ref="H11:I11"/>
    <mergeCell ref="E12:F12"/>
    <mergeCell ref="H12:I12"/>
    <mergeCell ref="E13:F13"/>
    <mergeCell ref="H13:I13"/>
    <mergeCell ref="E14:F14"/>
    <mergeCell ref="H14:I14"/>
    <mergeCell ref="E15:F15"/>
    <mergeCell ref="D6:I6"/>
    <mergeCell ref="B7:D7"/>
    <mergeCell ref="E7:F7"/>
    <mergeCell ref="H7:I7"/>
    <mergeCell ref="C8:I8"/>
    <mergeCell ref="B9:D10"/>
    <mergeCell ref="E9:F9"/>
    <mergeCell ref="H9:I9"/>
    <mergeCell ref="E10:F10"/>
    <mergeCell ref="H10:I10"/>
    <mergeCell ref="B1:I1"/>
    <mergeCell ref="B2:H2"/>
    <mergeCell ref="B3:I3"/>
    <mergeCell ref="B4:C4"/>
    <mergeCell ref="D4:I4"/>
    <mergeCell ref="B5:C5"/>
    <mergeCell ref="D5:I5"/>
  </mergeCells>
  <pageMargins left="0.39370078740157499" right="0.39370078740157499" top="0.39370078740157499" bottom="0.39370078740157499" header="0" footer="0"/>
  <pageSetup paperSize="0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X296"/>
  <sheetViews>
    <sheetView workbookViewId="0">
      <pane xSplit="1" ySplit="9" topLeftCell="B211" activePane="bottomRight" state="frozen"/>
      <selection activeCell="EB284" sqref="EB284"/>
      <selection pane="topRight" activeCell="EB284" sqref="EB284"/>
      <selection pane="bottomLeft" activeCell="EB284" sqref="EB284"/>
      <selection pane="bottomRight" activeCell="EB284" sqref="EB284"/>
    </sheetView>
  </sheetViews>
  <sheetFormatPr defaultColWidth="9" defaultRowHeight="11.45" customHeight="1" outlineLevelRow="2" outlineLevelCol="1" x14ac:dyDescent="0.2"/>
  <cols>
    <col min="1" max="1" width="20" style="245" customWidth="1"/>
    <col min="2" max="3" width="16.42578125" style="245" customWidth="1"/>
    <col min="4" max="4" width="16.42578125" style="245" customWidth="1" collapsed="1"/>
    <col min="5" max="11" width="16.42578125" style="245" hidden="1" customWidth="1" outlineLevel="1"/>
    <col min="12" max="12" width="16.42578125" style="245" customWidth="1"/>
    <col min="13" max="22" width="16.42578125" style="245" customWidth="1" outlineLevel="1"/>
    <col min="23" max="24" width="16.42578125" style="245" customWidth="1"/>
    <col min="25" max="16384" width="9" style="244"/>
  </cols>
  <sheetData>
    <row r="1" spans="1:24" ht="12.95" customHeight="1" x14ac:dyDescent="0.2">
      <c r="A1" s="268" t="s">
        <v>1721</v>
      </c>
      <c r="B1" s="265"/>
      <c r="C1" s="265"/>
      <c r="D1" s="265"/>
    </row>
    <row r="2" spans="1:24" ht="15.95" customHeight="1" x14ac:dyDescent="0.25">
      <c r="A2" s="267" t="s">
        <v>1720</v>
      </c>
      <c r="B2" s="265"/>
      <c r="C2" s="265"/>
      <c r="D2" s="265"/>
    </row>
    <row r="3" spans="1:24" s="245" customFormat="1" ht="2.1" customHeight="1" x14ac:dyDescent="0.2"/>
    <row r="4" spans="1:24" ht="11.1" customHeight="1" x14ac:dyDescent="0.2">
      <c r="A4" s="431" t="s">
        <v>1307</v>
      </c>
      <c r="B4" s="432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s="245" customFormat="1" ht="2.1" customHeight="1" x14ac:dyDescent="0.2">
      <c r="A5" s="266"/>
      <c r="B5" s="266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</row>
    <row r="6" spans="1:24" ht="12.95" customHeight="1" x14ac:dyDescent="0.2">
      <c r="A6" s="264" t="s">
        <v>1306</v>
      </c>
      <c r="B6" s="434" t="s">
        <v>1719</v>
      </c>
      <c r="C6" s="434" t="s">
        <v>1718</v>
      </c>
      <c r="D6" s="434" t="s">
        <v>1717</v>
      </c>
      <c r="E6" s="437" t="s">
        <v>1381</v>
      </c>
      <c r="F6" s="437" t="s">
        <v>1716</v>
      </c>
      <c r="G6" s="437" t="s">
        <v>1702</v>
      </c>
      <c r="H6" s="437" t="s">
        <v>1715</v>
      </c>
      <c r="I6" s="437" t="s">
        <v>1714</v>
      </c>
      <c r="J6" s="437" t="s">
        <v>1713</v>
      </c>
      <c r="K6" s="437" t="s">
        <v>1707</v>
      </c>
      <c r="L6" s="434" t="s">
        <v>1712</v>
      </c>
      <c r="M6" s="437" t="s">
        <v>1711</v>
      </c>
      <c r="N6" s="437" t="s">
        <v>1710</v>
      </c>
      <c r="O6" s="437" t="s">
        <v>1709</v>
      </c>
      <c r="P6" s="437" t="s">
        <v>1708</v>
      </c>
      <c r="Q6" s="437" t="s">
        <v>1310</v>
      </c>
      <c r="R6" s="437" t="s">
        <v>1329</v>
      </c>
      <c r="S6" s="437" t="s">
        <v>1381</v>
      </c>
      <c r="T6" s="437" t="s">
        <v>1702</v>
      </c>
      <c r="U6" s="437" t="s">
        <v>1707</v>
      </c>
      <c r="V6" s="437" t="s">
        <v>1706</v>
      </c>
      <c r="W6" s="434" t="s">
        <v>1705</v>
      </c>
      <c r="X6" s="434" t="s">
        <v>1704</v>
      </c>
    </row>
    <row r="7" spans="1:24" ht="12.95" customHeight="1" x14ac:dyDescent="0.2">
      <c r="A7" s="264" t="s">
        <v>1703</v>
      </c>
      <c r="B7" s="435"/>
      <c r="C7" s="435"/>
      <c r="D7" s="435"/>
      <c r="E7" s="438"/>
      <c r="F7" s="438"/>
      <c r="G7" s="438"/>
      <c r="H7" s="438"/>
      <c r="I7" s="438"/>
      <c r="J7" s="438"/>
      <c r="K7" s="438"/>
      <c r="L7" s="435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5"/>
      <c r="X7" s="435"/>
    </row>
    <row r="8" spans="1:24" ht="12.95" customHeight="1" x14ac:dyDescent="0.2">
      <c r="A8" s="264" t="s">
        <v>1423</v>
      </c>
      <c r="B8" s="436"/>
      <c r="C8" s="436"/>
      <c r="D8" s="436"/>
      <c r="E8" s="439"/>
      <c r="F8" s="439"/>
      <c r="G8" s="439"/>
      <c r="H8" s="439"/>
      <c r="I8" s="439"/>
      <c r="J8" s="439"/>
      <c r="K8" s="439"/>
      <c r="L8" s="436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6"/>
      <c r="X8" s="436"/>
    </row>
    <row r="9" spans="1:24" ht="12.95" customHeight="1" x14ac:dyDescent="0.2">
      <c r="A9" s="263" t="s">
        <v>1702</v>
      </c>
      <c r="B9" s="262"/>
      <c r="C9" s="261">
        <v>107031857.2</v>
      </c>
      <c r="D9" s="261">
        <v>1285121589.97</v>
      </c>
      <c r="E9" s="261">
        <v>877262691.13999999</v>
      </c>
      <c r="F9" s="261">
        <v>66523559.060000002</v>
      </c>
      <c r="G9" s="261">
        <v>124782488.78</v>
      </c>
      <c r="H9" s="261">
        <v>92109831.049999997</v>
      </c>
      <c r="I9" s="261">
        <v>2010</v>
      </c>
      <c r="J9" s="261">
        <v>123839621.01000001</v>
      </c>
      <c r="K9" s="261">
        <v>601388.93000000005</v>
      </c>
      <c r="L9" s="261">
        <v>1359206599.9300001</v>
      </c>
      <c r="M9" s="261">
        <v>170650</v>
      </c>
      <c r="N9" s="261">
        <v>28369785.530000001</v>
      </c>
      <c r="O9" s="261">
        <v>186713882.41</v>
      </c>
      <c r="P9" s="261">
        <v>912801571.88</v>
      </c>
      <c r="Q9" s="261">
        <v>925489.64</v>
      </c>
      <c r="R9" s="261">
        <v>4415327.79</v>
      </c>
      <c r="S9" s="261">
        <v>1452891.04</v>
      </c>
      <c r="T9" s="261">
        <v>124782488.78</v>
      </c>
      <c r="U9" s="261">
        <v>99570354.530000001</v>
      </c>
      <c r="V9" s="261">
        <v>4158.33</v>
      </c>
      <c r="W9" s="262"/>
      <c r="X9" s="261">
        <v>181116867.16</v>
      </c>
    </row>
    <row r="10" spans="1:24" ht="12" customHeight="1" outlineLevel="1" collapsed="1" x14ac:dyDescent="0.2">
      <c r="A10" s="256" t="s">
        <v>1701</v>
      </c>
      <c r="B10" s="253"/>
      <c r="C10" s="255">
        <v>30000</v>
      </c>
      <c r="D10" s="255">
        <v>256516</v>
      </c>
      <c r="E10" s="255">
        <v>225850</v>
      </c>
      <c r="F10" s="254"/>
      <c r="G10" s="255">
        <v>30666</v>
      </c>
      <c r="H10" s="254"/>
      <c r="I10" s="254"/>
      <c r="J10" s="254"/>
      <c r="K10" s="254"/>
      <c r="L10" s="255">
        <v>256266</v>
      </c>
      <c r="M10" s="254"/>
      <c r="N10" s="254"/>
      <c r="O10" s="254"/>
      <c r="P10" s="254"/>
      <c r="Q10" s="254"/>
      <c r="R10" s="255">
        <v>225600</v>
      </c>
      <c r="S10" s="254"/>
      <c r="T10" s="255">
        <v>30666</v>
      </c>
      <c r="U10" s="254"/>
      <c r="V10" s="254"/>
      <c r="W10" s="253"/>
      <c r="X10" s="255">
        <v>29750</v>
      </c>
    </row>
    <row r="11" spans="1:24" ht="12" hidden="1" customHeight="1" outlineLevel="2" x14ac:dyDescent="0.2">
      <c r="A11" s="252" t="s">
        <v>1555</v>
      </c>
      <c r="B11" s="249"/>
      <c r="C11" s="251">
        <v>30000</v>
      </c>
      <c r="D11" s="251">
        <v>256516</v>
      </c>
      <c r="E11" s="251">
        <v>225850</v>
      </c>
      <c r="F11" s="250"/>
      <c r="G11" s="251">
        <v>30666</v>
      </c>
      <c r="H11" s="250"/>
      <c r="I11" s="250"/>
      <c r="J11" s="250"/>
      <c r="K11" s="250"/>
      <c r="L11" s="251">
        <v>256266</v>
      </c>
      <c r="M11" s="250"/>
      <c r="N11" s="250"/>
      <c r="O11" s="250"/>
      <c r="P11" s="250"/>
      <c r="Q11" s="250"/>
      <c r="R11" s="251">
        <v>225600</v>
      </c>
      <c r="S11" s="250"/>
      <c r="T11" s="251">
        <v>30666</v>
      </c>
      <c r="U11" s="250"/>
      <c r="V11" s="250"/>
      <c r="W11" s="249"/>
      <c r="X11" s="251">
        <v>29750</v>
      </c>
    </row>
    <row r="12" spans="1:24" ht="12" customHeight="1" outlineLevel="1" collapsed="1" x14ac:dyDescent="0.2">
      <c r="A12" s="256" t="s">
        <v>1700</v>
      </c>
      <c r="B12" s="253"/>
      <c r="C12" s="253"/>
      <c r="D12" s="255">
        <v>564000</v>
      </c>
      <c r="E12" s="255">
        <v>378000</v>
      </c>
      <c r="F12" s="254"/>
      <c r="G12" s="255">
        <v>186000</v>
      </c>
      <c r="H12" s="254"/>
      <c r="I12" s="254"/>
      <c r="J12" s="254"/>
      <c r="K12" s="254"/>
      <c r="L12" s="255">
        <v>564000</v>
      </c>
      <c r="M12" s="254"/>
      <c r="N12" s="254"/>
      <c r="O12" s="255">
        <v>63000</v>
      </c>
      <c r="P12" s="255">
        <v>315000</v>
      </c>
      <c r="Q12" s="254"/>
      <c r="R12" s="254"/>
      <c r="S12" s="254"/>
      <c r="T12" s="255">
        <v>186000</v>
      </c>
      <c r="U12" s="254"/>
      <c r="V12" s="254"/>
      <c r="W12" s="253"/>
      <c r="X12" s="253"/>
    </row>
    <row r="13" spans="1:24" ht="12" hidden="1" customHeight="1" outlineLevel="2" x14ac:dyDescent="0.2">
      <c r="A13" s="252" t="s">
        <v>1555</v>
      </c>
      <c r="B13" s="249"/>
      <c r="C13" s="249"/>
      <c r="D13" s="251">
        <v>564000</v>
      </c>
      <c r="E13" s="251">
        <v>378000</v>
      </c>
      <c r="F13" s="250"/>
      <c r="G13" s="251">
        <v>186000</v>
      </c>
      <c r="H13" s="250"/>
      <c r="I13" s="250"/>
      <c r="J13" s="250"/>
      <c r="K13" s="250"/>
      <c r="L13" s="251">
        <v>564000</v>
      </c>
      <c r="M13" s="250"/>
      <c r="N13" s="250"/>
      <c r="O13" s="251">
        <v>63000</v>
      </c>
      <c r="P13" s="251">
        <v>315000</v>
      </c>
      <c r="Q13" s="250"/>
      <c r="R13" s="250"/>
      <c r="S13" s="250"/>
      <c r="T13" s="251">
        <v>186000</v>
      </c>
      <c r="U13" s="250"/>
      <c r="V13" s="250"/>
      <c r="W13" s="249"/>
      <c r="X13" s="249"/>
    </row>
    <row r="14" spans="1:24" ht="24.95" customHeight="1" outlineLevel="1" collapsed="1" x14ac:dyDescent="0.2">
      <c r="A14" s="256" t="s">
        <v>1699</v>
      </c>
      <c r="B14" s="253"/>
      <c r="C14" s="253"/>
      <c r="D14" s="255">
        <v>87000</v>
      </c>
      <c r="E14" s="255">
        <v>58000</v>
      </c>
      <c r="F14" s="254"/>
      <c r="G14" s="255">
        <v>29000</v>
      </c>
      <c r="H14" s="254"/>
      <c r="I14" s="254"/>
      <c r="J14" s="254"/>
      <c r="K14" s="254"/>
      <c r="L14" s="255">
        <v>87000</v>
      </c>
      <c r="M14" s="254"/>
      <c r="N14" s="254"/>
      <c r="O14" s="254"/>
      <c r="P14" s="254"/>
      <c r="Q14" s="255">
        <v>58000</v>
      </c>
      <c r="R14" s="254"/>
      <c r="S14" s="254"/>
      <c r="T14" s="255">
        <v>29000</v>
      </c>
      <c r="U14" s="254"/>
      <c r="V14" s="254"/>
      <c r="W14" s="253"/>
      <c r="X14" s="253"/>
    </row>
    <row r="15" spans="1:24" ht="12" hidden="1" customHeight="1" outlineLevel="2" x14ac:dyDescent="0.2">
      <c r="A15" s="252" t="s">
        <v>1555</v>
      </c>
      <c r="B15" s="249"/>
      <c r="C15" s="249"/>
      <c r="D15" s="251">
        <v>87000</v>
      </c>
      <c r="E15" s="251">
        <v>58000</v>
      </c>
      <c r="F15" s="250"/>
      <c r="G15" s="251">
        <v>29000</v>
      </c>
      <c r="H15" s="250"/>
      <c r="I15" s="250"/>
      <c r="J15" s="250"/>
      <c r="K15" s="250"/>
      <c r="L15" s="251">
        <v>87000</v>
      </c>
      <c r="M15" s="250"/>
      <c r="N15" s="250"/>
      <c r="O15" s="250"/>
      <c r="P15" s="250"/>
      <c r="Q15" s="251">
        <v>58000</v>
      </c>
      <c r="R15" s="250"/>
      <c r="S15" s="250"/>
      <c r="T15" s="251">
        <v>29000</v>
      </c>
      <c r="U15" s="250"/>
      <c r="V15" s="250"/>
      <c r="W15" s="249"/>
      <c r="X15" s="249"/>
    </row>
    <row r="16" spans="1:24" ht="12" customHeight="1" outlineLevel="1" collapsed="1" x14ac:dyDescent="0.2">
      <c r="A16" s="256" t="s">
        <v>1698</v>
      </c>
      <c r="B16" s="253"/>
      <c r="C16" s="253"/>
      <c r="D16" s="255">
        <v>30000</v>
      </c>
      <c r="E16" s="255">
        <v>15000</v>
      </c>
      <c r="F16" s="254"/>
      <c r="G16" s="255">
        <v>15000</v>
      </c>
      <c r="H16" s="254"/>
      <c r="I16" s="254"/>
      <c r="J16" s="254"/>
      <c r="K16" s="254"/>
      <c r="L16" s="255">
        <v>30000</v>
      </c>
      <c r="M16" s="254"/>
      <c r="N16" s="254"/>
      <c r="O16" s="254"/>
      <c r="P16" s="255">
        <v>15000</v>
      </c>
      <c r="Q16" s="254"/>
      <c r="R16" s="254"/>
      <c r="S16" s="254"/>
      <c r="T16" s="255">
        <v>15000</v>
      </c>
      <c r="U16" s="254"/>
      <c r="V16" s="254"/>
      <c r="W16" s="253"/>
      <c r="X16" s="253"/>
    </row>
    <row r="17" spans="1:24" ht="12" hidden="1" customHeight="1" outlineLevel="2" x14ac:dyDescent="0.2">
      <c r="A17" s="252" t="s">
        <v>1555</v>
      </c>
      <c r="B17" s="249"/>
      <c r="C17" s="249"/>
      <c r="D17" s="251">
        <v>30000</v>
      </c>
      <c r="E17" s="251">
        <v>15000</v>
      </c>
      <c r="F17" s="250"/>
      <c r="G17" s="251">
        <v>15000</v>
      </c>
      <c r="H17" s="250"/>
      <c r="I17" s="250"/>
      <c r="J17" s="250"/>
      <c r="K17" s="250"/>
      <c r="L17" s="251">
        <v>30000</v>
      </c>
      <c r="M17" s="250"/>
      <c r="N17" s="250"/>
      <c r="O17" s="250"/>
      <c r="P17" s="251">
        <v>15000</v>
      </c>
      <c r="Q17" s="250"/>
      <c r="R17" s="250"/>
      <c r="S17" s="250"/>
      <c r="T17" s="251">
        <v>15000</v>
      </c>
      <c r="U17" s="250"/>
      <c r="V17" s="250"/>
      <c r="W17" s="249"/>
      <c r="X17" s="249"/>
    </row>
    <row r="18" spans="1:24" ht="12" customHeight="1" outlineLevel="1" collapsed="1" x14ac:dyDescent="0.2">
      <c r="A18" s="256" t="s">
        <v>1697</v>
      </c>
      <c r="B18" s="253"/>
      <c r="C18" s="255">
        <v>620253.65</v>
      </c>
      <c r="D18" s="255">
        <v>870817.72</v>
      </c>
      <c r="E18" s="255">
        <v>870817.72</v>
      </c>
      <c r="F18" s="254"/>
      <c r="G18" s="254"/>
      <c r="H18" s="254"/>
      <c r="I18" s="254"/>
      <c r="J18" s="254"/>
      <c r="K18" s="254"/>
      <c r="L18" s="255">
        <v>250564.07</v>
      </c>
      <c r="M18" s="254"/>
      <c r="N18" s="254"/>
      <c r="O18" s="254"/>
      <c r="P18" s="255">
        <v>250564.07</v>
      </c>
      <c r="Q18" s="254"/>
      <c r="R18" s="254"/>
      <c r="S18" s="254"/>
      <c r="T18" s="254"/>
      <c r="U18" s="254"/>
      <c r="V18" s="254"/>
      <c r="W18" s="253"/>
      <c r="X18" s="253"/>
    </row>
    <row r="19" spans="1:24" ht="12" hidden="1" customHeight="1" outlineLevel="2" x14ac:dyDescent="0.2">
      <c r="A19" s="252" t="s">
        <v>1555</v>
      </c>
      <c r="B19" s="249"/>
      <c r="C19" s="251">
        <v>620253.65</v>
      </c>
      <c r="D19" s="251">
        <v>870817.72</v>
      </c>
      <c r="E19" s="251">
        <v>870817.72</v>
      </c>
      <c r="F19" s="250"/>
      <c r="G19" s="250"/>
      <c r="H19" s="250"/>
      <c r="I19" s="250"/>
      <c r="J19" s="250"/>
      <c r="K19" s="250"/>
      <c r="L19" s="251">
        <v>250564.07</v>
      </c>
      <c r="M19" s="250"/>
      <c r="N19" s="250"/>
      <c r="O19" s="250"/>
      <c r="P19" s="251">
        <v>250564.07</v>
      </c>
      <c r="Q19" s="250"/>
      <c r="R19" s="250"/>
      <c r="S19" s="250"/>
      <c r="T19" s="250"/>
      <c r="U19" s="250"/>
      <c r="V19" s="250"/>
      <c r="W19" s="249"/>
      <c r="X19" s="249"/>
    </row>
    <row r="20" spans="1:24" ht="12" customHeight="1" outlineLevel="1" collapsed="1" x14ac:dyDescent="0.2">
      <c r="A20" s="256" t="s">
        <v>1696</v>
      </c>
      <c r="B20" s="253"/>
      <c r="C20" s="253"/>
      <c r="D20" s="255">
        <v>1400000</v>
      </c>
      <c r="E20" s="255">
        <v>700000</v>
      </c>
      <c r="F20" s="254"/>
      <c r="G20" s="255">
        <v>700000</v>
      </c>
      <c r="H20" s="254"/>
      <c r="I20" s="254"/>
      <c r="J20" s="254"/>
      <c r="K20" s="254"/>
      <c r="L20" s="255">
        <v>1400000</v>
      </c>
      <c r="M20" s="254"/>
      <c r="N20" s="254"/>
      <c r="O20" s="254"/>
      <c r="P20" s="254"/>
      <c r="Q20" s="254"/>
      <c r="R20" s="255">
        <v>700000</v>
      </c>
      <c r="S20" s="254"/>
      <c r="T20" s="255">
        <v>700000</v>
      </c>
      <c r="U20" s="254"/>
      <c r="V20" s="254"/>
      <c r="W20" s="253"/>
      <c r="X20" s="253"/>
    </row>
    <row r="21" spans="1:24" ht="12" hidden="1" customHeight="1" outlineLevel="2" x14ac:dyDescent="0.2">
      <c r="A21" s="252" t="s">
        <v>1555</v>
      </c>
      <c r="B21" s="249"/>
      <c r="C21" s="249"/>
      <c r="D21" s="251">
        <v>1400000</v>
      </c>
      <c r="E21" s="251">
        <v>700000</v>
      </c>
      <c r="F21" s="250"/>
      <c r="G21" s="251">
        <v>700000</v>
      </c>
      <c r="H21" s="250"/>
      <c r="I21" s="250"/>
      <c r="J21" s="250"/>
      <c r="K21" s="250"/>
      <c r="L21" s="251">
        <v>1400000</v>
      </c>
      <c r="M21" s="250"/>
      <c r="N21" s="250"/>
      <c r="O21" s="250"/>
      <c r="P21" s="250"/>
      <c r="Q21" s="250"/>
      <c r="R21" s="251">
        <v>700000</v>
      </c>
      <c r="S21" s="250"/>
      <c r="T21" s="251">
        <v>700000</v>
      </c>
      <c r="U21" s="250"/>
      <c r="V21" s="250"/>
      <c r="W21" s="249"/>
      <c r="X21" s="249"/>
    </row>
    <row r="22" spans="1:24" ht="12" customHeight="1" outlineLevel="1" collapsed="1" x14ac:dyDescent="0.2">
      <c r="A22" s="256" t="s">
        <v>1695</v>
      </c>
      <c r="B22" s="255">
        <v>14725</v>
      </c>
      <c r="C22" s="253"/>
      <c r="D22" s="255">
        <v>1976525</v>
      </c>
      <c r="E22" s="255">
        <v>980900</v>
      </c>
      <c r="F22" s="254"/>
      <c r="G22" s="255">
        <v>995625</v>
      </c>
      <c r="H22" s="254"/>
      <c r="I22" s="254"/>
      <c r="J22" s="254"/>
      <c r="K22" s="254"/>
      <c r="L22" s="255">
        <v>2001090</v>
      </c>
      <c r="M22" s="254"/>
      <c r="N22" s="255">
        <v>837887.54</v>
      </c>
      <c r="O22" s="255">
        <v>167577.46</v>
      </c>
      <c r="P22" s="254"/>
      <c r="Q22" s="254"/>
      <c r="R22" s="254"/>
      <c r="S22" s="254"/>
      <c r="T22" s="255">
        <v>995625</v>
      </c>
      <c r="U22" s="254"/>
      <c r="V22" s="254"/>
      <c r="W22" s="253"/>
      <c r="X22" s="255">
        <v>9840</v>
      </c>
    </row>
    <row r="23" spans="1:24" ht="12" hidden="1" customHeight="1" outlineLevel="2" x14ac:dyDescent="0.2">
      <c r="A23" s="252" t="s">
        <v>1555</v>
      </c>
      <c r="B23" s="251">
        <v>14725</v>
      </c>
      <c r="C23" s="249"/>
      <c r="D23" s="251">
        <v>1976525</v>
      </c>
      <c r="E23" s="251">
        <v>980900</v>
      </c>
      <c r="F23" s="250"/>
      <c r="G23" s="251">
        <v>995625</v>
      </c>
      <c r="H23" s="250"/>
      <c r="I23" s="250"/>
      <c r="J23" s="250"/>
      <c r="K23" s="250"/>
      <c r="L23" s="251">
        <v>2001090</v>
      </c>
      <c r="M23" s="250"/>
      <c r="N23" s="251">
        <v>837887.54</v>
      </c>
      <c r="O23" s="251">
        <v>167577.46</v>
      </c>
      <c r="P23" s="250"/>
      <c r="Q23" s="250"/>
      <c r="R23" s="250"/>
      <c r="S23" s="250"/>
      <c r="T23" s="251">
        <v>995625</v>
      </c>
      <c r="U23" s="250"/>
      <c r="V23" s="250"/>
      <c r="W23" s="249"/>
      <c r="X23" s="251">
        <v>9840</v>
      </c>
    </row>
    <row r="24" spans="1:24" ht="12" customHeight="1" outlineLevel="1" collapsed="1" x14ac:dyDescent="0.2">
      <c r="A24" s="256" t="s">
        <v>1694</v>
      </c>
      <c r="B24" s="253"/>
      <c r="C24" s="255">
        <v>38709813.719999999</v>
      </c>
      <c r="D24" s="255">
        <v>115824823.09999999</v>
      </c>
      <c r="E24" s="255">
        <v>92312278.480000004</v>
      </c>
      <c r="F24" s="254"/>
      <c r="G24" s="255">
        <v>23512544.620000001</v>
      </c>
      <c r="H24" s="254"/>
      <c r="I24" s="254"/>
      <c r="J24" s="254"/>
      <c r="K24" s="254"/>
      <c r="L24" s="255">
        <v>79082465.430000007</v>
      </c>
      <c r="M24" s="254"/>
      <c r="N24" s="254"/>
      <c r="O24" s="255">
        <v>9261653.4399999995</v>
      </c>
      <c r="P24" s="255">
        <v>28849073.5</v>
      </c>
      <c r="Q24" s="254"/>
      <c r="R24" s="254"/>
      <c r="S24" s="254"/>
      <c r="T24" s="255">
        <v>23512544.620000001</v>
      </c>
      <c r="U24" s="255">
        <v>17459193.870000001</v>
      </c>
      <c r="V24" s="254"/>
      <c r="W24" s="253"/>
      <c r="X24" s="255">
        <v>1967456.05</v>
      </c>
    </row>
    <row r="25" spans="1:24" ht="12" hidden="1" customHeight="1" outlineLevel="2" x14ac:dyDescent="0.2">
      <c r="A25" s="252" t="s">
        <v>1555</v>
      </c>
      <c r="B25" s="249"/>
      <c r="C25" s="251">
        <v>38709813.719999999</v>
      </c>
      <c r="D25" s="251">
        <v>115824823.09999999</v>
      </c>
      <c r="E25" s="251">
        <v>92312278.480000004</v>
      </c>
      <c r="F25" s="250"/>
      <c r="G25" s="251">
        <v>23512544.620000001</v>
      </c>
      <c r="H25" s="250"/>
      <c r="I25" s="250"/>
      <c r="J25" s="250"/>
      <c r="K25" s="250"/>
      <c r="L25" s="251">
        <v>79082465.430000007</v>
      </c>
      <c r="M25" s="250"/>
      <c r="N25" s="250"/>
      <c r="O25" s="251">
        <v>9261653.4399999995</v>
      </c>
      <c r="P25" s="251">
        <v>28849073.5</v>
      </c>
      <c r="Q25" s="250"/>
      <c r="R25" s="250"/>
      <c r="S25" s="250"/>
      <c r="T25" s="251">
        <v>23512544.620000001</v>
      </c>
      <c r="U25" s="251">
        <v>17459193.870000001</v>
      </c>
      <c r="V25" s="250"/>
      <c r="W25" s="249"/>
      <c r="X25" s="251">
        <v>1967456.05</v>
      </c>
    </row>
    <row r="26" spans="1:24" ht="24.95" customHeight="1" outlineLevel="1" collapsed="1" x14ac:dyDescent="0.2">
      <c r="A26" s="256" t="s">
        <v>1693</v>
      </c>
      <c r="B26" s="253"/>
      <c r="C26" s="253"/>
      <c r="D26" s="255">
        <v>503180</v>
      </c>
      <c r="E26" s="255">
        <v>251590</v>
      </c>
      <c r="F26" s="254"/>
      <c r="G26" s="255">
        <v>251590</v>
      </c>
      <c r="H26" s="254"/>
      <c r="I26" s="254"/>
      <c r="J26" s="254"/>
      <c r="K26" s="254"/>
      <c r="L26" s="255">
        <v>503180</v>
      </c>
      <c r="M26" s="254"/>
      <c r="N26" s="254"/>
      <c r="O26" s="254"/>
      <c r="P26" s="254"/>
      <c r="Q26" s="254"/>
      <c r="R26" s="255">
        <v>251590</v>
      </c>
      <c r="S26" s="254"/>
      <c r="T26" s="255">
        <v>251590</v>
      </c>
      <c r="U26" s="254"/>
      <c r="V26" s="254"/>
      <c r="W26" s="253"/>
      <c r="X26" s="253"/>
    </row>
    <row r="27" spans="1:24" ht="12" hidden="1" customHeight="1" outlineLevel="2" x14ac:dyDescent="0.2">
      <c r="A27" s="252" t="s">
        <v>1555</v>
      </c>
      <c r="B27" s="249"/>
      <c r="C27" s="249"/>
      <c r="D27" s="251">
        <v>503180</v>
      </c>
      <c r="E27" s="251">
        <v>251590</v>
      </c>
      <c r="F27" s="250"/>
      <c r="G27" s="251">
        <v>251590</v>
      </c>
      <c r="H27" s="250"/>
      <c r="I27" s="250"/>
      <c r="J27" s="250"/>
      <c r="K27" s="250"/>
      <c r="L27" s="251">
        <v>503180</v>
      </c>
      <c r="M27" s="250"/>
      <c r="N27" s="250"/>
      <c r="O27" s="250"/>
      <c r="P27" s="250"/>
      <c r="Q27" s="250"/>
      <c r="R27" s="251">
        <v>251590</v>
      </c>
      <c r="S27" s="250"/>
      <c r="T27" s="251">
        <v>251590</v>
      </c>
      <c r="U27" s="250"/>
      <c r="V27" s="250"/>
      <c r="W27" s="249"/>
      <c r="X27" s="249"/>
    </row>
    <row r="28" spans="1:24" ht="24.95" customHeight="1" outlineLevel="1" collapsed="1" x14ac:dyDescent="0.2">
      <c r="A28" s="256" t="s">
        <v>1692</v>
      </c>
      <c r="B28" s="253"/>
      <c r="C28" s="253"/>
      <c r="D28" s="255">
        <v>48450</v>
      </c>
      <c r="E28" s="255">
        <v>24225</v>
      </c>
      <c r="F28" s="254"/>
      <c r="G28" s="255">
        <v>24225</v>
      </c>
      <c r="H28" s="254"/>
      <c r="I28" s="254"/>
      <c r="J28" s="254"/>
      <c r="K28" s="254"/>
      <c r="L28" s="255">
        <v>48450</v>
      </c>
      <c r="M28" s="254"/>
      <c r="N28" s="255">
        <v>20187.5</v>
      </c>
      <c r="O28" s="255">
        <v>4037.5</v>
      </c>
      <c r="P28" s="254"/>
      <c r="Q28" s="254"/>
      <c r="R28" s="254"/>
      <c r="S28" s="254"/>
      <c r="T28" s="255">
        <v>24225</v>
      </c>
      <c r="U28" s="254"/>
      <c r="V28" s="254"/>
      <c r="W28" s="253"/>
      <c r="X28" s="253"/>
    </row>
    <row r="29" spans="1:24" ht="12" hidden="1" customHeight="1" outlineLevel="2" x14ac:dyDescent="0.2">
      <c r="A29" s="252" t="s">
        <v>1555</v>
      </c>
      <c r="B29" s="249"/>
      <c r="C29" s="249"/>
      <c r="D29" s="251">
        <v>48450</v>
      </c>
      <c r="E29" s="251">
        <v>24225</v>
      </c>
      <c r="F29" s="250"/>
      <c r="G29" s="251">
        <v>24225</v>
      </c>
      <c r="H29" s="250"/>
      <c r="I29" s="250"/>
      <c r="J29" s="250"/>
      <c r="K29" s="250"/>
      <c r="L29" s="251">
        <v>48450</v>
      </c>
      <c r="M29" s="250"/>
      <c r="N29" s="251">
        <v>20187.5</v>
      </c>
      <c r="O29" s="251">
        <v>4037.5</v>
      </c>
      <c r="P29" s="250"/>
      <c r="Q29" s="250"/>
      <c r="R29" s="250"/>
      <c r="S29" s="250"/>
      <c r="T29" s="251">
        <v>24225</v>
      </c>
      <c r="U29" s="250"/>
      <c r="V29" s="250"/>
      <c r="W29" s="249"/>
      <c r="X29" s="249"/>
    </row>
    <row r="30" spans="1:24" ht="24.95" customHeight="1" outlineLevel="1" collapsed="1" x14ac:dyDescent="0.2">
      <c r="A30" s="256" t="s">
        <v>1691</v>
      </c>
      <c r="B30" s="253"/>
      <c r="C30" s="253"/>
      <c r="D30" s="255">
        <v>2840858</v>
      </c>
      <c r="E30" s="255">
        <v>1441610</v>
      </c>
      <c r="F30" s="254"/>
      <c r="G30" s="255">
        <v>1399248</v>
      </c>
      <c r="H30" s="254"/>
      <c r="I30" s="254"/>
      <c r="J30" s="254"/>
      <c r="K30" s="254"/>
      <c r="L30" s="255">
        <v>2837063</v>
      </c>
      <c r="M30" s="254"/>
      <c r="N30" s="255">
        <v>1156999.18</v>
      </c>
      <c r="O30" s="255">
        <v>239635.82</v>
      </c>
      <c r="P30" s="254"/>
      <c r="Q30" s="254"/>
      <c r="R30" s="254"/>
      <c r="S30" s="254"/>
      <c r="T30" s="255">
        <v>1399248</v>
      </c>
      <c r="U30" s="255">
        <v>41180</v>
      </c>
      <c r="V30" s="254"/>
      <c r="W30" s="255">
        <v>3795</v>
      </c>
      <c r="X30" s="253"/>
    </row>
    <row r="31" spans="1:24" ht="12" hidden="1" customHeight="1" outlineLevel="2" x14ac:dyDescent="0.2">
      <c r="A31" s="252" t="s">
        <v>1555</v>
      </c>
      <c r="B31" s="249"/>
      <c r="C31" s="249"/>
      <c r="D31" s="251">
        <v>2840858</v>
      </c>
      <c r="E31" s="251">
        <v>1441610</v>
      </c>
      <c r="F31" s="250"/>
      <c r="G31" s="251">
        <v>1399248</v>
      </c>
      <c r="H31" s="250"/>
      <c r="I31" s="250"/>
      <c r="J31" s="250"/>
      <c r="K31" s="250"/>
      <c r="L31" s="251">
        <v>2837063</v>
      </c>
      <c r="M31" s="250"/>
      <c r="N31" s="251">
        <v>1156999.18</v>
      </c>
      <c r="O31" s="251">
        <v>239635.82</v>
      </c>
      <c r="P31" s="250"/>
      <c r="Q31" s="250"/>
      <c r="R31" s="250"/>
      <c r="S31" s="250"/>
      <c r="T31" s="251">
        <v>1399248</v>
      </c>
      <c r="U31" s="251">
        <v>41180</v>
      </c>
      <c r="V31" s="250"/>
      <c r="W31" s="251">
        <v>3795</v>
      </c>
      <c r="X31" s="249"/>
    </row>
    <row r="32" spans="1:24" ht="12" customHeight="1" outlineLevel="1" collapsed="1" x14ac:dyDescent="0.2">
      <c r="A32" s="256" t="s">
        <v>1690</v>
      </c>
      <c r="B32" s="253"/>
      <c r="C32" s="253"/>
      <c r="D32" s="255">
        <v>58000</v>
      </c>
      <c r="E32" s="255">
        <v>29000</v>
      </c>
      <c r="F32" s="254"/>
      <c r="G32" s="255">
        <v>29000</v>
      </c>
      <c r="H32" s="254"/>
      <c r="I32" s="254"/>
      <c r="J32" s="254"/>
      <c r="K32" s="254"/>
      <c r="L32" s="255">
        <v>58000</v>
      </c>
      <c r="M32" s="254"/>
      <c r="N32" s="255">
        <v>24166.67</v>
      </c>
      <c r="O32" s="255">
        <v>4833.33</v>
      </c>
      <c r="P32" s="254"/>
      <c r="Q32" s="254"/>
      <c r="R32" s="254"/>
      <c r="S32" s="254"/>
      <c r="T32" s="255">
        <v>29000</v>
      </c>
      <c r="U32" s="254"/>
      <c r="V32" s="254"/>
      <c r="W32" s="253"/>
      <c r="X32" s="253"/>
    </row>
    <row r="33" spans="1:24" ht="12" hidden="1" customHeight="1" outlineLevel="2" x14ac:dyDescent="0.2">
      <c r="A33" s="252" t="s">
        <v>1555</v>
      </c>
      <c r="B33" s="249"/>
      <c r="C33" s="249"/>
      <c r="D33" s="251">
        <v>58000</v>
      </c>
      <c r="E33" s="251">
        <v>29000</v>
      </c>
      <c r="F33" s="250"/>
      <c r="G33" s="251">
        <v>29000</v>
      </c>
      <c r="H33" s="250"/>
      <c r="I33" s="250"/>
      <c r="J33" s="250"/>
      <c r="K33" s="250"/>
      <c r="L33" s="251">
        <v>58000</v>
      </c>
      <c r="M33" s="250"/>
      <c r="N33" s="251">
        <v>24166.67</v>
      </c>
      <c r="O33" s="251">
        <v>4833.33</v>
      </c>
      <c r="P33" s="250"/>
      <c r="Q33" s="250"/>
      <c r="R33" s="250"/>
      <c r="S33" s="250"/>
      <c r="T33" s="251">
        <v>29000</v>
      </c>
      <c r="U33" s="250"/>
      <c r="V33" s="250"/>
      <c r="W33" s="249"/>
      <c r="X33" s="249"/>
    </row>
    <row r="34" spans="1:24" ht="12" customHeight="1" outlineLevel="1" collapsed="1" x14ac:dyDescent="0.2">
      <c r="A34" s="256" t="s">
        <v>1689</v>
      </c>
      <c r="B34" s="253"/>
      <c r="C34" s="255">
        <v>2011.87</v>
      </c>
      <c r="D34" s="255">
        <v>95124.17</v>
      </c>
      <c r="E34" s="255">
        <v>95124.17</v>
      </c>
      <c r="F34" s="254"/>
      <c r="G34" s="254"/>
      <c r="H34" s="254"/>
      <c r="I34" s="254"/>
      <c r="J34" s="254"/>
      <c r="K34" s="254"/>
      <c r="L34" s="255">
        <v>96502.61</v>
      </c>
      <c r="M34" s="254"/>
      <c r="N34" s="254"/>
      <c r="O34" s="255">
        <v>16083.76</v>
      </c>
      <c r="P34" s="254"/>
      <c r="Q34" s="255">
        <v>80418.850000000006</v>
      </c>
      <c r="R34" s="254"/>
      <c r="S34" s="254"/>
      <c r="T34" s="254"/>
      <c r="U34" s="254"/>
      <c r="V34" s="254"/>
      <c r="W34" s="253"/>
      <c r="X34" s="255">
        <v>3390.31</v>
      </c>
    </row>
    <row r="35" spans="1:24" ht="12" hidden="1" customHeight="1" outlineLevel="2" x14ac:dyDescent="0.2">
      <c r="A35" s="252" t="s">
        <v>1555</v>
      </c>
      <c r="B35" s="249"/>
      <c r="C35" s="251">
        <v>2011.87</v>
      </c>
      <c r="D35" s="251">
        <v>95124.17</v>
      </c>
      <c r="E35" s="251">
        <v>95124.17</v>
      </c>
      <c r="F35" s="250"/>
      <c r="G35" s="250"/>
      <c r="H35" s="250"/>
      <c r="I35" s="250"/>
      <c r="J35" s="250"/>
      <c r="K35" s="250"/>
      <c r="L35" s="251">
        <v>96502.61</v>
      </c>
      <c r="M35" s="250"/>
      <c r="N35" s="250"/>
      <c r="O35" s="251">
        <v>16083.76</v>
      </c>
      <c r="P35" s="250"/>
      <c r="Q35" s="251">
        <v>80418.850000000006</v>
      </c>
      <c r="R35" s="250"/>
      <c r="S35" s="250"/>
      <c r="T35" s="250"/>
      <c r="U35" s="250"/>
      <c r="V35" s="250"/>
      <c r="W35" s="249"/>
      <c r="X35" s="251">
        <v>3390.31</v>
      </c>
    </row>
    <row r="36" spans="1:24" ht="36.950000000000003" customHeight="1" outlineLevel="1" collapsed="1" x14ac:dyDescent="0.2">
      <c r="A36" s="256" t="s">
        <v>1688</v>
      </c>
      <c r="B36" s="253"/>
      <c r="C36" s="253"/>
      <c r="D36" s="255">
        <v>73920</v>
      </c>
      <c r="E36" s="255">
        <v>36960</v>
      </c>
      <c r="F36" s="254"/>
      <c r="G36" s="255">
        <v>36960</v>
      </c>
      <c r="H36" s="254"/>
      <c r="I36" s="254"/>
      <c r="J36" s="254"/>
      <c r="K36" s="254"/>
      <c r="L36" s="255">
        <v>73920</v>
      </c>
      <c r="M36" s="254"/>
      <c r="N36" s="255">
        <v>30800</v>
      </c>
      <c r="O36" s="255">
        <v>6160</v>
      </c>
      <c r="P36" s="254"/>
      <c r="Q36" s="254"/>
      <c r="R36" s="254"/>
      <c r="S36" s="254"/>
      <c r="T36" s="255">
        <v>36960</v>
      </c>
      <c r="U36" s="254"/>
      <c r="V36" s="254"/>
      <c r="W36" s="253"/>
      <c r="X36" s="253"/>
    </row>
    <row r="37" spans="1:24" ht="12" hidden="1" customHeight="1" outlineLevel="2" x14ac:dyDescent="0.2">
      <c r="A37" s="252" t="s">
        <v>1555</v>
      </c>
      <c r="B37" s="249"/>
      <c r="C37" s="249"/>
      <c r="D37" s="251">
        <v>73920</v>
      </c>
      <c r="E37" s="251">
        <v>36960</v>
      </c>
      <c r="F37" s="250"/>
      <c r="G37" s="251">
        <v>36960</v>
      </c>
      <c r="H37" s="250"/>
      <c r="I37" s="250"/>
      <c r="J37" s="250"/>
      <c r="K37" s="250"/>
      <c r="L37" s="251">
        <v>73920</v>
      </c>
      <c r="M37" s="250"/>
      <c r="N37" s="251">
        <v>30800</v>
      </c>
      <c r="O37" s="251">
        <v>6160</v>
      </c>
      <c r="P37" s="250"/>
      <c r="Q37" s="250"/>
      <c r="R37" s="250"/>
      <c r="S37" s="250"/>
      <c r="T37" s="251">
        <v>36960</v>
      </c>
      <c r="U37" s="250"/>
      <c r="V37" s="250"/>
      <c r="W37" s="249"/>
      <c r="X37" s="249"/>
    </row>
    <row r="38" spans="1:24" ht="12" customHeight="1" outlineLevel="1" collapsed="1" x14ac:dyDescent="0.2">
      <c r="A38" s="256" t="s">
        <v>1687</v>
      </c>
      <c r="B38" s="253"/>
      <c r="C38" s="253"/>
      <c r="D38" s="255">
        <v>80000</v>
      </c>
      <c r="E38" s="255">
        <v>40000</v>
      </c>
      <c r="F38" s="254"/>
      <c r="G38" s="255">
        <v>40000</v>
      </c>
      <c r="H38" s="254"/>
      <c r="I38" s="254"/>
      <c r="J38" s="254"/>
      <c r="K38" s="254"/>
      <c r="L38" s="255">
        <v>80000</v>
      </c>
      <c r="M38" s="254"/>
      <c r="N38" s="254"/>
      <c r="O38" s="254"/>
      <c r="P38" s="254"/>
      <c r="Q38" s="254"/>
      <c r="R38" s="255">
        <v>40000</v>
      </c>
      <c r="S38" s="254"/>
      <c r="T38" s="255">
        <v>40000</v>
      </c>
      <c r="U38" s="254"/>
      <c r="V38" s="254"/>
      <c r="W38" s="253"/>
      <c r="X38" s="253"/>
    </row>
    <row r="39" spans="1:24" ht="12" hidden="1" customHeight="1" outlineLevel="2" x14ac:dyDescent="0.2">
      <c r="A39" s="252" t="s">
        <v>1555</v>
      </c>
      <c r="B39" s="249"/>
      <c r="C39" s="249"/>
      <c r="D39" s="251">
        <v>80000</v>
      </c>
      <c r="E39" s="251">
        <v>40000</v>
      </c>
      <c r="F39" s="250"/>
      <c r="G39" s="251">
        <v>40000</v>
      </c>
      <c r="H39" s="250"/>
      <c r="I39" s="250"/>
      <c r="J39" s="250"/>
      <c r="K39" s="250"/>
      <c r="L39" s="251">
        <v>80000</v>
      </c>
      <c r="M39" s="250"/>
      <c r="N39" s="250"/>
      <c r="O39" s="250"/>
      <c r="P39" s="250"/>
      <c r="Q39" s="250"/>
      <c r="R39" s="251">
        <v>40000</v>
      </c>
      <c r="S39" s="250"/>
      <c r="T39" s="251">
        <v>40000</v>
      </c>
      <c r="U39" s="250"/>
      <c r="V39" s="250"/>
      <c r="W39" s="249"/>
      <c r="X39" s="249"/>
    </row>
    <row r="40" spans="1:24" ht="24.95" customHeight="1" outlineLevel="1" collapsed="1" x14ac:dyDescent="0.2">
      <c r="A40" s="256" t="s">
        <v>1686</v>
      </c>
      <c r="B40" s="253"/>
      <c r="C40" s="258">
        <v>265.01</v>
      </c>
      <c r="D40" s="255">
        <v>10825.43</v>
      </c>
      <c r="E40" s="255">
        <v>7570.81</v>
      </c>
      <c r="F40" s="254"/>
      <c r="G40" s="255">
        <v>3254.62</v>
      </c>
      <c r="H40" s="254"/>
      <c r="I40" s="254"/>
      <c r="J40" s="254"/>
      <c r="K40" s="254"/>
      <c r="L40" s="255">
        <v>11210.42</v>
      </c>
      <c r="M40" s="254"/>
      <c r="N40" s="254"/>
      <c r="O40" s="254"/>
      <c r="P40" s="254"/>
      <c r="Q40" s="255">
        <v>7955.8</v>
      </c>
      <c r="R40" s="254"/>
      <c r="S40" s="254"/>
      <c r="T40" s="255">
        <v>3254.62</v>
      </c>
      <c r="U40" s="254"/>
      <c r="V40" s="254"/>
      <c r="W40" s="253"/>
      <c r="X40" s="258">
        <v>650</v>
      </c>
    </row>
    <row r="41" spans="1:24" ht="12" hidden="1" customHeight="1" outlineLevel="2" x14ac:dyDescent="0.2">
      <c r="A41" s="252" t="s">
        <v>1555</v>
      </c>
      <c r="B41" s="249"/>
      <c r="C41" s="257">
        <v>265.01</v>
      </c>
      <c r="D41" s="251">
        <v>10825.43</v>
      </c>
      <c r="E41" s="251">
        <v>7570.81</v>
      </c>
      <c r="F41" s="250"/>
      <c r="G41" s="251">
        <v>3254.62</v>
      </c>
      <c r="H41" s="250"/>
      <c r="I41" s="250"/>
      <c r="J41" s="250"/>
      <c r="K41" s="250"/>
      <c r="L41" s="251">
        <v>11210.42</v>
      </c>
      <c r="M41" s="250"/>
      <c r="N41" s="250"/>
      <c r="O41" s="250"/>
      <c r="P41" s="250"/>
      <c r="Q41" s="251">
        <v>7955.8</v>
      </c>
      <c r="R41" s="250"/>
      <c r="S41" s="250"/>
      <c r="T41" s="251">
        <v>3254.62</v>
      </c>
      <c r="U41" s="250"/>
      <c r="V41" s="250"/>
      <c r="W41" s="249"/>
      <c r="X41" s="257">
        <v>650</v>
      </c>
    </row>
    <row r="42" spans="1:24" ht="12" customHeight="1" outlineLevel="1" collapsed="1" x14ac:dyDescent="0.2">
      <c r="A42" s="256" t="s">
        <v>1685</v>
      </c>
      <c r="B42" s="253"/>
      <c r="C42" s="253"/>
      <c r="D42" s="255">
        <v>48000</v>
      </c>
      <c r="E42" s="255">
        <v>48000</v>
      </c>
      <c r="F42" s="254"/>
      <c r="G42" s="254"/>
      <c r="H42" s="254"/>
      <c r="I42" s="254"/>
      <c r="J42" s="254"/>
      <c r="K42" s="254"/>
      <c r="L42" s="255">
        <v>48000</v>
      </c>
      <c r="M42" s="254"/>
      <c r="N42" s="255">
        <v>40000</v>
      </c>
      <c r="O42" s="255">
        <v>8000</v>
      </c>
      <c r="P42" s="254"/>
      <c r="Q42" s="254"/>
      <c r="R42" s="254"/>
      <c r="S42" s="254"/>
      <c r="T42" s="254"/>
      <c r="U42" s="254"/>
      <c r="V42" s="254"/>
      <c r="W42" s="253"/>
      <c r="X42" s="253"/>
    </row>
    <row r="43" spans="1:24" ht="12" hidden="1" customHeight="1" outlineLevel="2" x14ac:dyDescent="0.2">
      <c r="A43" s="252" t="s">
        <v>1555</v>
      </c>
      <c r="B43" s="249"/>
      <c r="C43" s="249"/>
      <c r="D43" s="251">
        <v>48000</v>
      </c>
      <c r="E43" s="251">
        <v>48000</v>
      </c>
      <c r="F43" s="250"/>
      <c r="G43" s="250"/>
      <c r="H43" s="250"/>
      <c r="I43" s="250"/>
      <c r="J43" s="250"/>
      <c r="K43" s="250"/>
      <c r="L43" s="251">
        <v>48000</v>
      </c>
      <c r="M43" s="250"/>
      <c r="N43" s="251">
        <v>40000</v>
      </c>
      <c r="O43" s="251">
        <v>8000</v>
      </c>
      <c r="P43" s="250"/>
      <c r="Q43" s="250"/>
      <c r="R43" s="250"/>
      <c r="S43" s="250"/>
      <c r="T43" s="250"/>
      <c r="U43" s="250"/>
      <c r="V43" s="250"/>
      <c r="W43" s="249"/>
      <c r="X43" s="249"/>
    </row>
    <row r="44" spans="1:24" ht="12" customHeight="1" outlineLevel="1" collapsed="1" x14ac:dyDescent="0.2">
      <c r="A44" s="256" t="s">
        <v>1684</v>
      </c>
      <c r="B44" s="253"/>
      <c r="C44" s="253"/>
      <c r="D44" s="255">
        <v>306300</v>
      </c>
      <c r="E44" s="255">
        <v>153150</v>
      </c>
      <c r="F44" s="254"/>
      <c r="G44" s="255">
        <v>153150</v>
      </c>
      <c r="H44" s="254"/>
      <c r="I44" s="254"/>
      <c r="J44" s="254"/>
      <c r="K44" s="254"/>
      <c r="L44" s="255">
        <v>306300</v>
      </c>
      <c r="M44" s="254"/>
      <c r="N44" s="255">
        <v>6800</v>
      </c>
      <c r="O44" s="254"/>
      <c r="P44" s="254"/>
      <c r="Q44" s="254"/>
      <c r="R44" s="255">
        <v>146350</v>
      </c>
      <c r="S44" s="254"/>
      <c r="T44" s="255">
        <v>153150</v>
      </c>
      <c r="U44" s="254"/>
      <c r="V44" s="254"/>
      <c r="W44" s="253"/>
      <c r="X44" s="253"/>
    </row>
    <row r="45" spans="1:24" ht="12" hidden="1" customHeight="1" outlineLevel="2" x14ac:dyDescent="0.2">
      <c r="A45" s="252" t="s">
        <v>1555</v>
      </c>
      <c r="B45" s="249"/>
      <c r="C45" s="249"/>
      <c r="D45" s="251">
        <v>306300</v>
      </c>
      <c r="E45" s="251">
        <v>153150</v>
      </c>
      <c r="F45" s="250"/>
      <c r="G45" s="251">
        <v>153150</v>
      </c>
      <c r="H45" s="250"/>
      <c r="I45" s="250"/>
      <c r="J45" s="250"/>
      <c r="K45" s="250"/>
      <c r="L45" s="251">
        <v>306300</v>
      </c>
      <c r="M45" s="250"/>
      <c r="N45" s="251">
        <v>6800</v>
      </c>
      <c r="O45" s="250"/>
      <c r="P45" s="250"/>
      <c r="Q45" s="250"/>
      <c r="R45" s="251">
        <v>146350</v>
      </c>
      <c r="S45" s="250"/>
      <c r="T45" s="251">
        <v>153150</v>
      </c>
      <c r="U45" s="250"/>
      <c r="V45" s="250"/>
      <c r="W45" s="249"/>
      <c r="X45" s="249"/>
    </row>
    <row r="46" spans="1:24" ht="12" customHeight="1" outlineLevel="1" collapsed="1" x14ac:dyDescent="0.2">
      <c r="A46" s="256" t="s">
        <v>1683</v>
      </c>
      <c r="B46" s="253"/>
      <c r="C46" s="253"/>
      <c r="D46" s="255">
        <v>103690</v>
      </c>
      <c r="E46" s="255">
        <v>51845</v>
      </c>
      <c r="F46" s="254"/>
      <c r="G46" s="255">
        <v>51845</v>
      </c>
      <c r="H46" s="254"/>
      <c r="I46" s="254"/>
      <c r="J46" s="254"/>
      <c r="K46" s="254"/>
      <c r="L46" s="255">
        <v>103690</v>
      </c>
      <c r="M46" s="254"/>
      <c r="N46" s="255">
        <v>43204.17</v>
      </c>
      <c r="O46" s="255">
        <v>8640.83</v>
      </c>
      <c r="P46" s="254"/>
      <c r="Q46" s="254"/>
      <c r="R46" s="254"/>
      <c r="S46" s="254"/>
      <c r="T46" s="255">
        <v>51845</v>
      </c>
      <c r="U46" s="254"/>
      <c r="V46" s="254"/>
      <c r="W46" s="253"/>
      <c r="X46" s="253"/>
    </row>
    <row r="47" spans="1:24" ht="12" hidden="1" customHeight="1" outlineLevel="2" x14ac:dyDescent="0.2">
      <c r="A47" s="252" t="s">
        <v>1555</v>
      </c>
      <c r="B47" s="249"/>
      <c r="C47" s="249"/>
      <c r="D47" s="251">
        <v>103690</v>
      </c>
      <c r="E47" s="251">
        <v>51845</v>
      </c>
      <c r="F47" s="250"/>
      <c r="G47" s="251">
        <v>51845</v>
      </c>
      <c r="H47" s="250"/>
      <c r="I47" s="250"/>
      <c r="J47" s="250"/>
      <c r="K47" s="250"/>
      <c r="L47" s="251">
        <v>103690</v>
      </c>
      <c r="M47" s="250"/>
      <c r="N47" s="251">
        <v>43204.17</v>
      </c>
      <c r="O47" s="251">
        <v>8640.83</v>
      </c>
      <c r="P47" s="250"/>
      <c r="Q47" s="250"/>
      <c r="R47" s="250"/>
      <c r="S47" s="250"/>
      <c r="T47" s="251">
        <v>51845</v>
      </c>
      <c r="U47" s="250"/>
      <c r="V47" s="250"/>
      <c r="W47" s="249"/>
      <c r="X47" s="249"/>
    </row>
    <row r="48" spans="1:24" ht="24.95" customHeight="1" outlineLevel="1" collapsed="1" x14ac:dyDescent="0.2">
      <c r="A48" s="256" t="s">
        <v>1682</v>
      </c>
      <c r="B48" s="253"/>
      <c r="C48" s="253"/>
      <c r="D48" s="255">
        <v>176000</v>
      </c>
      <c r="E48" s="255">
        <v>176000</v>
      </c>
      <c r="F48" s="254"/>
      <c r="G48" s="254"/>
      <c r="H48" s="254"/>
      <c r="I48" s="254"/>
      <c r="J48" s="254"/>
      <c r="K48" s="254"/>
      <c r="L48" s="255">
        <v>176000</v>
      </c>
      <c r="M48" s="254"/>
      <c r="N48" s="254"/>
      <c r="O48" s="254"/>
      <c r="P48" s="254"/>
      <c r="Q48" s="254"/>
      <c r="R48" s="255">
        <v>176000</v>
      </c>
      <c r="S48" s="254"/>
      <c r="T48" s="254"/>
      <c r="U48" s="254"/>
      <c r="V48" s="254"/>
      <c r="W48" s="253"/>
      <c r="X48" s="253"/>
    </row>
    <row r="49" spans="1:24" ht="12" hidden="1" customHeight="1" outlineLevel="2" x14ac:dyDescent="0.2">
      <c r="A49" s="252" t="s">
        <v>1555</v>
      </c>
      <c r="B49" s="249"/>
      <c r="C49" s="249"/>
      <c r="D49" s="251">
        <v>176000</v>
      </c>
      <c r="E49" s="251">
        <v>176000</v>
      </c>
      <c r="F49" s="250"/>
      <c r="G49" s="250"/>
      <c r="H49" s="250"/>
      <c r="I49" s="250"/>
      <c r="J49" s="250"/>
      <c r="K49" s="250"/>
      <c r="L49" s="251">
        <v>176000</v>
      </c>
      <c r="M49" s="250"/>
      <c r="N49" s="250"/>
      <c r="O49" s="250"/>
      <c r="P49" s="250"/>
      <c r="Q49" s="250"/>
      <c r="R49" s="251">
        <v>176000</v>
      </c>
      <c r="S49" s="250"/>
      <c r="T49" s="250"/>
      <c r="U49" s="250"/>
      <c r="V49" s="250"/>
      <c r="W49" s="249"/>
      <c r="X49" s="249"/>
    </row>
    <row r="50" spans="1:24" ht="12" customHeight="1" outlineLevel="1" collapsed="1" x14ac:dyDescent="0.2">
      <c r="A50" s="256" t="s">
        <v>1681</v>
      </c>
      <c r="B50" s="253"/>
      <c r="C50" s="253"/>
      <c r="D50" s="255">
        <v>146916</v>
      </c>
      <c r="E50" s="255">
        <v>73458</v>
      </c>
      <c r="F50" s="254"/>
      <c r="G50" s="255">
        <v>73458</v>
      </c>
      <c r="H50" s="254"/>
      <c r="I50" s="254"/>
      <c r="J50" s="254"/>
      <c r="K50" s="254"/>
      <c r="L50" s="255">
        <v>146916</v>
      </c>
      <c r="M50" s="254"/>
      <c r="N50" s="255">
        <v>61215</v>
      </c>
      <c r="O50" s="255">
        <v>12243</v>
      </c>
      <c r="P50" s="254"/>
      <c r="Q50" s="254"/>
      <c r="R50" s="254"/>
      <c r="S50" s="254"/>
      <c r="T50" s="255">
        <v>73458</v>
      </c>
      <c r="U50" s="254"/>
      <c r="V50" s="254"/>
      <c r="W50" s="253"/>
      <c r="X50" s="253"/>
    </row>
    <row r="51" spans="1:24" ht="12" hidden="1" customHeight="1" outlineLevel="2" x14ac:dyDescent="0.2">
      <c r="A51" s="252" t="s">
        <v>1555</v>
      </c>
      <c r="B51" s="249"/>
      <c r="C51" s="249"/>
      <c r="D51" s="251">
        <v>146916</v>
      </c>
      <c r="E51" s="251">
        <v>73458</v>
      </c>
      <c r="F51" s="250"/>
      <c r="G51" s="251">
        <v>73458</v>
      </c>
      <c r="H51" s="250"/>
      <c r="I51" s="250"/>
      <c r="J51" s="250"/>
      <c r="K51" s="250"/>
      <c r="L51" s="251">
        <v>146916</v>
      </c>
      <c r="M51" s="250"/>
      <c r="N51" s="251">
        <v>61215</v>
      </c>
      <c r="O51" s="251">
        <v>12243</v>
      </c>
      <c r="P51" s="250"/>
      <c r="Q51" s="250"/>
      <c r="R51" s="250"/>
      <c r="S51" s="250"/>
      <c r="T51" s="251">
        <v>73458</v>
      </c>
      <c r="U51" s="250"/>
      <c r="V51" s="250"/>
      <c r="W51" s="249"/>
      <c r="X51" s="249"/>
    </row>
    <row r="52" spans="1:24" ht="24.95" customHeight="1" outlineLevel="1" collapsed="1" x14ac:dyDescent="0.2">
      <c r="A52" s="256" t="s">
        <v>1680</v>
      </c>
      <c r="B52" s="253"/>
      <c r="C52" s="253"/>
      <c r="D52" s="255">
        <v>12141213.300000001</v>
      </c>
      <c r="E52" s="255">
        <v>10932942.85</v>
      </c>
      <c r="F52" s="254"/>
      <c r="G52" s="255">
        <v>1208270.45</v>
      </c>
      <c r="H52" s="254"/>
      <c r="I52" s="254"/>
      <c r="J52" s="254"/>
      <c r="K52" s="254"/>
      <c r="L52" s="255">
        <v>12141213.300000001</v>
      </c>
      <c r="M52" s="254"/>
      <c r="N52" s="254"/>
      <c r="O52" s="255">
        <v>1822157.2</v>
      </c>
      <c r="P52" s="255">
        <v>9110785.6500000004</v>
      </c>
      <c r="Q52" s="254"/>
      <c r="R52" s="254"/>
      <c r="S52" s="254"/>
      <c r="T52" s="255">
        <v>1208270.45</v>
      </c>
      <c r="U52" s="254"/>
      <c r="V52" s="254"/>
      <c r="W52" s="253"/>
      <c r="X52" s="253"/>
    </row>
    <row r="53" spans="1:24" ht="12" hidden="1" customHeight="1" outlineLevel="2" x14ac:dyDescent="0.2">
      <c r="A53" s="252" t="s">
        <v>1555</v>
      </c>
      <c r="B53" s="249"/>
      <c r="C53" s="249"/>
      <c r="D53" s="251">
        <v>12141213.300000001</v>
      </c>
      <c r="E53" s="251">
        <v>10932942.85</v>
      </c>
      <c r="F53" s="250"/>
      <c r="G53" s="251">
        <v>1208270.45</v>
      </c>
      <c r="H53" s="250"/>
      <c r="I53" s="250"/>
      <c r="J53" s="250"/>
      <c r="K53" s="250"/>
      <c r="L53" s="251">
        <v>12141213.300000001</v>
      </c>
      <c r="M53" s="250"/>
      <c r="N53" s="250"/>
      <c r="O53" s="251">
        <v>1822157.2</v>
      </c>
      <c r="P53" s="251">
        <v>9110785.6500000004</v>
      </c>
      <c r="Q53" s="250"/>
      <c r="R53" s="250"/>
      <c r="S53" s="250"/>
      <c r="T53" s="251">
        <v>1208270.45</v>
      </c>
      <c r="U53" s="250"/>
      <c r="V53" s="250"/>
      <c r="W53" s="249"/>
      <c r="X53" s="249"/>
    </row>
    <row r="54" spans="1:24" ht="12" customHeight="1" outlineLevel="1" collapsed="1" x14ac:dyDescent="0.2">
      <c r="A54" s="256" t="s">
        <v>1679</v>
      </c>
      <c r="B54" s="255">
        <v>160983.16</v>
      </c>
      <c r="C54" s="253"/>
      <c r="D54" s="255">
        <v>23524877.68</v>
      </c>
      <c r="E54" s="255">
        <v>11531766.119999999</v>
      </c>
      <c r="F54" s="254"/>
      <c r="G54" s="255">
        <v>11993111.560000001</v>
      </c>
      <c r="H54" s="254"/>
      <c r="I54" s="254"/>
      <c r="J54" s="254"/>
      <c r="K54" s="254"/>
      <c r="L54" s="255">
        <v>23432717.850000001</v>
      </c>
      <c r="M54" s="254"/>
      <c r="N54" s="255">
        <v>9533004.7699999996</v>
      </c>
      <c r="O54" s="255">
        <v>1906601.52</v>
      </c>
      <c r="P54" s="254"/>
      <c r="Q54" s="254"/>
      <c r="R54" s="254"/>
      <c r="S54" s="254"/>
      <c r="T54" s="255">
        <v>11993111.560000001</v>
      </c>
      <c r="U54" s="254"/>
      <c r="V54" s="254"/>
      <c r="W54" s="255">
        <v>253142.99</v>
      </c>
      <c r="X54" s="253"/>
    </row>
    <row r="55" spans="1:24" ht="12" hidden="1" customHeight="1" outlineLevel="2" x14ac:dyDescent="0.2">
      <c r="A55" s="252" t="s">
        <v>1555</v>
      </c>
      <c r="B55" s="251">
        <v>160983.16</v>
      </c>
      <c r="C55" s="249"/>
      <c r="D55" s="251">
        <v>23524877.68</v>
      </c>
      <c r="E55" s="251">
        <v>11531766.119999999</v>
      </c>
      <c r="F55" s="250"/>
      <c r="G55" s="251">
        <v>11993111.560000001</v>
      </c>
      <c r="H55" s="250"/>
      <c r="I55" s="250"/>
      <c r="J55" s="250"/>
      <c r="K55" s="250"/>
      <c r="L55" s="251">
        <v>23432717.850000001</v>
      </c>
      <c r="M55" s="250"/>
      <c r="N55" s="251">
        <v>9533004.7699999996</v>
      </c>
      <c r="O55" s="251">
        <v>1906601.52</v>
      </c>
      <c r="P55" s="250"/>
      <c r="Q55" s="250"/>
      <c r="R55" s="250"/>
      <c r="S55" s="250"/>
      <c r="T55" s="251">
        <v>11993111.560000001</v>
      </c>
      <c r="U55" s="250"/>
      <c r="V55" s="250"/>
      <c r="W55" s="251">
        <v>253142.99</v>
      </c>
      <c r="X55" s="249"/>
    </row>
    <row r="56" spans="1:24" ht="24.95" customHeight="1" outlineLevel="1" collapsed="1" x14ac:dyDescent="0.2">
      <c r="A56" s="256" t="s">
        <v>1678</v>
      </c>
      <c r="B56" s="255">
        <v>50000</v>
      </c>
      <c r="C56" s="253"/>
      <c r="D56" s="255">
        <v>898479.6</v>
      </c>
      <c r="E56" s="255">
        <v>848479.6</v>
      </c>
      <c r="F56" s="254"/>
      <c r="G56" s="255">
        <v>50000</v>
      </c>
      <c r="H56" s="254"/>
      <c r="I56" s="254"/>
      <c r="J56" s="254"/>
      <c r="K56" s="254"/>
      <c r="L56" s="255">
        <v>948479.6</v>
      </c>
      <c r="M56" s="254"/>
      <c r="N56" s="254"/>
      <c r="O56" s="254"/>
      <c r="P56" s="255">
        <v>898479.6</v>
      </c>
      <c r="Q56" s="254"/>
      <c r="R56" s="254"/>
      <c r="S56" s="254"/>
      <c r="T56" s="255">
        <v>50000</v>
      </c>
      <c r="U56" s="254"/>
      <c r="V56" s="254"/>
      <c r="W56" s="253"/>
      <c r="X56" s="253"/>
    </row>
    <row r="57" spans="1:24" ht="12" hidden="1" customHeight="1" outlineLevel="2" x14ac:dyDescent="0.2">
      <c r="A57" s="252" t="s">
        <v>1555</v>
      </c>
      <c r="B57" s="251">
        <v>50000</v>
      </c>
      <c r="C57" s="249"/>
      <c r="D57" s="251">
        <v>898479.6</v>
      </c>
      <c r="E57" s="251">
        <v>848479.6</v>
      </c>
      <c r="F57" s="250"/>
      <c r="G57" s="251">
        <v>50000</v>
      </c>
      <c r="H57" s="250"/>
      <c r="I57" s="250"/>
      <c r="J57" s="250"/>
      <c r="K57" s="250"/>
      <c r="L57" s="251">
        <v>948479.6</v>
      </c>
      <c r="M57" s="250"/>
      <c r="N57" s="250"/>
      <c r="O57" s="250"/>
      <c r="P57" s="251">
        <v>898479.6</v>
      </c>
      <c r="Q57" s="250"/>
      <c r="R57" s="250"/>
      <c r="S57" s="250"/>
      <c r="T57" s="251">
        <v>50000</v>
      </c>
      <c r="U57" s="250"/>
      <c r="V57" s="250"/>
      <c r="W57" s="249"/>
      <c r="X57" s="249"/>
    </row>
    <row r="58" spans="1:24" ht="24.95" customHeight="1" outlineLevel="1" collapsed="1" x14ac:dyDescent="0.2">
      <c r="A58" s="256" t="s">
        <v>1677</v>
      </c>
      <c r="B58" s="253"/>
      <c r="C58" s="253"/>
      <c r="D58" s="255">
        <v>218000</v>
      </c>
      <c r="E58" s="255">
        <v>109000</v>
      </c>
      <c r="F58" s="254"/>
      <c r="G58" s="255">
        <v>109000</v>
      </c>
      <c r="H58" s="254"/>
      <c r="I58" s="254"/>
      <c r="J58" s="254"/>
      <c r="K58" s="254"/>
      <c r="L58" s="255">
        <v>218000</v>
      </c>
      <c r="M58" s="254"/>
      <c r="N58" s="254"/>
      <c r="O58" s="254"/>
      <c r="P58" s="254"/>
      <c r="Q58" s="255">
        <v>109000</v>
      </c>
      <c r="R58" s="254"/>
      <c r="S58" s="254"/>
      <c r="T58" s="255">
        <v>109000</v>
      </c>
      <c r="U58" s="254"/>
      <c r="V58" s="254"/>
      <c r="W58" s="253"/>
      <c r="X58" s="253"/>
    </row>
    <row r="59" spans="1:24" ht="12" hidden="1" customHeight="1" outlineLevel="2" x14ac:dyDescent="0.2">
      <c r="A59" s="252" t="s">
        <v>1555</v>
      </c>
      <c r="B59" s="249"/>
      <c r="C59" s="249"/>
      <c r="D59" s="251">
        <v>218000</v>
      </c>
      <c r="E59" s="251">
        <v>109000</v>
      </c>
      <c r="F59" s="250"/>
      <c r="G59" s="251">
        <v>109000</v>
      </c>
      <c r="H59" s="250"/>
      <c r="I59" s="250"/>
      <c r="J59" s="250"/>
      <c r="K59" s="250"/>
      <c r="L59" s="251">
        <v>218000</v>
      </c>
      <c r="M59" s="250"/>
      <c r="N59" s="250"/>
      <c r="O59" s="250"/>
      <c r="P59" s="250"/>
      <c r="Q59" s="251">
        <v>109000</v>
      </c>
      <c r="R59" s="250"/>
      <c r="S59" s="250"/>
      <c r="T59" s="251">
        <v>109000</v>
      </c>
      <c r="U59" s="250"/>
      <c r="V59" s="250"/>
      <c r="W59" s="249"/>
      <c r="X59" s="249"/>
    </row>
    <row r="60" spans="1:24" ht="24.95" customHeight="1" outlineLevel="1" collapsed="1" x14ac:dyDescent="0.2">
      <c r="A60" s="256" t="s">
        <v>1676</v>
      </c>
      <c r="B60" s="253"/>
      <c r="C60" s="253"/>
      <c r="D60" s="255">
        <v>839000</v>
      </c>
      <c r="E60" s="255">
        <v>419500</v>
      </c>
      <c r="F60" s="254"/>
      <c r="G60" s="255">
        <v>419500</v>
      </c>
      <c r="H60" s="254"/>
      <c r="I60" s="254"/>
      <c r="J60" s="254"/>
      <c r="K60" s="254"/>
      <c r="L60" s="255">
        <v>839000</v>
      </c>
      <c r="M60" s="254"/>
      <c r="N60" s="255">
        <v>349583.34</v>
      </c>
      <c r="O60" s="255">
        <v>69916.66</v>
      </c>
      <c r="P60" s="254"/>
      <c r="Q60" s="254"/>
      <c r="R60" s="254"/>
      <c r="S60" s="254"/>
      <c r="T60" s="255">
        <v>419500</v>
      </c>
      <c r="U60" s="254"/>
      <c r="V60" s="254"/>
      <c r="W60" s="253"/>
      <c r="X60" s="253"/>
    </row>
    <row r="61" spans="1:24" ht="12" hidden="1" customHeight="1" outlineLevel="2" x14ac:dyDescent="0.2">
      <c r="A61" s="252" t="s">
        <v>1555</v>
      </c>
      <c r="B61" s="249"/>
      <c r="C61" s="249"/>
      <c r="D61" s="251">
        <v>839000</v>
      </c>
      <c r="E61" s="251">
        <v>419500</v>
      </c>
      <c r="F61" s="250"/>
      <c r="G61" s="251">
        <v>419500</v>
      </c>
      <c r="H61" s="250"/>
      <c r="I61" s="250"/>
      <c r="J61" s="250"/>
      <c r="K61" s="250"/>
      <c r="L61" s="251">
        <v>839000</v>
      </c>
      <c r="M61" s="250"/>
      <c r="N61" s="251">
        <v>349583.34</v>
      </c>
      <c r="O61" s="251">
        <v>69916.66</v>
      </c>
      <c r="P61" s="250"/>
      <c r="Q61" s="250"/>
      <c r="R61" s="250"/>
      <c r="S61" s="250"/>
      <c r="T61" s="251">
        <v>419500</v>
      </c>
      <c r="U61" s="250"/>
      <c r="V61" s="250"/>
      <c r="W61" s="249"/>
      <c r="X61" s="249"/>
    </row>
    <row r="62" spans="1:24" ht="24.95" customHeight="1" outlineLevel="1" collapsed="1" x14ac:dyDescent="0.2">
      <c r="A62" s="256" t="s">
        <v>1675</v>
      </c>
      <c r="B62" s="253"/>
      <c r="C62" s="253"/>
      <c r="D62" s="255">
        <v>246940</v>
      </c>
      <c r="E62" s="255">
        <v>123470</v>
      </c>
      <c r="F62" s="254"/>
      <c r="G62" s="255">
        <v>123470</v>
      </c>
      <c r="H62" s="254"/>
      <c r="I62" s="254"/>
      <c r="J62" s="254"/>
      <c r="K62" s="254"/>
      <c r="L62" s="255">
        <v>246940</v>
      </c>
      <c r="M62" s="254"/>
      <c r="N62" s="255">
        <v>123470</v>
      </c>
      <c r="O62" s="254"/>
      <c r="P62" s="254"/>
      <c r="Q62" s="254"/>
      <c r="R62" s="254"/>
      <c r="S62" s="254"/>
      <c r="T62" s="255">
        <v>123470</v>
      </c>
      <c r="U62" s="254"/>
      <c r="V62" s="254"/>
      <c r="W62" s="253"/>
      <c r="X62" s="253"/>
    </row>
    <row r="63" spans="1:24" ht="12" hidden="1" customHeight="1" outlineLevel="2" x14ac:dyDescent="0.2">
      <c r="A63" s="252" t="s">
        <v>1555</v>
      </c>
      <c r="B63" s="249"/>
      <c r="C63" s="249"/>
      <c r="D63" s="251">
        <v>246940</v>
      </c>
      <c r="E63" s="251">
        <v>123470</v>
      </c>
      <c r="F63" s="250"/>
      <c r="G63" s="251">
        <v>123470</v>
      </c>
      <c r="H63" s="250"/>
      <c r="I63" s="250"/>
      <c r="J63" s="250"/>
      <c r="K63" s="250"/>
      <c r="L63" s="251">
        <v>246940</v>
      </c>
      <c r="M63" s="250"/>
      <c r="N63" s="251">
        <v>123470</v>
      </c>
      <c r="O63" s="250"/>
      <c r="P63" s="250"/>
      <c r="Q63" s="250"/>
      <c r="R63" s="250"/>
      <c r="S63" s="250"/>
      <c r="T63" s="251">
        <v>123470</v>
      </c>
      <c r="U63" s="250"/>
      <c r="V63" s="250"/>
      <c r="W63" s="249"/>
      <c r="X63" s="249"/>
    </row>
    <row r="64" spans="1:24" ht="36.950000000000003" customHeight="1" outlineLevel="1" collapsed="1" x14ac:dyDescent="0.2">
      <c r="A64" s="256" t="s">
        <v>1674</v>
      </c>
      <c r="B64" s="253"/>
      <c r="C64" s="253"/>
      <c r="D64" s="255">
        <v>874020</v>
      </c>
      <c r="E64" s="255">
        <v>437010</v>
      </c>
      <c r="F64" s="254"/>
      <c r="G64" s="255">
        <v>437010</v>
      </c>
      <c r="H64" s="254"/>
      <c r="I64" s="254"/>
      <c r="J64" s="254"/>
      <c r="K64" s="254"/>
      <c r="L64" s="255">
        <v>874020</v>
      </c>
      <c r="M64" s="254"/>
      <c r="N64" s="255">
        <v>437010</v>
      </c>
      <c r="O64" s="254"/>
      <c r="P64" s="254"/>
      <c r="Q64" s="254"/>
      <c r="R64" s="254"/>
      <c r="S64" s="254"/>
      <c r="T64" s="255">
        <v>437010</v>
      </c>
      <c r="U64" s="254"/>
      <c r="V64" s="254"/>
      <c r="W64" s="253"/>
      <c r="X64" s="253"/>
    </row>
    <row r="65" spans="1:24" ht="12" hidden="1" customHeight="1" outlineLevel="2" x14ac:dyDescent="0.2">
      <c r="A65" s="252" t="s">
        <v>1555</v>
      </c>
      <c r="B65" s="249"/>
      <c r="C65" s="249"/>
      <c r="D65" s="251">
        <v>874020</v>
      </c>
      <c r="E65" s="251">
        <v>437010</v>
      </c>
      <c r="F65" s="250"/>
      <c r="G65" s="251">
        <v>437010</v>
      </c>
      <c r="H65" s="250"/>
      <c r="I65" s="250"/>
      <c r="J65" s="250"/>
      <c r="K65" s="250"/>
      <c r="L65" s="251">
        <v>874020</v>
      </c>
      <c r="M65" s="250"/>
      <c r="N65" s="251">
        <v>437010</v>
      </c>
      <c r="O65" s="250"/>
      <c r="P65" s="250"/>
      <c r="Q65" s="250"/>
      <c r="R65" s="250"/>
      <c r="S65" s="250"/>
      <c r="T65" s="251">
        <v>437010</v>
      </c>
      <c r="U65" s="250"/>
      <c r="V65" s="250"/>
      <c r="W65" s="249"/>
      <c r="X65" s="249"/>
    </row>
    <row r="66" spans="1:24" ht="24.95" customHeight="1" outlineLevel="1" collapsed="1" x14ac:dyDescent="0.2">
      <c r="A66" s="256" t="s">
        <v>1673</v>
      </c>
      <c r="B66" s="253"/>
      <c r="C66" s="253"/>
      <c r="D66" s="255">
        <v>1967883.76</v>
      </c>
      <c r="E66" s="255">
        <v>1967883.76</v>
      </c>
      <c r="F66" s="254"/>
      <c r="G66" s="254"/>
      <c r="H66" s="254"/>
      <c r="I66" s="254"/>
      <c r="J66" s="254"/>
      <c r="K66" s="254"/>
      <c r="L66" s="255">
        <v>1967883.76</v>
      </c>
      <c r="M66" s="254"/>
      <c r="N66" s="254"/>
      <c r="O66" s="254"/>
      <c r="P66" s="255">
        <v>1967883.76</v>
      </c>
      <c r="Q66" s="254"/>
      <c r="R66" s="254"/>
      <c r="S66" s="254"/>
      <c r="T66" s="254"/>
      <c r="U66" s="254"/>
      <c r="V66" s="254"/>
      <c r="W66" s="253"/>
      <c r="X66" s="253"/>
    </row>
    <row r="67" spans="1:24" ht="12" hidden="1" customHeight="1" outlineLevel="2" x14ac:dyDescent="0.2">
      <c r="A67" s="252" t="s">
        <v>1555</v>
      </c>
      <c r="B67" s="249"/>
      <c r="C67" s="249"/>
      <c r="D67" s="251">
        <v>1967883.76</v>
      </c>
      <c r="E67" s="251">
        <v>1967883.76</v>
      </c>
      <c r="F67" s="250"/>
      <c r="G67" s="250"/>
      <c r="H67" s="250"/>
      <c r="I67" s="250"/>
      <c r="J67" s="250"/>
      <c r="K67" s="250"/>
      <c r="L67" s="251">
        <v>1967883.76</v>
      </c>
      <c r="M67" s="250"/>
      <c r="N67" s="250"/>
      <c r="O67" s="250"/>
      <c r="P67" s="251">
        <v>1967883.76</v>
      </c>
      <c r="Q67" s="250"/>
      <c r="R67" s="250"/>
      <c r="S67" s="250"/>
      <c r="T67" s="250"/>
      <c r="U67" s="250"/>
      <c r="V67" s="250"/>
      <c r="W67" s="249"/>
      <c r="X67" s="249"/>
    </row>
    <row r="68" spans="1:24" ht="24.95" customHeight="1" outlineLevel="1" collapsed="1" x14ac:dyDescent="0.2">
      <c r="A68" s="256" t="s">
        <v>1672</v>
      </c>
      <c r="B68" s="253"/>
      <c r="C68" s="253"/>
      <c r="D68" s="255">
        <v>504000</v>
      </c>
      <c r="E68" s="255">
        <v>342000</v>
      </c>
      <c r="F68" s="254"/>
      <c r="G68" s="255">
        <v>162000</v>
      </c>
      <c r="H68" s="254"/>
      <c r="I68" s="254"/>
      <c r="J68" s="254"/>
      <c r="K68" s="254"/>
      <c r="L68" s="255">
        <v>504000</v>
      </c>
      <c r="M68" s="254"/>
      <c r="N68" s="254"/>
      <c r="O68" s="254"/>
      <c r="P68" s="255">
        <v>342000</v>
      </c>
      <c r="Q68" s="254"/>
      <c r="R68" s="254"/>
      <c r="S68" s="254"/>
      <c r="T68" s="255">
        <v>162000</v>
      </c>
      <c r="U68" s="254"/>
      <c r="V68" s="254"/>
      <c r="W68" s="253"/>
      <c r="X68" s="253"/>
    </row>
    <row r="69" spans="1:24" ht="12" hidden="1" customHeight="1" outlineLevel="2" x14ac:dyDescent="0.2">
      <c r="A69" s="252" t="s">
        <v>1555</v>
      </c>
      <c r="B69" s="249"/>
      <c r="C69" s="249"/>
      <c r="D69" s="251">
        <v>504000</v>
      </c>
      <c r="E69" s="251">
        <v>342000</v>
      </c>
      <c r="F69" s="250"/>
      <c r="G69" s="251">
        <v>162000</v>
      </c>
      <c r="H69" s="250"/>
      <c r="I69" s="250"/>
      <c r="J69" s="250"/>
      <c r="K69" s="250"/>
      <c r="L69" s="251">
        <v>504000</v>
      </c>
      <c r="M69" s="250"/>
      <c r="N69" s="250"/>
      <c r="O69" s="250"/>
      <c r="P69" s="251">
        <v>342000</v>
      </c>
      <c r="Q69" s="250"/>
      <c r="R69" s="250"/>
      <c r="S69" s="250"/>
      <c r="T69" s="251">
        <v>162000</v>
      </c>
      <c r="U69" s="250"/>
      <c r="V69" s="250"/>
      <c r="W69" s="249"/>
      <c r="X69" s="249"/>
    </row>
    <row r="70" spans="1:24" ht="36.950000000000003" customHeight="1" outlineLevel="1" collapsed="1" x14ac:dyDescent="0.2">
      <c r="A70" s="256" t="s">
        <v>1671</v>
      </c>
      <c r="B70" s="253"/>
      <c r="C70" s="253"/>
      <c r="D70" s="255">
        <v>66300</v>
      </c>
      <c r="E70" s="255">
        <v>33150</v>
      </c>
      <c r="F70" s="254"/>
      <c r="G70" s="255">
        <v>33150</v>
      </c>
      <c r="H70" s="254"/>
      <c r="I70" s="254"/>
      <c r="J70" s="254"/>
      <c r="K70" s="254"/>
      <c r="L70" s="255">
        <v>66300</v>
      </c>
      <c r="M70" s="254"/>
      <c r="N70" s="255">
        <v>33150</v>
      </c>
      <c r="O70" s="254"/>
      <c r="P70" s="254"/>
      <c r="Q70" s="254"/>
      <c r="R70" s="254"/>
      <c r="S70" s="254"/>
      <c r="T70" s="255">
        <v>33150</v>
      </c>
      <c r="U70" s="254"/>
      <c r="V70" s="254"/>
      <c r="W70" s="253"/>
      <c r="X70" s="253"/>
    </row>
    <row r="71" spans="1:24" ht="12" hidden="1" customHeight="1" outlineLevel="2" x14ac:dyDescent="0.2">
      <c r="A71" s="252" t="s">
        <v>1555</v>
      </c>
      <c r="B71" s="249"/>
      <c r="C71" s="249"/>
      <c r="D71" s="251">
        <v>66300</v>
      </c>
      <c r="E71" s="251">
        <v>33150</v>
      </c>
      <c r="F71" s="250"/>
      <c r="G71" s="251">
        <v>33150</v>
      </c>
      <c r="H71" s="250"/>
      <c r="I71" s="250"/>
      <c r="J71" s="250"/>
      <c r="K71" s="250"/>
      <c r="L71" s="251">
        <v>66300</v>
      </c>
      <c r="M71" s="250"/>
      <c r="N71" s="251">
        <v>33150</v>
      </c>
      <c r="O71" s="250"/>
      <c r="P71" s="250"/>
      <c r="Q71" s="250"/>
      <c r="R71" s="250"/>
      <c r="S71" s="250"/>
      <c r="T71" s="251">
        <v>33150</v>
      </c>
      <c r="U71" s="250"/>
      <c r="V71" s="250"/>
      <c r="W71" s="249"/>
      <c r="X71" s="249"/>
    </row>
    <row r="72" spans="1:24" ht="12" customHeight="1" outlineLevel="1" collapsed="1" x14ac:dyDescent="0.2">
      <c r="A72" s="256" t="s">
        <v>1670</v>
      </c>
      <c r="B72" s="253"/>
      <c r="C72" s="253"/>
      <c r="D72" s="255">
        <v>2010</v>
      </c>
      <c r="E72" s="254"/>
      <c r="F72" s="254"/>
      <c r="G72" s="254"/>
      <c r="H72" s="254"/>
      <c r="I72" s="255">
        <v>2010</v>
      </c>
      <c r="J72" s="254"/>
      <c r="K72" s="254"/>
      <c r="L72" s="255">
        <v>2010</v>
      </c>
      <c r="M72" s="254"/>
      <c r="N72" s="254"/>
      <c r="O72" s="254"/>
      <c r="P72" s="254"/>
      <c r="Q72" s="255">
        <v>2010</v>
      </c>
      <c r="R72" s="254"/>
      <c r="S72" s="254"/>
      <c r="T72" s="254"/>
      <c r="U72" s="254"/>
      <c r="V72" s="254"/>
      <c r="W72" s="253"/>
      <c r="X72" s="253"/>
    </row>
    <row r="73" spans="1:24" ht="12" hidden="1" customHeight="1" outlineLevel="2" x14ac:dyDescent="0.2">
      <c r="A73" s="252" t="s">
        <v>1555</v>
      </c>
      <c r="B73" s="249"/>
      <c r="C73" s="249"/>
      <c r="D73" s="251">
        <v>2010</v>
      </c>
      <c r="E73" s="250"/>
      <c r="F73" s="250"/>
      <c r="G73" s="250"/>
      <c r="H73" s="250"/>
      <c r="I73" s="251">
        <v>2010</v>
      </c>
      <c r="J73" s="250"/>
      <c r="K73" s="250"/>
      <c r="L73" s="251">
        <v>2010</v>
      </c>
      <c r="M73" s="250"/>
      <c r="N73" s="250"/>
      <c r="O73" s="250"/>
      <c r="P73" s="250"/>
      <c r="Q73" s="251">
        <v>2010</v>
      </c>
      <c r="R73" s="250"/>
      <c r="S73" s="250"/>
      <c r="T73" s="250"/>
      <c r="U73" s="250"/>
      <c r="V73" s="250"/>
      <c r="W73" s="249"/>
      <c r="X73" s="249"/>
    </row>
    <row r="74" spans="1:24" ht="24.95" customHeight="1" outlineLevel="1" collapsed="1" x14ac:dyDescent="0.2">
      <c r="A74" s="256" t="s">
        <v>1669</v>
      </c>
      <c r="B74" s="253"/>
      <c r="C74" s="253"/>
      <c r="D74" s="255">
        <v>310515.57</v>
      </c>
      <c r="E74" s="255">
        <v>310515.57</v>
      </c>
      <c r="F74" s="254"/>
      <c r="G74" s="254"/>
      <c r="H74" s="254"/>
      <c r="I74" s="254"/>
      <c r="J74" s="254"/>
      <c r="K74" s="254"/>
      <c r="L74" s="255">
        <v>310515.57</v>
      </c>
      <c r="M74" s="254"/>
      <c r="N74" s="254"/>
      <c r="O74" s="254"/>
      <c r="P74" s="255">
        <v>310515.57</v>
      </c>
      <c r="Q74" s="254"/>
      <c r="R74" s="254"/>
      <c r="S74" s="254"/>
      <c r="T74" s="254"/>
      <c r="U74" s="254"/>
      <c r="V74" s="254"/>
      <c r="W74" s="253"/>
      <c r="X74" s="253"/>
    </row>
    <row r="75" spans="1:24" ht="12" hidden="1" customHeight="1" outlineLevel="2" x14ac:dyDescent="0.2">
      <c r="A75" s="252" t="s">
        <v>1555</v>
      </c>
      <c r="B75" s="249"/>
      <c r="C75" s="249"/>
      <c r="D75" s="251">
        <v>310515.57</v>
      </c>
      <c r="E75" s="251">
        <v>310515.57</v>
      </c>
      <c r="F75" s="250"/>
      <c r="G75" s="250"/>
      <c r="H75" s="250"/>
      <c r="I75" s="250"/>
      <c r="J75" s="250"/>
      <c r="K75" s="250"/>
      <c r="L75" s="251">
        <v>310515.57</v>
      </c>
      <c r="M75" s="250"/>
      <c r="N75" s="250"/>
      <c r="O75" s="250"/>
      <c r="P75" s="251">
        <v>310515.57</v>
      </c>
      <c r="Q75" s="250"/>
      <c r="R75" s="250"/>
      <c r="S75" s="250"/>
      <c r="T75" s="250"/>
      <c r="U75" s="250"/>
      <c r="V75" s="250"/>
      <c r="W75" s="249"/>
      <c r="X75" s="249"/>
    </row>
    <row r="76" spans="1:24" ht="24.95" customHeight="1" outlineLevel="1" collapsed="1" x14ac:dyDescent="0.2">
      <c r="A76" s="256" t="s">
        <v>1668</v>
      </c>
      <c r="B76" s="253"/>
      <c r="C76" s="253"/>
      <c r="D76" s="255">
        <v>9829897</v>
      </c>
      <c r="E76" s="255">
        <v>4914948.5</v>
      </c>
      <c r="F76" s="254"/>
      <c r="G76" s="255">
        <v>4914948.5</v>
      </c>
      <c r="H76" s="254"/>
      <c r="I76" s="254"/>
      <c r="J76" s="254"/>
      <c r="K76" s="254"/>
      <c r="L76" s="255">
        <v>9829897</v>
      </c>
      <c r="M76" s="254"/>
      <c r="N76" s="254"/>
      <c r="O76" s="255">
        <v>819158.09</v>
      </c>
      <c r="P76" s="254"/>
      <c r="Q76" s="254"/>
      <c r="R76" s="254"/>
      <c r="S76" s="254"/>
      <c r="T76" s="255">
        <v>4914948.5</v>
      </c>
      <c r="U76" s="255">
        <v>4095790.41</v>
      </c>
      <c r="V76" s="254"/>
      <c r="W76" s="253"/>
      <c r="X76" s="253"/>
    </row>
    <row r="77" spans="1:24" ht="12" hidden="1" customHeight="1" outlineLevel="2" x14ac:dyDescent="0.2">
      <c r="A77" s="252" t="s">
        <v>1555</v>
      </c>
      <c r="B77" s="249"/>
      <c r="C77" s="249"/>
      <c r="D77" s="251">
        <v>9829897</v>
      </c>
      <c r="E77" s="251">
        <v>4914948.5</v>
      </c>
      <c r="F77" s="250"/>
      <c r="G77" s="251">
        <v>4914948.5</v>
      </c>
      <c r="H77" s="250"/>
      <c r="I77" s="250"/>
      <c r="J77" s="250"/>
      <c r="K77" s="250"/>
      <c r="L77" s="251">
        <v>9829897</v>
      </c>
      <c r="M77" s="250"/>
      <c r="N77" s="250"/>
      <c r="O77" s="251">
        <v>819158.09</v>
      </c>
      <c r="P77" s="250"/>
      <c r="Q77" s="250"/>
      <c r="R77" s="250"/>
      <c r="S77" s="250"/>
      <c r="T77" s="251">
        <v>4914948.5</v>
      </c>
      <c r="U77" s="251">
        <v>4095790.41</v>
      </c>
      <c r="V77" s="250"/>
      <c r="W77" s="249"/>
      <c r="X77" s="249"/>
    </row>
    <row r="78" spans="1:24" ht="24.95" customHeight="1" outlineLevel="1" collapsed="1" x14ac:dyDescent="0.2">
      <c r="A78" s="256" t="s">
        <v>1667</v>
      </c>
      <c r="B78" s="253"/>
      <c r="C78" s="255">
        <v>90000</v>
      </c>
      <c r="D78" s="255">
        <v>1140000</v>
      </c>
      <c r="E78" s="255">
        <v>1125000</v>
      </c>
      <c r="F78" s="254"/>
      <c r="G78" s="255">
        <v>15000</v>
      </c>
      <c r="H78" s="254"/>
      <c r="I78" s="254"/>
      <c r="J78" s="254"/>
      <c r="K78" s="254"/>
      <c r="L78" s="255">
        <v>1149000</v>
      </c>
      <c r="M78" s="254"/>
      <c r="N78" s="254"/>
      <c r="O78" s="254"/>
      <c r="P78" s="254"/>
      <c r="Q78" s="254"/>
      <c r="R78" s="255">
        <v>1134000</v>
      </c>
      <c r="S78" s="254"/>
      <c r="T78" s="255">
        <v>15000</v>
      </c>
      <c r="U78" s="254"/>
      <c r="V78" s="254"/>
      <c r="W78" s="253"/>
      <c r="X78" s="255">
        <v>99000</v>
      </c>
    </row>
    <row r="79" spans="1:24" ht="12" hidden="1" customHeight="1" outlineLevel="2" x14ac:dyDescent="0.2">
      <c r="A79" s="252" t="s">
        <v>1555</v>
      </c>
      <c r="B79" s="249"/>
      <c r="C79" s="251">
        <v>90000</v>
      </c>
      <c r="D79" s="251">
        <v>1140000</v>
      </c>
      <c r="E79" s="251">
        <v>1125000</v>
      </c>
      <c r="F79" s="250"/>
      <c r="G79" s="251">
        <v>15000</v>
      </c>
      <c r="H79" s="250"/>
      <c r="I79" s="250"/>
      <c r="J79" s="250"/>
      <c r="K79" s="250"/>
      <c r="L79" s="251">
        <v>1149000</v>
      </c>
      <c r="M79" s="250"/>
      <c r="N79" s="250"/>
      <c r="O79" s="250"/>
      <c r="P79" s="250"/>
      <c r="Q79" s="250"/>
      <c r="R79" s="251">
        <v>1134000</v>
      </c>
      <c r="S79" s="250"/>
      <c r="T79" s="251">
        <v>15000</v>
      </c>
      <c r="U79" s="250"/>
      <c r="V79" s="250"/>
      <c r="W79" s="249"/>
      <c r="X79" s="251">
        <v>99000</v>
      </c>
    </row>
    <row r="80" spans="1:24" ht="24.95" customHeight="1" outlineLevel="1" collapsed="1" x14ac:dyDescent="0.2">
      <c r="A80" s="256" t="s">
        <v>1666</v>
      </c>
      <c r="B80" s="255">
        <v>105968.23</v>
      </c>
      <c r="C80" s="253"/>
      <c r="D80" s="255">
        <v>8229361.0300000003</v>
      </c>
      <c r="E80" s="255">
        <v>8229361.0300000003</v>
      </c>
      <c r="F80" s="254"/>
      <c r="G80" s="254"/>
      <c r="H80" s="254"/>
      <c r="I80" s="254"/>
      <c r="J80" s="254"/>
      <c r="K80" s="254"/>
      <c r="L80" s="255">
        <v>8482205.6400000006</v>
      </c>
      <c r="M80" s="254"/>
      <c r="N80" s="254"/>
      <c r="O80" s="254"/>
      <c r="P80" s="255">
        <v>8482205.6400000006</v>
      </c>
      <c r="Q80" s="254"/>
      <c r="R80" s="254"/>
      <c r="S80" s="254"/>
      <c r="T80" s="254"/>
      <c r="U80" s="254"/>
      <c r="V80" s="254"/>
      <c r="W80" s="253"/>
      <c r="X80" s="255">
        <v>146876.38</v>
      </c>
    </row>
    <row r="81" spans="1:24" ht="12" hidden="1" customHeight="1" outlineLevel="2" x14ac:dyDescent="0.2">
      <c r="A81" s="252" t="s">
        <v>1555</v>
      </c>
      <c r="B81" s="251">
        <v>105968.23</v>
      </c>
      <c r="C81" s="249"/>
      <c r="D81" s="251">
        <v>8229361.0300000003</v>
      </c>
      <c r="E81" s="251">
        <v>8229361.0300000003</v>
      </c>
      <c r="F81" s="250"/>
      <c r="G81" s="250"/>
      <c r="H81" s="250"/>
      <c r="I81" s="250"/>
      <c r="J81" s="250"/>
      <c r="K81" s="250"/>
      <c r="L81" s="251">
        <v>8482205.6400000006</v>
      </c>
      <c r="M81" s="250"/>
      <c r="N81" s="250"/>
      <c r="O81" s="250"/>
      <c r="P81" s="251">
        <v>8482205.6400000006</v>
      </c>
      <c r="Q81" s="250"/>
      <c r="R81" s="250"/>
      <c r="S81" s="250"/>
      <c r="T81" s="250"/>
      <c r="U81" s="250"/>
      <c r="V81" s="250"/>
      <c r="W81" s="249"/>
      <c r="X81" s="251">
        <v>146876.38</v>
      </c>
    </row>
    <row r="82" spans="1:24" ht="24.95" customHeight="1" outlineLevel="1" collapsed="1" x14ac:dyDescent="0.2">
      <c r="A82" s="256" t="s">
        <v>1665</v>
      </c>
      <c r="B82" s="253"/>
      <c r="C82" s="253"/>
      <c r="D82" s="255">
        <v>41000</v>
      </c>
      <c r="E82" s="255">
        <v>20500</v>
      </c>
      <c r="F82" s="254"/>
      <c r="G82" s="255">
        <v>20500</v>
      </c>
      <c r="H82" s="254"/>
      <c r="I82" s="254"/>
      <c r="J82" s="254"/>
      <c r="K82" s="254"/>
      <c r="L82" s="255">
        <v>41000</v>
      </c>
      <c r="M82" s="254"/>
      <c r="N82" s="254"/>
      <c r="O82" s="254"/>
      <c r="P82" s="254"/>
      <c r="Q82" s="254"/>
      <c r="R82" s="255">
        <v>20500</v>
      </c>
      <c r="S82" s="254"/>
      <c r="T82" s="255">
        <v>20500</v>
      </c>
      <c r="U82" s="254"/>
      <c r="V82" s="254"/>
      <c r="W82" s="253"/>
      <c r="X82" s="253"/>
    </row>
    <row r="83" spans="1:24" ht="12" hidden="1" customHeight="1" outlineLevel="2" x14ac:dyDescent="0.2">
      <c r="A83" s="252" t="s">
        <v>1555</v>
      </c>
      <c r="B83" s="249"/>
      <c r="C83" s="249"/>
      <c r="D83" s="251">
        <v>41000</v>
      </c>
      <c r="E83" s="251">
        <v>20500</v>
      </c>
      <c r="F83" s="250"/>
      <c r="G83" s="251">
        <v>20500</v>
      </c>
      <c r="H83" s="250"/>
      <c r="I83" s="250"/>
      <c r="J83" s="250"/>
      <c r="K83" s="250"/>
      <c r="L83" s="251">
        <v>41000</v>
      </c>
      <c r="M83" s="250"/>
      <c r="N83" s="250"/>
      <c r="O83" s="250"/>
      <c r="P83" s="250"/>
      <c r="Q83" s="250"/>
      <c r="R83" s="251">
        <v>20500</v>
      </c>
      <c r="S83" s="250"/>
      <c r="T83" s="251">
        <v>20500</v>
      </c>
      <c r="U83" s="250"/>
      <c r="V83" s="250"/>
      <c r="W83" s="249"/>
      <c r="X83" s="249"/>
    </row>
    <row r="84" spans="1:24" ht="36.950000000000003" customHeight="1" outlineLevel="1" collapsed="1" x14ac:dyDescent="0.2">
      <c r="A84" s="256" t="s">
        <v>1664</v>
      </c>
      <c r="B84" s="253"/>
      <c r="C84" s="253"/>
      <c r="D84" s="255">
        <v>7642942.29</v>
      </c>
      <c r="E84" s="255">
        <v>7235968.6399999997</v>
      </c>
      <c r="F84" s="254"/>
      <c r="G84" s="255">
        <v>406973.65</v>
      </c>
      <c r="H84" s="254"/>
      <c r="I84" s="254"/>
      <c r="J84" s="254"/>
      <c r="K84" s="254"/>
      <c r="L84" s="255">
        <v>7874035.0300000003</v>
      </c>
      <c r="M84" s="254"/>
      <c r="N84" s="254"/>
      <c r="O84" s="254"/>
      <c r="P84" s="255">
        <v>7467061.3799999999</v>
      </c>
      <c r="Q84" s="254"/>
      <c r="R84" s="254"/>
      <c r="S84" s="254"/>
      <c r="T84" s="255">
        <v>406973.65</v>
      </c>
      <c r="U84" s="254"/>
      <c r="V84" s="254"/>
      <c r="W84" s="253"/>
      <c r="X84" s="255">
        <v>231092.74</v>
      </c>
    </row>
    <row r="85" spans="1:24" ht="12" hidden="1" customHeight="1" outlineLevel="2" x14ac:dyDescent="0.2">
      <c r="A85" s="252" t="s">
        <v>1555</v>
      </c>
      <c r="B85" s="249"/>
      <c r="C85" s="249"/>
      <c r="D85" s="251">
        <v>7642942.29</v>
      </c>
      <c r="E85" s="251">
        <v>7235968.6399999997</v>
      </c>
      <c r="F85" s="250"/>
      <c r="G85" s="251">
        <v>406973.65</v>
      </c>
      <c r="H85" s="250"/>
      <c r="I85" s="250"/>
      <c r="J85" s="250"/>
      <c r="K85" s="250"/>
      <c r="L85" s="251">
        <v>7874035.0300000003</v>
      </c>
      <c r="M85" s="250"/>
      <c r="N85" s="250"/>
      <c r="O85" s="250"/>
      <c r="P85" s="251">
        <v>7467061.3799999999</v>
      </c>
      <c r="Q85" s="250"/>
      <c r="R85" s="250"/>
      <c r="S85" s="250"/>
      <c r="T85" s="251">
        <v>406973.65</v>
      </c>
      <c r="U85" s="250"/>
      <c r="V85" s="250"/>
      <c r="W85" s="249"/>
      <c r="X85" s="251">
        <v>231092.74</v>
      </c>
    </row>
    <row r="86" spans="1:24" ht="24.95" customHeight="1" outlineLevel="1" collapsed="1" x14ac:dyDescent="0.2">
      <c r="A86" s="256" t="s">
        <v>1663</v>
      </c>
      <c r="B86" s="253"/>
      <c r="C86" s="255">
        <v>75000</v>
      </c>
      <c r="D86" s="255">
        <v>1050000</v>
      </c>
      <c r="E86" s="255">
        <v>900000</v>
      </c>
      <c r="F86" s="254"/>
      <c r="G86" s="255">
        <v>150000</v>
      </c>
      <c r="H86" s="254"/>
      <c r="I86" s="254"/>
      <c r="J86" s="254"/>
      <c r="K86" s="254"/>
      <c r="L86" s="255">
        <v>1050000</v>
      </c>
      <c r="M86" s="254"/>
      <c r="N86" s="254"/>
      <c r="O86" s="254"/>
      <c r="P86" s="255">
        <v>900000</v>
      </c>
      <c r="Q86" s="254"/>
      <c r="R86" s="254"/>
      <c r="S86" s="254"/>
      <c r="T86" s="255">
        <v>150000</v>
      </c>
      <c r="U86" s="254"/>
      <c r="V86" s="254"/>
      <c r="W86" s="253"/>
      <c r="X86" s="255">
        <v>75000</v>
      </c>
    </row>
    <row r="87" spans="1:24" ht="12" hidden="1" customHeight="1" outlineLevel="2" x14ac:dyDescent="0.2">
      <c r="A87" s="252" t="s">
        <v>1555</v>
      </c>
      <c r="B87" s="249"/>
      <c r="C87" s="251">
        <v>75000</v>
      </c>
      <c r="D87" s="251">
        <v>1050000</v>
      </c>
      <c r="E87" s="251">
        <v>900000</v>
      </c>
      <c r="F87" s="250"/>
      <c r="G87" s="251">
        <v>150000</v>
      </c>
      <c r="H87" s="250"/>
      <c r="I87" s="250"/>
      <c r="J87" s="250"/>
      <c r="K87" s="250"/>
      <c r="L87" s="251">
        <v>1050000</v>
      </c>
      <c r="M87" s="250"/>
      <c r="N87" s="250"/>
      <c r="O87" s="250"/>
      <c r="P87" s="251">
        <v>900000</v>
      </c>
      <c r="Q87" s="250"/>
      <c r="R87" s="250"/>
      <c r="S87" s="250"/>
      <c r="T87" s="251">
        <v>150000</v>
      </c>
      <c r="U87" s="250"/>
      <c r="V87" s="250"/>
      <c r="W87" s="249"/>
      <c r="X87" s="251">
        <v>75000</v>
      </c>
    </row>
    <row r="88" spans="1:24" ht="24.95" customHeight="1" outlineLevel="1" collapsed="1" x14ac:dyDescent="0.2">
      <c r="A88" s="256" t="s">
        <v>1662</v>
      </c>
      <c r="B88" s="253"/>
      <c r="C88" s="253"/>
      <c r="D88" s="255">
        <v>380000</v>
      </c>
      <c r="E88" s="255">
        <v>380000</v>
      </c>
      <c r="F88" s="254"/>
      <c r="G88" s="254"/>
      <c r="H88" s="254"/>
      <c r="I88" s="254"/>
      <c r="J88" s="254"/>
      <c r="K88" s="254"/>
      <c r="L88" s="255">
        <v>380000</v>
      </c>
      <c r="M88" s="254"/>
      <c r="N88" s="254"/>
      <c r="O88" s="254"/>
      <c r="P88" s="255">
        <v>380000</v>
      </c>
      <c r="Q88" s="254"/>
      <c r="R88" s="254"/>
      <c r="S88" s="254"/>
      <c r="T88" s="254"/>
      <c r="U88" s="254"/>
      <c r="V88" s="254"/>
      <c r="W88" s="253"/>
      <c r="X88" s="253"/>
    </row>
    <row r="89" spans="1:24" ht="12" hidden="1" customHeight="1" outlineLevel="2" x14ac:dyDescent="0.2">
      <c r="A89" s="252" t="s">
        <v>1555</v>
      </c>
      <c r="B89" s="249"/>
      <c r="C89" s="249"/>
      <c r="D89" s="251">
        <v>380000</v>
      </c>
      <c r="E89" s="251">
        <v>380000</v>
      </c>
      <c r="F89" s="250"/>
      <c r="G89" s="250"/>
      <c r="H89" s="250"/>
      <c r="I89" s="250"/>
      <c r="J89" s="250"/>
      <c r="K89" s="250"/>
      <c r="L89" s="251">
        <v>380000</v>
      </c>
      <c r="M89" s="250"/>
      <c r="N89" s="250"/>
      <c r="O89" s="250"/>
      <c r="P89" s="251">
        <v>380000</v>
      </c>
      <c r="Q89" s="250"/>
      <c r="R89" s="250"/>
      <c r="S89" s="250"/>
      <c r="T89" s="250"/>
      <c r="U89" s="250"/>
      <c r="V89" s="250"/>
      <c r="W89" s="249"/>
      <c r="X89" s="249"/>
    </row>
    <row r="90" spans="1:24" ht="36.950000000000003" customHeight="1" outlineLevel="1" collapsed="1" x14ac:dyDescent="0.2">
      <c r="A90" s="256" t="s">
        <v>1661</v>
      </c>
      <c r="B90" s="253"/>
      <c r="C90" s="253"/>
      <c r="D90" s="255">
        <v>175800</v>
      </c>
      <c r="E90" s="255">
        <v>121950</v>
      </c>
      <c r="F90" s="254"/>
      <c r="G90" s="255">
        <v>53850</v>
      </c>
      <c r="H90" s="254"/>
      <c r="I90" s="254"/>
      <c r="J90" s="254"/>
      <c r="K90" s="254"/>
      <c r="L90" s="255">
        <v>191400</v>
      </c>
      <c r="M90" s="254"/>
      <c r="N90" s="254"/>
      <c r="O90" s="254"/>
      <c r="P90" s="254"/>
      <c r="Q90" s="254"/>
      <c r="R90" s="255">
        <v>137550</v>
      </c>
      <c r="S90" s="254"/>
      <c r="T90" s="255">
        <v>53850</v>
      </c>
      <c r="U90" s="254"/>
      <c r="V90" s="254"/>
      <c r="W90" s="253"/>
      <c r="X90" s="255">
        <v>15600</v>
      </c>
    </row>
    <row r="91" spans="1:24" ht="12" hidden="1" customHeight="1" outlineLevel="2" x14ac:dyDescent="0.2">
      <c r="A91" s="252" t="s">
        <v>1555</v>
      </c>
      <c r="B91" s="249"/>
      <c r="C91" s="249"/>
      <c r="D91" s="251">
        <v>175800</v>
      </c>
      <c r="E91" s="251">
        <v>121950</v>
      </c>
      <c r="F91" s="250"/>
      <c r="G91" s="251">
        <v>53850</v>
      </c>
      <c r="H91" s="250"/>
      <c r="I91" s="250"/>
      <c r="J91" s="250"/>
      <c r="K91" s="250"/>
      <c r="L91" s="251">
        <v>191400</v>
      </c>
      <c r="M91" s="250"/>
      <c r="N91" s="250"/>
      <c r="O91" s="250"/>
      <c r="P91" s="250"/>
      <c r="Q91" s="250"/>
      <c r="R91" s="251">
        <v>137550</v>
      </c>
      <c r="S91" s="250"/>
      <c r="T91" s="251">
        <v>53850</v>
      </c>
      <c r="U91" s="250"/>
      <c r="V91" s="250"/>
      <c r="W91" s="249"/>
      <c r="X91" s="251">
        <v>15600</v>
      </c>
    </row>
    <row r="92" spans="1:24" ht="36.950000000000003" customHeight="1" outlineLevel="1" collapsed="1" x14ac:dyDescent="0.2">
      <c r="A92" s="256" t="s">
        <v>1660</v>
      </c>
      <c r="B92" s="255">
        <v>6569</v>
      </c>
      <c r="C92" s="253"/>
      <c r="D92" s="255">
        <v>173552</v>
      </c>
      <c r="E92" s="255">
        <v>89454</v>
      </c>
      <c r="F92" s="254"/>
      <c r="G92" s="255">
        <v>84098</v>
      </c>
      <c r="H92" s="254"/>
      <c r="I92" s="254"/>
      <c r="J92" s="254"/>
      <c r="K92" s="254"/>
      <c r="L92" s="255">
        <v>180121</v>
      </c>
      <c r="M92" s="254"/>
      <c r="N92" s="254"/>
      <c r="O92" s="254"/>
      <c r="P92" s="255">
        <v>96023</v>
      </c>
      <c r="Q92" s="254"/>
      <c r="R92" s="254"/>
      <c r="S92" s="254"/>
      <c r="T92" s="255">
        <v>84098</v>
      </c>
      <c r="U92" s="254"/>
      <c r="V92" s="254"/>
      <c r="W92" s="253"/>
      <c r="X92" s="253"/>
    </row>
    <row r="93" spans="1:24" ht="12" hidden="1" customHeight="1" outlineLevel="2" x14ac:dyDescent="0.2">
      <c r="A93" s="252" t="s">
        <v>1555</v>
      </c>
      <c r="B93" s="251">
        <v>6569</v>
      </c>
      <c r="C93" s="249"/>
      <c r="D93" s="251">
        <v>173552</v>
      </c>
      <c r="E93" s="251">
        <v>89454</v>
      </c>
      <c r="F93" s="250"/>
      <c r="G93" s="251">
        <v>84098</v>
      </c>
      <c r="H93" s="250"/>
      <c r="I93" s="250"/>
      <c r="J93" s="250"/>
      <c r="K93" s="250"/>
      <c r="L93" s="251">
        <v>180121</v>
      </c>
      <c r="M93" s="250"/>
      <c r="N93" s="250"/>
      <c r="O93" s="250"/>
      <c r="P93" s="251">
        <v>96023</v>
      </c>
      <c r="Q93" s="250"/>
      <c r="R93" s="250"/>
      <c r="S93" s="250"/>
      <c r="T93" s="251">
        <v>84098</v>
      </c>
      <c r="U93" s="250"/>
      <c r="V93" s="250"/>
      <c r="W93" s="249"/>
      <c r="X93" s="249"/>
    </row>
    <row r="94" spans="1:24" ht="12" customHeight="1" outlineLevel="1" collapsed="1" x14ac:dyDescent="0.2">
      <c r="A94" s="256" t="s">
        <v>1659</v>
      </c>
      <c r="B94" s="253"/>
      <c r="C94" s="255">
        <v>97480.37</v>
      </c>
      <c r="D94" s="255">
        <v>14353467.869999999</v>
      </c>
      <c r="E94" s="255">
        <v>14353467.869999999</v>
      </c>
      <c r="F94" s="254"/>
      <c r="G94" s="254"/>
      <c r="H94" s="254"/>
      <c r="I94" s="254"/>
      <c r="J94" s="254"/>
      <c r="K94" s="254"/>
      <c r="L94" s="255">
        <v>14332278.16</v>
      </c>
      <c r="M94" s="254"/>
      <c r="N94" s="254"/>
      <c r="O94" s="254"/>
      <c r="P94" s="255">
        <v>14332278.16</v>
      </c>
      <c r="Q94" s="254"/>
      <c r="R94" s="254"/>
      <c r="S94" s="254"/>
      <c r="T94" s="254"/>
      <c r="U94" s="254"/>
      <c r="V94" s="254"/>
      <c r="W94" s="253"/>
      <c r="X94" s="255">
        <v>76290.66</v>
      </c>
    </row>
    <row r="95" spans="1:24" ht="12" hidden="1" customHeight="1" outlineLevel="2" x14ac:dyDescent="0.2">
      <c r="A95" s="252" t="s">
        <v>1555</v>
      </c>
      <c r="B95" s="249"/>
      <c r="C95" s="251">
        <v>97480.37</v>
      </c>
      <c r="D95" s="251">
        <v>14353467.869999999</v>
      </c>
      <c r="E95" s="251">
        <v>14353467.869999999</v>
      </c>
      <c r="F95" s="250"/>
      <c r="G95" s="250"/>
      <c r="H95" s="250"/>
      <c r="I95" s="250"/>
      <c r="J95" s="250"/>
      <c r="K95" s="250"/>
      <c r="L95" s="251">
        <v>14332278.16</v>
      </c>
      <c r="M95" s="250"/>
      <c r="N95" s="250"/>
      <c r="O95" s="250"/>
      <c r="P95" s="251">
        <v>14332278.16</v>
      </c>
      <c r="Q95" s="250"/>
      <c r="R95" s="250"/>
      <c r="S95" s="250"/>
      <c r="T95" s="250"/>
      <c r="U95" s="250"/>
      <c r="V95" s="250"/>
      <c r="W95" s="249"/>
      <c r="X95" s="251">
        <v>76290.66</v>
      </c>
    </row>
    <row r="96" spans="1:24" ht="24.95" customHeight="1" outlineLevel="1" x14ac:dyDescent="0.2">
      <c r="A96" s="256" t="s">
        <v>1658</v>
      </c>
      <c r="B96" s="255">
        <v>137610.62</v>
      </c>
      <c r="C96" s="253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5">
        <v>137610.62</v>
      </c>
      <c r="X96" s="253"/>
    </row>
    <row r="97" spans="1:24" ht="24.95" customHeight="1" outlineLevel="1" collapsed="1" x14ac:dyDescent="0.2">
      <c r="A97" s="256" t="s">
        <v>1657</v>
      </c>
      <c r="B97" s="253"/>
      <c r="C97" s="253"/>
      <c r="D97" s="255">
        <v>168000</v>
      </c>
      <c r="E97" s="255">
        <v>84000</v>
      </c>
      <c r="F97" s="254"/>
      <c r="G97" s="255">
        <v>84000</v>
      </c>
      <c r="H97" s="254"/>
      <c r="I97" s="254"/>
      <c r="J97" s="254"/>
      <c r="K97" s="254"/>
      <c r="L97" s="255">
        <v>168000</v>
      </c>
      <c r="M97" s="254"/>
      <c r="N97" s="255">
        <v>84000</v>
      </c>
      <c r="O97" s="254"/>
      <c r="P97" s="254"/>
      <c r="Q97" s="254"/>
      <c r="R97" s="254"/>
      <c r="S97" s="254"/>
      <c r="T97" s="255">
        <v>84000</v>
      </c>
      <c r="U97" s="254"/>
      <c r="V97" s="254"/>
      <c r="W97" s="253"/>
      <c r="X97" s="253"/>
    </row>
    <row r="98" spans="1:24" ht="12" hidden="1" customHeight="1" outlineLevel="2" x14ac:dyDescent="0.2">
      <c r="A98" s="252" t="s">
        <v>1555</v>
      </c>
      <c r="B98" s="249"/>
      <c r="C98" s="249"/>
      <c r="D98" s="251">
        <v>168000</v>
      </c>
      <c r="E98" s="251">
        <v>84000</v>
      </c>
      <c r="F98" s="250"/>
      <c r="G98" s="251">
        <v>84000</v>
      </c>
      <c r="H98" s="250"/>
      <c r="I98" s="250"/>
      <c r="J98" s="250"/>
      <c r="K98" s="250"/>
      <c r="L98" s="251">
        <v>168000</v>
      </c>
      <c r="M98" s="250"/>
      <c r="N98" s="251">
        <v>84000</v>
      </c>
      <c r="O98" s="250"/>
      <c r="P98" s="250"/>
      <c r="Q98" s="250"/>
      <c r="R98" s="250"/>
      <c r="S98" s="250"/>
      <c r="T98" s="251">
        <v>84000</v>
      </c>
      <c r="U98" s="250"/>
      <c r="V98" s="250"/>
      <c r="W98" s="249"/>
      <c r="X98" s="249"/>
    </row>
    <row r="99" spans="1:24" ht="24.95" customHeight="1" outlineLevel="1" collapsed="1" x14ac:dyDescent="0.2">
      <c r="A99" s="256" t="s">
        <v>1656</v>
      </c>
      <c r="B99" s="253"/>
      <c r="C99" s="255">
        <v>2058103.89</v>
      </c>
      <c r="D99" s="255">
        <v>17678843.989999998</v>
      </c>
      <c r="E99" s="255">
        <v>14399757.43</v>
      </c>
      <c r="F99" s="254"/>
      <c r="G99" s="255">
        <v>3279086.56</v>
      </c>
      <c r="H99" s="254"/>
      <c r="I99" s="254"/>
      <c r="J99" s="254"/>
      <c r="K99" s="254"/>
      <c r="L99" s="255">
        <v>15620740.1</v>
      </c>
      <c r="M99" s="254"/>
      <c r="N99" s="254"/>
      <c r="O99" s="254"/>
      <c r="P99" s="254"/>
      <c r="Q99" s="254"/>
      <c r="R99" s="254"/>
      <c r="S99" s="255">
        <v>1418341.04</v>
      </c>
      <c r="T99" s="255">
        <v>3279086.56</v>
      </c>
      <c r="U99" s="255">
        <v>10923312.5</v>
      </c>
      <c r="V99" s="254"/>
      <c r="W99" s="253"/>
      <c r="X99" s="253"/>
    </row>
    <row r="100" spans="1:24" ht="12" hidden="1" customHeight="1" outlineLevel="2" x14ac:dyDescent="0.2">
      <c r="A100" s="252" t="s">
        <v>1555</v>
      </c>
      <c r="B100" s="249"/>
      <c r="C100" s="251">
        <v>2058103.89</v>
      </c>
      <c r="D100" s="251">
        <v>17678843.989999998</v>
      </c>
      <c r="E100" s="251">
        <v>14399757.43</v>
      </c>
      <c r="F100" s="250"/>
      <c r="G100" s="251">
        <v>3279086.56</v>
      </c>
      <c r="H100" s="250"/>
      <c r="I100" s="250"/>
      <c r="J100" s="250"/>
      <c r="K100" s="250"/>
      <c r="L100" s="251">
        <v>15620740.1</v>
      </c>
      <c r="M100" s="250"/>
      <c r="N100" s="250"/>
      <c r="O100" s="250"/>
      <c r="P100" s="250"/>
      <c r="Q100" s="250"/>
      <c r="R100" s="250"/>
      <c r="S100" s="251">
        <v>1418341.04</v>
      </c>
      <c r="T100" s="251">
        <v>3279086.56</v>
      </c>
      <c r="U100" s="251">
        <v>10923312.5</v>
      </c>
      <c r="V100" s="250"/>
      <c r="W100" s="249"/>
      <c r="X100" s="249"/>
    </row>
    <row r="101" spans="1:24" ht="24.95" customHeight="1" outlineLevel="1" collapsed="1" x14ac:dyDescent="0.2">
      <c r="A101" s="256" t="s">
        <v>1655</v>
      </c>
      <c r="B101" s="253"/>
      <c r="C101" s="253"/>
      <c r="D101" s="255">
        <v>76504</v>
      </c>
      <c r="E101" s="255">
        <v>9500</v>
      </c>
      <c r="F101" s="254"/>
      <c r="G101" s="255">
        <v>67004</v>
      </c>
      <c r="H101" s="254"/>
      <c r="I101" s="254"/>
      <c r="J101" s="254"/>
      <c r="K101" s="254"/>
      <c r="L101" s="255">
        <v>76504</v>
      </c>
      <c r="M101" s="254"/>
      <c r="N101" s="254"/>
      <c r="O101" s="254"/>
      <c r="P101" s="254"/>
      <c r="Q101" s="254"/>
      <c r="R101" s="254"/>
      <c r="S101" s="254"/>
      <c r="T101" s="255">
        <v>9500</v>
      </c>
      <c r="U101" s="255">
        <v>67004</v>
      </c>
      <c r="V101" s="254"/>
      <c r="W101" s="253"/>
      <c r="X101" s="253"/>
    </row>
    <row r="102" spans="1:24" ht="12" hidden="1" customHeight="1" outlineLevel="2" x14ac:dyDescent="0.2">
      <c r="A102" s="252" t="s">
        <v>1555</v>
      </c>
      <c r="B102" s="249"/>
      <c r="C102" s="249"/>
      <c r="D102" s="251">
        <v>76504</v>
      </c>
      <c r="E102" s="251">
        <v>9500</v>
      </c>
      <c r="F102" s="250"/>
      <c r="G102" s="251">
        <v>67004</v>
      </c>
      <c r="H102" s="250"/>
      <c r="I102" s="250"/>
      <c r="J102" s="250"/>
      <c r="K102" s="250"/>
      <c r="L102" s="251">
        <v>76504</v>
      </c>
      <c r="M102" s="250"/>
      <c r="N102" s="250"/>
      <c r="O102" s="250"/>
      <c r="P102" s="250"/>
      <c r="Q102" s="250"/>
      <c r="R102" s="250"/>
      <c r="S102" s="250"/>
      <c r="T102" s="251">
        <v>9500</v>
      </c>
      <c r="U102" s="251">
        <v>67004</v>
      </c>
      <c r="V102" s="250"/>
      <c r="W102" s="249"/>
      <c r="X102" s="249"/>
    </row>
    <row r="103" spans="1:24" ht="24.95" customHeight="1" outlineLevel="1" collapsed="1" x14ac:dyDescent="0.2">
      <c r="A103" s="256" t="s">
        <v>1654</v>
      </c>
      <c r="B103" s="255">
        <v>15000</v>
      </c>
      <c r="C103" s="253"/>
      <c r="D103" s="255">
        <v>276000</v>
      </c>
      <c r="E103" s="255">
        <v>130500</v>
      </c>
      <c r="F103" s="254"/>
      <c r="G103" s="255">
        <v>145500</v>
      </c>
      <c r="H103" s="254"/>
      <c r="I103" s="254"/>
      <c r="J103" s="254"/>
      <c r="K103" s="254"/>
      <c r="L103" s="255">
        <v>291000</v>
      </c>
      <c r="M103" s="254"/>
      <c r="N103" s="254"/>
      <c r="O103" s="254"/>
      <c r="P103" s="255">
        <v>145500</v>
      </c>
      <c r="Q103" s="254"/>
      <c r="R103" s="254"/>
      <c r="S103" s="254"/>
      <c r="T103" s="255">
        <v>145500</v>
      </c>
      <c r="U103" s="254"/>
      <c r="V103" s="254"/>
      <c r="W103" s="253"/>
      <c r="X103" s="253"/>
    </row>
    <row r="104" spans="1:24" ht="12" hidden="1" customHeight="1" outlineLevel="2" x14ac:dyDescent="0.2">
      <c r="A104" s="252" t="s">
        <v>1555</v>
      </c>
      <c r="B104" s="251">
        <v>15000</v>
      </c>
      <c r="C104" s="249"/>
      <c r="D104" s="251">
        <v>276000</v>
      </c>
      <c r="E104" s="251">
        <v>130500</v>
      </c>
      <c r="F104" s="250"/>
      <c r="G104" s="251">
        <v>145500</v>
      </c>
      <c r="H104" s="250"/>
      <c r="I104" s="250"/>
      <c r="J104" s="250"/>
      <c r="K104" s="250"/>
      <c r="L104" s="251">
        <v>291000</v>
      </c>
      <c r="M104" s="250"/>
      <c r="N104" s="250"/>
      <c r="O104" s="250"/>
      <c r="P104" s="251">
        <v>145500</v>
      </c>
      <c r="Q104" s="250"/>
      <c r="R104" s="250"/>
      <c r="S104" s="250"/>
      <c r="T104" s="251">
        <v>145500</v>
      </c>
      <c r="U104" s="250"/>
      <c r="V104" s="250"/>
      <c r="W104" s="249"/>
      <c r="X104" s="249"/>
    </row>
    <row r="105" spans="1:24" ht="24.95" customHeight="1" outlineLevel="1" collapsed="1" x14ac:dyDescent="0.2">
      <c r="A105" s="256" t="s">
        <v>1653</v>
      </c>
      <c r="B105" s="255">
        <v>1808672</v>
      </c>
      <c r="C105" s="253"/>
      <c r="D105" s="255">
        <v>27061407.579999998</v>
      </c>
      <c r="E105" s="255">
        <v>17529430.600000001</v>
      </c>
      <c r="F105" s="254"/>
      <c r="G105" s="255">
        <v>9531976.9800000004</v>
      </c>
      <c r="H105" s="254"/>
      <c r="I105" s="254"/>
      <c r="J105" s="254"/>
      <c r="K105" s="254"/>
      <c r="L105" s="255">
        <v>28098721.02</v>
      </c>
      <c r="M105" s="254"/>
      <c r="N105" s="254"/>
      <c r="O105" s="254"/>
      <c r="P105" s="255">
        <v>801634.55</v>
      </c>
      <c r="Q105" s="254"/>
      <c r="R105" s="254"/>
      <c r="S105" s="254"/>
      <c r="T105" s="255">
        <v>9531976.9800000004</v>
      </c>
      <c r="U105" s="255">
        <v>17765109.489999998</v>
      </c>
      <c r="V105" s="254"/>
      <c r="W105" s="255">
        <v>771358.56</v>
      </c>
      <c r="X105" s="253"/>
    </row>
    <row r="106" spans="1:24" ht="12" hidden="1" customHeight="1" outlineLevel="2" x14ac:dyDescent="0.2">
      <c r="A106" s="252" t="s">
        <v>1555</v>
      </c>
      <c r="B106" s="251">
        <v>1808672</v>
      </c>
      <c r="C106" s="249"/>
      <c r="D106" s="251">
        <v>27061407.579999998</v>
      </c>
      <c r="E106" s="251">
        <v>17529430.600000001</v>
      </c>
      <c r="F106" s="250"/>
      <c r="G106" s="251">
        <v>9531976.9800000004</v>
      </c>
      <c r="H106" s="250"/>
      <c r="I106" s="250"/>
      <c r="J106" s="250"/>
      <c r="K106" s="250"/>
      <c r="L106" s="251">
        <v>28098721.02</v>
      </c>
      <c r="M106" s="250"/>
      <c r="N106" s="250"/>
      <c r="O106" s="250"/>
      <c r="P106" s="251">
        <v>801634.55</v>
      </c>
      <c r="Q106" s="250"/>
      <c r="R106" s="250"/>
      <c r="S106" s="250"/>
      <c r="T106" s="251">
        <v>9531976.9800000004</v>
      </c>
      <c r="U106" s="251">
        <v>17765109.489999998</v>
      </c>
      <c r="V106" s="250"/>
      <c r="W106" s="251">
        <v>771358.56</v>
      </c>
      <c r="X106" s="249"/>
    </row>
    <row r="107" spans="1:24" ht="24.95" customHeight="1" outlineLevel="1" collapsed="1" x14ac:dyDescent="0.2">
      <c r="A107" s="256" t="s">
        <v>1652</v>
      </c>
      <c r="B107" s="255">
        <v>95000</v>
      </c>
      <c r="C107" s="253"/>
      <c r="D107" s="255">
        <v>95000</v>
      </c>
      <c r="E107" s="254"/>
      <c r="F107" s="254"/>
      <c r="G107" s="255">
        <v>95000</v>
      </c>
      <c r="H107" s="254"/>
      <c r="I107" s="254"/>
      <c r="J107" s="254"/>
      <c r="K107" s="254"/>
      <c r="L107" s="255">
        <v>190000</v>
      </c>
      <c r="M107" s="254"/>
      <c r="N107" s="254"/>
      <c r="O107" s="254"/>
      <c r="P107" s="255">
        <v>95000</v>
      </c>
      <c r="Q107" s="254"/>
      <c r="R107" s="254"/>
      <c r="S107" s="254"/>
      <c r="T107" s="255">
        <v>95000</v>
      </c>
      <c r="U107" s="254"/>
      <c r="V107" s="254"/>
      <c r="W107" s="253"/>
      <c r="X107" s="253"/>
    </row>
    <row r="108" spans="1:24" ht="12" hidden="1" customHeight="1" outlineLevel="2" x14ac:dyDescent="0.2">
      <c r="A108" s="252" t="s">
        <v>1555</v>
      </c>
      <c r="B108" s="251">
        <v>95000</v>
      </c>
      <c r="C108" s="249"/>
      <c r="D108" s="251">
        <v>95000</v>
      </c>
      <c r="E108" s="250"/>
      <c r="F108" s="250"/>
      <c r="G108" s="251">
        <v>95000</v>
      </c>
      <c r="H108" s="250"/>
      <c r="I108" s="250"/>
      <c r="J108" s="250"/>
      <c r="K108" s="250"/>
      <c r="L108" s="251">
        <v>190000</v>
      </c>
      <c r="M108" s="250"/>
      <c r="N108" s="250"/>
      <c r="O108" s="250"/>
      <c r="P108" s="251">
        <v>95000</v>
      </c>
      <c r="Q108" s="250"/>
      <c r="R108" s="250"/>
      <c r="S108" s="250"/>
      <c r="T108" s="251">
        <v>95000</v>
      </c>
      <c r="U108" s="250"/>
      <c r="V108" s="250"/>
      <c r="W108" s="249"/>
      <c r="X108" s="249"/>
    </row>
    <row r="109" spans="1:24" ht="36.950000000000003" customHeight="1" outlineLevel="1" collapsed="1" x14ac:dyDescent="0.2">
      <c r="A109" s="256" t="s">
        <v>1651</v>
      </c>
      <c r="B109" s="253"/>
      <c r="C109" s="253"/>
      <c r="D109" s="255">
        <v>2279810</v>
      </c>
      <c r="E109" s="255">
        <v>1581090</v>
      </c>
      <c r="F109" s="254"/>
      <c r="G109" s="255">
        <v>698720</v>
      </c>
      <c r="H109" s="254"/>
      <c r="I109" s="254"/>
      <c r="J109" s="254"/>
      <c r="K109" s="254"/>
      <c r="L109" s="255">
        <v>2279810</v>
      </c>
      <c r="M109" s="254"/>
      <c r="N109" s="255">
        <v>1581090</v>
      </c>
      <c r="O109" s="254"/>
      <c r="P109" s="254"/>
      <c r="Q109" s="254"/>
      <c r="R109" s="254"/>
      <c r="S109" s="254"/>
      <c r="T109" s="255">
        <v>698720</v>
      </c>
      <c r="U109" s="254"/>
      <c r="V109" s="254"/>
      <c r="W109" s="253"/>
      <c r="X109" s="253"/>
    </row>
    <row r="110" spans="1:24" ht="12" hidden="1" customHeight="1" outlineLevel="2" x14ac:dyDescent="0.2">
      <c r="A110" s="252" t="s">
        <v>1555</v>
      </c>
      <c r="B110" s="249"/>
      <c r="C110" s="249"/>
      <c r="D110" s="251">
        <v>2279810</v>
      </c>
      <c r="E110" s="251">
        <v>1581090</v>
      </c>
      <c r="F110" s="250"/>
      <c r="G110" s="251">
        <v>698720</v>
      </c>
      <c r="H110" s="250"/>
      <c r="I110" s="250"/>
      <c r="J110" s="250"/>
      <c r="K110" s="250"/>
      <c r="L110" s="251">
        <v>2279810</v>
      </c>
      <c r="M110" s="250"/>
      <c r="N110" s="251">
        <v>1581090</v>
      </c>
      <c r="O110" s="250"/>
      <c r="P110" s="250"/>
      <c r="Q110" s="250"/>
      <c r="R110" s="250"/>
      <c r="S110" s="250"/>
      <c r="T110" s="251">
        <v>698720</v>
      </c>
      <c r="U110" s="250"/>
      <c r="V110" s="250"/>
      <c r="W110" s="249"/>
      <c r="X110" s="249"/>
    </row>
    <row r="111" spans="1:24" ht="36.950000000000003" customHeight="1" outlineLevel="1" collapsed="1" x14ac:dyDescent="0.2">
      <c r="A111" s="256" t="s">
        <v>1650</v>
      </c>
      <c r="B111" s="253"/>
      <c r="C111" s="253"/>
      <c r="D111" s="255">
        <v>144993.79</v>
      </c>
      <c r="E111" s="255">
        <v>96662.53</v>
      </c>
      <c r="F111" s="254"/>
      <c r="G111" s="255">
        <v>48331.26</v>
      </c>
      <c r="H111" s="254"/>
      <c r="I111" s="254"/>
      <c r="J111" s="254"/>
      <c r="K111" s="254"/>
      <c r="L111" s="255">
        <v>144993.79</v>
      </c>
      <c r="M111" s="254"/>
      <c r="N111" s="254"/>
      <c r="O111" s="254"/>
      <c r="P111" s="255">
        <v>96662.53</v>
      </c>
      <c r="Q111" s="254"/>
      <c r="R111" s="254"/>
      <c r="S111" s="254"/>
      <c r="T111" s="255">
        <v>48331.26</v>
      </c>
      <c r="U111" s="254"/>
      <c r="V111" s="254"/>
      <c r="W111" s="253"/>
      <c r="X111" s="253"/>
    </row>
    <row r="112" spans="1:24" ht="12" hidden="1" customHeight="1" outlineLevel="2" x14ac:dyDescent="0.2">
      <c r="A112" s="252" t="s">
        <v>1555</v>
      </c>
      <c r="B112" s="249"/>
      <c r="C112" s="249"/>
      <c r="D112" s="251">
        <v>144993.79</v>
      </c>
      <c r="E112" s="251">
        <v>96662.53</v>
      </c>
      <c r="F112" s="250"/>
      <c r="G112" s="251">
        <v>48331.26</v>
      </c>
      <c r="H112" s="250"/>
      <c r="I112" s="250"/>
      <c r="J112" s="250"/>
      <c r="K112" s="250"/>
      <c r="L112" s="251">
        <v>144993.79</v>
      </c>
      <c r="M112" s="250"/>
      <c r="N112" s="250"/>
      <c r="O112" s="250"/>
      <c r="P112" s="251">
        <v>96662.53</v>
      </c>
      <c r="Q112" s="250"/>
      <c r="R112" s="250"/>
      <c r="S112" s="250"/>
      <c r="T112" s="251">
        <v>48331.26</v>
      </c>
      <c r="U112" s="250"/>
      <c r="V112" s="250"/>
      <c r="W112" s="249"/>
      <c r="X112" s="249"/>
    </row>
    <row r="113" spans="1:24" ht="24.95" customHeight="1" outlineLevel="1" collapsed="1" x14ac:dyDescent="0.2">
      <c r="A113" s="256" t="s">
        <v>1649</v>
      </c>
      <c r="B113" s="253"/>
      <c r="C113" s="255">
        <v>75000</v>
      </c>
      <c r="D113" s="255">
        <v>750000</v>
      </c>
      <c r="E113" s="255">
        <v>675000</v>
      </c>
      <c r="F113" s="254"/>
      <c r="G113" s="255">
        <v>75000</v>
      </c>
      <c r="H113" s="254"/>
      <c r="I113" s="254"/>
      <c r="J113" s="254"/>
      <c r="K113" s="254"/>
      <c r="L113" s="255">
        <v>675000</v>
      </c>
      <c r="M113" s="254"/>
      <c r="N113" s="254"/>
      <c r="O113" s="254"/>
      <c r="P113" s="255">
        <v>600000</v>
      </c>
      <c r="Q113" s="254"/>
      <c r="R113" s="254"/>
      <c r="S113" s="254"/>
      <c r="T113" s="255">
        <v>75000</v>
      </c>
      <c r="U113" s="254"/>
      <c r="V113" s="254"/>
      <c r="W113" s="253"/>
      <c r="X113" s="253"/>
    </row>
    <row r="114" spans="1:24" ht="12" hidden="1" customHeight="1" outlineLevel="2" x14ac:dyDescent="0.2">
      <c r="A114" s="252" t="s">
        <v>1555</v>
      </c>
      <c r="B114" s="249"/>
      <c r="C114" s="251">
        <v>75000</v>
      </c>
      <c r="D114" s="251">
        <v>750000</v>
      </c>
      <c r="E114" s="251">
        <v>675000</v>
      </c>
      <c r="F114" s="250"/>
      <c r="G114" s="251">
        <v>75000</v>
      </c>
      <c r="H114" s="250"/>
      <c r="I114" s="250"/>
      <c r="J114" s="250"/>
      <c r="K114" s="250"/>
      <c r="L114" s="251">
        <v>675000</v>
      </c>
      <c r="M114" s="250"/>
      <c r="N114" s="250"/>
      <c r="O114" s="250"/>
      <c r="P114" s="251">
        <v>600000</v>
      </c>
      <c r="Q114" s="250"/>
      <c r="R114" s="250"/>
      <c r="S114" s="250"/>
      <c r="T114" s="251">
        <v>75000</v>
      </c>
      <c r="U114" s="250"/>
      <c r="V114" s="250"/>
      <c r="W114" s="249"/>
      <c r="X114" s="249"/>
    </row>
    <row r="115" spans="1:24" ht="36.950000000000003" customHeight="1" outlineLevel="1" collapsed="1" x14ac:dyDescent="0.2">
      <c r="A115" s="256" t="s">
        <v>1648</v>
      </c>
      <c r="B115" s="253"/>
      <c r="C115" s="253"/>
      <c r="D115" s="255">
        <v>225000</v>
      </c>
      <c r="E115" s="255">
        <v>225000</v>
      </c>
      <c r="F115" s="254"/>
      <c r="G115" s="254"/>
      <c r="H115" s="254"/>
      <c r="I115" s="254"/>
      <c r="J115" s="254"/>
      <c r="K115" s="254"/>
      <c r="L115" s="255">
        <v>300000</v>
      </c>
      <c r="M115" s="254"/>
      <c r="N115" s="254"/>
      <c r="O115" s="254"/>
      <c r="P115" s="255">
        <v>300000</v>
      </c>
      <c r="Q115" s="254"/>
      <c r="R115" s="254"/>
      <c r="S115" s="254"/>
      <c r="T115" s="254"/>
      <c r="U115" s="254"/>
      <c r="V115" s="254"/>
      <c r="W115" s="253"/>
      <c r="X115" s="255">
        <v>75000</v>
      </c>
    </row>
    <row r="116" spans="1:24" ht="12" hidden="1" customHeight="1" outlineLevel="2" x14ac:dyDescent="0.2">
      <c r="A116" s="252" t="s">
        <v>1555</v>
      </c>
      <c r="B116" s="249"/>
      <c r="C116" s="249"/>
      <c r="D116" s="251">
        <v>225000</v>
      </c>
      <c r="E116" s="251">
        <v>225000</v>
      </c>
      <c r="F116" s="250"/>
      <c r="G116" s="250"/>
      <c r="H116" s="250"/>
      <c r="I116" s="250"/>
      <c r="J116" s="250"/>
      <c r="K116" s="250"/>
      <c r="L116" s="251">
        <v>300000</v>
      </c>
      <c r="M116" s="250"/>
      <c r="N116" s="250"/>
      <c r="O116" s="250"/>
      <c r="P116" s="251">
        <v>300000</v>
      </c>
      <c r="Q116" s="250"/>
      <c r="R116" s="250"/>
      <c r="S116" s="250"/>
      <c r="T116" s="250"/>
      <c r="U116" s="250"/>
      <c r="V116" s="250"/>
      <c r="W116" s="249"/>
      <c r="X116" s="251">
        <v>75000</v>
      </c>
    </row>
    <row r="117" spans="1:24" ht="24.95" customHeight="1" outlineLevel="1" collapsed="1" x14ac:dyDescent="0.2">
      <c r="A117" s="256" t="s">
        <v>1647</v>
      </c>
      <c r="B117" s="253"/>
      <c r="C117" s="253"/>
      <c r="D117" s="255">
        <v>16500</v>
      </c>
      <c r="E117" s="255">
        <v>16500</v>
      </c>
      <c r="F117" s="254"/>
      <c r="G117" s="254"/>
      <c r="H117" s="254"/>
      <c r="I117" s="254"/>
      <c r="J117" s="254"/>
      <c r="K117" s="254"/>
      <c r="L117" s="255">
        <v>16500</v>
      </c>
      <c r="M117" s="254"/>
      <c r="N117" s="254"/>
      <c r="O117" s="254"/>
      <c r="P117" s="254"/>
      <c r="Q117" s="254"/>
      <c r="R117" s="255">
        <v>16500</v>
      </c>
      <c r="S117" s="254"/>
      <c r="T117" s="254"/>
      <c r="U117" s="254"/>
      <c r="V117" s="254"/>
      <c r="W117" s="253"/>
      <c r="X117" s="253"/>
    </row>
    <row r="118" spans="1:24" ht="12" hidden="1" customHeight="1" outlineLevel="2" x14ac:dyDescent="0.2">
      <c r="A118" s="252" t="s">
        <v>1555</v>
      </c>
      <c r="B118" s="249"/>
      <c r="C118" s="249"/>
      <c r="D118" s="251">
        <v>16500</v>
      </c>
      <c r="E118" s="251">
        <v>16500</v>
      </c>
      <c r="F118" s="250"/>
      <c r="G118" s="250"/>
      <c r="H118" s="250"/>
      <c r="I118" s="250"/>
      <c r="J118" s="250"/>
      <c r="K118" s="250"/>
      <c r="L118" s="251">
        <v>16500</v>
      </c>
      <c r="M118" s="250"/>
      <c r="N118" s="250"/>
      <c r="O118" s="250"/>
      <c r="P118" s="250"/>
      <c r="Q118" s="250"/>
      <c r="R118" s="251">
        <v>16500</v>
      </c>
      <c r="S118" s="250"/>
      <c r="T118" s="250"/>
      <c r="U118" s="250"/>
      <c r="V118" s="250"/>
      <c r="W118" s="249"/>
      <c r="X118" s="249"/>
    </row>
    <row r="119" spans="1:24" ht="24.95" customHeight="1" outlineLevel="1" collapsed="1" x14ac:dyDescent="0.2">
      <c r="A119" s="256" t="s">
        <v>1646</v>
      </c>
      <c r="B119" s="253"/>
      <c r="C119" s="255">
        <v>980342.27</v>
      </c>
      <c r="D119" s="255">
        <v>14057658.41</v>
      </c>
      <c r="E119" s="255">
        <v>13763168.68</v>
      </c>
      <c r="F119" s="254"/>
      <c r="G119" s="255">
        <v>294489.73</v>
      </c>
      <c r="H119" s="254"/>
      <c r="I119" s="254"/>
      <c r="J119" s="254"/>
      <c r="K119" s="254"/>
      <c r="L119" s="255">
        <v>14634347.449999999</v>
      </c>
      <c r="M119" s="254"/>
      <c r="N119" s="254"/>
      <c r="O119" s="254"/>
      <c r="P119" s="255">
        <v>13791857.720000001</v>
      </c>
      <c r="Q119" s="254"/>
      <c r="R119" s="254"/>
      <c r="S119" s="254"/>
      <c r="T119" s="255">
        <v>294489.73</v>
      </c>
      <c r="U119" s="255">
        <v>548000</v>
      </c>
      <c r="V119" s="254"/>
      <c r="W119" s="253"/>
      <c r="X119" s="255">
        <v>1557031.31</v>
      </c>
    </row>
    <row r="120" spans="1:24" ht="12" hidden="1" customHeight="1" outlineLevel="2" x14ac:dyDescent="0.2">
      <c r="A120" s="252" t="s">
        <v>1555</v>
      </c>
      <c r="B120" s="249"/>
      <c r="C120" s="251">
        <v>980342.27</v>
      </c>
      <c r="D120" s="251">
        <v>14057658.41</v>
      </c>
      <c r="E120" s="251">
        <v>13763168.68</v>
      </c>
      <c r="F120" s="250"/>
      <c r="G120" s="251">
        <v>294489.73</v>
      </c>
      <c r="H120" s="250"/>
      <c r="I120" s="250"/>
      <c r="J120" s="250"/>
      <c r="K120" s="250"/>
      <c r="L120" s="251">
        <v>14634347.449999999</v>
      </c>
      <c r="M120" s="250"/>
      <c r="N120" s="250"/>
      <c r="O120" s="250"/>
      <c r="P120" s="251">
        <v>13791857.720000001</v>
      </c>
      <c r="Q120" s="250"/>
      <c r="R120" s="250"/>
      <c r="S120" s="250"/>
      <c r="T120" s="251">
        <v>294489.73</v>
      </c>
      <c r="U120" s="251">
        <v>548000</v>
      </c>
      <c r="V120" s="250"/>
      <c r="W120" s="249"/>
      <c r="X120" s="251">
        <v>1557031.31</v>
      </c>
    </row>
    <row r="121" spans="1:24" ht="36.950000000000003" customHeight="1" outlineLevel="1" collapsed="1" x14ac:dyDescent="0.2">
      <c r="A121" s="256" t="s">
        <v>1645</v>
      </c>
      <c r="B121" s="253"/>
      <c r="C121" s="253"/>
      <c r="D121" s="255">
        <v>2037920</v>
      </c>
      <c r="E121" s="255">
        <v>1180620</v>
      </c>
      <c r="F121" s="254"/>
      <c r="G121" s="255">
        <v>857300</v>
      </c>
      <c r="H121" s="254"/>
      <c r="I121" s="254"/>
      <c r="J121" s="254"/>
      <c r="K121" s="254"/>
      <c r="L121" s="255">
        <v>2037920</v>
      </c>
      <c r="M121" s="254"/>
      <c r="N121" s="254"/>
      <c r="O121" s="254"/>
      <c r="P121" s="255">
        <v>1180620</v>
      </c>
      <c r="Q121" s="254"/>
      <c r="R121" s="254"/>
      <c r="S121" s="254"/>
      <c r="T121" s="255">
        <v>857300</v>
      </c>
      <c r="U121" s="254"/>
      <c r="V121" s="254"/>
      <c r="W121" s="253"/>
      <c r="X121" s="253"/>
    </row>
    <row r="122" spans="1:24" ht="12" hidden="1" customHeight="1" outlineLevel="2" x14ac:dyDescent="0.2">
      <c r="A122" s="252" t="s">
        <v>1555</v>
      </c>
      <c r="B122" s="249"/>
      <c r="C122" s="249"/>
      <c r="D122" s="251">
        <v>2037920</v>
      </c>
      <c r="E122" s="251">
        <v>1180620</v>
      </c>
      <c r="F122" s="250"/>
      <c r="G122" s="251">
        <v>857300</v>
      </c>
      <c r="H122" s="250"/>
      <c r="I122" s="250"/>
      <c r="J122" s="250"/>
      <c r="K122" s="250"/>
      <c r="L122" s="251">
        <v>2037920</v>
      </c>
      <c r="M122" s="250"/>
      <c r="N122" s="250"/>
      <c r="O122" s="250"/>
      <c r="P122" s="251">
        <v>1180620</v>
      </c>
      <c r="Q122" s="250"/>
      <c r="R122" s="250"/>
      <c r="S122" s="250"/>
      <c r="T122" s="251">
        <v>857300</v>
      </c>
      <c r="U122" s="250"/>
      <c r="V122" s="250"/>
      <c r="W122" s="249"/>
      <c r="X122" s="249"/>
    </row>
    <row r="123" spans="1:24" ht="12" customHeight="1" outlineLevel="1" collapsed="1" x14ac:dyDescent="0.2">
      <c r="A123" s="256" t="s">
        <v>1644</v>
      </c>
      <c r="B123" s="253"/>
      <c r="C123" s="253"/>
      <c r="D123" s="255">
        <v>50700</v>
      </c>
      <c r="E123" s="255">
        <v>50700</v>
      </c>
      <c r="F123" s="254"/>
      <c r="G123" s="254"/>
      <c r="H123" s="254"/>
      <c r="I123" s="254"/>
      <c r="J123" s="254"/>
      <c r="K123" s="254"/>
      <c r="L123" s="255">
        <v>50700</v>
      </c>
      <c r="M123" s="254"/>
      <c r="N123" s="255">
        <v>50700</v>
      </c>
      <c r="O123" s="254"/>
      <c r="P123" s="254"/>
      <c r="Q123" s="254"/>
      <c r="R123" s="254"/>
      <c r="S123" s="254"/>
      <c r="T123" s="254"/>
      <c r="U123" s="254"/>
      <c r="V123" s="254"/>
      <c r="W123" s="253"/>
      <c r="X123" s="253"/>
    </row>
    <row r="124" spans="1:24" ht="12" hidden="1" customHeight="1" outlineLevel="2" x14ac:dyDescent="0.2">
      <c r="A124" s="252" t="s">
        <v>1555</v>
      </c>
      <c r="B124" s="249"/>
      <c r="C124" s="249"/>
      <c r="D124" s="251">
        <v>50700</v>
      </c>
      <c r="E124" s="251">
        <v>50700</v>
      </c>
      <c r="F124" s="250"/>
      <c r="G124" s="250"/>
      <c r="H124" s="250"/>
      <c r="I124" s="250"/>
      <c r="J124" s="250"/>
      <c r="K124" s="250"/>
      <c r="L124" s="251">
        <v>50700</v>
      </c>
      <c r="M124" s="250"/>
      <c r="N124" s="251">
        <v>50700</v>
      </c>
      <c r="O124" s="250"/>
      <c r="P124" s="250"/>
      <c r="Q124" s="250"/>
      <c r="R124" s="250"/>
      <c r="S124" s="250"/>
      <c r="T124" s="250"/>
      <c r="U124" s="250"/>
      <c r="V124" s="250"/>
      <c r="W124" s="249"/>
      <c r="X124" s="249"/>
    </row>
    <row r="125" spans="1:24" ht="24.95" customHeight="1" outlineLevel="1" collapsed="1" x14ac:dyDescent="0.2">
      <c r="A125" s="256" t="s">
        <v>1643</v>
      </c>
      <c r="B125" s="253"/>
      <c r="C125" s="253"/>
      <c r="D125" s="255">
        <v>7029103.7400000002</v>
      </c>
      <c r="E125" s="255">
        <v>7029103.7400000002</v>
      </c>
      <c r="F125" s="254"/>
      <c r="G125" s="254"/>
      <c r="H125" s="254"/>
      <c r="I125" s="254"/>
      <c r="J125" s="254"/>
      <c r="K125" s="254"/>
      <c r="L125" s="255">
        <v>7127264.2699999996</v>
      </c>
      <c r="M125" s="254"/>
      <c r="N125" s="254"/>
      <c r="O125" s="254"/>
      <c r="P125" s="255">
        <v>7127264.2699999996</v>
      </c>
      <c r="Q125" s="254"/>
      <c r="R125" s="254"/>
      <c r="S125" s="254"/>
      <c r="T125" s="254"/>
      <c r="U125" s="254"/>
      <c r="V125" s="254"/>
      <c r="W125" s="253"/>
      <c r="X125" s="255">
        <v>98160.53</v>
      </c>
    </row>
    <row r="126" spans="1:24" ht="12" hidden="1" customHeight="1" outlineLevel="2" x14ac:dyDescent="0.2">
      <c r="A126" s="252" t="s">
        <v>1555</v>
      </c>
      <c r="B126" s="249"/>
      <c r="C126" s="249"/>
      <c r="D126" s="251">
        <v>7029103.7400000002</v>
      </c>
      <c r="E126" s="251">
        <v>7029103.7400000002</v>
      </c>
      <c r="F126" s="250"/>
      <c r="G126" s="250"/>
      <c r="H126" s="250"/>
      <c r="I126" s="250"/>
      <c r="J126" s="250"/>
      <c r="K126" s="250"/>
      <c r="L126" s="251">
        <v>7127264.2699999996</v>
      </c>
      <c r="M126" s="250"/>
      <c r="N126" s="250"/>
      <c r="O126" s="250"/>
      <c r="P126" s="251">
        <v>7127264.2699999996</v>
      </c>
      <c r="Q126" s="250"/>
      <c r="R126" s="250"/>
      <c r="S126" s="250"/>
      <c r="T126" s="250"/>
      <c r="U126" s="250"/>
      <c r="V126" s="250"/>
      <c r="W126" s="249"/>
      <c r="X126" s="251">
        <v>98160.53</v>
      </c>
    </row>
    <row r="127" spans="1:24" ht="24.95" customHeight="1" outlineLevel="1" collapsed="1" x14ac:dyDescent="0.2">
      <c r="A127" s="256" t="s">
        <v>1642</v>
      </c>
      <c r="B127" s="253"/>
      <c r="C127" s="255">
        <v>75000</v>
      </c>
      <c r="D127" s="255">
        <v>975000</v>
      </c>
      <c r="E127" s="255">
        <v>900000</v>
      </c>
      <c r="F127" s="254"/>
      <c r="G127" s="255">
        <v>75000</v>
      </c>
      <c r="H127" s="254"/>
      <c r="I127" s="254"/>
      <c r="J127" s="254"/>
      <c r="K127" s="254"/>
      <c r="L127" s="255">
        <v>975000</v>
      </c>
      <c r="M127" s="254"/>
      <c r="N127" s="254"/>
      <c r="O127" s="254"/>
      <c r="P127" s="255">
        <v>900000</v>
      </c>
      <c r="Q127" s="254"/>
      <c r="R127" s="254"/>
      <c r="S127" s="254"/>
      <c r="T127" s="255">
        <v>75000</v>
      </c>
      <c r="U127" s="254"/>
      <c r="V127" s="254"/>
      <c r="W127" s="253"/>
      <c r="X127" s="255">
        <v>75000</v>
      </c>
    </row>
    <row r="128" spans="1:24" ht="12" hidden="1" customHeight="1" outlineLevel="2" x14ac:dyDescent="0.2">
      <c r="A128" s="252" t="s">
        <v>1555</v>
      </c>
      <c r="B128" s="249"/>
      <c r="C128" s="251">
        <v>75000</v>
      </c>
      <c r="D128" s="251">
        <v>975000</v>
      </c>
      <c r="E128" s="251">
        <v>900000</v>
      </c>
      <c r="F128" s="250"/>
      <c r="G128" s="251">
        <v>75000</v>
      </c>
      <c r="H128" s="250"/>
      <c r="I128" s="250"/>
      <c r="J128" s="250"/>
      <c r="K128" s="250"/>
      <c r="L128" s="251">
        <v>975000</v>
      </c>
      <c r="M128" s="250"/>
      <c r="N128" s="250"/>
      <c r="O128" s="250"/>
      <c r="P128" s="251">
        <v>900000</v>
      </c>
      <c r="Q128" s="250"/>
      <c r="R128" s="250"/>
      <c r="S128" s="250"/>
      <c r="T128" s="251">
        <v>75000</v>
      </c>
      <c r="U128" s="250"/>
      <c r="V128" s="250"/>
      <c r="W128" s="249"/>
      <c r="X128" s="251">
        <v>75000</v>
      </c>
    </row>
    <row r="129" spans="1:24" ht="24.95" customHeight="1" outlineLevel="1" collapsed="1" x14ac:dyDescent="0.2">
      <c r="A129" s="256" t="s">
        <v>1641</v>
      </c>
      <c r="B129" s="255">
        <v>104892.5</v>
      </c>
      <c r="C129" s="253"/>
      <c r="D129" s="255">
        <v>248660.5</v>
      </c>
      <c r="E129" s="255">
        <v>71884</v>
      </c>
      <c r="F129" s="254"/>
      <c r="G129" s="255">
        <v>176776.5</v>
      </c>
      <c r="H129" s="254"/>
      <c r="I129" s="254"/>
      <c r="J129" s="254"/>
      <c r="K129" s="254"/>
      <c r="L129" s="255">
        <v>353553</v>
      </c>
      <c r="M129" s="254"/>
      <c r="N129" s="254"/>
      <c r="O129" s="254"/>
      <c r="P129" s="255">
        <v>176776.5</v>
      </c>
      <c r="Q129" s="254"/>
      <c r="R129" s="254"/>
      <c r="S129" s="254"/>
      <c r="T129" s="255">
        <v>176776.5</v>
      </c>
      <c r="U129" s="254"/>
      <c r="V129" s="254"/>
      <c r="W129" s="253"/>
      <c r="X129" s="253"/>
    </row>
    <row r="130" spans="1:24" ht="12" hidden="1" customHeight="1" outlineLevel="2" x14ac:dyDescent="0.2">
      <c r="A130" s="252" t="s">
        <v>1555</v>
      </c>
      <c r="B130" s="251">
        <v>104892.5</v>
      </c>
      <c r="C130" s="249"/>
      <c r="D130" s="251">
        <v>248660.5</v>
      </c>
      <c r="E130" s="251">
        <v>71884</v>
      </c>
      <c r="F130" s="250"/>
      <c r="G130" s="251">
        <v>176776.5</v>
      </c>
      <c r="H130" s="250"/>
      <c r="I130" s="250"/>
      <c r="J130" s="250"/>
      <c r="K130" s="250"/>
      <c r="L130" s="251">
        <v>353553</v>
      </c>
      <c r="M130" s="250"/>
      <c r="N130" s="250"/>
      <c r="O130" s="250"/>
      <c r="P130" s="251">
        <v>176776.5</v>
      </c>
      <c r="Q130" s="250"/>
      <c r="R130" s="250"/>
      <c r="S130" s="250"/>
      <c r="T130" s="251">
        <v>176776.5</v>
      </c>
      <c r="U130" s="250"/>
      <c r="V130" s="250"/>
      <c r="W130" s="249"/>
      <c r="X130" s="249"/>
    </row>
    <row r="131" spans="1:24" ht="36.950000000000003" customHeight="1" outlineLevel="1" collapsed="1" x14ac:dyDescent="0.2">
      <c r="A131" s="256" t="s">
        <v>1640</v>
      </c>
      <c r="B131" s="253"/>
      <c r="C131" s="253"/>
      <c r="D131" s="255">
        <v>63350</v>
      </c>
      <c r="E131" s="255">
        <v>63350</v>
      </c>
      <c r="F131" s="254"/>
      <c r="G131" s="254"/>
      <c r="H131" s="254"/>
      <c r="I131" s="254"/>
      <c r="J131" s="254"/>
      <c r="K131" s="254"/>
      <c r="L131" s="255">
        <v>63350</v>
      </c>
      <c r="M131" s="254"/>
      <c r="N131" s="255">
        <v>5846</v>
      </c>
      <c r="O131" s="254"/>
      <c r="P131" s="254"/>
      <c r="Q131" s="254"/>
      <c r="R131" s="254"/>
      <c r="S131" s="254"/>
      <c r="T131" s="255">
        <v>57504</v>
      </c>
      <c r="U131" s="254"/>
      <c r="V131" s="254"/>
      <c r="W131" s="253"/>
      <c r="X131" s="253"/>
    </row>
    <row r="132" spans="1:24" ht="12" hidden="1" customHeight="1" outlineLevel="2" x14ac:dyDescent="0.2">
      <c r="A132" s="252" t="s">
        <v>1555</v>
      </c>
      <c r="B132" s="249"/>
      <c r="C132" s="249"/>
      <c r="D132" s="251">
        <v>63350</v>
      </c>
      <c r="E132" s="251">
        <v>63350</v>
      </c>
      <c r="F132" s="250"/>
      <c r="G132" s="250"/>
      <c r="H132" s="250"/>
      <c r="I132" s="250"/>
      <c r="J132" s="250"/>
      <c r="K132" s="250"/>
      <c r="L132" s="251">
        <v>63350</v>
      </c>
      <c r="M132" s="250"/>
      <c r="N132" s="251">
        <v>5846</v>
      </c>
      <c r="O132" s="250"/>
      <c r="P132" s="250"/>
      <c r="Q132" s="250"/>
      <c r="R132" s="250"/>
      <c r="S132" s="250"/>
      <c r="T132" s="251">
        <v>57504</v>
      </c>
      <c r="U132" s="250"/>
      <c r="V132" s="250"/>
      <c r="W132" s="249"/>
      <c r="X132" s="249"/>
    </row>
    <row r="133" spans="1:24" ht="12" customHeight="1" outlineLevel="1" collapsed="1" x14ac:dyDescent="0.2">
      <c r="A133" s="256" t="s">
        <v>1639</v>
      </c>
      <c r="B133" s="253"/>
      <c r="C133" s="253"/>
      <c r="D133" s="255">
        <v>675440</v>
      </c>
      <c r="E133" s="255">
        <v>343590</v>
      </c>
      <c r="F133" s="254"/>
      <c r="G133" s="255">
        <v>331850</v>
      </c>
      <c r="H133" s="254"/>
      <c r="I133" s="254"/>
      <c r="J133" s="254"/>
      <c r="K133" s="254"/>
      <c r="L133" s="255">
        <v>675440</v>
      </c>
      <c r="M133" s="254"/>
      <c r="N133" s="255">
        <v>343590</v>
      </c>
      <c r="O133" s="254"/>
      <c r="P133" s="254"/>
      <c r="Q133" s="254"/>
      <c r="R133" s="254"/>
      <c r="S133" s="254"/>
      <c r="T133" s="255">
        <v>331850</v>
      </c>
      <c r="U133" s="254"/>
      <c r="V133" s="254"/>
      <c r="W133" s="253"/>
      <c r="X133" s="253"/>
    </row>
    <row r="134" spans="1:24" ht="12" hidden="1" customHeight="1" outlineLevel="2" x14ac:dyDescent="0.2">
      <c r="A134" s="252" t="s">
        <v>1555</v>
      </c>
      <c r="B134" s="249"/>
      <c r="C134" s="249"/>
      <c r="D134" s="251">
        <v>675440</v>
      </c>
      <c r="E134" s="251">
        <v>343590</v>
      </c>
      <c r="F134" s="250"/>
      <c r="G134" s="251">
        <v>331850</v>
      </c>
      <c r="H134" s="250"/>
      <c r="I134" s="250"/>
      <c r="J134" s="250"/>
      <c r="K134" s="250"/>
      <c r="L134" s="251">
        <v>675440</v>
      </c>
      <c r="M134" s="250"/>
      <c r="N134" s="251">
        <v>343590</v>
      </c>
      <c r="O134" s="250"/>
      <c r="P134" s="250"/>
      <c r="Q134" s="250"/>
      <c r="R134" s="250"/>
      <c r="S134" s="250"/>
      <c r="T134" s="251">
        <v>331850</v>
      </c>
      <c r="U134" s="250"/>
      <c r="V134" s="250"/>
      <c r="W134" s="249"/>
      <c r="X134" s="249"/>
    </row>
    <row r="135" spans="1:24" ht="12" customHeight="1" outlineLevel="1" collapsed="1" x14ac:dyDescent="0.2">
      <c r="A135" s="256" t="s">
        <v>1638</v>
      </c>
      <c r="B135" s="253"/>
      <c r="C135" s="253"/>
      <c r="D135" s="255">
        <v>2471325</v>
      </c>
      <c r="E135" s="255">
        <v>2471325</v>
      </c>
      <c r="F135" s="254"/>
      <c r="G135" s="254"/>
      <c r="H135" s="254"/>
      <c r="I135" s="254"/>
      <c r="J135" s="254"/>
      <c r="K135" s="254"/>
      <c r="L135" s="255">
        <v>3353325</v>
      </c>
      <c r="M135" s="254"/>
      <c r="N135" s="254"/>
      <c r="O135" s="254"/>
      <c r="P135" s="255">
        <v>3353325</v>
      </c>
      <c r="Q135" s="254"/>
      <c r="R135" s="254"/>
      <c r="S135" s="254"/>
      <c r="T135" s="254"/>
      <c r="U135" s="254"/>
      <c r="V135" s="254"/>
      <c r="W135" s="253"/>
      <c r="X135" s="255">
        <v>882000</v>
      </c>
    </row>
    <row r="136" spans="1:24" ht="12" hidden="1" customHeight="1" outlineLevel="2" x14ac:dyDescent="0.2">
      <c r="A136" s="252" t="s">
        <v>1555</v>
      </c>
      <c r="B136" s="249"/>
      <c r="C136" s="249"/>
      <c r="D136" s="251">
        <v>2471325</v>
      </c>
      <c r="E136" s="251">
        <v>2471325</v>
      </c>
      <c r="F136" s="250"/>
      <c r="G136" s="250"/>
      <c r="H136" s="250"/>
      <c r="I136" s="250"/>
      <c r="J136" s="250"/>
      <c r="K136" s="250"/>
      <c r="L136" s="251">
        <v>3353325</v>
      </c>
      <c r="M136" s="250"/>
      <c r="N136" s="250"/>
      <c r="O136" s="250"/>
      <c r="P136" s="251">
        <v>3353325</v>
      </c>
      <c r="Q136" s="250"/>
      <c r="R136" s="250"/>
      <c r="S136" s="250"/>
      <c r="T136" s="250"/>
      <c r="U136" s="250"/>
      <c r="V136" s="250"/>
      <c r="W136" s="249"/>
      <c r="X136" s="251">
        <v>882000</v>
      </c>
    </row>
    <row r="137" spans="1:24" ht="12" customHeight="1" outlineLevel="1" collapsed="1" x14ac:dyDescent="0.2">
      <c r="A137" s="256" t="s">
        <v>1637</v>
      </c>
      <c r="B137" s="255">
        <v>10100</v>
      </c>
      <c r="C137" s="253"/>
      <c r="D137" s="255">
        <v>64300</v>
      </c>
      <c r="E137" s="255">
        <v>27850</v>
      </c>
      <c r="F137" s="254"/>
      <c r="G137" s="255">
        <v>36450</v>
      </c>
      <c r="H137" s="254"/>
      <c r="I137" s="254"/>
      <c r="J137" s="254"/>
      <c r="K137" s="254"/>
      <c r="L137" s="255">
        <v>72900</v>
      </c>
      <c r="M137" s="254"/>
      <c r="N137" s="254"/>
      <c r="O137" s="254"/>
      <c r="P137" s="254"/>
      <c r="Q137" s="254"/>
      <c r="R137" s="255">
        <v>36450</v>
      </c>
      <c r="S137" s="254"/>
      <c r="T137" s="255">
        <v>36450</v>
      </c>
      <c r="U137" s="254"/>
      <c r="V137" s="254"/>
      <c r="W137" s="255">
        <v>1500</v>
      </c>
      <c r="X137" s="253"/>
    </row>
    <row r="138" spans="1:24" ht="12" hidden="1" customHeight="1" outlineLevel="2" x14ac:dyDescent="0.2">
      <c r="A138" s="252" t="s">
        <v>1555</v>
      </c>
      <c r="B138" s="251">
        <v>10100</v>
      </c>
      <c r="C138" s="249"/>
      <c r="D138" s="251">
        <v>64300</v>
      </c>
      <c r="E138" s="251">
        <v>27850</v>
      </c>
      <c r="F138" s="250"/>
      <c r="G138" s="251">
        <v>36450</v>
      </c>
      <c r="H138" s="250"/>
      <c r="I138" s="250"/>
      <c r="J138" s="250"/>
      <c r="K138" s="250"/>
      <c r="L138" s="251">
        <v>72900</v>
      </c>
      <c r="M138" s="250"/>
      <c r="N138" s="250"/>
      <c r="O138" s="250"/>
      <c r="P138" s="250"/>
      <c r="Q138" s="250"/>
      <c r="R138" s="251">
        <v>36450</v>
      </c>
      <c r="S138" s="250"/>
      <c r="T138" s="251">
        <v>36450</v>
      </c>
      <c r="U138" s="250"/>
      <c r="V138" s="250"/>
      <c r="W138" s="251">
        <v>1500</v>
      </c>
      <c r="X138" s="249"/>
    </row>
    <row r="139" spans="1:24" ht="24.95" customHeight="1" outlineLevel="1" collapsed="1" x14ac:dyDescent="0.2">
      <c r="A139" s="256" t="s">
        <v>1636</v>
      </c>
      <c r="B139" s="253"/>
      <c r="C139" s="253"/>
      <c r="D139" s="253"/>
      <c r="E139" s="254"/>
      <c r="F139" s="254"/>
      <c r="G139" s="254"/>
      <c r="H139" s="254"/>
      <c r="I139" s="254"/>
      <c r="J139" s="254"/>
      <c r="K139" s="254"/>
      <c r="L139" s="255">
        <v>8800</v>
      </c>
      <c r="M139" s="254"/>
      <c r="N139" s="254"/>
      <c r="O139" s="255">
        <v>1466.67</v>
      </c>
      <c r="P139" s="255">
        <v>7333.33</v>
      </c>
      <c r="Q139" s="254"/>
      <c r="R139" s="254"/>
      <c r="S139" s="254"/>
      <c r="T139" s="254"/>
      <c r="U139" s="254"/>
      <c r="V139" s="254"/>
      <c r="W139" s="253"/>
      <c r="X139" s="255">
        <v>8800</v>
      </c>
    </row>
    <row r="140" spans="1:24" ht="12" hidden="1" customHeight="1" outlineLevel="2" x14ac:dyDescent="0.2">
      <c r="A140" s="252" t="s">
        <v>1555</v>
      </c>
      <c r="B140" s="249"/>
      <c r="C140" s="249"/>
      <c r="D140" s="249"/>
      <c r="E140" s="250"/>
      <c r="F140" s="250"/>
      <c r="G140" s="250"/>
      <c r="H140" s="250"/>
      <c r="I140" s="250"/>
      <c r="J140" s="250"/>
      <c r="K140" s="250"/>
      <c r="L140" s="251">
        <v>8800</v>
      </c>
      <c r="M140" s="250"/>
      <c r="N140" s="250"/>
      <c r="O140" s="251">
        <v>1466.67</v>
      </c>
      <c r="P140" s="251">
        <v>7333.33</v>
      </c>
      <c r="Q140" s="250"/>
      <c r="R140" s="250"/>
      <c r="S140" s="250"/>
      <c r="T140" s="250"/>
      <c r="U140" s="250"/>
      <c r="V140" s="250"/>
      <c r="W140" s="249"/>
      <c r="X140" s="251">
        <v>8800</v>
      </c>
    </row>
    <row r="141" spans="1:24" ht="12" customHeight="1" outlineLevel="1" collapsed="1" x14ac:dyDescent="0.2">
      <c r="A141" s="256" t="s">
        <v>1635</v>
      </c>
      <c r="B141" s="253"/>
      <c r="C141" s="253"/>
      <c r="D141" s="255">
        <v>46567.5</v>
      </c>
      <c r="E141" s="255">
        <v>23283.75</v>
      </c>
      <c r="F141" s="254"/>
      <c r="G141" s="255">
        <v>23283.75</v>
      </c>
      <c r="H141" s="254"/>
      <c r="I141" s="254"/>
      <c r="J141" s="254"/>
      <c r="K141" s="254"/>
      <c r="L141" s="255">
        <v>46567.5</v>
      </c>
      <c r="M141" s="254"/>
      <c r="N141" s="255">
        <v>19403.12</v>
      </c>
      <c r="O141" s="255">
        <v>3880.63</v>
      </c>
      <c r="P141" s="254"/>
      <c r="Q141" s="254"/>
      <c r="R141" s="254"/>
      <c r="S141" s="254"/>
      <c r="T141" s="255">
        <v>23283.75</v>
      </c>
      <c r="U141" s="254"/>
      <c r="V141" s="254"/>
      <c r="W141" s="253"/>
      <c r="X141" s="253"/>
    </row>
    <row r="142" spans="1:24" ht="12" hidden="1" customHeight="1" outlineLevel="2" x14ac:dyDescent="0.2">
      <c r="A142" s="252" t="s">
        <v>1555</v>
      </c>
      <c r="B142" s="249"/>
      <c r="C142" s="249"/>
      <c r="D142" s="251">
        <v>46567.5</v>
      </c>
      <c r="E142" s="251">
        <v>23283.75</v>
      </c>
      <c r="F142" s="250"/>
      <c r="G142" s="251">
        <v>23283.75</v>
      </c>
      <c r="H142" s="250"/>
      <c r="I142" s="250"/>
      <c r="J142" s="250"/>
      <c r="K142" s="250"/>
      <c r="L142" s="251">
        <v>46567.5</v>
      </c>
      <c r="M142" s="250"/>
      <c r="N142" s="251">
        <v>19403.12</v>
      </c>
      <c r="O142" s="251">
        <v>3880.63</v>
      </c>
      <c r="P142" s="250"/>
      <c r="Q142" s="250"/>
      <c r="R142" s="250"/>
      <c r="S142" s="250"/>
      <c r="T142" s="251">
        <v>23283.75</v>
      </c>
      <c r="U142" s="250"/>
      <c r="V142" s="250"/>
      <c r="W142" s="249"/>
      <c r="X142" s="249"/>
    </row>
    <row r="143" spans="1:24" ht="12" customHeight="1" outlineLevel="1" collapsed="1" x14ac:dyDescent="0.2">
      <c r="A143" s="256" t="s">
        <v>1634</v>
      </c>
      <c r="B143" s="255">
        <v>49683.87</v>
      </c>
      <c r="C143" s="253"/>
      <c r="D143" s="255">
        <v>3465183.82</v>
      </c>
      <c r="E143" s="255">
        <v>1715540.97</v>
      </c>
      <c r="F143" s="254"/>
      <c r="G143" s="255">
        <v>1749642.85</v>
      </c>
      <c r="H143" s="254"/>
      <c r="I143" s="254"/>
      <c r="J143" s="254"/>
      <c r="K143" s="254"/>
      <c r="L143" s="255">
        <v>3492852</v>
      </c>
      <c r="M143" s="254"/>
      <c r="N143" s="255">
        <v>1453659.55</v>
      </c>
      <c r="O143" s="255">
        <v>289549.59999999998</v>
      </c>
      <c r="P143" s="254"/>
      <c r="Q143" s="254"/>
      <c r="R143" s="254"/>
      <c r="S143" s="254"/>
      <c r="T143" s="255">
        <v>1749642.85</v>
      </c>
      <c r="U143" s="254"/>
      <c r="V143" s="254"/>
      <c r="W143" s="255">
        <v>22015.69</v>
      </c>
      <c r="X143" s="253"/>
    </row>
    <row r="144" spans="1:24" ht="12" hidden="1" customHeight="1" outlineLevel="2" x14ac:dyDescent="0.2">
      <c r="A144" s="252" t="s">
        <v>1555</v>
      </c>
      <c r="B144" s="251">
        <v>49683.87</v>
      </c>
      <c r="C144" s="249"/>
      <c r="D144" s="251">
        <v>3465183.82</v>
      </c>
      <c r="E144" s="251">
        <v>1715540.97</v>
      </c>
      <c r="F144" s="250"/>
      <c r="G144" s="251">
        <v>1749642.85</v>
      </c>
      <c r="H144" s="250"/>
      <c r="I144" s="250"/>
      <c r="J144" s="250"/>
      <c r="K144" s="250"/>
      <c r="L144" s="251">
        <v>3492852</v>
      </c>
      <c r="M144" s="250"/>
      <c r="N144" s="251">
        <v>1453659.55</v>
      </c>
      <c r="O144" s="251">
        <v>289549.59999999998</v>
      </c>
      <c r="P144" s="250"/>
      <c r="Q144" s="250"/>
      <c r="R144" s="250"/>
      <c r="S144" s="250"/>
      <c r="T144" s="251">
        <v>1749642.85</v>
      </c>
      <c r="U144" s="250"/>
      <c r="V144" s="250"/>
      <c r="W144" s="251">
        <v>22015.69</v>
      </c>
      <c r="X144" s="249"/>
    </row>
    <row r="145" spans="1:24" ht="12" customHeight="1" outlineLevel="1" collapsed="1" x14ac:dyDescent="0.2">
      <c r="A145" s="256" t="s">
        <v>1633</v>
      </c>
      <c r="B145" s="253"/>
      <c r="C145" s="253"/>
      <c r="D145" s="255">
        <v>9980</v>
      </c>
      <c r="E145" s="255">
        <v>9980</v>
      </c>
      <c r="F145" s="254"/>
      <c r="G145" s="254"/>
      <c r="H145" s="254"/>
      <c r="I145" s="254"/>
      <c r="J145" s="254"/>
      <c r="K145" s="254"/>
      <c r="L145" s="255">
        <v>9980</v>
      </c>
      <c r="M145" s="254"/>
      <c r="N145" s="254"/>
      <c r="O145" s="254"/>
      <c r="P145" s="254"/>
      <c r="Q145" s="254"/>
      <c r="R145" s="254"/>
      <c r="S145" s="255">
        <v>9980</v>
      </c>
      <c r="T145" s="254"/>
      <c r="U145" s="254"/>
      <c r="V145" s="254"/>
      <c r="W145" s="253"/>
      <c r="X145" s="253"/>
    </row>
    <row r="146" spans="1:24" ht="12" hidden="1" customHeight="1" outlineLevel="2" x14ac:dyDescent="0.2">
      <c r="A146" s="252" t="s">
        <v>1555</v>
      </c>
      <c r="B146" s="249"/>
      <c r="C146" s="249"/>
      <c r="D146" s="251">
        <v>9980</v>
      </c>
      <c r="E146" s="251">
        <v>9980</v>
      </c>
      <c r="F146" s="250"/>
      <c r="G146" s="250"/>
      <c r="H146" s="250"/>
      <c r="I146" s="250"/>
      <c r="J146" s="250"/>
      <c r="K146" s="250"/>
      <c r="L146" s="251">
        <v>9980</v>
      </c>
      <c r="M146" s="250"/>
      <c r="N146" s="250"/>
      <c r="O146" s="250"/>
      <c r="P146" s="250"/>
      <c r="Q146" s="250"/>
      <c r="R146" s="250"/>
      <c r="S146" s="251">
        <v>9980</v>
      </c>
      <c r="T146" s="250"/>
      <c r="U146" s="250"/>
      <c r="V146" s="250"/>
      <c r="W146" s="249"/>
      <c r="X146" s="249"/>
    </row>
    <row r="147" spans="1:24" ht="12" customHeight="1" outlineLevel="1" collapsed="1" x14ac:dyDescent="0.2">
      <c r="A147" s="256" t="s">
        <v>1632</v>
      </c>
      <c r="B147" s="253"/>
      <c r="C147" s="253"/>
      <c r="D147" s="255">
        <v>272467.43</v>
      </c>
      <c r="E147" s="255">
        <v>272467.43</v>
      </c>
      <c r="F147" s="254"/>
      <c r="G147" s="254"/>
      <c r="H147" s="254"/>
      <c r="I147" s="254"/>
      <c r="J147" s="254"/>
      <c r="K147" s="254"/>
      <c r="L147" s="255">
        <v>272467.43</v>
      </c>
      <c r="M147" s="254"/>
      <c r="N147" s="254"/>
      <c r="O147" s="254"/>
      <c r="P147" s="255">
        <v>272467.43</v>
      </c>
      <c r="Q147" s="254"/>
      <c r="R147" s="254"/>
      <c r="S147" s="254"/>
      <c r="T147" s="254"/>
      <c r="U147" s="254"/>
      <c r="V147" s="254"/>
      <c r="W147" s="253"/>
      <c r="X147" s="253"/>
    </row>
    <row r="148" spans="1:24" ht="12" hidden="1" customHeight="1" outlineLevel="2" x14ac:dyDescent="0.2">
      <c r="A148" s="252" t="s">
        <v>1555</v>
      </c>
      <c r="B148" s="249"/>
      <c r="C148" s="249"/>
      <c r="D148" s="251">
        <v>272467.43</v>
      </c>
      <c r="E148" s="251">
        <v>272467.43</v>
      </c>
      <c r="F148" s="250"/>
      <c r="G148" s="250"/>
      <c r="H148" s="250"/>
      <c r="I148" s="250"/>
      <c r="J148" s="250"/>
      <c r="K148" s="250"/>
      <c r="L148" s="251">
        <v>272467.43</v>
      </c>
      <c r="M148" s="250"/>
      <c r="N148" s="250"/>
      <c r="O148" s="250"/>
      <c r="P148" s="251">
        <v>272467.43</v>
      </c>
      <c r="Q148" s="250"/>
      <c r="R148" s="250"/>
      <c r="S148" s="250"/>
      <c r="T148" s="250"/>
      <c r="U148" s="250"/>
      <c r="V148" s="250"/>
      <c r="W148" s="249"/>
      <c r="X148" s="249"/>
    </row>
    <row r="149" spans="1:24" ht="12" customHeight="1" outlineLevel="1" collapsed="1" x14ac:dyDescent="0.2">
      <c r="A149" s="256" t="s">
        <v>1631</v>
      </c>
      <c r="B149" s="253"/>
      <c r="C149" s="253"/>
      <c r="D149" s="255">
        <v>5400</v>
      </c>
      <c r="E149" s="255">
        <v>2700</v>
      </c>
      <c r="F149" s="254"/>
      <c r="G149" s="255">
        <v>2700</v>
      </c>
      <c r="H149" s="254"/>
      <c r="I149" s="254"/>
      <c r="J149" s="254"/>
      <c r="K149" s="254"/>
      <c r="L149" s="255">
        <v>5400</v>
      </c>
      <c r="M149" s="254"/>
      <c r="N149" s="254"/>
      <c r="O149" s="254"/>
      <c r="P149" s="254"/>
      <c r="Q149" s="254"/>
      <c r="R149" s="255">
        <v>2700</v>
      </c>
      <c r="S149" s="254"/>
      <c r="T149" s="255">
        <v>2700</v>
      </c>
      <c r="U149" s="254"/>
      <c r="V149" s="254"/>
      <c r="W149" s="253"/>
      <c r="X149" s="253"/>
    </row>
    <row r="150" spans="1:24" ht="12" hidden="1" customHeight="1" outlineLevel="2" x14ac:dyDescent="0.2">
      <c r="A150" s="252" t="s">
        <v>1555</v>
      </c>
      <c r="B150" s="249"/>
      <c r="C150" s="249"/>
      <c r="D150" s="251">
        <v>5400</v>
      </c>
      <c r="E150" s="251">
        <v>2700</v>
      </c>
      <c r="F150" s="250"/>
      <c r="G150" s="251">
        <v>2700</v>
      </c>
      <c r="H150" s="250"/>
      <c r="I150" s="250"/>
      <c r="J150" s="250"/>
      <c r="K150" s="250"/>
      <c r="L150" s="251">
        <v>5400</v>
      </c>
      <c r="M150" s="250"/>
      <c r="N150" s="250"/>
      <c r="O150" s="250"/>
      <c r="P150" s="250"/>
      <c r="Q150" s="250"/>
      <c r="R150" s="251">
        <v>2700</v>
      </c>
      <c r="S150" s="250"/>
      <c r="T150" s="251">
        <v>2700</v>
      </c>
      <c r="U150" s="250"/>
      <c r="V150" s="250"/>
      <c r="W150" s="249"/>
      <c r="X150" s="249"/>
    </row>
    <row r="151" spans="1:24" ht="12" customHeight="1" outlineLevel="1" collapsed="1" x14ac:dyDescent="0.2">
      <c r="A151" s="269" t="s">
        <v>1630</v>
      </c>
      <c r="B151" s="253"/>
      <c r="C151" s="255">
        <v>6371365.3300000001</v>
      </c>
      <c r="D151" s="255">
        <v>163146615.96000001</v>
      </c>
      <c r="E151" s="255">
        <v>160746615.96000001</v>
      </c>
      <c r="F151" s="254"/>
      <c r="G151" s="255">
        <v>2400000</v>
      </c>
      <c r="H151" s="254"/>
      <c r="I151" s="254"/>
      <c r="J151" s="254"/>
      <c r="K151" s="254"/>
      <c r="L151" s="255">
        <v>164146615.96000001</v>
      </c>
      <c r="M151" s="254"/>
      <c r="N151" s="254"/>
      <c r="O151" s="255">
        <v>26957769.34</v>
      </c>
      <c r="P151" s="255">
        <v>134788846.62</v>
      </c>
      <c r="Q151" s="254"/>
      <c r="R151" s="254"/>
      <c r="S151" s="254"/>
      <c r="T151" s="255">
        <v>2400000</v>
      </c>
      <c r="U151" s="254"/>
      <c r="V151" s="254"/>
      <c r="W151" s="253"/>
      <c r="X151" s="255">
        <v>7371365.3300000001</v>
      </c>
    </row>
    <row r="152" spans="1:24" ht="12" hidden="1" customHeight="1" outlineLevel="2" x14ac:dyDescent="0.2">
      <c r="A152" s="252" t="s">
        <v>1555</v>
      </c>
      <c r="B152" s="249"/>
      <c r="C152" s="251">
        <v>6371365.3300000001</v>
      </c>
      <c r="D152" s="251">
        <v>163146615.96000001</v>
      </c>
      <c r="E152" s="251">
        <v>160746615.96000001</v>
      </c>
      <c r="F152" s="250"/>
      <c r="G152" s="251">
        <v>2400000</v>
      </c>
      <c r="H152" s="250"/>
      <c r="I152" s="250"/>
      <c r="J152" s="250"/>
      <c r="K152" s="250"/>
      <c r="L152" s="251">
        <v>164146615.96000001</v>
      </c>
      <c r="M152" s="250"/>
      <c r="N152" s="250"/>
      <c r="O152" s="251">
        <v>26957769.34</v>
      </c>
      <c r="P152" s="251">
        <v>134788846.62</v>
      </c>
      <c r="Q152" s="250"/>
      <c r="R152" s="250"/>
      <c r="S152" s="250"/>
      <c r="T152" s="251">
        <v>2400000</v>
      </c>
      <c r="U152" s="250"/>
      <c r="V152" s="250"/>
      <c r="W152" s="249"/>
      <c r="X152" s="251">
        <v>7371365.3300000001</v>
      </c>
    </row>
    <row r="153" spans="1:24" ht="24.95" customHeight="1" outlineLevel="1" collapsed="1" x14ac:dyDescent="0.2">
      <c r="A153" s="256" t="s">
        <v>1629</v>
      </c>
      <c r="B153" s="255">
        <v>199635.96</v>
      </c>
      <c r="C153" s="253"/>
      <c r="D153" s="255">
        <v>14761640.66</v>
      </c>
      <c r="E153" s="255">
        <v>7250000</v>
      </c>
      <c r="F153" s="254"/>
      <c r="G153" s="255">
        <v>7511640.6600000001</v>
      </c>
      <c r="H153" s="254"/>
      <c r="I153" s="254"/>
      <c r="J153" s="254"/>
      <c r="K153" s="254"/>
      <c r="L153" s="255">
        <v>14936737.32</v>
      </c>
      <c r="M153" s="254"/>
      <c r="N153" s="255">
        <v>6187580.7800000003</v>
      </c>
      <c r="O153" s="255">
        <v>1237515.8799999999</v>
      </c>
      <c r="P153" s="254"/>
      <c r="Q153" s="254"/>
      <c r="R153" s="254"/>
      <c r="S153" s="254"/>
      <c r="T153" s="255">
        <v>7511640.6600000001</v>
      </c>
      <c r="U153" s="254"/>
      <c r="V153" s="254"/>
      <c r="W153" s="255">
        <v>24539.3</v>
      </c>
      <c r="X153" s="253"/>
    </row>
    <row r="154" spans="1:24" ht="12" hidden="1" customHeight="1" outlineLevel="2" x14ac:dyDescent="0.2">
      <c r="A154" s="252" t="s">
        <v>1555</v>
      </c>
      <c r="B154" s="251">
        <v>199635.96</v>
      </c>
      <c r="C154" s="249"/>
      <c r="D154" s="251">
        <v>14761640.66</v>
      </c>
      <c r="E154" s="251">
        <v>7250000</v>
      </c>
      <c r="F154" s="250"/>
      <c r="G154" s="251">
        <v>7511640.6600000001</v>
      </c>
      <c r="H154" s="250"/>
      <c r="I154" s="250"/>
      <c r="J154" s="250"/>
      <c r="K154" s="250"/>
      <c r="L154" s="251">
        <v>14936737.32</v>
      </c>
      <c r="M154" s="250"/>
      <c r="N154" s="251">
        <v>6187580.7800000003</v>
      </c>
      <c r="O154" s="251">
        <v>1237515.8799999999</v>
      </c>
      <c r="P154" s="250"/>
      <c r="Q154" s="250"/>
      <c r="R154" s="250"/>
      <c r="S154" s="250"/>
      <c r="T154" s="251">
        <v>7511640.6600000001</v>
      </c>
      <c r="U154" s="250"/>
      <c r="V154" s="250"/>
      <c r="W154" s="251">
        <v>24539.3</v>
      </c>
      <c r="X154" s="249"/>
    </row>
    <row r="155" spans="1:24" ht="12" customHeight="1" outlineLevel="1" collapsed="1" x14ac:dyDescent="0.2">
      <c r="A155" s="269" t="s">
        <v>1628</v>
      </c>
      <c r="B155" s="253"/>
      <c r="C155" s="255">
        <v>8120300.6900000004</v>
      </c>
      <c r="D155" s="255">
        <v>43276802.420000002</v>
      </c>
      <c r="E155" s="255">
        <v>42998741.920000002</v>
      </c>
      <c r="F155" s="254"/>
      <c r="G155" s="255">
        <v>101600</v>
      </c>
      <c r="H155" s="255">
        <v>176460.5</v>
      </c>
      <c r="I155" s="254"/>
      <c r="J155" s="254"/>
      <c r="K155" s="254"/>
      <c r="L155" s="255">
        <v>43315420.57</v>
      </c>
      <c r="M155" s="254"/>
      <c r="N155" s="254"/>
      <c r="O155" s="255">
        <v>7202303.4199999999</v>
      </c>
      <c r="P155" s="255">
        <v>36011517.149999999</v>
      </c>
      <c r="Q155" s="254"/>
      <c r="R155" s="254"/>
      <c r="S155" s="254"/>
      <c r="T155" s="255">
        <v>101600</v>
      </c>
      <c r="U155" s="254"/>
      <c r="V155" s="254"/>
      <c r="W155" s="253"/>
      <c r="X155" s="255">
        <v>8158918.8399999999</v>
      </c>
    </row>
    <row r="156" spans="1:24" ht="12" hidden="1" customHeight="1" outlineLevel="2" x14ac:dyDescent="0.2">
      <c r="A156" s="252" t="s">
        <v>1555</v>
      </c>
      <c r="B156" s="249"/>
      <c r="C156" s="251">
        <v>8120300.6900000004</v>
      </c>
      <c r="D156" s="251">
        <v>43276802.420000002</v>
      </c>
      <c r="E156" s="251">
        <v>42998741.920000002</v>
      </c>
      <c r="F156" s="250"/>
      <c r="G156" s="251">
        <v>101600</v>
      </c>
      <c r="H156" s="251">
        <v>176460.5</v>
      </c>
      <c r="I156" s="250"/>
      <c r="J156" s="250"/>
      <c r="K156" s="250"/>
      <c r="L156" s="251">
        <v>43315420.57</v>
      </c>
      <c r="M156" s="250"/>
      <c r="N156" s="250"/>
      <c r="O156" s="251">
        <v>7202303.4199999999</v>
      </c>
      <c r="P156" s="251">
        <v>36011517.149999999</v>
      </c>
      <c r="Q156" s="250"/>
      <c r="R156" s="250"/>
      <c r="S156" s="250"/>
      <c r="T156" s="251">
        <v>101600</v>
      </c>
      <c r="U156" s="250"/>
      <c r="V156" s="250"/>
      <c r="W156" s="249"/>
      <c r="X156" s="251">
        <v>8158918.8399999999</v>
      </c>
    </row>
    <row r="157" spans="1:24" ht="12" customHeight="1" outlineLevel="1" collapsed="1" x14ac:dyDescent="0.2">
      <c r="A157" s="256" t="s">
        <v>1627</v>
      </c>
      <c r="B157" s="253"/>
      <c r="C157" s="253"/>
      <c r="D157" s="255">
        <v>65472</v>
      </c>
      <c r="E157" s="255">
        <v>32736</v>
      </c>
      <c r="F157" s="254"/>
      <c r="G157" s="255">
        <v>32736</v>
      </c>
      <c r="H157" s="254"/>
      <c r="I157" s="254"/>
      <c r="J157" s="254"/>
      <c r="K157" s="254"/>
      <c r="L157" s="255">
        <v>65472</v>
      </c>
      <c r="M157" s="254"/>
      <c r="N157" s="255">
        <v>27280</v>
      </c>
      <c r="O157" s="255">
        <v>5456</v>
      </c>
      <c r="P157" s="254"/>
      <c r="Q157" s="254"/>
      <c r="R157" s="254"/>
      <c r="S157" s="254"/>
      <c r="T157" s="255">
        <v>32736</v>
      </c>
      <c r="U157" s="254"/>
      <c r="V157" s="254"/>
      <c r="W157" s="253"/>
      <c r="X157" s="253"/>
    </row>
    <row r="158" spans="1:24" ht="12" hidden="1" customHeight="1" outlineLevel="2" x14ac:dyDescent="0.2">
      <c r="A158" s="252" t="s">
        <v>1555</v>
      </c>
      <c r="B158" s="249"/>
      <c r="C158" s="249"/>
      <c r="D158" s="251">
        <v>65472</v>
      </c>
      <c r="E158" s="251">
        <v>32736</v>
      </c>
      <c r="F158" s="250"/>
      <c r="G158" s="251">
        <v>32736</v>
      </c>
      <c r="H158" s="250"/>
      <c r="I158" s="250"/>
      <c r="J158" s="250"/>
      <c r="K158" s="250"/>
      <c r="L158" s="251">
        <v>65472</v>
      </c>
      <c r="M158" s="250"/>
      <c r="N158" s="251">
        <v>27280</v>
      </c>
      <c r="O158" s="251">
        <v>5456</v>
      </c>
      <c r="P158" s="250"/>
      <c r="Q158" s="250"/>
      <c r="R158" s="250"/>
      <c r="S158" s="250"/>
      <c r="T158" s="251">
        <v>32736</v>
      </c>
      <c r="U158" s="250"/>
      <c r="V158" s="250"/>
      <c r="W158" s="249"/>
      <c r="X158" s="249"/>
    </row>
    <row r="159" spans="1:24" ht="12" customHeight="1" outlineLevel="1" x14ac:dyDescent="0.2">
      <c r="A159" s="256" t="s">
        <v>1626</v>
      </c>
      <c r="B159" s="255">
        <v>205247</v>
      </c>
      <c r="C159" s="253"/>
      <c r="D159" s="254"/>
      <c r="E159" s="254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5">
        <v>205247</v>
      </c>
      <c r="X159" s="253"/>
    </row>
    <row r="160" spans="1:24" ht="12" customHeight="1" outlineLevel="1" collapsed="1" x14ac:dyDescent="0.2">
      <c r="A160" s="256" t="s">
        <v>1625</v>
      </c>
      <c r="B160" s="253"/>
      <c r="C160" s="253"/>
      <c r="D160" s="255">
        <v>7000</v>
      </c>
      <c r="E160" s="255">
        <v>3500</v>
      </c>
      <c r="F160" s="254"/>
      <c r="G160" s="255">
        <v>3500</v>
      </c>
      <c r="H160" s="254"/>
      <c r="I160" s="254"/>
      <c r="J160" s="254"/>
      <c r="K160" s="254"/>
      <c r="L160" s="255">
        <v>7000</v>
      </c>
      <c r="M160" s="254"/>
      <c r="N160" s="254"/>
      <c r="O160" s="254"/>
      <c r="P160" s="254"/>
      <c r="Q160" s="255">
        <v>3500</v>
      </c>
      <c r="R160" s="254"/>
      <c r="S160" s="254"/>
      <c r="T160" s="255">
        <v>3500</v>
      </c>
      <c r="U160" s="254"/>
      <c r="V160" s="254"/>
      <c r="W160" s="253"/>
      <c r="X160" s="253"/>
    </row>
    <row r="161" spans="1:24" ht="12" hidden="1" customHeight="1" outlineLevel="2" x14ac:dyDescent="0.2">
      <c r="A161" s="252" t="s">
        <v>1555</v>
      </c>
      <c r="B161" s="249"/>
      <c r="C161" s="249"/>
      <c r="D161" s="251">
        <v>7000</v>
      </c>
      <c r="E161" s="251">
        <v>3500</v>
      </c>
      <c r="F161" s="250"/>
      <c r="G161" s="251">
        <v>3500</v>
      </c>
      <c r="H161" s="250"/>
      <c r="I161" s="250"/>
      <c r="J161" s="250"/>
      <c r="K161" s="250"/>
      <c r="L161" s="251">
        <v>7000</v>
      </c>
      <c r="M161" s="250"/>
      <c r="N161" s="250"/>
      <c r="O161" s="250"/>
      <c r="P161" s="250"/>
      <c r="Q161" s="251">
        <v>3500</v>
      </c>
      <c r="R161" s="250"/>
      <c r="S161" s="250"/>
      <c r="T161" s="251">
        <v>3500</v>
      </c>
      <c r="U161" s="250"/>
      <c r="V161" s="250"/>
      <c r="W161" s="249"/>
      <c r="X161" s="249"/>
    </row>
    <row r="162" spans="1:24" ht="12" customHeight="1" outlineLevel="1" collapsed="1" x14ac:dyDescent="0.2">
      <c r="A162" s="256" t="s">
        <v>1624</v>
      </c>
      <c r="B162" s="253"/>
      <c r="C162" s="253"/>
      <c r="D162" s="255">
        <v>98200</v>
      </c>
      <c r="E162" s="255">
        <v>49100</v>
      </c>
      <c r="F162" s="254"/>
      <c r="G162" s="255">
        <v>49100</v>
      </c>
      <c r="H162" s="254"/>
      <c r="I162" s="254"/>
      <c r="J162" s="254"/>
      <c r="K162" s="254"/>
      <c r="L162" s="255">
        <v>98200</v>
      </c>
      <c r="M162" s="254"/>
      <c r="N162" s="255">
        <v>40916.67</v>
      </c>
      <c r="O162" s="255">
        <v>8183.33</v>
      </c>
      <c r="P162" s="254"/>
      <c r="Q162" s="254"/>
      <c r="R162" s="254"/>
      <c r="S162" s="254"/>
      <c r="T162" s="255">
        <v>49100</v>
      </c>
      <c r="U162" s="254"/>
      <c r="V162" s="254"/>
      <c r="W162" s="253"/>
      <c r="X162" s="253"/>
    </row>
    <row r="163" spans="1:24" ht="12" hidden="1" customHeight="1" outlineLevel="2" x14ac:dyDescent="0.2">
      <c r="A163" s="252" t="s">
        <v>1555</v>
      </c>
      <c r="B163" s="249"/>
      <c r="C163" s="249"/>
      <c r="D163" s="251">
        <v>98200</v>
      </c>
      <c r="E163" s="251">
        <v>49100</v>
      </c>
      <c r="F163" s="250"/>
      <c r="G163" s="251">
        <v>49100</v>
      </c>
      <c r="H163" s="250"/>
      <c r="I163" s="250"/>
      <c r="J163" s="250"/>
      <c r="K163" s="250"/>
      <c r="L163" s="251">
        <v>98200</v>
      </c>
      <c r="M163" s="250"/>
      <c r="N163" s="251">
        <v>40916.67</v>
      </c>
      <c r="O163" s="251">
        <v>8183.33</v>
      </c>
      <c r="P163" s="250"/>
      <c r="Q163" s="250"/>
      <c r="R163" s="250"/>
      <c r="S163" s="250"/>
      <c r="T163" s="251">
        <v>49100</v>
      </c>
      <c r="U163" s="250"/>
      <c r="V163" s="250"/>
      <c r="W163" s="249"/>
      <c r="X163" s="249"/>
    </row>
    <row r="164" spans="1:24" ht="12" customHeight="1" outlineLevel="1" collapsed="1" x14ac:dyDescent="0.2">
      <c r="A164" s="256" t="s">
        <v>1623</v>
      </c>
      <c r="B164" s="253"/>
      <c r="C164" s="253"/>
      <c r="D164" s="255">
        <v>65196</v>
      </c>
      <c r="E164" s="255">
        <v>32598</v>
      </c>
      <c r="F164" s="254"/>
      <c r="G164" s="255">
        <v>32598</v>
      </c>
      <c r="H164" s="254"/>
      <c r="I164" s="254"/>
      <c r="J164" s="254"/>
      <c r="K164" s="254"/>
      <c r="L164" s="255">
        <v>65196</v>
      </c>
      <c r="M164" s="254"/>
      <c r="N164" s="255">
        <v>27165</v>
      </c>
      <c r="O164" s="255">
        <v>5433</v>
      </c>
      <c r="P164" s="254"/>
      <c r="Q164" s="254"/>
      <c r="R164" s="254"/>
      <c r="S164" s="254"/>
      <c r="T164" s="255">
        <v>32598</v>
      </c>
      <c r="U164" s="254"/>
      <c r="V164" s="254"/>
      <c r="W164" s="253"/>
      <c r="X164" s="253"/>
    </row>
    <row r="165" spans="1:24" ht="12" hidden="1" customHeight="1" outlineLevel="2" x14ac:dyDescent="0.2">
      <c r="A165" s="252" t="s">
        <v>1555</v>
      </c>
      <c r="B165" s="249"/>
      <c r="C165" s="249"/>
      <c r="D165" s="251">
        <v>65196</v>
      </c>
      <c r="E165" s="251">
        <v>32598</v>
      </c>
      <c r="F165" s="250"/>
      <c r="G165" s="251">
        <v>32598</v>
      </c>
      <c r="H165" s="250"/>
      <c r="I165" s="250"/>
      <c r="J165" s="250"/>
      <c r="K165" s="250"/>
      <c r="L165" s="251">
        <v>65196</v>
      </c>
      <c r="M165" s="250"/>
      <c r="N165" s="251">
        <v>27165</v>
      </c>
      <c r="O165" s="251">
        <v>5433</v>
      </c>
      <c r="P165" s="250"/>
      <c r="Q165" s="250"/>
      <c r="R165" s="250"/>
      <c r="S165" s="250"/>
      <c r="T165" s="251">
        <v>32598</v>
      </c>
      <c r="U165" s="250"/>
      <c r="V165" s="250"/>
      <c r="W165" s="249"/>
      <c r="X165" s="249"/>
    </row>
    <row r="166" spans="1:24" ht="12" customHeight="1" outlineLevel="1" collapsed="1" x14ac:dyDescent="0.2">
      <c r="A166" s="256" t="s">
        <v>1622</v>
      </c>
      <c r="B166" s="255">
        <v>1164.83</v>
      </c>
      <c r="C166" s="253"/>
      <c r="D166" s="255">
        <v>318000</v>
      </c>
      <c r="E166" s="255">
        <v>159000</v>
      </c>
      <c r="F166" s="254"/>
      <c r="G166" s="255">
        <v>159000</v>
      </c>
      <c r="H166" s="254"/>
      <c r="I166" s="254"/>
      <c r="J166" s="254"/>
      <c r="K166" s="254"/>
      <c r="L166" s="255">
        <v>318000</v>
      </c>
      <c r="M166" s="254"/>
      <c r="N166" s="254"/>
      <c r="O166" s="254"/>
      <c r="P166" s="254"/>
      <c r="Q166" s="254"/>
      <c r="R166" s="255">
        <v>159000</v>
      </c>
      <c r="S166" s="254"/>
      <c r="T166" s="255">
        <v>159000</v>
      </c>
      <c r="U166" s="254"/>
      <c r="V166" s="254"/>
      <c r="W166" s="255">
        <v>1164.83</v>
      </c>
      <c r="X166" s="253"/>
    </row>
    <row r="167" spans="1:24" ht="12" hidden="1" customHeight="1" outlineLevel="2" x14ac:dyDescent="0.2">
      <c r="A167" s="252" t="s">
        <v>1555</v>
      </c>
      <c r="B167" s="251">
        <v>1164.83</v>
      </c>
      <c r="C167" s="249"/>
      <c r="D167" s="251">
        <v>318000</v>
      </c>
      <c r="E167" s="251">
        <v>159000</v>
      </c>
      <c r="F167" s="250"/>
      <c r="G167" s="251">
        <v>159000</v>
      </c>
      <c r="H167" s="250"/>
      <c r="I167" s="250"/>
      <c r="J167" s="250"/>
      <c r="K167" s="250"/>
      <c r="L167" s="251">
        <v>318000</v>
      </c>
      <c r="M167" s="250"/>
      <c r="N167" s="250"/>
      <c r="O167" s="250"/>
      <c r="P167" s="250"/>
      <c r="Q167" s="250"/>
      <c r="R167" s="251">
        <v>159000</v>
      </c>
      <c r="S167" s="250"/>
      <c r="T167" s="251">
        <v>159000</v>
      </c>
      <c r="U167" s="250"/>
      <c r="V167" s="250"/>
      <c r="W167" s="251">
        <v>1164.83</v>
      </c>
      <c r="X167" s="249"/>
    </row>
    <row r="168" spans="1:24" ht="12" customHeight="1" outlineLevel="1" x14ac:dyDescent="0.2">
      <c r="A168" s="256" t="s">
        <v>1621</v>
      </c>
      <c r="B168" s="253"/>
      <c r="C168" s="255">
        <v>374274.71</v>
      </c>
      <c r="D168" s="255">
        <v>5962104.3099999996</v>
      </c>
      <c r="E168" s="255">
        <v>5450981.6799999997</v>
      </c>
      <c r="F168" s="254"/>
      <c r="G168" s="255">
        <v>28878</v>
      </c>
      <c r="H168" s="254"/>
      <c r="I168" s="254"/>
      <c r="J168" s="254"/>
      <c r="K168" s="255">
        <v>482244.63</v>
      </c>
      <c r="L168" s="255">
        <v>5602266.75</v>
      </c>
      <c r="M168" s="254"/>
      <c r="N168" s="255">
        <v>4385</v>
      </c>
      <c r="O168" s="255">
        <v>927483.83</v>
      </c>
      <c r="P168" s="255">
        <v>4635036.34</v>
      </c>
      <c r="Q168" s="254"/>
      <c r="R168" s="254"/>
      <c r="S168" s="254"/>
      <c r="T168" s="255">
        <v>28878</v>
      </c>
      <c r="U168" s="255">
        <v>6483.58</v>
      </c>
      <c r="V168" s="254"/>
      <c r="W168" s="253"/>
      <c r="X168" s="255">
        <v>14437.15</v>
      </c>
    </row>
    <row r="169" spans="1:24" ht="12" customHeight="1" outlineLevel="2" x14ac:dyDescent="0.2">
      <c r="A169" s="252" t="s">
        <v>1555</v>
      </c>
      <c r="B169" s="249"/>
      <c r="C169" s="251">
        <v>374274.71</v>
      </c>
      <c r="D169" s="251">
        <v>5962104.3099999996</v>
      </c>
      <c r="E169" s="251">
        <v>5450981.6799999997</v>
      </c>
      <c r="F169" s="250"/>
      <c r="G169" s="251">
        <v>28878</v>
      </c>
      <c r="H169" s="250"/>
      <c r="I169" s="250"/>
      <c r="J169" s="250"/>
      <c r="K169" s="251">
        <v>482244.63</v>
      </c>
      <c r="L169" s="251">
        <v>5602266.75</v>
      </c>
      <c r="M169" s="250"/>
      <c r="N169" s="251">
        <v>4385</v>
      </c>
      <c r="O169" s="251">
        <v>927483.83</v>
      </c>
      <c r="P169" s="251">
        <v>4635036.34</v>
      </c>
      <c r="Q169" s="250"/>
      <c r="R169" s="250"/>
      <c r="S169" s="250"/>
      <c r="T169" s="251">
        <v>28878</v>
      </c>
      <c r="U169" s="251">
        <v>6483.58</v>
      </c>
      <c r="V169" s="250"/>
      <c r="W169" s="249"/>
      <c r="X169" s="251">
        <v>14437.15</v>
      </c>
    </row>
    <row r="170" spans="1:24" ht="63" customHeight="1" outlineLevel="1" collapsed="1" x14ac:dyDescent="0.2">
      <c r="A170" s="256" t="s">
        <v>1620</v>
      </c>
      <c r="B170" s="255">
        <v>7000</v>
      </c>
      <c r="C170" s="253"/>
      <c r="D170" s="255">
        <v>102000</v>
      </c>
      <c r="E170" s="255">
        <v>51000</v>
      </c>
      <c r="F170" s="254"/>
      <c r="G170" s="255">
        <v>51000</v>
      </c>
      <c r="H170" s="254"/>
      <c r="I170" s="254"/>
      <c r="J170" s="254"/>
      <c r="K170" s="254"/>
      <c r="L170" s="255">
        <v>102000</v>
      </c>
      <c r="M170" s="254"/>
      <c r="N170" s="254"/>
      <c r="O170" s="255">
        <v>8500</v>
      </c>
      <c r="P170" s="255">
        <v>42500</v>
      </c>
      <c r="Q170" s="254"/>
      <c r="R170" s="254"/>
      <c r="S170" s="254"/>
      <c r="T170" s="255">
        <v>51000</v>
      </c>
      <c r="U170" s="254"/>
      <c r="V170" s="254"/>
      <c r="W170" s="255">
        <v>7000</v>
      </c>
      <c r="X170" s="253"/>
    </row>
    <row r="171" spans="1:24" ht="12" hidden="1" customHeight="1" outlineLevel="2" x14ac:dyDescent="0.2">
      <c r="A171" s="252" t="s">
        <v>1555</v>
      </c>
      <c r="B171" s="251">
        <v>7000</v>
      </c>
      <c r="C171" s="249"/>
      <c r="D171" s="251">
        <v>102000</v>
      </c>
      <c r="E171" s="251">
        <v>51000</v>
      </c>
      <c r="F171" s="250"/>
      <c r="G171" s="251">
        <v>51000</v>
      </c>
      <c r="H171" s="250"/>
      <c r="I171" s="250"/>
      <c r="J171" s="250"/>
      <c r="K171" s="250"/>
      <c r="L171" s="251">
        <v>102000</v>
      </c>
      <c r="M171" s="250"/>
      <c r="N171" s="250"/>
      <c r="O171" s="251">
        <v>8500</v>
      </c>
      <c r="P171" s="251">
        <v>42500</v>
      </c>
      <c r="Q171" s="250"/>
      <c r="R171" s="250"/>
      <c r="S171" s="250"/>
      <c r="T171" s="251">
        <v>51000</v>
      </c>
      <c r="U171" s="250"/>
      <c r="V171" s="250"/>
      <c r="W171" s="251">
        <v>7000</v>
      </c>
      <c r="X171" s="249"/>
    </row>
    <row r="172" spans="1:24" ht="12" customHeight="1" outlineLevel="1" collapsed="1" x14ac:dyDescent="0.2">
      <c r="A172" s="256" t="s">
        <v>1619</v>
      </c>
      <c r="B172" s="255">
        <v>1051402.7</v>
      </c>
      <c r="C172" s="253"/>
      <c r="D172" s="255">
        <v>61813101.530000001</v>
      </c>
      <c r="E172" s="255">
        <v>43862458.939999998</v>
      </c>
      <c r="F172" s="254"/>
      <c r="G172" s="255">
        <v>15623625.07</v>
      </c>
      <c r="H172" s="254"/>
      <c r="I172" s="254"/>
      <c r="J172" s="255">
        <v>2326741.14</v>
      </c>
      <c r="K172" s="258">
        <v>276.38</v>
      </c>
      <c r="L172" s="255">
        <v>65166756.149999999</v>
      </c>
      <c r="M172" s="254"/>
      <c r="N172" s="254"/>
      <c r="O172" s="255">
        <v>8255937.3499999996</v>
      </c>
      <c r="P172" s="255">
        <v>41111223.340000004</v>
      </c>
      <c r="Q172" s="254"/>
      <c r="R172" s="254"/>
      <c r="S172" s="254"/>
      <c r="T172" s="255">
        <v>15623625.07</v>
      </c>
      <c r="U172" s="255">
        <v>175970.39</v>
      </c>
      <c r="V172" s="254"/>
      <c r="W172" s="253"/>
      <c r="X172" s="255">
        <v>2302251.92</v>
      </c>
    </row>
    <row r="173" spans="1:24" ht="12" hidden="1" customHeight="1" outlineLevel="2" x14ac:dyDescent="0.2">
      <c r="A173" s="252" t="s">
        <v>1555</v>
      </c>
      <c r="B173" s="251">
        <v>1051402.7</v>
      </c>
      <c r="C173" s="249"/>
      <c r="D173" s="251">
        <v>61813101.530000001</v>
      </c>
      <c r="E173" s="251">
        <v>43862458.939999998</v>
      </c>
      <c r="F173" s="250"/>
      <c r="G173" s="251">
        <v>15623625.07</v>
      </c>
      <c r="H173" s="250"/>
      <c r="I173" s="250"/>
      <c r="J173" s="251">
        <v>2326741.14</v>
      </c>
      <c r="K173" s="257">
        <v>276.38</v>
      </c>
      <c r="L173" s="251">
        <v>65166756.149999999</v>
      </c>
      <c r="M173" s="250"/>
      <c r="N173" s="250"/>
      <c r="O173" s="251">
        <v>8255937.3499999996</v>
      </c>
      <c r="P173" s="251">
        <v>41111223.340000004</v>
      </c>
      <c r="Q173" s="250"/>
      <c r="R173" s="250"/>
      <c r="S173" s="250"/>
      <c r="T173" s="251">
        <v>15623625.07</v>
      </c>
      <c r="U173" s="251">
        <v>175970.39</v>
      </c>
      <c r="V173" s="250"/>
      <c r="W173" s="249"/>
      <c r="X173" s="251">
        <v>2302251.92</v>
      </c>
    </row>
    <row r="174" spans="1:24" ht="36.950000000000003" customHeight="1" outlineLevel="1" collapsed="1" x14ac:dyDescent="0.2">
      <c r="A174" s="269" t="s">
        <v>1618</v>
      </c>
      <c r="B174" s="253"/>
      <c r="C174" s="255">
        <v>742600.5</v>
      </c>
      <c r="D174" s="255">
        <v>7428247.8499999996</v>
      </c>
      <c r="E174" s="255">
        <v>1900000</v>
      </c>
      <c r="F174" s="254"/>
      <c r="G174" s="255">
        <v>371296.08</v>
      </c>
      <c r="H174" s="254"/>
      <c r="I174" s="254"/>
      <c r="J174" s="255">
        <v>5156951.7699999996</v>
      </c>
      <c r="K174" s="254"/>
      <c r="L174" s="255">
        <v>6349543.9299999997</v>
      </c>
      <c r="M174" s="254"/>
      <c r="N174" s="254"/>
      <c r="O174" s="254"/>
      <c r="P174" s="255">
        <v>2065263.34</v>
      </c>
      <c r="Q174" s="254"/>
      <c r="R174" s="254"/>
      <c r="S174" s="254"/>
      <c r="T174" s="255">
        <v>371296.08</v>
      </c>
      <c r="U174" s="255">
        <v>3912984.51</v>
      </c>
      <c r="V174" s="254"/>
      <c r="W174" s="255">
        <v>336103.42</v>
      </c>
      <c r="X174" s="253"/>
    </row>
    <row r="175" spans="1:24" ht="12" hidden="1" customHeight="1" outlineLevel="2" x14ac:dyDescent="0.2">
      <c r="A175" s="252" t="s">
        <v>1555</v>
      </c>
      <c r="B175" s="249"/>
      <c r="C175" s="251">
        <v>742600.5</v>
      </c>
      <c r="D175" s="251">
        <v>7428247.8499999996</v>
      </c>
      <c r="E175" s="251">
        <v>1900000</v>
      </c>
      <c r="F175" s="250"/>
      <c r="G175" s="251">
        <v>371296.08</v>
      </c>
      <c r="H175" s="250"/>
      <c r="I175" s="250"/>
      <c r="J175" s="251">
        <v>5156951.7699999996</v>
      </c>
      <c r="K175" s="250"/>
      <c r="L175" s="251">
        <v>6349543.9299999997</v>
      </c>
      <c r="M175" s="250"/>
      <c r="N175" s="250"/>
      <c r="O175" s="250"/>
      <c r="P175" s="251">
        <v>2065263.34</v>
      </c>
      <c r="Q175" s="250"/>
      <c r="R175" s="250"/>
      <c r="S175" s="250"/>
      <c r="T175" s="251">
        <v>371296.08</v>
      </c>
      <c r="U175" s="251">
        <v>3912984.51</v>
      </c>
      <c r="V175" s="250"/>
      <c r="W175" s="251">
        <v>336103.42</v>
      </c>
      <c r="X175" s="249"/>
    </row>
    <row r="176" spans="1:24" ht="24.95" customHeight="1" outlineLevel="1" collapsed="1" x14ac:dyDescent="0.2">
      <c r="A176" s="256" t="s">
        <v>1617</v>
      </c>
      <c r="B176" s="253"/>
      <c r="C176" s="255">
        <v>3000</v>
      </c>
      <c r="D176" s="255">
        <v>39000</v>
      </c>
      <c r="E176" s="255">
        <v>39000</v>
      </c>
      <c r="F176" s="254"/>
      <c r="G176" s="254"/>
      <c r="H176" s="254"/>
      <c r="I176" s="254"/>
      <c r="J176" s="254"/>
      <c r="K176" s="254"/>
      <c r="L176" s="255">
        <v>36000</v>
      </c>
      <c r="M176" s="254"/>
      <c r="N176" s="254"/>
      <c r="O176" s="254"/>
      <c r="P176" s="254"/>
      <c r="Q176" s="254"/>
      <c r="R176" s="255">
        <v>36000</v>
      </c>
      <c r="S176" s="254"/>
      <c r="T176" s="254"/>
      <c r="U176" s="254"/>
      <c r="V176" s="254"/>
      <c r="W176" s="253"/>
      <c r="X176" s="253"/>
    </row>
    <row r="177" spans="1:24" ht="12" hidden="1" customHeight="1" outlineLevel="2" x14ac:dyDescent="0.2">
      <c r="A177" s="252" t="s">
        <v>1555</v>
      </c>
      <c r="B177" s="249"/>
      <c r="C177" s="251">
        <v>3000</v>
      </c>
      <c r="D177" s="251">
        <v>39000</v>
      </c>
      <c r="E177" s="251">
        <v>39000</v>
      </c>
      <c r="F177" s="250"/>
      <c r="G177" s="250"/>
      <c r="H177" s="250"/>
      <c r="I177" s="250"/>
      <c r="J177" s="250"/>
      <c r="K177" s="250"/>
      <c r="L177" s="251">
        <v>36000</v>
      </c>
      <c r="M177" s="250"/>
      <c r="N177" s="250"/>
      <c r="O177" s="250"/>
      <c r="P177" s="250"/>
      <c r="Q177" s="250"/>
      <c r="R177" s="251">
        <v>36000</v>
      </c>
      <c r="S177" s="250"/>
      <c r="T177" s="250"/>
      <c r="U177" s="250"/>
      <c r="V177" s="250"/>
      <c r="W177" s="249"/>
      <c r="X177" s="249"/>
    </row>
    <row r="178" spans="1:24" ht="12" customHeight="1" outlineLevel="1" collapsed="1" x14ac:dyDescent="0.2">
      <c r="A178" s="256" t="s">
        <v>1616</v>
      </c>
      <c r="B178" s="253"/>
      <c r="C178" s="253"/>
      <c r="D178" s="255">
        <v>14777.6</v>
      </c>
      <c r="E178" s="255">
        <v>7388.8</v>
      </c>
      <c r="F178" s="254"/>
      <c r="G178" s="255">
        <v>7388.8</v>
      </c>
      <c r="H178" s="254"/>
      <c r="I178" s="254"/>
      <c r="J178" s="254"/>
      <c r="K178" s="254"/>
      <c r="L178" s="255">
        <v>14777.6</v>
      </c>
      <c r="M178" s="254"/>
      <c r="N178" s="255">
        <v>6157.33</v>
      </c>
      <c r="O178" s="255">
        <v>1231.47</v>
      </c>
      <c r="P178" s="254"/>
      <c r="Q178" s="254"/>
      <c r="R178" s="254"/>
      <c r="S178" s="254"/>
      <c r="T178" s="255">
        <v>7388.8</v>
      </c>
      <c r="U178" s="254"/>
      <c r="V178" s="254"/>
      <c r="W178" s="253"/>
      <c r="X178" s="253"/>
    </row>
    <row r="179" spans="1:24" ht="12" hidden="1" customHeight="1" outlineLevel="2" x14ac:dyDescent="0.2">
      <c r="A179" s="252" t="s">
        <v>1555</v>
      </c>
      <c r="B179" s="249"/>
      <c r="C179" s="249"/>
      <c r="D179" s="251">
        <v>14777.6</v>
      </c>
      <c r="E179" s="251">
        <v>7388.8</v>
      </c>
      <c r="F179" s="250"/>
      <c r="G179" s="251">
        <v>7388.8</v>
      </c>
      <c r="H179" s="250"/>
      <c r="I179" s="250"/>
      <c r="J179" s="250"/>
      <c r="K179" s="250"/>
      <c r="L179" s="251">
        <v>14777.6</v>
      </c>
      <c r="M179" s="250"/>
      <c r="N179" s="251">
        <v>6157.33</v>
      </c>
      <c r="O179" s="251">
        <v>1231.47</v>
      </c>
      <c r="P179" s="250"/>
      <c r="Q179" s="250"/>
      <c r="R179" s="250"/>
      <c r="S179" s="250"/>
      <c r="T179" s="251">
        <v>7388.8</v>
      </c>
      <c r="U179" s="250"/>
      <c r="V179" s="250"/>
      <c r="W179" s="249"/>
      <c r="X179" s="249"/>
    </row>
    <row r="180" spans="1:24" ht="24.95" customHeight="1" outlineLevel="1" collapsed="1" x14ac:dyDescent="0.2">
      <c r="A180" s="256" t="s">
        <v>1615</v>
      </c>
      <c r="B180" s="253"/>
      <c r="C180" s="253"/>
      <c r="D180" s="255">
        <v>16000</v>
      </c>
      <c r="E180" s="255">
        <v>8000</v>
      </c>
      <c r="F180" s="254"/>
      <c r="G180" s="255">
        <v>8000</v>
      </c>
      <c r="H180" s="254"/>
      <c r="I180" s="254"/>
      <c r="J180" s="254"/>
      <c r="K180" s="254"/>
      <c r="L180" s="255">
        <v>16000</v>
      </c>
      <c r="M180" s="254"/>
      <c r="N180" s="254"/>
      <c r="O180" s="254"/>
      <c r="P180" s="254"/>
      <c r="Q180" s="255">
        <v>8000</v>
      </c>
      <c r="R180" s="254"/>
      <c r="S180" s="254"/>
      <c r="T180" s="255">
        <v>8000</v>
      </c>
      <c r="U180" s="254"/>
      <c r="V180" s="254"/>
      <c r="W180" s="253"/>
      <c r="X180" s="253"/>
    </row>
    <row r="181" spans="1:24" ht="12" hidden="1" customHeight="1" outlineLevel="2" x14ac:dyDescent="0.2">
      <c r="A181" s="252" t="s">
        <v>1555</v>
      </c>
      <c r="B181" s="249"/>
      <c r="C181" s="249"/>
      <c r="D181" s="251">
        <v>16000</v>
      </c>
      <c r="E181" s="251">
        <v>8000</v>
      </c>
      <c r="F181" s="250"/>
      <c r="G181" s="251">
        <v>8000</v>
      </c>
      <c r="H181" s="250"/>
      <c r="I181" s="250"/>
      <c r="J181" s="250"/>
      <c r="K181" s="250"/>
      <c r="L181" s="251">
        <v>16000</v>
      </c>
      <c r="M181" s="250"/>
      <c r="N181" s="250"/>
      <c r="O181" s="250"/>
      <c r="P181" s="250"/>
      <c r="Q181" s="251">
        <v>8000</v>
      </c>
      <c r="R181" s="250"/>
      <c r="S181" s="250"/>
      <c r="T181" s="251">
        <v>8000</v>
      </c>
      <c r="U181" s="250"/>
      <c r="V181" s="250"/>
      <c r="W181" s="249"/>
      <c r="X181" s="249"/>
    </row>
    <row r="182" spans="1:24" ht="12" customHeight="1" outlineLevel="1" collapsed="1" x14ac:dyDescent="0.2">
      <c r="A182" s="256" t="s">
        <v>1614</v>
      </c>
      <c r="B182" s="253"/>
      <c r="C182" s="255">
        <v>48458706.119999997</v>
      </c>
      <c r="D182" s="255">
        <v>603125261.99000001</v>
      </c>
      <c r="E182" s="255">
        <v>326515373.18000001</v>
      </c>
      <c r="F182" s="255">
        <v>66523559.060000002</v>
      </c>
      <c r="G182" s="255">
        <v>1678163.18</v>
      </c>
      <c r="H182" s="255">
        <v>91933370.549999997</v>
      </c>
      <c r="I182" s="254"/>
      <c r="J182" s="255">
        <v>116355928.09999999</v>
      </c>
      <c r="K182" s="255">
        <v>118867.92</v>
      </c>
      <c r="L182" s="255">
        <v>700587114.96000004</v>
      </c>
      <c r="M182" s="254"/>
      <c r="N182" s="254"/>
      <c r="O182" s="255">
        <v>116464940.26000001</v>
      </c>
      <c r="P182" s="255">
        <v>582440261.02999997</v>
      </c>
      <c r="Q182" s="254"/>
      <c r="R182" s="254"/>
      <c r="S182" s="254"/>
      <c r="T182" s="255">
        <v>1678163.18</v>
      </c>
      <c r="U182" s="255">
        <v>3750.49</v>
      </c>
      <c r="V182" s="254"/>
      <c r="W182" s="253"/>
      <c r="X182" s="255">
        <v>145920559.09</v>
      </c>
    </row>
    <row r="183" spans="1:24" ht="12" hidden="1" customHeight="1" outlineLevel="2" x14ac:dyDescent="0.2">
      <c r="A183" s="252" t="s">
        <v>1555</v>
      </c>
      <c r="B183" s="249"/>
      <c r="C183" s="251">
        <v>48458706.119999997</v>
      </c>
      <c r="D183" s="251">
        <v>603125261.99000001</v>
      </c>
      <c r="E183" s="251">
        <v>326515373.18000001</v>
      </c>
      <c r="F183" s="251">
        <v>66523559.060000002</v>
      </c>
      <c r="G183" s="251">
        <v>1678163.18</v>
      </c>
      <c r="H183" s="251">
        <v>91933370.549999997</v>
      </c>
      <c r="I183" s="250"/>
      <c r="J183" s="251">
        <v>116355928.09999999</v>
      </c>
      <c r="K183" s="251">
        <v>118867.92</v>
      </c>
      <c r="L183" s="251">
        <v>700587114.96000004</v>
      </c>
      <c r="M183" s="250"/>
      <c r="N183" s="250"/>
      <c r="O183" s="251">
        <v>116464940.26000001</v>
      </c>
      <c r="P183" s="251">
        <v>582440261.02999997</v>
      </c>
      <c r="Q183" s="250"/>
      <c r="R183" s="250"/>
      <c r="S183" s="250"/>
      <c r="T183" s="251">
        <v>1678163.18</v>
      </c>
      <c r="U183" s="251">
        <v>3750.49</v>
      </c>
      <c r="V183" s="250"/>
      <c r="W183" s="249"/>
      <c r="X183" s="251">
        <v>145920559.09</v>
      </c>
    </row>
    <row r="184" spans="1:24" ht="36.950000000000003" customHeight="1" outlineLevel="1" collapsed="1" x14ac:dyDescent="0.2">
      <c r="A184" s="256" t="s">
        <v>1613</v>
      </c>
      <c r="B184" s="253"/>
      <c r="C184" s="253"/>
      <c r="D184" s="255">
        <v>6400</v>
      </c>
      <c r="E184" s="255">
        <v>3200</v>
      </c>
      <c r="F184" s="254"/>
      <c r="G184" s="255">
        <v>3200</v>
      </c>
      <c r="H184" s="254"/>
      <c r="I184" s="254"/>
      <c r="J184" s="254"/>
      <c r="K184" s="254"/>
      <c r="L184" s="255">
        <v>6400</v>
      </c>
      <c r="M184" s="254"/>
      <c r="N184" s="254"/>
      <c r="O184" s="258">
        <v>533.33000000000004</v>
      </c>
      <c r="P184" s="254"/>
      <c r="Q184" s="254"/>
      <c r="R184" s="254"/>
      <c r="S184" s="254"/>
      <c r="T184" s="255">
        <v>3200</v>
      </c>
      <c r="U184" s="255">
        <v>2666.67</v>
      </c>
      <c r="V184" s="254"/>
      <c r="W184" s="253"/>
      <c r="X184" s="253"/>
    </row>
    <row r="185" spans="1:24" ht="12" hidden="1" customHeight="1" outlineLevel="2" x14ac:dyDescent="0.2">
      <c r="A185" s="252" t="s">
        <v>1555</v>
      </c>
      <c r="B185" s="249"/>
      <c r="C185" s="249"/>
      <c r="D185" s="251">
        <v>6400</v>
      </c>
      <c r="E185" s="251">
        <v>3200</v>
      </c>
      <c r="F185" s="250"/>
      <c r="G185" s="251">
        <v>3200</v>
      </c>
      <c r="H185" s="250"/>
      <c r="I185" s="250"/>
      <c r="J185" s="250"/>
      <c r="K185" s="250"/>
      <c r="L185" s="251">
        <v>6400</v>
      </c>
      <c r="M185" s="250"/>
      <c r="N185" s="250"/>
      <c r="O185" s="257">
        <v>533.33000000000004</v>
      </c>
      <c r="P185" s="250"/>
      <c r="Q185" s="250"/>
      <c r="R185" s="250"/>
      <c r="S185" s="250"/>
      <c r="T185" s="251">
        <v>3200</v>
      </c>
      <c r="U185" s="251">
        <v>2666.67</v>
      </c>
      <c r="V185" s="250"/>
      <c r="W185" s="249"/>
      <c r="X185" s="249"/>
    </row>
    <row r="186" spans="1:24" ht="12" customHeight="1" outlineLevel="1" collapsed="1" x14ac:dyDescent="0.2">
      <c r="A186" s="256" t="s">
        <v>1612</v>
      </c>
      <c r="B186" s="253"/>
      <c r="C186" s="253"/>
      <c r="D186" s="255">
        <v>6756500</v>
      </c>
      <c r="E186" s="255">
        <v>3522300</v>
      </c>
      <c r="F186" s="254"/>
      <c r="G186" s="255">
        <v>3234200</v>
      </c>
      <c r="H186" s="254"/>
      <c r="I186" s="254"/>
      <c r="J186" s="254"/>
      <c r="K186" s="254"/>
      <c r="L186" s="255">
        <v>6756500</v>
      </c>
      <c r="M186" s="254"/>
      <c r="N186" s="254"/>
      <c r="O186" s="255">
        <v>587050</v>
      </c>
      <c r="P186" s="254"/>
      <c r="Q186" s="254"/>
      <c r="R186" s="254"/>
      <c r="S186" s="254"/>
      <c r="T186" s="255">
        <v>3234200</v>
      </c>
      <c r="U186" s="255">
        <v>2935250</v>
      </c>
      <c r="V186" s="254"/>
      <c r="W186" s="253"/>
      <c r="X186" s="253"/>
    </row>
    <row r="187" spans="1:24" ht="12" hidden="1" customHeight="1" outlineLevel="2" x14ac:dyDescent="0.2">
      <c r="A187" s="252" t="s">
        <v>1555</v>
      </c>
      <c r="B187" s="249"/>
      <c r="C187" s="249"/>
      <c r="D187" s="251">
        <v>6756500</v>
      </c>
      <c r="E187" s="251">
        <v>3522300</v>
      </c>
      <c r="F187" s="250"/>
      <c r="G187" s="251">
        <v>3234200</v>
      </c>
      <c r="H187" s="250"/>
      <c r="I187" s="250"/>
      <c r="J187" s="250"/>
      <c r="K187" s="250"/>
      <c r="L187" s="251">
        <v>6756500</v>
      </c>
      <c r="M187" s="250"/>
      <c r="N187" s="250"/>
      <c r="O187" s="251">
        <v>587050</v>
      </c>
      <c r="P187" s="250"/>
      <c r="Q187" s="250"/>
      <c r="R187" s="250"/>
      <c r="S187" s="250"/>
      <c r="T187" s="251">
        <v>3234200</v>
      </c>
      <c r="U187" s="251">
        <v>2935250</v>
      </c>
      <c r="V187" s="250"/>
      <c r="W187" s="249"/>
      <c r="X187" s="249"/>
    </row>
    <row r="188" spans="1:24" ht="12" customHeight="1" outlineLevel="1" collapsed="1" x14ac:dyDescent="0.2">
      <c r="A188" s="256" t="s">
        <v>1611</v>
      </c>
      <c r="B188" s="253"/>
      <c r="C188" s="253"/>
      <c r="D188" s="255">
        <v>34378</v>
      </c>
      <c r="E188" s="255">
        <v>17189</v>
      </c>
      <c r="F188" s="254"/>
      <c r="G188" s="255">
        <v>17189</v>
      </c>
      <c r="H188" s="254"/>
      <c r="I188" s="254"/>
      <c r="J188" s="254"/>
      <c r="K188" s="254"/>
      <c r="L188" s="255">
        <v>34378</v>
      </c>
      <c r="M188" s="254"/>
      <c r="N188" s="255">
        <v>14324.18</v>
      </c>
      <c r="O188" s="255">
        <v>2864.82</v>
      </c>
      <c r="P188" s="254"/>
      <c r="Q188" s="254"/>
      <c r="R188" s="254"/>
      <c r="S188" s="254"/>
      <c r="T188" s="255">
        <v>17189</v>
      </c>
      <c r="U188" s="254"/>
      <c r="V188" s="254"/>
      <c r="W188" s="253"/>
      <c r="X188" s="253"/>
    </row>
    <row r="189" spans="1:24" ht="12" hidden="1" customHeight="1" outlineLevel="2" x14ac:dyDescent="0.2">
      <c r="A189" s="252" t="s">
        <v>1555</v>
      </c>
      <c r="B189" s="249"/>
      <c r="C189" s="249"/>
      <c r="D189" s="251">
        <v>34378</v>
      </c>
      <c r="E189" s="251">
        <v>17189</v>
      </c>
      <c r="F189" s="250"/>
      <c r="G189" s="251">
        <v>17189</v>
      </c>
      <c r="H189" s="250"/>
      <c r="I189" s="250"/>
      <c r="J189" s="250"/>
      <c r="K189" s="250"/>
      <c r="L189" s="251">
        <v>34378</v>
      </c>
      <c r="M189" s="250"/>
      <c r="N189" s="251">
        <v>14324.18</v>
      </c>
      <c r="O189" s="251">
        <v>2864.82</v>
      </c>
      <c r="P189" s="250"/>
      <c r="Q189" s="250"/>
      <c r="R189" s="250"/>
      <c r="S189" s="250"/>
      <c r="T189" s="251">
        <v>17189</v>
      </c>
      <c r="U189" s="250"/>
      <c r="V189" s="250"/>
      <c r="W189" s="249"/>
      <c r="X189" s="249"/>
    </row>
    <row r="190" spans="1:24" ht="36.950000000000003" customHeight="1" outlineLevel="1" collapsed="1" x14ac:dyDescent="0.2">
      <c r="A190" s="256" t="s">
        <v>1610</v>
      </c>
      <c r="B190" s="253"/>
      <c r="C190" s="253"/>
      <c r="D190" s="255">
        <v>139600</v>
      </c>
      <c r="E190" s="255">
        <v>69800</v>
      </c>
      <c r="F190" s="254"/>
      <c r="G190" s="255">
        <v>69800</v>
      </c>
      <c r="H190" s="254"/>
      <c r="I190" s="254"/>
      <c r="J190" s="254"/>
      <c r="K190" s="254"/>
      <c r="L190" s="255">
        <v>139600</v>
      </c>
      <c r="M190" s="254"/>
      <c r="N190" s="254"/>
      <c r="O190" s="254"/>
      <c r="P190" s="254"/>
      <c r="Q190" s="255">
        <v>69800</v>
      </c>
      <c r="R190" s="254"/>
      <c r="S190" s="254"/>
      <c r="T190" s="255">
        <v>69800</v>
      </c>
      <c r="U190" s="254"/>
      <c r="V190" s="254"/>
      <c r="W190" s="253"/>
      <c r="X190" s="253"/>
    </row>
    <row r="191" spans="1:24" ht="12" hidden="1" customHeight="1" outlineLevel="2" x14ac:dyDescent="0.2">
      <c r="A191" s="252" t="s">
        <v>1555</v>
      </c>
      <c r="B191" s="249"/>
      <c r="C191" s="249"/>
      <c r="D191" s="251">
        <v>139600</v>
      </c>
      <c r="E191" s="251">
        <v>69800</v>
      </c>
      <c r="F191" s="250"/>
      <c r="G191" s="251">
        <v>69800</v>
      </c>
      <c r="H191" s="250"/>
      <c r="I191" s="250"/>
      <c r="J191" s="250"/>
      <c r="K191" s="250"/>
      <c r="L191" s="251">
        <v>139600</v>
      </c>
      <c r="M191" s="250"/>
      <c r="N191" s="250"/>
      <c r="O191" s="250"/>
      <c r="P191" s="250"/>
      <c r="Q191" s="251">
        <v>69800</v>
      </c>
      <c r="R191" s="250"/>
      <c r="S191" s="250"/>
      <c r="T191" s="251">
        <v>69800</v>
      </c>
      <c r="U191" s="250"/>
      <c r="V191" s="250"/>
      <c r="W191" s="249"/>
      <c r="X191" s="249"/>
    </row>
    <row r="192" spans="1:24" ht="12" customHeight="1" outlineLevel="1" collapsed="1" x14ac:dyDescent="0.2">
      <c r="A192" s="256" t="s">
        <v>1609</v>
      </c>
      <c r="B192" s="253"/>
      <c r="C192" s="255">
        <v>53058</v>
      </c>
      <c r="D192" s="255">
        <v>519684</v>
      </c>
      <c r="E192" s="255">
        <v>519684</v>
      </c>
      <c r="F192" s="254"/>
      <c r="G192" s="254"/>
      <c r="H192" s="254"/>
      <c r="I192" s="254"/>
      <c r="J192" s="254"/>
      <c r="K192" s="254"/>
      <c r="L192" s="255">
        <v>519649.73</v>
      </c>
      <c r="M192" s="254"/>
      <c r="N192" s="255">
        <v>433041.44</v>
      </c>
      <c r="O192" s="255">
        <v>86608.29</v>
      </c>
      <c r="P192" s="254"/>
      <c r="Q192" s="254"/>
      <c r="R192" s="254"/>
      <c r="S192" s="254"/>
      <c r="T192" s="254"/>
      <c r="U192" s="254"/>
      <c r="V192" s="254"/>
      <c r="W192" s="253"/>
      <c r="X192" s="255">
        <v>53023.73</v>
      </c>
    </row>
    <row r="193" spans="1:24" ht="12" hidden="1" customHeight="1" outlineLevel="2" x14ac:dyDescent="0.2">
      <c r="A193" s="252" t="s">
        <v>1555</v>
      </c>
      <c r="B193" s="249"/>
      <c r="C193" s="251">
        <v>53058</v>
      </c>
      <c r="D193" s="251">
        <v>519684</v>
      </c>
      <c r="E193" s="251">
        <v>519684</v>
      </c>
      <c r="F193" s="250"/>
      <c r="G193" s="250"/>
      <c r="H193" s="250"/>
      <c r="I193" s="250"/>
      <c r="J193" s="250"/>
      <c r="K193" s="250"/>
      <c r="L193" s="251">
        <v>519649.73</v>
      </c>
      <c r="M193" s="250"/>
      <c r="N193" s="251">
        <v>433041.44</v>
      </c>
      <c r="O193" s="251">
        <v>86608.29</v>
      </c>
      <c r="P193" s="250"/>
      <c r="Q193" s="250"/>
      <c r="R193" s="250"/>
      <c r="S193" s="250"/>
      <c r="T193" s="250"/>
      <c r="U193" s="250"/>
      <c r="V193" s="250"/>
      <c r="W193" s="249"/>
      <c r="X193" s="251">
        <v>53023.73</v>
      </c>
    </row>
    <row r="194" spans="1:24" ht="12" customHeight="1" outlineLevel="1" collapsed="1" x14ac:dyDescent="0.2">
      <c r="A194" s="256" t="s">
        <v>1608</v>
      </c>
      <c r="B194" s="253"/>
      <c r="C194" s="253"/>
      <c r="D194" s="255">
        <v>1233502</v>
      </c>
      <c r="E194" s="255">
        <v>616751</v>
      </c>
      <c r="F194" s="254"/>
      <c r="G194" s="255">
        <v>616751</v>
      </c>
      <c r="H194" s="254"/>
      <c r="I194" s="254"/>
      <c r="J194" s="254"/>
      <c r="K194" s="254"/>
      <c r="L194" s="255">
        <v>1233502</v>
      </c>
      <c r="M194" s="254"/>
      <c r="N194" s="255">
        <v>616751</v>
      </c>
      <c r="O194" s="254"/>
      <c r="P194" s="254"/>
      <c r="Q194" s="254"/>
      <c r="R194" s="254"/>
      <c r="S194" s="254"/>
      <c r="T194" s="255">
        <v>616751</v>
      </c>
      <c r="U194" s="254"/>
      <c r="V194" s="254"/>
      <c r="W194" s="253"/>
      <c r="X194" s="253"/>
    </row>
    <row r="195" spans="1:24" ht="12" hidden="1" customHeight="1" outlineLevel="2" x14ac:dyDescent="0.2">
      <c r="A195" s="252" t="s">
        <v>1555</v>
      </c>
      <c r="B195" s="249"/>
      <c r="C195" s="249"/>
      <c r="D195" s="251">
        <v>1233502</v>
      </c>
      <c r="E195" s="251">
        <v>616751</v>
      </c>
      <c r="F195" s="250"/>
      <c r="G195" s="251">
        <v>616751</v>
      </c>
      <c r="H195" s="250"/>
      <c r="I195" s="250"/>
      <c r="J195" s="250"/>
      <c r="K195" s="250"/>
      <c r="L195" s="251">
        <v>1233502</v>
      </c>
      <c r="M195" s="250"/>
      <c r="N195" s="251">
        <v>616751</v>
      </c>
      <c r="O195" s="250"/>
      <c r="P195" s="250"/>
      <c r="Q195" s="250"/>
      <c r="R195" s="250"/>
      <c r="S195" s="250"/>
      <c r="T195" s="251">
        <v>616751</v>
      </c>
      <c r="U195" s="250"/>
      <c r="V195" s="250"/>
      <c r="W195" s="249"/>
      <c r="X195" s="249"/>
    </row>
    <row r="196" spans="1:24" ht="12" customHeight="1" outlineLevel="1" collapsed="1" x14ac:dyDescent="0.2">
      <c r="A196" s="256" t="s">
        <v>1607</v>
      </c>
      <c r="B196" s="253"/>
      <c r="C196" s="253"/>
      <c r="D196" s="255">
        <v>30996</v>
      </c>
      <c r="E196" s="255">
        <v>15498</v>
      </c>
      <c r="F196" s="254"/>
      <c r="G196" s="255">
        <v>15498</v>
      </c>
      <c r="H196" s="254"/>
      <c r="I196" s="254"/>
      <c r="J196" s="254"/>
      <c r="K196" s="254"/>
      <c r="L196" s="255">
        <v>30996</v>
      </c>
      <c r="M196" s="254"/>
      <c r="N196" s="255">
        <v>12915</v>
      </c>
      <c r="O196" s="255">
        <v>2583</v>
      </c>
      <c r="P196" s="254"/>
      <c r="Q196" s="254"/>
      <c r="R196" s="254"/>
      <c r="S196" s="254"/>
      <c r="T196" s="255">
        <v>15498</v>
      </c>
      <c r="U196" s="254"/>
      <c r="V196" s="254"/>
      <c r="W196" s="253"/>
      <c r="X196" s="253"/>
    </row>
    <row r="197" spans="1:24" ht="12" hidden="1" customHeight="1" outlineLevel="2" x14ac:dyDescent="0.2">
      <c r="A197" s="252" t="s">
        <v>1555</v>
      </c>
      <c r="B197" s="249"/>
      <c r="C197" s="249"/>
      <c r="D197" s="251">
        <v>30996</v>
      </c>
      <c r="E197" s="251">
        <v>15498</v>
      </c>
      <c r="F197" s="250"/>
      <c r="G197" s="251">
        <v>15498</v>
      </c>
      <c r="H197" s="250"/>
      <c r="I197" s="250"/>
      <c r="J197" s="250"/>
      <c r="K197" s="250"/>
      <c r="L197" s="251">
        <v>30996</v>
      </c>
      <c r="M197" s="250"/>
      <c r="N197" s="251">
        <v>12915</v>
      </c>
      <c r="O197" s="251">
        <v>2583</v>
      </c>
      <c r="P197" s="250"/>
      <c r="Q197" s="250"/>
      <c r="R197" s="250"/>
      <c r="S197" s="250"/>
      <c r="T197" s="251">
        <v>15498</v>
      </c>
      <c r="U197" s="250"/>
      <c r="V197" s="250"/>
      <c r="W197" s="249"/>
      <c r="X197" s="249"/>
    </row>
    <row r="198" spans="1:24" ht="12" customHeight="1" outlineLevel="1" collapsed="1" x14ac:dyDescent="0.2">
      <c r="A198" s="256" t="s">
        <v>1606</v>
      </c>
      <c r="B198" s="253"/>
      <c r="C198" s="253"/>
      <c r="D198" s="255">
        <v>1109427.24</v>
      </c>
      <c r="E198" s="255">
        <v>554713.62</v>
      </c>
      <c r="F198" s="254"/>
      <c r="G198" s="255">
        <v>554713.62</v>
      </c>
      <c r="H198" s="254"/>
      <c r="I198" s="254"/>
      <c r="J198" s="254"/>
      <c r="K198" s="254"/>
      <c r="L198" s="255">
        <v>1109427.24</v>
      </c>
      <c r="M198" s="254"/>
      <c r="N198" s="255">
        <v>462261.35</v>
      </c>
      <c r="O198" s="255">
        <v>92452.27</v>
      </c>
      <c r="P198" s="254"/>
      <c r="Q198" s="254"/>
      <c r="R198" s="254"/>
      <c r="S198" s="254"/>
      <c r="T198" s="255">
        <v>554713.62</v>
      </c>
      <c r="U198" s="254"/>
      <c r="V198" s="254"/>
      <c r="W198" s="253"/>
      <c r="X198" s="253"/>
    </row>
    <row r="199" spans="1:24" ht="12" hidden="1" customHeight="1" outlineLevel="2" x14ac:dyDescent="0.2">
      <c r="A199" s="252" t="s">
        <v>1555</v>
      </c>
      <c r="B199" s="249"/>
      <c r="C199" s="249"/>
      <c r="D199" s="251">
        <v>1109427.24</v>
      </c>
      <c r="E199" s="251">
        <v>554713.62</v>
      </c>
      <c r="F199" s="250"/>
      <c r="G199" s="251">
        <v>554713.62</v>
      </c>
      <c r="H199" s="250"/>
      <c r="I199" s="250"/>
      <c r="J199" s="250"/>
      <c r="K199" s="250"/>
      <c r="L199" s="251">
        <v>1109427.24</v>
      </c>
      <c r="M199" s="250"/>
      <c r="N199" s="251">
        <v>462261.35</v>
      </c>
      <c r="O199" s="251">
        <v>92452.27</v>
      </c>
      <c r="P199" s="250"/>
      <c r="Q199" s="250"/>
      <c r="R199" s="250"/>
      <c r="S199" s="250"/>
      <c r="T199" s="251">
        <v>554713.62</v>
      </c>
      <c r="U199" s="250"/>
      <c r="V199" s="250"/>
      <c r="W199" s="249"/>
      <c r="X199" s="249"/>
    </row>
    <row r="200" spans="1:24" ht="12" customHeight="1" outlineLevel="1" collapsed="1" x14ac:dyDescent="0.2">
      <c r="A200" s="256" t="s">
        <v>1605</v>
      </c>
      <c r="B200" s="253"/>
      <c r="C200" s="253"/>
      <c r="D200" s="255">
        <v>45700</v>
      </c>
      <c r="E200" s="255">
        <v>22850</v>
      </c>
      <c r="F200" s="254"/>
      <c r="G200" s="255">
        <v>22850</v>
      </c>
      <c r="H200" s="254"/>
      <c r="I200" s="254"/>
      <c r="J200" s="254"/>
      <c r="K200" s="254"/>
      <c r="L200" s="255">
        <v>45700</v>
      </c>
      <c r="M200" s="254"/>
      <c r="N200" s="255">
        <v>22850</v>
      </c>
      <c r="O200" s="254"/>
      <c r="P200" s="254"/>
      <c r="Q200" s="254"/>
      <c r="R200" s="254"/>
      <c r="S200" s="254"/>
      <c r="T200" s="255">
        <v>22850</v>
      </c>
      <c r="U200" s="254"/>
      <c r="V200" s="254"/>
      <c r="W200" s="253"/>
      <c r="X200" s="253"/>
    </row>
    <row r="201" spans="1:24" ht="12" hidden="1" customHeight="1" outlineLevel="2" x14ac:dyDescent="0.2">
      <c r="A201" s="252" t="s">
        <v>1555</v>
      </c>
      <c r="B201" s="249"/>
      <c r="C201" s="249"/>
      <c r="D201" s="251">
        <v>45700</v>
      </c>
      <c r="E201" s="251">
        <v>22850</v>
      </c>
      <c r="F201" s="250"/>
      <c r="G201" s="251">
        <v>22850</v>
      </c>
      <c r="H201" s="250"/>
      <c r="I201" s="250"/>
      <c r="J201" s="250"/>
      <c r="K201" s="250"/>
      <c r="L201" s="251">
        <v>45700</v>
      </c>
      <c r="M201" s="250"/>
      <c r="N201" s="251">
        <v>22850</v>
      </c>
      <c r="O201" s="250"/>
      <c r="P201" s="250"/>
      <c r="Q201" s="250"/>
      <c r="R201" s="250"/>
      <c r="S201" s="250"/>
      <c r="T201" s="251">
        <v>22850</v>
      </c>
      <c r="U201" s="250"/>
      <c r="V201" s="250"/>
      <c r="W201" s="249"/>
      <c r="X201" s="249"/>
    </row>
    <row r="202" spans="1:24" ht="24.95" customHeight="1" outlineLevel="1" collapsed="1" x14ac:dyDescent="0.2">
      <c r="A202" s="256" t="s">
        <v>1604</v>
      </c>
      <c r="B202" s="253"/>
      <c r="C202" s="253"/>
      <c r="D202" s="255">
        <v>19384</v>
      </c>
      <c r="E202" s="255">
        <v>9692</v>
      </c>
      <c r="F202" s="254"/>
      <c r="G202" s="255">
        <v>9692</v>
      </c>
      <c r="H202" s="254"/>
      <c r="I202" s="254"/>
      <c r="J202" s="254"/>
      <c r="K202" s="254"/>
      <c r="L202" s="255">
        <v>19384</v>
      </c>
      <c r="M202" s="254"/>
      <c r="N202" s="255">
        <v>8076.67</v>
      </c>
      <c r="O202" s="255">
        <v>1615.33</v>
      </c>
      <c r="P202" s="254"/>
      <c r="Q202" s="254"/>
      <c r="R202" s="254"/>
      <c r="S202" s="254"/>
      <c r="T202" s="255">
        <v>9692</v>
      </c>
      <c r="U202" s="254"/>
      <c r="V202" s="254"/>
      <c r="W202" s="253"/>
      <c r="X202" s="253"/>
    </row>
    <row r="203" spans="1:24" ht="12" hidden="1" customHeight="1" outlineLevel="2" x14ac:dyDescent="0.2">
      <c r="A203" s="252" t="s">
        <v>1555</v>
      </c>
      <c r="B203" s="249"/>
      <c r="C203" s="249"/>
      <c r="D203" s="251">
        <v>19384</v>
      </c>
      <c r="E203" s="251">
        <v>9692</v>
      </c>
      <c r="F203" s="250"/>
      <c r="G203" s="251">
        <v>9692</v>
      </c>
      <c r="H203" s="250"/>
      <c r="I203" s="250"/>
      <c r="J203" s="250"/>
      <c r="K203" s="250"/>
      <c r="L203" s="251">
        <v>19384</v>
      </c>
      <c r="M203" s="250"/>
      <c r="N203" s="251">
        <v>8076.67</v>
      </c>
      <c r="O203" s="251">
        <v>1615.33</v>
      </c>
      <c r="P203" s="250"/>
      <c r="Q203" s="250"/>
      <c r="R203" s="250"/>
      <c r="S203" s="250"/>
      <c r="T203" s="251">
        <v>9692</v>
      </c>
      <c r="U203" s="250"/>
      <c r="V203" s="250"/>
      <c r="W203" s="249"/>
      <c r="X203" s="249"/>
    </row>
    <row r="204" spans="1:24" ht="12" customHeight="1" outlineLevel="1" collapsed="1" x14ac:dyDescent="0.2">
      <c r="A204" s="256" t="s">
        <v>1603</v>
      </c>
      <c r="B204" s="253"/>
      <c r="C204" s="253"/>
      <c r="D204" s="255">
        <v>72534.86</v>
      </c>
      <c r="E204" s="255">
        <v>55069.2</v>
      </c>
      <c r="F204" s="254"/>
      <c r="G204" s="255">
        <v>17465.66</v>
      </c>
      <c r="H204" s="254"/>
      <c r="I204" s="254"/>
      <c r="J204" s="254"/>
      <c r="K204" s="254"/>
      <c r="L204" s="255">
        <v>72534.86</v>
      </c>
      <c r="M204" s="254"/>
      <c r="N204" s="254"/>
      <c r="O204" s="255">
        <v>9178.2000000000007</v>
      </c>
      <c r="P204" s="254"/>
      <c r="Q204" s="254"/>
      <c r="R204" s="255">
        <v>45891</v>
      </c>
      <c r="S204" s="254"/>
      <c r="T204" s="255">
        <v>17465.66</v>
      </c>
      <c r="U204" s="254"/>
      <c r="V204" s="254"/>
      <c r="W204" s="253"/>
      <c r="X204" s="253"/>
    </row>
    <row r="205" spans="1:24" ht="12" hidden="1" customHeight="1" outlineLevel="2" x14ac:dyDescent="0.2">
      <c r="A205" s="252" t="s">
        <v>1555</v>
      </c>
      <c r="B205" s="249"/>
      <c r="C205" s="249"/>
      <c r="D205" s="251">
        <v>72534.86</v>
      </c>
      <c r="E205" s="251">
        <v>55069.2</v>
      </c>
      <c r="F205" s="250"/>
      <c r="G205" s="251">
        <v>17465.66</v>
      </c>
      <c r="H205" s="250"/>
      <c r="I205" s="250"/>
      <c r="J205" s="250"/>
      <c r="K205" s="250"/>
      <c r="L205" s="251">
        <v>72534.86</v>
      </c>
      <c r="M205" s="250"/>
      <c r="N205" s="250"/>
      <c r="O205" s="251">
        <v>9178.2000000000007</v>
      </c>
      <c r="P205" s="250"/>
      <c r="Q205" s="250"/>
      <c r="R205" s="251">
        <v>45891</v>
      </c>
      <c r="S205" s="250"/>
      <c r="T205" s="251">
        <v>17465.66</v>
      </c>
      <c r="U205" s="250"/>
      <c r="V205" s="250"/>
      <c r="W205" s="249"/>
      <c r="X205" s="249"/>
    </row>
    <row r="206" spans="1:24" ht="12" customHeight="1" outlineLevel="1" x14ac:dyDescent="0.2">
      <c r="A206" s="256" t="s">
        <v>1602</v>
      </c>
      <c r="B206" s="253"/>
      <c r="C206" s="255">
        <v>223657.96</v>
      </c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3"/>
      <c r="X206" s="255">
        <v>223657.96</v>
      </c>
    </row>
    <row r="207" spans="1:24" ht="12" customHeight="1" outlineLevel="1" collapsed="1" x14ac:dyDescent="0.2">
      <c r="A207" s="256" t="s">
        <v>1601</v>
      </c>
      <c r="B207" s="253"/>
      <c r="C207" s="253"/>
      <c r="D207" s="255">
        <v>41280</v>
      </c>
      <c r="E207" s="255">
        <v>20640</v>
      </c>
      <c r="F207" s="254"/>
      <c r="G207" s="255">
        <v>20640</v>
      </c>
      <c r="H207" s="254"/>
      <c r="I207" s="254"/>
      <c r="J207" s="254"/>
      <c r="K207" s="254"/>
      <c r="L207" s="255">
        <v>41280</v>
      </c>
      <c r="M207" s="254"/>
      <c r="N207" s="255">
        <v>17200</v>
      </c>
      <c r="O207" s="255">
        <v>3440</v>
      </c>
      <c r="P207" s="254"/>
      <c r="Q207" s="254"/>
      <c r="R207" s="254"/>
      <c r="S207" s="254"/>
      <c r="T207" s="255">
        <v>20640</v>
      </c>
      <c r="U207" s="254"/>
      <c r="V207" s="254"/>
      <c r="W207" s="253"/>
      <c r="X207" s="253"/>
    </row>
    <row r="208" spans="1:24" ht="12" hidden="1" customHeight="1" outlineLevel="2" x14ac:dyDescent="0.2">
      <c r="A208" s="252" t="s">
        <v>1555</v>
      </c>
      <c r="B208" s="249"/>
      <c r="C208" s="249"/>
      <c r="D208" s="251">
        <v>41280</v>
      </c>
      <c r="E208" s="251">
        <v>20640</v>
      </c>
      <c r="F208" s="250"/>
      <c r="G208" s="251">
        <v>20640</v>
      </c>
      <c r="H208" s="250"/>
      <c r="I208" s="250"/>
      <c r="J208" s="250"/>
      <c r="K208" s="250"/>
      <c r="L208" s="251">
        <v>41280</v>
      </c>
      <c r="M208" s="250"/>
      <c r="N208" s="251">
        <v>17200</v>
      </c>
      <c r="O208" s="251">
        <v>3440</v>
      </c>
      <c r="P208" s="250"/>
      <c r="Q208" s="250"/>
      <c r="R208" s="250"/>
      <c r="S208" s="250"/>
      <c r="T208" s="251">
        <v>20640</v>
      </c>
      <c r="U208" s="250"/>
      <c r="V208" s="250"/>
      <c r="W208" s="249"/>
      <c r="X208" s="249"/>
    </row>
    <row r="209" spans="1:24" ht="24.95" customHeight="1" outlineLevel="1" collapsed="1" x14ac:dyDescent="0.2">
      <c r="A209" s="256" t="s">
        <v>1600</v>
      </c>
      <c r="B209" s="253"/>
      <c r="C209" s="253"/>
      <c r="D209" s="255">
        <v>1667300</v>
      </c>
      <c r="E209" s="255">
        <v>1545800</v>
      </c>
      <c r="F209" s="254"/>
      <c r="G209" s="255">
        <v>121500</v>
      </c>
      <c r="H209" s="254"/>
      <c r="I209" s="254"/>
      <c r="J209" s="254"/>
      <c r="K209" s="254"/>
      <c r="L209" s="255">
        <v>1667300</v>
      </c>
      <c r="M209" s="254"/>
      <c r="N209" s="254"/>
      <c r="O209" s="254"/>
      <c r="P209" s="255">
        <v>1485800</v>
      </c>
      <c r="Q209" s="255">
        <v>60000</v>
      </c>
      <c r="R209" s="254"/>
      <c r="S209" s="254"/>
      <c r="T209" s="255">
        <v>121500</v>
      </c>
      <c r="U209" s="254"/>
      <c r="V209" s="254"/>
      <c r="W209" s="253"/>
      <c r="X209" s="253"/>
    </row>
    <row r="210" spans="1:24" ht="12" hidden="1" customHeight="1" outlineLevel="2" x14ac:dyDescent="0.2">
      <c r="A210" s="252" t="s">
        <v>1555</v>
      </c>
      <c r="B210" s="249"/>
      <c r="C210" s="249"/>
      <c r="D210" s="251">
        <v>1667300</v>
      </c>
      <c r="E210" s="251">
        <v>1545800</v>
      </c>
      <c r="F210" s="250"/>
      <c r="G210" s="251">
        <v>121500</v>
      </c>
      <c r="H210" s="250"/>
      <c r="I210" s="250"/>
      <c r="J210" s="250"/>
      <c r="K210" s="250"/>
      <c r="L210" s="251">
        <v>1667300</v>
      </c>
      <c r="M210" s="250"/>
      <c r="N210" s="250"/>
      <c r="O210" s="250"/>
      <c r="P210" s="251">
        <v>1485800</v>
      </c>
      <c r="Q210" s="251">
        <v>60000</v>
      </c>
      <c r="R210" s="250"/>
      <c r="S210" s="250"/>
      <c r="T210" s="251">
        <v>121500</v>
      </c>
      <c r="U210" s="250"/>
      <c r="V210" s="250"/>
      <c r="W210" s="249"/>
      <c r="X210" s="249"/>
    </row>
    <row r="211" spans="1:24" ht="12" customHeight="1" outlineLevel="1" collapsed="1" x14ac:dyDescent="0.2">
      <c r="A211" s="256" t="s">
        <v>1599</v>
      </c>
      <c r="B211" s="253"/>
      <c r="C211" s="253"/>
      <c r="D211" s="255">
        <v>381600</v>
      </c>
      <c r="E211" s="255">
        <v>190800</v>
      </c>
      <c r="F211" s="254"/>
      <c r="G211" s="255">
        <v>190800</v>
      </c>
      <c r="H211" s="254"/>
      <c r="I211" s="254"/>
      <c r="J211" s="254"/>
      <c r="K211" s="254"/>
      <c r="L211" s="255">
        <v>381600</v>
      </c>
      <c r="M211" s="254"/>
      <c r="N211" s="255">
        <v>159000</v>
      </c>
      <c r="O211" s="255">
        <v>31800</v>
      </c>
      <c r="P211" s="254"/>
      <c r="Q211" s="254"/>
      <c r="R211" s="254"/>
      <c r="S211" s="254"/>
      <c r="T211" s="255">
        <v>190800</v>
      </c>
      <c r="U211" s="254"/>
      <c r="V211" s="254"/>
      <c r="W211" s="253"/>
      <c r="X211" s="253"/>
    </row>
    <row r="212" spans="1:24" ht="12" hidden="1" customHeight="1" outlineLevel="2" x14ac:dyDescent="0.2">
      <c r="A212" s="252" t="s">
        <v>1555</v>
      </c>
      <c r="B212" s="249"/>
      <c r="C212" s="249"/>
      <c r="D212" s="251">
        <v>381600</v>
      </c>
      <c r="E212" s="251">
        <v>190800</v>
      </c>
      <c r="F212" s="250"/>
      <c r="G212" s="251">
        <v>190800</v>
      </c>
      <c r="H212" s="250"/>
      <c r="I212" s="250"/>
      <c r="J212" s="250"/>
      <c r="K212" s="250"/>
      <c r="L212" s="251">
        <v>381600</v>
      </c>
      <c r="M212" s="250"/>
      <c r="N212" s="251">
        <v>159000</v>
      </c>
      <c r="O212" s="251">
        <v>31800</v>
      </c>
      <c r="P212" s="250"/>
      <c r="Q212" s="250"/>
      <c r="R212" s="250"/>
      <c r="S212" s="250"/>
      <c r="T212" s="251">
        <v>190800</v>
      </c>
      <c r="U212" s="250"/>
      <c r="V212" s="250"/>
      <c r="W212" s="249"/>
      <c r="X212" s="249"/>
    </row>
    <row r="213" spans="1:24" ht="12" customHeight="1" outlineLevel="1" collapsed="1" x14ac:dyDescent="0.2">
      <c r="A213" s="256" t="s">
        <v>1598</v>
      </c>
      <c r="B213" s="253"/>
      <c r="C213" s="253"/>
      <c r="D213" s="255">
        <v>94200</v>
      </c>
      <c r="E213" s="255">
        <v>47100</v>
      </c>
      <c r="F213" s="254"/>
      <c r="G213" s="255">
        <v>47100</v>
      </c>
      <c r="H213" s="254"/>
      <c r="I213" s="254"/>
      <c r="J213" s="254"/>
      <c r="K213" s="254"/>
      <c r="L213" s="255">
        <v>94200</v>
      </c>
      <c r="M213" s="254"/>
      <c r="N213" s="254"/>
      <c r="O213" s="254"/>
      <c r="P213" s="254"/>
      <c r="Q213" s="255">
        <v>47100</v>
      </c>
      <c r="R213" s="254"/>
      <c r="S213" s="254"/>
      <c r="T213" s="255">
        <v>47100</v>
      </c>
      <c r="U213" s="254"/>
      <c r="V213" s="254"/>
      <c r="W213" s="253"/>
      <c r="X213" s="253"/>
    </row>
    <row r="214" spans="1:24" ht="12" hidden="1" customHeight="1" outlineLevel="2" x14ac:dyDescent="0.2">
      <c r="A214" s="252" t="s">
        <v>1555</v>
      </c>
      <c r="B214" s="249"/>
      <c r="C214" s="249"/>
      <c r="D214" s="251">
        <v>94200</v>
      </c>
      <c r="E214" s="251">
        <v>47100</v>
      </c>
      <c r="F214" s="250"/>
      <c r="G214" s="251">
        <v>47100</v>
      </c>
      <c r="H214" s="250"/>
      <c r="I214" s="250"/>
      <c r="J214" s="250"/>
      <c r="K214" s="250"/>
      <c r="L214" s="251">
        <v>94200</v>
      </c>
      <c r="M214" s="250"/>
      <c r="N214" s="250"/>
      <c r="O214" s="250"/>
      <c r="P214" s="250"/>
      <c r="Q214" s="251">
        <v>47100</v>
      </c>
      <c r="R214" s="250"/>
      <c r="S214" s="250"/>
      <c r="T214" s="251">
        <v>47100</v>
      </c>
      <c r="U214" s="250"/>
      <c r="V214" s="250"/>
      <c r="W214" s="249"/>
      <c r="X214" s="249"/>
    </row>
    <row r="215" spans="1:24" ht="12" customHeight="1" outlineLevel="1" collapsed="1" x14ac:dyDescent="0.2">
      <c r="A215" s="256" t="s">
        <v>1597</v>
      </c>
      <c r="B215" s="253"/>
      <c r="C215" s="253"/>
      <c r="D215" s="255">
        <v>36100</v>
      </c>
      <c r="E215" s="255">
        <v>18050</v>
      </c>
      <c r="F215" s="254"/>
      <c r="G215" s="255">
        <v>18050</v>
      </c>
      <c r="H215" s="254"/>
      <c r="I215" s="254"/>
      <c r="J215" s="254"/>
      <c r="K215" s="254"/>
      <c r="L215" s="255">
        <v>36100</v>
      </c>
      <c r="M215" s="254"/>
      <c r="N215" s="255">
        <v>15041.67</v>
      </c>
      <c r="O215" s="255">
        <v>3008.33</v>
      </c>
      <c r="P215" s="254"/>
      <c r="Q215" s="254"/>
      <c r="R215" s="254"/>
      <c r="S215" s="254"/>
      <c r="T215" s="255">
        <v>18050</v>
      </c>
      <c r="U215" s="254"/>
      <c r="V215" s="254"/>
      <c r="W215" s="253"/>
      <c r="X215" s="253"/>
    </row>
    <row r="216" spans="1:24" ht="12" hidden="1" customHeight="1" outlineLevel="2" x14ac:dyDescent="0.2">
      <c r="A216" s="252" t="s">
        <v>1555</v>
      </c>
      <c r="B216" s="249"/>
      <c r="C216" s="249"/>
      <c r="D216" s="251">
        <v>36100</v>
      </c>
      <c r="E216" s="251">
        <v>18050</v>
      </c>
      <c r="F216" s="250"/>
      <c r="G216" s="251">
        <v>18050</v>
      </c>
      <c r="H216" s="250"/>
      <c r="I216" s="250"/>
      <c r="J216" s="250"/>
      <c r="K216" s="250"/>
      <c r="L216" s="251">
        <v>36100</v>
      </c>
      <c r="M216" s="250"/>
      <c r="N216" s="251">
        <v>15041.67</v>
      </c>
      <c r="O216" s="251">
        <v>3008.33</v>
      </c>
      <c r="P216" s="250"/>
      <c r="Q216" s="250"/>
      <c r="R216" s="250"/>
      <c r="S216" s="250"/>
      <c r="T216" s="251">
        <v>18050</v>
      </c>
      <c r="U216" s="250"/>
      <c r="V216" s="250"/>
      <c r="W216" s="249"/>
      <c r="X216" s="249"/>
    </row>
    <row r="217" spans="1:24" ht="12" customHeight="1" outlineLevel="1" collapsed="1" x14ac:dyDescent="0.2">
      <c r="A217" s="256" t="s">
        <v>1596</v>
      </c>
      <c r="B217" s="253"/>
      <c r="C217" s="253"/>
      <c r="D217" s="255">
        <v>2288978</v>
      </c>
      <c r="E217" s="255">
        <v>1144489</v>
      </c>
      <c r="F217" s="254"/>
      <c r="G217" s="255">
        <v>1144489</v>
      </c>
      <c r="H217" s="254"/>
      <c r="I217" s="254"/>
      <c r="J217" s="254"/>
      <c r="K217" s="254"/>
      <c r="L217" s="255">
        <v>2288978</v>
      </c>
      <c r="M217" s="254"/>
      <c r="N217" s="254"/>
      <c r="O217" s="255">
        <v>190748.17</v>
      </c>
      <c r="P217" s="255">
        <v>953740.83</v>
      </c>
      <c r="Q217" s="254"/>
      <c r="R217" s="254"/>
      <c r="S217" s="254"/>
      <c r="T217" s="255">
        <v>1144489</v>
      </c>
      <c r="U217" s="254"/>
      <c r="V217" s="254"/>
      <c r="W217" s="253"/>
      <c r="X217" s="253"/>
    </row>
    <row r="218" spans="1:24" ht="12" hidden="1" customHeight="1" outlineLevel="2" x14ac:dyDescent="0.2">
      <c r="A218" s="252" t="s">
        <v>1555</v>
      </c>
      <c r="B218" s="249"/>
      <c r="C218" s="249"/>
      <c r="D218" s="251">
        <v>2288978</v>
      </c>
      <c r="E218" s="251">
        <v>1144489</v>
      </c>
      <c r="F218" s="250"/>
      <c r="G218" s="251">
        <v>1144489</v>
      </c>
      <c r="H218" s="250"/>
      <c r="I218" s="250"/>
      <c r="J218" s="250"/>
      <c r="K218" s="250"/>
      <c r="L218" s="251">
        <v>2288978</v>
      </c>
      <c r="M218" s="250"/>
      <c r="N218" s="250"/>
      <c r="O218" s="251">
        <v>190748.17</v>
      </c>
      <c r="P218" s="251">
        <v>953740.83</v>
      </c>
      <c r="Q218" s="250"/>
      <c r="R218" s="250"/>
      <c r="S218" s="250"/>
      <c r="T218" s="251">
        <v>1144489</v>
      </c>
      <c r="U218" s="250"/>
      <c r="V218" s="250"/>
      <c r="W218" s="249"/>
      <c r="X218" s="249"/>
    </row>
    <row r="219" spans="1:24" ht="36.950000000000003" customHeight="1" outlineLevel="1" collapsed="1" x14ac:dyDescent="0.2">
      <c r="A219" s="256" t="s">
        <v>1595</v>
      </c>
      <c r="B219" s="253"/>
      <c r="C219" s="253"/>
      <c r="D219" s="255">
        <v>84118.86</v>
      </c>
      <c r="E219" s="255">
        <v>84118.86</v>
      </c>
      <c r="F219" s="254"/>
      <c r="G219" s="254"/>
      <c r="H219" s="254"/>
      <c r="I219" s="254"/>
      <c r="J219" s="254"/>
      <c r="K219" s="254"/>
      <c r="L219" s="255">
        <v>84118.86</v>
      </c>
      <c r="M219" s="254"/>
      <c r="N219" s="254"/>
      <c r="O219" s="254"/>
      <c r="P219" s="254"/>
      <c r="Q219" s="254"/>
      <c r="R219" s="254"/>
      <c r="S219" s="254"/>
      <c r="T219" s="254"/>
      <c r="U219" s="255">
        <v>84118.86</v>
      </c>
      <c r="V219" s="254"/>
      <c r="W219" s="253"/>
      <c r="X219" s="253"/>
    </row>
    <row r="220" spans="1:24" ht="12" hidden="1" customHeight="1" outlineLevel="2" x14ac:dyDescent="0.2">
      <c r="A220" s="252" t="s">
        <v>1555</v>
      </c>
      <c r="B220" s="249"/>
      <c r="C220" s="249"/>
      <c r="D220" s="251">
        <v>84118.86</v>
      </c>
      <c r="E220" s="251">
        <v>84118.86</v>
      </c>
      <c r="F220" s="250"/>
      <c r="G220" s="250"/>
      <c r="H220" s="250"/>
      <c r="I220" s="250"/>
      <c r="J220" s="250"/>
      <c r="K220" s="250"/>
      <c r="L220" s="251">
        <v>84118.86</v>
      </c>
      <c r="M220" s="250"/>
      <c r="N220" s="250"/>
      <c r="O220" s="250"/>
      <c r="P220" s="250"/>
      <c r="Q220" s="250"/>
      <c r="R220" s="250"/>
      <c r="S220" s="250"/>
      <c r="T220" s="250"/>
      <c r="U220" s="251">
        <v>84118.86</v>
      </c>
      <c r="V220" s="250"/>
      <c r="W220" s="249"/>
      <c r="X220" s="249"/>
    </row>
    <row r="221" spans="1:24" ht="12" customHeight="1" outlineLevel="1" collapsed="1" x14ac:dyDescent="0.2">
      <c r="A221" s="256" t="s">
        <v>1594</v>
      </c>
      <c r="B221" s="253"/>
      <c r="C221" s="255">
        <v>30574.5</v>
      </c>
      <c r="D221" s="255">
        <v>394600.69</v>
      </c>
      <c r="E221" s="255">
        <v>390317.36</v>
      </c>
      <c r="F221" s="254"/>
      <c r="G221" s="255">
        <v>4283.33</v>
      </c>
      <c r="H221" s="254"/>
      <c r="I221" s="254"/>
      <c r="J221" s="254"/>
      <c r="K221" s="254"/>
      <c r="L221" s="255">
        <v>396985.19</v>
      </c>
      <c r="M221" s="254"/>
      <c r="N221" s="254"/>
      <c r="O221" s="255">
        <v>65450.34</v>
      </c>
      <c r="P221" s="254"/>
      <c r="Q221" s="255">
        <v>325704.99</v>
      </c>
      <c r="R221" s="254"/>
      <c r="S221" s="254"/>
      <c r="T221" s="255">
        <v>4283.33</v>
      </c>
      <c r="U221" s="255">
        <v>1546.53</v>
      </c>
      <c r="V221" s="254"/>
      <c r="W221" s="253"/>
      <c r="X221" s="255">
        <v>32959</v>
      </c>
    </row>
    <row r="222" spans="1:24" ht="12" hidden="1" customHeight="1" outlineLevel="2" x14ac:dyDescent="0.2">
      <c r="A222" s="252" t="s">
        <v>1555</v>
      </c>
      <c r="B222" s="249"/>
      <c r="C222" s="251">
        <v>30574.5</v>
      </c>
      <c r="D222" s="251">
        <v>394600.69</v>
      </c>
      <c r="E222" s="251">
        <v>390317.36</v>
      </c>
      <c r="F222" s="250"/>
      <c r="G222" s="251">
        <v>4283.33</v>
      </c>
      <c r="H222" s="250"/>
      <c r="I222" s="250"/>
      <c r="J222" s="250"/>
      <c r="K222" s="250"/>
      <c r="L222" s="251">
        <v>396985.19</v>
      </c>
      <c r="M222" s="250"/>
      <c r="N222" s="250"/>
      <c r="O222" s="251">
        <v>65450.34</v>
      </c>
      <c r="P222" s="250"/>
      <c r="Q222" s="251">
        <v>325704.99</v>
      </c>
      <c r="R222" s="250"/>
      <c r="S222" s="250"/>
      <c r="T222" s="251">
        <v>4283.33</v>
      </c>
      <c r="U222" s="251">
        <v>1546.53</v>
      </c>
      <c r="V222" s="250"/>
      <c r="W222" s="249"/>
      <c r="X222" s="251">
        <v>32959</v>
      </c>
    </row>
    <row r="223" spans="1:24" ht="12" customHeight="1" outlineLevel="1" collapsed="1" x14ac:dyDescent="0.2">
      <c r="A223" s="256" t="s">
        <v>1593</v>
      </c>
      <c r="B223" s="255">
        <v>14868.17</v>
      </c>
      <c r="C223" s="253"/>
      <c r="D223" s="255">
        <v>74042.570000000007</v>
      </c>
      <c r="E223" s="255">
        <v>37041</v>
      </c>
      <c r="F223" s="254"/>
      <c r="G223" s="255">
        <v>37001.57</v>
      </c>
      <c r="H223" s="254"/>
      <c r="I223" s="254"/>
      <c r="J223" s="254"/>
      <c r="K223" s="254"/>
      <c r="L223" s="255">
        <v>74003.14</v>
      </c>
      <c r="M223" s="254"/>
      <c r="N223" s="254"/>
      <c r="O223" s="255">
        <v>6167.01</v>
      </c>
      <c r="P223" s="254"/>
      <c r="Q223" s="254"/>
      <c r="R223" s="255">
        <v>30834.560000000001</v>
      </c>
      <c r="S223" s="254"/>
      <c r="T223" s="255">
        <v>37001.57</v>
      </c>
      <c r="U223" s="254"/>
      <c r="V223" s="254"/>
      <c r="W223" s="255">
        <v>14907.6</v>
      </c>
      <c r="X223" s="253"/>
    </row>
    <row r="224" spans="1:24" ht="12" hidden="1" customHeight="1" outlineLevel="2" x14ac:dyDescent="0.2">
      <c r="A224" s="252" t="s">
        <v>1555</v>
      </c>
      <c r="B224" s="251">
        <v>14868.17</v>
      </c>
      <c r="C224" s="249"/>
      <c r="D224" s="251">
        <v>74042.570000000007</v>
      </c>
      <c r="E224" s="251">
        <v>37041</v>
      </c>
      <c r="F224" s="250"/>
      <c r="G224" s="251">
        <v>37001.57</v>
      </c>
      <c r="H224" s="250"/>
      <c r="I224" s="250"/>
      <c r="J224" s="250"/>
      <c r="K224" s="250"/>
      <c r="L224" s="251">
        <v>74003.14</v>
      </c>
      <c r="M224" s="250"/>
      <c r="N224" s="250"/>
      <c r="O224" s="251">
        <v>6167.01</v>
      </c>
      <c r="P224" s="250"/>
      <c r="Q224" s="250"/>
      <c r="R224" s="251">
        <v>30834.560000000001</v>
      </c>
      <c r="S224" s="250"/>
      <c r="T224" s="251">
        <v>37001.57</v>
      </c>
      <c r="U224" s="250"/>
      <c r="V224" s="250"/>
      <c r="W224" s="251">
        <v>14907.6</v>
      </c>
      <c r="X224" s="249"/>
    </row>
    <row r="225" spans="1:24" ht="12" customHeight="1" outlineLevel="1" collapsed="1" x14ac:dyDescent="0.2">
      <c r="A225" s="256" t="s">
        <v>1592</v>
      </c>
      <c r="B225" s="255">
        <v>90600</v>
      </c>
      <c r="C225" s="253"/>
      <c r="D225" s="255">
        <v>140400</v>
      </c>
      <c r="E225" s="255">
        <v>24900</v>
      </c>
      <c r="F225" s="254"/>
      <c r="G225" s="255">
        <v>115500</v>
      </c>
      <c r="H225" s="254"/>
      <c r="I225" s="254"/>
      <c r="J225" s="254"/>
      <c r="K225" s="254"/>
      <c r="L225" s="255">
        <v>231000</v>
      </c>
      <c r="M225" s="254"/>
      <c r="N225" s="254"/>
      <c r="O225" s="255">
        <v>19250</v>
      </c>
      <c r="P225" s="254"/>
      <c r="Q225" s="254"/>
      <c r="R225" s="255">
        <v>96250</v>
      </c>
      <c r="S225" s="254"/>
      <c r="T225" s="255">
        <v>115500</v>
      </c>
      <c r="U225" s="254"/>
      <c r="V225" s="254"/>
      <c r="W225" s="253"/>
      <c r="X225" s="253"/>
    </row>
    <row r="226" spans="1:24" ht="12" hidden="1" customHeight="1" outlineLevel="2" x14ac:dyDescent="0.2">
      <c r="A226" s="252" t="s">
        <v>1555</v>
      </c>
      <c r="B226" s="251">
        <v>90600</v>
      </c>
      <c r="C226" s="249"/>
      <c r="D226" s="251">
        <v>140400</v>
      </c>
      <c r="E226" s="251">
        <v>24900</v>
      </c>
      <c r="F226" s="250"/>
      <c r="G226" s="251">
        <v>115500</v>
      </c>
      <c r="H226" s="250"/>
      <c r="I226" s="250"/>
      <c r="J226" s="250"/>
      <c r="K226" s="250"/>
      <c r="L226" s="251">
        <v>231000</v>
      </c>
      <c r="M226" s="250"/>
      <c r="N226" s="250"/>
      <c r="O226" s="251">
        <v>19250</v>
      </c>
      <c r="P226" s="250"/>
      <c r="Q226" s="250"/>
      <c r="R226" s="251">
        <v>96250</v>
      </c>
      <c r="S226" s="250"/>
      <c r="T226" s="251">
        <v>115500</v>
      </c>
      <c r="U226" s="250"/>
      <c r="V226" s="250"/>
      <c r="W226" s="249"/>
      <c r="X226" s="249"/>
    </row>
    <row r="227" spans="1:24" ht="12" customHeight="1" outlineLevel="1" collapsed="1" x14ac:dyDescent="0.2">
      <c r="A227" s="256" t="s">
        <v>1591</v>
      </c>
      <c r="B227" s="253"/>
      <c r="C227" s="255">
        <v>189753.23</v>
      </c>
      <c r="D227" s="255">
        <v>1437226.2</v>
      </c>
      <c r="E227" s="255">
        <v>1437226.2</v>
      </c>
      <c r="F227" s="254"/>
      <c r="G227" s="254"/>
      <c r="H227" s="254"/>
      <c r="I227" s="254"/>
      <c r="J227" s="254"/>
      <c r="K227" s="254"/>
      <c r="L227" s="255">
        <v>1340963.51</v>
      </c>
      <c r="M227" s="254"/>
      <c r="N227" s="254"/>
      <c r="O227" s="254"/>
      <c r="P227" s="255">
        <v>1340963.51</v>
      </c>
      <c r="Q227" s="254"/>
      <c r="R227" s="254"/>
      <c r="S227" s="254"/>
      <c r="T227" s="254"/>
      <c r="U227" s="254"/>
      <c r="V227" s="254"/>
      <c r="W227" s="253"/>
      <c r="X227" s="255">
        <v>93490.54</v>
      </c>
    </row>
    <row r="228" spans="1:24" ht="12" hidden="1" customHeight="1" outlineLevel="2" x14ac:dyDescent="0.2">
      <c r="A228" s="252" t="s">
        <v>1555</v>
      </c>
      <c r="B228" s="249"/>
      <c r="C228" s="251">
        <v>189753.23</v>
      </c>
      <c r="D228" s="251">
        <v>1437226.2</v>
      </c>
      <c r="E228" s="251">
        <v>1437226.2</v>
      </c>
      <c r="F228" s="250"/>
      <c r="G228" s="250"/>
      <c r="H228" s="250"/>
      <c r="I228" s="250"/>
      <c r="J228" s="250"/>
      <c r="K228" s="250"/>
      <c r="L228" s="251">
        <v>1340963.51</v>
      </c>
      <c r="M228" s="250"/>
      <c r="N228" s="250"/>
      <c r="O228" s="250"/>
      <c r="P228" s="251">
        <v>1340963.51</v>
      </c>
      <c r="Q228" s="250"/>
      <c r="R228" s="250"/>
      <c r="S228" s="250"/>
      <c r="T228" s="250"/>
      <c r="U228" s="250"/>
      <c r="V228" s="250"/>
      <c r="W228" s="249"/>
      <c r="X228" s="251">
        <v>93490.54</v>
      </c>
    </row>
    <row r="229" spans="1:24" ht="12" customHeight="1" outlineLevel="1" collapsed="1" x14ac:dyDescent="0.2">
      <c r="A229" s="256" t="s">
        <v>1590</v>
      </c>
      <c r="B229" s="253"/>
      <c r="C229" s="253"/>
      <c r="D229" s="255">
        <v>22000</v>
      </c>
      <c r="E229" s="255">
        <v>11000</v>
      </c>
      <c r="F229" s="254"/>
      <c r="G229" s="255">
        <v>11000</v>
      </c>
      <c r="H229" s="254"/>
      <c r="I229" s="254"/>
      <c r="J229" s="254"/>
      <c r="K229" s="254"/>
      <c r="L229" s="255">
        <v>22000</v>
      </c>
      <c r="M229" s="254"/>
      <c r="N229" s="254"/>
      <c r="O229" s="254"/>
      <c r="P229" s="254"/>
      <c r="Q229" s="254"/>
      <c r="R229" s="255">
        <v>11000</v>
      </c>
      <c r="S229" s="254"/>
      <c r="T229" s="255">
        <v>11000</v>
      </c>
      <c r="U229" s="254"/>
      <c r="V229" s="254"/>
      <c r="W229" s="253"/>
      <c r="X229" s="253"/>
    </row>
    <row r="230" spans="1:24" ht="12" hidden="1" customHeight="1" outlineLevel="2" x14ac:dyDescent="0.2">
      <c r="A230" s="252" t="s">
        <v>1555</v>
      </c>
      <c r="B230" s="249"/>
      <c r="C230" s="249"/>
      <c r="D230" s="251">
        <v>22000</v>
      </c>
      <c r="E230" s="251">
        <v>11000</v>
      </c>
      <c r="F230" s="250"/>
      <c r="G230" s="251">
        <v>11000</v>
      </c>
      <c r="H230" s="250"/>
      <c r="I230" s="250"/>
      <c r="J230" s="250"/>
      <c r="K230" s="250"/>
      <c r="L230" s="251">
        <v>22000</v>
      </c>
      <c r="M230" s="250"/>
      <c r="N230" s="250"/>
      <c r="O230" s="250"/>
      <c r="P230" s="250"/>
      <c r="Q230" s="250"/>
      <c r="R230" s="251">
        <v>11000</v>
      </c>
      <c r="S230" s="250"/>
      <c r="T230" s="251">
        <v>11000</v>
      </c>
      <c r="U230" s="250"/>
      <c r="V230" s="250"/>
      <c r="W230" s="249"/>
      <c r="X230" s="249"/>
    </row>
    <row r="231" spans="1:24" ht="24.95" customHeight="1" outlineLevel="1" collapsed="1" x14ac:dyDescent="0.2">
      <c r="A231" s="256" t="s">
        <v>1589</v>
      </c>
      <c r="B231" s="255">
        <v>144000</v>
      </c>
      <c r="C231" s="253"/>
      <c r="D231" s="255">
        <v>144000</v>
      </c>
      <c r="E231" s="254"/>
      <c r="F231" s="254"/>
      <c r="G231" s="255">
        <v>144000</v>
      </c>
      <c r="H231" s="254"/>
      <c r="I231" s="254"/>
      <c r="J231" s="254"/>
      <c r="K231" s="254"/>
      <c r="L231" s="255">
        <v>288000</v>
      </c>
      <c r="M231" s="254"/>
      <c r="N231" s="254"/>
      <c r="O231" s="254"/>
      <c r="P231" s="254"/>
      <c r="Q231" s="255">
        <v>144000</v>
      </c>
      <c r="R231" s="254"/>
      <c r="S231" s="254"/>
      <c r="T231" s="255">
        <v>144000</v>
      </c>
      <c r="U231" s="254"/>
      <c r="V231" s="254"/>
      <c r="W231" s="253"/>
      <c r="X231" s="253"/>
    </row>
    <row r="232" spans="1:24" ht="12" hidden="1" customHeight="1" outlineLevel="2" x14ac:dyDescent="0.2">
      <c r="A232" s="252" t="s">
        <v>1555</v>
      </c>
      <c r="B232" s="251">
        <v>144000</v>
      </c>
      <c r="C232" s="249"/>
      <c r="D232" s="251">
        <v>144000</v>
      </c>
      <c r="E232" s="250"/>
      <c r="F232" s="250"/>
      <c r="G232" s="251">
        <v>144000</v>
      </c>
      <c r="H232" s="250"/>
      <c r="I232" s="250"/>
      <c r="J232" s="250"/>
      <c r="K232" s="250"/>
      <c r="L232" s="251">
        <v>288000</v>
      </c>
      <c r="M232" s="250"/>
      <c r="N232" s="250"/>
      <c r="O232" s="250"/>
      <c r="P232" s="250"/>
      <c r="Q232" s="251">
        <v>144000</v>
      </c>
      <c r="R232" s="250"/>
      <c r="S232" s="250"/>
      <c r="T232" s="251">
        <v>144000</v>
      </c>
      <c r="U232" s="250"/>
      <c r="V232" s="250"/>
      <c r="W232" s="249"/>
      <c r="X232" s="249"/>
    </row>
    <row r="233" spans="1:24" ht="12" customHeight="1" outlineLevel="1" collapsed="1" x14ac:dyDescent="0.2">
      <c r="A233" s="256" t="s">
        <v>1588</v>
      </c>
      <c r="B233" s="253"/>
      <c r="C233" s="253"/>
      <c r="D233" s="255">
        <v>75246.39</v>
      </c>
      <c r="E233" s="255">
        <v>160964.04</v>
      </c>
      <c r="F233" s="254"/>
      <c r="G233" s="260">
        <v>-85717.65</v>
      </c>
      <c r="H233" s="254"/>
      <c r="I233" s="254"/>
      <c r="J233" s="254"/>
      <c r="K233" s="254"/>
      <c r="L233" s="260">
        <v>-19193.97</v>
      </c>
      <c r="M233" s="254"/>
      <c r="N233" s="255">
        <v>53566.400000000001</v>
      </c>
      <c r="O233" s="255">
        <v>11087.28</v>
      </c>
      <c r="P233" s="255">
        <v>1870</v>
      </c>
      <c r="Q233" s="254"/>
      <c r="R233" s="254"/>
      <c r="S233" s="254"/>
      <c r="T233" s="260">
        <v>-85717.65</v>
      </c>
      <c r="U233" s="254"/>
      <c r="V233" s="254"/>
      <c r="W233" s="255">
        <v>94440.36</v>
      </c>
      <c r="X233" s="253"/>
    </row>
    <row r="234" spans="1:24" ht="12" hidden="1" customHeight="1" outlineLevel="2" x14ac:dyDescent="0.2">
      <c r="A234" s="252" t="s">
        <v>1555</v>
      </c>
      <c r="B234" s="249"/>
      <c r="C234" s="249"/>
      <c r="D234" s="251">
        <v>75246.39</v>
      </c>
      <c r="E234" s="251">
        <v>160964.04</v>
      </c>
      <c r="F234" s="250"/>
      <c r="G234" s="259">
        <v>-85717.65</v>
      </c>
      <c r="H234" s="250"/>
      <c r="I234" s="250"/>
      <c r="J234" s="250"/>
      <c r="K234" s="250"/>
      <c r="L234" s="259">
        <v>-19193.97</v>
      </c>
      <c r="M234" s="250"/>
      <c r="N234" s="251">
        <v>53566.400000000001</v>
      </c>
      <c r="O234" s="251">
        <v>11087.28</v>
      </c>
      <c r="P234" s="251">
        <v>1870</v>
      </c>
      <c r="Q234" s="250"/>
      <c r="R234" s="250"/>
      <c r="S234" s="250"/>
      <c r="T234" s="259">
        <v>-85717.65</v>
      </c>
      <c r="U234" s="250"/>
      <c r="V234" s="250"/>
      <c r="W234" s="251">
        <v>94440.36</v>
      </c>
      <c r="X234" s="249"/>
    </row>
    <row r="235" spans="1:24" ht="24.95" customHeight="1" outlineLevel="1" collapsed="1" x14ac:dyDescent="0.2">
      <c r="A235" s="256" t="s">
        <v>1587</v>
      </c>
      <c r="B235" s="253"/>
      <c r="C235" s="253"/>
      <c r="D235" s="255">
        <v>432000</v>
      </c>
      <c r="E235" s="255">
        <v>216000</v>
      </c>
      <c r="F235" s="254"/>
      <c r="G235" s="255">
        <v>216000</v>
      </c>
      <c r="H235" s="254"/>
      <c r="I235" s="254"/>
      <c r="J235" s="254"/>
      <c r="K235" s="254"/>
      <c r="L235" s="255">
        <v>432000</v>
      </c>
      <c r="M235" s="254"/>
      <c r="N235" s="254"/>
      <c r="O235" s="254"/>
      <c r="P235" s="255">
        <v>216000</v>
      </c>
      <c r="Q235" s="254"/>
      <c r="R235" s="254"/>
      <c r="S235" s="254"/>
      <c r="T235" s="255">
        <v>216000</v>
      </c>
      <c r="U235" s="254"/>
      <c r="V235" s="254"/>
      <c r="W235" s="253"/>
      <c r="X235" s="253"/>
    </row>
    <row r="236" spans="1:24" ht="12" hidden="1" customHeight="1" outlineLevel="2" x14ac:dyDescent="0.2">
      <c r="A236" s="252" t="s">
        <v>1555</v>
      </c>
      <c r="B236" s="249"/>
      <c r="C236" s="249"/>
      <c r="D236" s="251">
        <v>432000</v>
      </c>
      <c r="E236" s="251">
        <v>216000</v>
      </c>
      <c r="F236" s="250"/>
      <c r="G236" s="251">
        <v>216000</v>
      </c>
      <c r="H236" s="250"/>
      <c r="I236" s="250"/>
      <c r="J236" s="250"/>
      <c r="K236" s="250"/>
      <c r="L236" s="251">
        <v>432000</v>
      </c>
      <c r="M236" s="250"/>
      <c r="N236" s="250"/>
      <c r="O236" s="250"/>
      <c r="P236" s="251">
        <v>216000</v>
      </c>
      <c r="Q236" s="250"/>
      <c r="R236" s="250"/>
      <c r="S236" s="250"/>
      <c r="T236" s="251">
        <v>216000</v>
      </c>
      <c r="U236" s="250"/>
      <c r="V236" s="250"/>
      <c r="W236" s="249"/>
      <c r="X236" s="249"/>
    </row>
    <row r="237" spans="1:24" ht="24.95" customHeight="1" outlineLevel="1" collapsed="1" x14ac:dyDescent="0.2">
      <c r="A237" s="256" t="s">
        <v>1586</v>
      </c>
      <c r="B237" s="253"/>
      <c r="C237" s="253"/>
      <c r="D237" s="255">
        <v>1314600</v>
      </c>
      <c r="E237" s="255">
        <v>1034600</v>
      </c>
      <c r="F237" s="254"/>
      <c r="G237" s="255">
        <v>280000</v>
      </c>
      <c r="H237" s="254"/>
      <c r="I237" s="254"/>
      <c r="J237" s="254"/>
      <c r="K237" s="254"/>
      <c r="L237" s="255">
        <v>1314600</v>
      </c>
      <c r="M237" s="254"/>
      <c r="N237" s="254"/>
      <c r="O237" s="254"/>
      <c r="P237" s="254"/>
      <c r="Q237" s="254"/>
      <c r="R237" s="254"/>
      <c r="S237" s="254"/>
      <c r="T237" s="255">
        <v>280000</v>
      </c>
      <c r="U237" s="255">
        <v>1034600</v>
      </c>
      <c r="V237" s="254"/>
      <c r="W237" s="253"/>
      <c r="X237" s="253"/>
    </row>
    <row r="238" spans="1:24" ht="12" hidden="1" customHeight="1" outlineLevel="2" x14ac:dyDescent="0.2">
      <c r="A238" s="252" t="s">
        <v>1555</v>
      </c>
      <c r="B238" s="249"/>
      <c r="C238" s="249"/>
      <c r="D238" s="251">
        <v>1314600</v>
      </c>
      <c r="E238" s="251">
        <v>1034600</v>
      </c>
      <c r="F238" s="250"/>
      <c r="G238" s="251">
        <v>280000</v>
      </c>
      <c r="H238" s="250"/>
      <c r="I238" s="250"/>
      <c r="J238" s="250"/>
      <c r="K238" s="250"/>
      <c r="L238" s="251">
        <v>1314600</v>
      </c>
      <c r="M238" s="250"/>
      <c r="N238" s="250"/>
      <c r="O238" s="250"/>
      <c r="P238" s="250"/>
      <c r="Q238" s="250"/>
      <c r="R238" s="250"/>
      <c r="S238" s="250"/>
      <c r="T238" s="251">
        <v>280000</v>
      </c>
      <c r="U238" s="251">
        <v>1034600</v>
      </c>
      <c r="V238" s="250"/>
      <c r="W238" s="249"/>
      <c r="X238" s="249"/>
    </row>
    <row r="239" spans="1:24" ht="12" customHeight="1" outlineLevel="1" collapsed="1" x14ac:dyDescent="0.2">
      <c r="A239" s="256" t="s">
        <v>1585</v>
      </c>
      <c r="B239" s="255">
        <v>2540</v>
      </c>
      <c r="C239" s="253"/>
      <c r="D239" s="255">
        <v>2245188</v>
      </c>
      <c r="E239" s="255">
        <v>1120594</v>
      </c>
      <c r="F239" s="254"/>
      <c r="G239" s="255">
        <v>1124594</v>
      </c>
      <c r="H239" s="254"/>
      <c r="I239" s="254"/>
      <c r="J239" s="254"/>
      <c r="K239" s="254"/>
      <c r="L239" s="255">
        <v>2244488</v>
      </c>
      <c r="M239" s="255">
        <v>170650</v>
      </c>
      <c r="N239" s="255">
        <v>758436.7</v>
      </c>
      <c r="O239" s="255">
        <v>186648.97</v>
      </c>
      <c r="P239" s="254"/>
      <c r="Q239" s="254"/>
      <c r="R239" s="254"/>
      <c r="S239" s="254"/>
      <c r="T239" s="255">
        <v>1124594</v>
      </c>
      <c r="U239" s="254"/>
      <c r="V239" s="255">
        <v>4158.33</v>
      </c>
      <c r="W239" s="255">
        <v>3240</v>
      </c>
      <c r="X239" s="253"/>
    </row>
    <row r="240" spans="1:24" ht="12" hidden="1" customHeight="1" outlineLevel="2" x14ac:dyDescent="0.2">
      <c r="A240" s="252" t="s">
        <v>1555</v>
      </c>
      <c r="B240" s="251">
        <v>2540</v>
      </c>
      <c r="C240" s="249"/>
      <c r="D240" s="251">
        <v>2245188</v>
      </c>
      <c r="E240" s="251">
        <v>1120594</v>
      </c>
      <c r="F240" s="250"/>
      <c r="G240" s="251">
        <v>1124594</v>
      </c>
      <c r="H240" s="250"/>
      <c r="I240" s="250"/>
      <c r="J240" s="250"/>
      <c r="K240" s="250"/>
      <c r="L240" s="251">
        <v>2244488</v>
      </c>
      <c r="M240" s="251">
        <v>170650</v>
      </c>
      <c r="N240" s="251">
        <v>758436.7</v>
      </c>
      <c r="O240" s="251">
        <v>186648.97</v>
      </c>
      <c r="P240" s="250"/>
      <c r="Q240" s="250"/>
      <c r="R240" s="250"/>
      <c r="S240" s="250"/>
      <c r="T240" s="251">
        <v>1124594</v>
      </c>
      <c r="U240" s="250"/>
      <c r="V240" s="251">
        <v>4158.33</v>
      </c>
      <c r="W240" s="251">
        <v>3240</v>
      </c>
      <c r="X240" s="249"/>
    </row>
    <row r="241" spans="1:24" ht="12" customHeight="1" outlineLevel="1" collapsed="1" x14ac:dyDescent="0.2">
      <c r="A241" s="256" t="s">
        <v>1584</v>
      </c>
      <c r="B241" s="253"/>
      <c r="C241" s="253"/>
      <c r="D241" s="255">
        <v>37389919.759999998</v>
      </c>
      <c r="E241" s="255">
        <v>27194510.350000001</v>
      </c>
      <c r="F241" s="254"/>
      <c r="G241" s="255">
        <v>10195409.41</v>
      </c>
      <c r="H241" s="254"/>
      <c r="I241" s="254"/>
      <c r="J241" s="254"/>
      <c r="K241" s="254"/>
      <c r="L241" s="255">
        <v>41422966.630000003</v>
      </c>
      <c r="M241" s="254"/>
      <c r="N241" s="254"/>
      <c r="O241" s="255">
        <v>5204592.8899999997</v>
      </c>
      <c r="P241" s="254"/>
      <c r="Q241" s="254"/>
      <c r="R241" s="254"/>
      <c r="S241" s="254"/>
      <c r="T241" s="255">
        <v>10195409.41</v>
      </c>
      <c r="U241" s="255">
        <v>26022964.329999998</v>
      </c>
      <c r="V241" s="254"/>
      <c r="W241" s="253"/>
      <c r="X241" s="255">
        <v>4033046.87</v>
      </c>
    </row>
    <row r="242" spans="1:24" ht="12" hidden="1" customHeight="1" outlineLevel="2" x14ac:dyDescent="0.2">
      <c r="A242" s="252" t="s">
        <v>1555</v>
      </c>
      <c r="B242" s="249"/>
      <c r="C242" s="249"/>
      <c r="D242" s="251">
        <v>37389919.759999998</v>
      </c>
      <c r="E242" s="251">
        <v>27194510.350000001</v>
      </c>
      <c r="F242" s="250"/>
      <c r="G242" s="251">
        <v>10195409.41</v>
      </c>
      <c r="H242" s="250"/>
      <c r="I242" s="250"/>
      <c r="J242" s="250"/>
      <c r="K242" s="250"/>
      <c r="L242" s="251">
        <v>41422966.630000003</v>
      </c>
      <c r="M242" s="250"/>
      <c r="N242" s="250"/>
      <c r="O242" s="251">
        <v>5204592.8899999997</v>
      </c>
      <c r="P242" s="250"/>
      <c r="Q242" s="250"/>
      <c r="R242" s="250"/>
      <c r="S242" s="250"/>
      <c r="T242" s="251">
        <v>10195409.41</v>
      </c>
      <c r="U242" s="251">
        <v>26022964.329999998</v>
      </c>
      <c r="V242" s="250"/>
      <c r="W242" s="249"/>
      <c r="X242" s="251">
        <v>4033046.87</v>
      </c>
    </row>
    <row r="243" spans="1:24" ht="24.95" customHeight="1" outlineLevel="1" collapsed="1" x14ac:dyDescent="0.2">
      <c r="A243" s="256" t="s">
        <v>1583</v>
      </c>
      <c r="B243" s="253"/>
      <c r="C243" s="253"/>
      <c r="D243" s="255">
        <v>153300</v>
      </c>
      <c r="E243" s="255">
        <v>76650</v>
      </c>
      <c r="F243" s="254"/>
      <c r="G243" s="255">
        <v>76650</v>
      </c>
      <c r="H243" s="254"/>
      <c r="I243" s="254"/>
      <c r="J243" s="254"/>
      <c r="K243" s="254"/>
      <c r="L243" s="255">
        <v>153300</v>
      </c>
      <c r="M243" s="254"/>
      <c r="N243" s="254"/>
      <c r="O243" s="254"/>
      <c r="P243" s="255">
        <v>76650</v>
      </c>
      <c r="Q243" s="254"/>
      <c r="R243" s="254"/>
      <c r="S243" s="254"/>
      <c r="T243" s="255">
        <v>76650</v>
      </c>
      <c r="U243" s="254"/>
      <c r="V243" s="254"/>
      <c r="W243" s="253"/>
      <c r="X243" s="253"/>
    </row>
    <row r="244" spans="1:24" ht="12" hidden="1" customHeight="1" outlineLevel="2" x14ac:dyDescent="0.2">
      <c r="A244" s="252" t="s">
        <v>1555</v>
      </c>
      <c r="B244" s="249"/>
      <c r="C244" s="249"/>
      <c r="D244" s="251">
        <v>153300</v>
      </c>
      <c r="E244" s="251">
        <v>76650</v>
      </c>
      <c r="F244" s="250"/>
      <c r="G244" s="251">
        <v>76650</v>
      </c>
      <c r="H244" s="250"/>
      <c r="I244" s="250"/>
      <c r="J244" s="250"/>
      <c r="K244" s="250"/>
      <c r="L244" s="251">
        <v>153300</v>
      </c>
      <c r="M244" s="250"/>
      <c r="N244" s="250"/>
      <c r="O244" s="250"/>
      <c r="P244" s="251">
        <v>76650</v>
      </c>
      <c r="Q244" s="250"/>
      <c r="R244" s="250"/>
      <c r="S244" s="250"/>
      <c r="T244" s="251">
        <v>76650</v>
      </c>
      <c r="U244" s="250"/>
      <c r="V244" s="250"/>
      <c r="W244" s="249"/>
      <c r="X244" s="249"/>
    </row>
    <row r="245" spans="1:24" ht="12" customHeight="1" outlineLevel="1" collapsed="1" x14ac:dyDescent="0.2">
      <c r="A245" s="256" t="s">
        <v>1582</v>
      </c>
      <c r="B245" s="253"/>
      <c r="C245" s="253"/>
      <c r="D245" s="255">
        <v>855404.32</v>
      </c>
      <c r="E245" s="255">
        <v>633863.52</v>
      </c>
      <c r="F245" s="254"/>
      <c r="G245" s="255">
        <v>221540.8</v>
      </c>
      <c r="H245" s="254"/>
      <c r="I245" s="254"/>
      <c r="J245" s="254"/>
      <c r="K245" s="254"/>
      <c r="L245" s="255">
        <v>855404.32</v>
      </c>
      <c r="M245" s="254"/>
      <c r="N245" s="254"/>
      <c r="O245" s="255">
        <v>105643.92</v>
      </c>
      <c r="P245" s="255">
        <v>528219.6</v>
      </c>
      <c r="Q245" s="254"/>
      <c r="R245" s="254"/>
      <c r="S245" s="254"/>
      <c r="T245" s="255">
        <v>221540.8</v>
      </c>
      <c r="U245" s="254"/>
      <c r="V245" s="254"/>
      <c r="W245" s="253"/>
      <c r="X245" s="253"/>
    </row>
    <row r="246" spans="1:24" ht="12" hidden="1" customHeight="1" outlineLevel="2" x14ac:dyDescent="0.2">
      <c r="A246" s="252" t="s">
        <v>1555</v>
      </c>
      <c r="B246" s="249"/>
      <c r="C246" s="249"/>
      <c r="D246" s="251">
        <v>855404.32</v>
      </c>
      <c r="E246" s="251">
        <v>633863.52</v>
      </c>
      <c r="F246" s="250"/>
      <c r="G246" s="251">
        <v>221540.8</v>
      </c>
      <c r="H246" s="250"/>
      <c r="I246" s="250"/>
      <c r="J246" s="250"/>
      <c r="K246" s="250"/>
      <c r="L246" s="251">
        <v>855404.32</v>
      </c>
      <c r="M246" s="250"/>
      <c r="N246" s="250"/>
      <c r="O246" s="251">
        <v>105643.92</v>
      </c>
      <c r="P246" s="251">
        <v>528219.6</v>
      </c>
      <c r="Q246" s="250"/>
      <c r="R246" s="250"/>
      <c r="S246" s="250"/>
      <c r="T246" s="251">
        <v>221540.8</v>
      </c>
      <c r="U246" s="250"/>
      <c r="V246" s="250"/>
      <c r="W246" s="249"/>
      <c r="X246" s="249"/>
    </row>
    <row r="247" spans="1:24" ht="24.95" customHeight="1" outlineLevel="1" collapsed="1" x14ac:dyDescent="0.2">
      <c r="A247" s="256" t="s">
        <v>1581</v>
      </c>
      <c r="B247" s="253"/>
      <c r="C247" s="253"/>
      <c r="D247" s="255">
        <v>18000</v>
      </c>
      <c r="E247" s="255">
        <v>18000</v>
      </c>
      <c r="F247" s="254"/>
      <c r="G247" s="254"/>
      <c r="H247" s="254"/>
      <c r="I247" s="254"/>
      <c r="J247" s="254"/>
      <c r="K247" s="254"/>
      <c r="L247" s="255">
        <v>18000</v>
      </c>
      <c r="M247" s="254"/>
      <c r="N247" s="254"/>
      <c r="O247" s="254"/>
      <c r="P247" s="255">
        <v>18000</v>
      </c>
      <c r="Q247" s="254"/>
      <c r="R247" s="254"/>
      <c r="S247" s="254"/>
      <c r="T247" s="254"/>
      <c r="U247" s="254"/>
      <c r="V247" s="254"/>
      <c r="W247" s="253"/>
      <c r="X247" s="253"/>
    </row>
    <row r="248" spans="1:24" ht="12" hidden="1" customHeight="1" outlineLevel="2" x14ac:dyDescent="0.2">
      <c r="A248" s="252" t="s">
        <v>1555</v>
      </c>
      <c r="B248" s="249"/>
      <c r="C248" s="249"/>
      <c r="D248" s="251">
        <v>18000</v>
      </c>
      <c r="E248" s="251">
        <v>18000</v>
      </c>
      <c r="F248" s="250"/>
      <c r="G248" s="250"/>
      <c r="H248" s="250"/>
      <c r="I248" s="250"/>
      <c r="J248" s="250"/>
      <c r="K248" s="250"/>
      <c r="L248" s="251">
        <v>18000</v>
      </c>
      <c r="M248" s="250"/>
      <c r="N248" s="250"/>
      <c r="O248" s="250"/>
      <c r="P248" s="251">
        <v>18000</v>
      </c>
      <c r="Q248" s="250"/>
      <c r="R248" s="250"/>
      <c r="S248" s="250"/>
      <c r="T248" s="250"/>
      <c r="U248" s="250"/>
      <c r="V248" s="250"/>
      <c r="W248" s="249"/>
      <c r="X248" s="249"/>
    </row>
    <row r="249" spans="1:24" ht="36.950000000000003" customHeight="1" outlineLevel="1" collapsed="1" x14ac:dyDescent="0.2">
      <c r="A249" s="256" t="s">
        <v>1580</v>
      </c>
      <c r="B249" s="253"/>
      <c r="C249" s="253"/>
      <c r="D249" s="255">
        <v>40000</v>
      </c>
      <c r="E249" s="255">
        <v>40000</v>
      </c>
      <c r="F249" s="254"/>
      <c r="G249" s="254"/>
      <c r="H249" s="254"/>
      <c r="I249" s="254"/>
      <c r="J249" s="254"/>
      <c r="K249" s="254"/>
      <c r="L249" s="255">
        <v>40000</v>
      </c>
      <c r="M249" s="254"/>
      <c r="N249" s="254"/>
      <c r="O249" s="254"/>
      <c r="P249" s="254"/>
      <c r="Q249" s="254"/>
      <c r="R249" s="255">
        <v>40000</v>
      </c>
      <c r="S249" s="254"/>
      <c r="T249" s="254"/>
      <c r="U249" s="254"/>
      <c r="V249" s="254"/>
      <c r="W249" s="253"/>
      <c r="X249" s="253"/>
    </row>
    <row r="250" spans="1:24" ht="12" hidden="1" customHeight="1" outlineLevel="2" x14ac:dyDescent="0.2">
      <c r="A250" s="252" t="s">
        <v>1555</v>
      </c>
      <c r="B250" s="249"/>
      <c r="C250" s="249"/>
      <c r="D250" s="251">
        <v>40000</v>
      </c>
      <c r="E250" s="251">
        <v>40000</v>
      </c>
      <c r="F250" s="250"/>
      <c r="G250" s="250"/>
      <c r="H250" s="250"/>
      <c r="I250" s="250"/>
      <c r="J250" s="250"/>
      <c r="K250" s="250"/>
      <c r="L250" s="251">
        <v>40000</v>
      </c>
      <c r="M250" s="250"/>
      <c r="N250" s="250"/>
      <c r="O250" s="250"/>
      <c r="P250" s="250"/>
      <c r="Q250" s="250"/>
      <c r="R250" s="251">
        <v>40000</v>
      </c>
      <c r="S250" s="250"/>
      <c r="T250" s="250"/>
      <c r="U250" s="250"/>
      <c r="V250" s="250"/>
      <c r="W250" s="249"/>
      <c r="X250" s="249"/>
    </row>
    <row r="251" spans="1:24" ht="24.95" customHeight="1" outlineLevel="1" collapsed="1" x14ac:dyDescent="0.2">
      <c r="A251" s="256" t="s">
        <v>1579</v>
      </c>
      <c r="B251" s="253"/>
      <c r="C251" s="253"/>
      <c r="D251" s="255">
        <v>1284668.72</v>
      </c>
      <c r="E251" s="255">
        <v>1101321.6000000001</v>
      </c>
      <c r="F251" s="254"/>
      <c r="G251" s="255">
        <v>183347.12</v>
      </c>
      <c r="H251" s="254"/>
      <c r="I251" s="254"/>
      <c r="J251" s="254"/>
      <c r="K251" s="254"/>
      <c r="L251" s="255">
        <v>1284668.72</v>
      </c>
      <c r="M251" s="254"/>
      <c r="N251" s="254"/>
      <c r="O251" s="254"/>
      <c r="P251" s="255">
        <v>1101321.6000000001</v>
      </c>
      <c r="Q251" s="254"/>
      <c r="R251" s="254"/>
      <c r="S251" s="254"/>
      <c r="T251" s="255">
        <v>183347.12</v>
      </c>
      <c r="U251" s="254"/>
      <c r="V251" s="254"/>
      <c r="W251" s="253"/>
      <c r="X251" s="253"/>
    </row>
    <row r="252" spans="1:24" ht="12" hidden="1" customHeight="1" outlineLevel="2" x14ac:dyDescent="0.2">
      <c r="A252" s="252" t="s">
        <v>1555</v>
      </c>
      <c r="B252" s="249"/>
      <c r="C252" s="249"/>
      <c r="D252" s="251">
        <v>1284668.72</v>
      </c>
      <c r="E252" s="251">
        <v>1101321.6000000001</v>
      </c>
      <c r="F252" s="250"/>
      <c r="G252" s="251">
        <v>183347.12</v>
      </c>
      <c r="H252" s="250"/>
      <c r="I252" s="250"/>
      <c r="J252" s="250"/>
      <c r="K252" s="250"/>
      <c r="L252" s="251">
        <v>1284668.72</v>
      </c>
      <c r="M252" s="250"/>
      <c r="N252" s="250"/>
      <c r="O252" s="250"/>
      <c r="P252" s="251">
        <v>1101321.6000000001</v>
      </c>
      <c r="Q252" s="250"/>
      <c r="R252" s="250"/>
      <c r="S252" s="250"/>
      <c r="T252" s="251">
        <v>183347.12</v>
      </c>
      <c r="U252" s="250"/>
      <c r="V252" s="250"/>
      <c r="W252" s="249"/>
      <c r="X252" s="249"/>
    </row>
    <row r="253" spans="1:24" ht="12" customHeight="1" outlineLevel="1" collapsed="1" x14ac:dyDescent="0.2">
      <c r="A253" s="256" t="s">
        <v>1578</v>
      </c>
      <c r="B253" s="253"/>
      <c r="C253" s="253"/>
      <c r="D253" s="255">
        <v>125020</v>
      </c>
      <c r="E253" s="255">
        <v>62510</v>
      </c>
      <c r="F253" s="254"/>
      <c r="G253" s="255">
        <v>62510</v>
      </c>
      <c r="H253" s="254"/>
      <c r="I253" s="254"/>
      <c r="J253" s="254"/>
      <c r="K253" s="254"/>
      <c r="L253" s="255">
        <v>125020</v>
      </c>
      <c r="M253" s="254"/>
      <c r="N253" s="255">
        <v>52091.67</v>
      </c>
      <c r="O253" s="255">
        <v>10418.33</v>
      </c>
      <c r="P253" s="254"/>
      <c r="Q253" s="254"/>
      <c r="R253" s="254"/>
      <c r="S253" s="254"/>
      <c r="T253" s="255">
        <v>62510</v>
      </c>
      <c r="U253" s="254"/>
      <c r="V253" s="254"/>
      <c r="W253" s="253"/>
      <c r="X253" s="253"/>
    </row>
    <row r="254" spans="1:24" ht="12" hidden="1" customHeight="1" outlineLevel="2" x14ac:dyDescent="0.2">
      <c r="A254" s="252" t="s">
        <v>1555</v>
      </c>
      <c r="B254" s="249"/>
      <c r="C254" s="249"/>
      <c r="D254" s="251">
        <v>125020</v>
      </c>
      <c r="E254" s="251">
        <v>62510</v>
      </c>
      <c r="F254" s="250"/>
      <c r="G254" s="251">
        <v>62510</v>
      </c>
      <c r="H254" s="250"/>
      <c r="I254" s="250"/>
      <c r="J254" s="250"/>
      <c r="K254" s="250"/>
      <c r="L254" s="251">
        <v>125020</v>
      </c>
      <c r="M254" s="250"/>
      <c r="N254" s="251">
        <v>52091.67</v>
      </c>
      <c r="O254" s="251">
        <v>10418.33</v>
      </c>
      <c r="P254" s="250"/>
      <c r="Q254" s="250"/>
      <c r="R254" s="250"/>
      <c r="S254" s="250"/>
      <c r="T254" s="251">
        <v>62510</v>
      </c>
      <c r="U254" s="250"/>
      <c r="V254" s="250"/>
      <c r="W254" s="249"/>
      <c r="X254" s="249"/>
    </row>
    <row r="255" spans="1:24" ht="12" customHeight="1" outlineLevel="1" collapsed="1" x14ac:dyDescent="0.2">
      <c r="A255" s="256" t="s">
        <v>1577</v>
      </c>
      <c r="B255" s="253"/>
      <c r="C255" s="253"/>
      <c r="D255" s="255">
        <v>123816</v>
      </c>
      <c r="E255" s="255">
        <v>61908</v>
      </c>
      <c r="F255" s="254"/>
      <c r="G255" s="255">
        <v>61908</v>
      </c>
      <c r="H255" s="254"/>
      <c r="I255" s="254"/>
      <c r="J255" s="254"/>
      <c r="K255" s="254"/>
      <c r="L255" s="255">
        <v>123816</v>
      </c>
      <c r="M255" s="254"/>
      <c r="N255" s="255">
        <v>51590</v>
      </c>
      <c r="O255" s="255">
        <v>10318</v>
      </c>
      <c r="P255" s="254"/>
      <c r="Q255" s="254"/>
      <c r="R255" s="254"/>
      <c r="S255" s="254"/>
      <c r="T255" s="255">
        <v>61908</v>
      </c>
      <c r="U255" s="254"/>
      <c r="V255" s="254"/>
      <c r="W255" s="253"/>
      <c r="X255" s="253"/>
    </row>
    <row r="256" spans="1:24" ht="12" hidden="1" customHeight="1" outlineLevel="2" x14ac:dyDescent="0.2">
      <c r="A256" s="252" t="s">
        <v>1555</v>
      </c>
      <c r="B256" s="249"/>
      <c r="C256" s="249"/>
      <c r="D256" s="251">
        <v>123816</v>
      </c>
      <c r="E256" s="251">
        <v>61908</v>
      </c>
      <c r="F256" s="250"/>
      <c r="G256" s="251">
        <v>61908</v>
      </c>
      <c r="H256" s="250"/>
      <c r="I256" s="250"/>
      <c r="J256" s="250"/>
      <c r="K256" s="250"/>
      <c r="L256" s="251">
        <v>123816</v>
      </c>
      <c r="M256" s="250"/>
      <c r="N256" s="251">
        <v>51590</v>
      </c>
      <c r="O256" s="251">
        <v>10318</v>
      </c>
      <c r="P256" s="250"/>
      <c r="Q256" s="250"/>
      <c r="R256" s="250"/>
      <c r="S256" s="250"/>
      <c r="T256" s="251">
        <v>61908</v>
      </c>
      <c r="U256" s="250"/>
      <c r="V256" s="250"/>
      <c r="W256" s="249"/>
      <c r="X256" s="249"/>
    </row>
    <row r="257" spans="1:24" ht="24.95" customHeight="1" outlineLevel="1" collapsed="1" x14ac:dyDescent="0.2">
      <c r="A257" s="256" t="s">
        <v>1576</v>
      </c>
      <c r="B257" s="253"/>
      <c r="C257" s="253"/>
      <c r="D257" s="255">
        <v>3545442.48</v>
      </c>
      <c r="E257" s="255">
        <v>1785006.24</v>
      </c>
      <c r="F257" s="254"/>
      <c r="G257" s="255">
        <v>1760436.24</v>
      </c>
      <c r="H257" s="254"/>
      <c r="I257" s="254"/>
      <c r="J257" s="254"/>
      <c r="K257" s="254"/>
      <c r="L257" s="255">
        <v>3545442.48</v>
      </c>
      <c r="M257" s="254"/>
      <c r="N257" s="255">
        <v>1092365.53</v>
      </c>
      <c r="O257" s="255">
        <v>293406.03999999998</v>
      </c>
      <c r="P257" s="255">
        <v>374664.67</v>
      </c>
      <c r="Q257" s="254"/>
      <c r="R257" s="254"/>
      <c r="S257" s="255">
        <v>24570</v>
      </c>
      <c r="T257" s="255">
        <v>1760436.24</v>
      </c>
      <c r="U257" s="254"/>
      <c r="V257" s="254"/>
      <c r="W257" s="253"/>
      <c r="X257" s="253"/>
    </row>
    <row r="258" spans="1:24" ht="12" hidden="1" customHeight="1" outlineLevel="2" x14ac:dyDescent="0.2">
      <c r="A258" s="252" t="s">
        <v>1555</v>
      </c>
      <c r="B258" s="249"/>
      <c r="C258" s="249"/>
      <c r="D258" s="251">
        <v>3545442.48</v>
      </c>
      <c r="E258" s="251">
        <v>1785006.24</v>
      </c>
      <c r="F258" s="250"/>
      <c r="G258" s="251">
        <v>1760436.24</v>
      </c>
      <c r="H258" s="250"/>
      <c r="I258" s="250"/>
      <c r="J258" s="250"/>
      <c r="K258" s="250"/>
      <c r="L258" s="251">
        <v>3545442.48</v>
      </c>
      <c r="M258" s="250"/>
      <c r="N258" s="251">
        <v>1092365.53</v>
      </c>
      <c r="O258" s="251">
        <v>293406.03999999998</v>
      </c>
      <c r="P258" s="251">
        <v>374664.67</v>
      </c>
      <c r="Q258" s="250"/>
      <c r="R258" s="250"/>
      <c r="S258" s="251">
        <v>24570</v>
      </c>
      <c r="T258" s="251">
        <v>1760436.24</v>
      </c>
      <c r="U258" s="250"/>
      <c r="V258" s="250"/>
      <c r="W258" s="249"/>
      <c r="X258" s="249"/>
    </row>
    <row r="259" spans="1:24" ht="12" customHeight="1" outlineLevel="1" collapsed="1" x14ac:dyDescent="0.2">
      <c r="A259" s="256" t="s">
        <v>1575</v>
      </c>
      <c r="B259" s="253"/>
      <c r="C259" s="253"/>
      <c r="D259" s="255">
        <v>441600</v>
      </c>
      <c r="E259" s="255">
        <v>220800</v>
      </c>
      <c r="F259" s="254"/>
      <c r="G259" s="255">
        <v>220800</v>
      </c>
      <c r="H259" s="254"/>
      <c r="I259" s="254"/>
      <c r="J259" s="254"/>
      <c r="K259" s="254"/>
      <c r="L259" s="255">
        <v>441600</v>
      </c>
      <c r="M259" s="254"/>
      <c r="N259" s="254"/>
      <c r="O259" s="254"/>
      <c r="P259" s="254"/>
      <c r="Q259" s="254"/>
      <c r="R259" s="255">
        <v>220800</v>
      </c>
      <c r="S259" s="254"/>
      <c r="T259" s="255">
        <v>220800</v>
      </c>
      <c r="U259" s="254"/>
      <c r="V259" s="254"/>
      <c r="W259" s="253"/>
      <c r="X259" s="253"/>
    </row>
    <row r="260" spans="1:24" ht="12" hidden="1" customHeight="1" outlineLevel="2" x14ac:dyDescent="0.2">
      <c r="A260" s="252" t="s">
        <v>1555</v>
      </c>
      <c r="B260" s="249"/>
      <c r="C260" s="249"/>
      <c r="D260" s="251">
        <v>441600</v>
      </c>
      <c r="E260" s="251">
        <v>220800</v>
      </c>
      <c r="F260" s="250"/>
      <c r="G260" s="251">
        <v>220800</v>
      </c>
      <c r="H260" s="250"/>
      <c r="I260" s="250"/>
      <c r="J260" s="250"/>
      <c r="K260" s="250"/>
      <c r="L260" s="251">
        <v>441600</v>
      </c>
      <c r="M260" s="250"/>
      <c r="N260" s="250"/>
      <c r="O260" s="250"/>
      <c r="P260" s="250"/>
      <c r="Q260" s="250"/>
      <c r="R260" s="251">
        <v>220800</v>
      </c>
      <c r="S260" s="250"/>
      <c r="T260" s="251">
        <v>220800</v>
      </c>
      <c r="U260" s="250"/>
      <c r="V260" s="250"/>
      <c r="W260" s="249"/>
      <c r="X260" s="249"/>
    </row>
    <row r="261" spans="1:24" ht="12" customHeight="1" outlineLevel="1" x14ac:dyDescent="0.2">
      <c r="A261" s="256" t="s">
        <v>1574</v>
      </c>
      <c r="B261" s="253"/>
      <c r="C261" s="255">
        <v>226800</v>
      </c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3"/>
      <c r="X261" s="255">
        <v>226800</v>
      </c>
    </row>
    <row r="262" spans="1:24" ht="12" customHeight="1" outlineLevel="1" collapsed="1" x14ac:dyDescent="0.2">
      <c r="A262" s="256" t="s">
        <v>1573</v>
      </c>
      <c r="B262" s="255">
        <v>4200</v>
      </c>
      <c r="C262" s="253"/>
      <c r="D262" s="255">
        <v>4200</v>
      </c>
      <c r="E262" s="254"/>
      <c r="F262" s="254"/>
      <c r="G262" s="255">
        <v>4200</v>
      </c>
      <c r="H262" s="254"/>
      <c r="I262" s="254"/>
      <c r="J262" s="254"/>
      <c r="K262" s="254"/>
      <c r="L262" s="255">
        <v>8400</v>
      </c>
      <c r="M262" s="254"/>
      <c r="N262" s="254"/>
      <c r="O262" s="258">
        <v>700</v>
      </c>
      <c r="P262" s="254"/>
      <c r="Q262" s="254"/>
      <c r="R262" s="255">
        <v>3500</v>
      </c>
      <c r="S262" s="254"/>
      <c r="T262" s="255">
        <v>4200</v>
      </c>
      <c r="U262" s="254"/>
      <c r="V262" s="254"/>
      <c r="W262" s="253"/>
      <c r="X262" s="253"/>
    </row>
    <row r="263" spans="1:24" ht="12" hidden="1" customHeight="1" outlineLevel="2" x14ac:dyDescent="0.2">
      <c r="A263" s="252" t="s">
        <v>1555</v>
      </c>
      <c r="B263" s="251">
        <v>4200</v>
      </c>
      <c r="C263" s="249"/>
      <c r="D263" s="251">
        <v>4200</v>
      </c>
      <c r="E263" s="250"/>
      <c r="F263" s="250"/>
      <c r="G263" s="251">
        <v>4200</v>
      </c>
      <c r="H263" s="250"/>
      <c r="I263" s="250"/>
      <c r="J263" s="250"/>
      <c r="K263" s="250"/>
      <c r="L263" s="251">
        <v>8400</v>
      </c>
      <c r="M263" s="250"/>
      <c r="N263" s="250"/>
      <c r="O263" s="257">
        <v>700</v>
      </c>
      <c r="P263" s="250"/>
      <c r="Q263" s="250"/>
      <c r="R263" s="251">
        <v>3500</v>
      </c>
      <c r="S263" s="250"/>
      <c r="T263" s="251">
        <v>4200</v>
      </c>
      <c r="U263" s="250"/>
      <c r="V263" s="250"/>
      <c r="W263" s="249"/>
      <c r="X263" s="249"/>
    </row>
    <row r="264" spans="1:24" ht="12" customHeight="1" outlineLevel="1" x14ac:dyDescent="0.2">
      <c r="A264" s="256" t="s">
        <v>1572</v>
      </c>
      <c r="B264" s="253"/>
      <c r="C264" s="255">
        <v>2132628.96</v>
      </c>
      <c r="D264" s="254"/>
      <c r="E264" s="254"/>
      <c r="F264" s="254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3"/>
      <c r="X264" s="255">
        <v>2132628.96</v>
      </c>
    </row>
    <row r="265" spans="1:24" ht="12" customHeight="1" outlineLevel="1" collapsed="1" x14ac:dyDescent="0.2">
      <c r="A265" s="256" t="s">
        <v>1571</v>
      </c>
      <c r="B265" s="253"/>
      <c r="C265" s="253"/>
      <c r="D265" s="255">
        <v>26680</v>
      </c>
      <c r="E265" s="255">
        <v>13340</v>
      </c>
      <c r="F265" s="254"/>
      <c r="G265" s="255">
        <v>13340</v>
      </c>
      <c r="H265" s="254"/>
      <c r="I265" s="254"/>
      <c r="J265" s="254"/>
      <c r="K265" s="254"/>
      <c r="L265" s="255">
        <v>26680</v>
      </c>
      <c r="M265" s="254"/>
      <c r="N265" s="255">
        <v>13340</v>
      </c>
      <c r="O265" s="254"/>
      <c r="P265" s="254"/>
      <c r="Q265" s="254"/>
      <c r="R265" s="254"/>
      <c r="S265" s="254"/>
      <c r="T265" s="255">
        <v>13340</v>
      </c>
      <c r="U265" s="254"/>
      <c r="V265" s="254"/>
      <c r="W265" s="253"/>
      <c r="X265" s="253"/>
    </row>
    <row r="266" spans="1:24" ht="12" hidden="1" customHeight="1" outlineLevel="2" x14ac:dyDescent="0.2">
      <c r="A266" s="252" t="s">
        <v>1555</v>
      </c>
      <c r="B266" s="249"/>
      <c r="C266" s="249"/>
      <c r="D266" s="251">
        <v>26680</v>
      </c>
      <c r="E266" s="251">
        <v>13340</v>
      </c>
      <c r="F266" s="250"/>
      <c r="G266" s="251">
        <v>13340</v>
      </c>
      <c r="H266" s="250"/>
      <c r="I266" s="250"/>
      <c r="J266" s="250"/>
      <c r="K266" s="250"/>
      <c r="L266" s="251">
        <v>26680</v>
      </c>
      <c r="M266" s="250"/>
      <c r="N266" s="251">
        <v>13340</v>
      </c>
      <c r="O266" s="250"/>
      <c r="P266" s="250"/>
      <c r="Q266" s="250"/>
      <c r="R266" s="250"/>
      <c r="S266" s="250"/>
      <c r="T266" s="251">
        <v>13340</v>
      </c>
      <c r="U266" s="250"/>
      <c r="V266" s="250"/>
      <c r="W266" s="249"/>
      <c r="X266" s="249"/>
    </row>
    <row r="267" spans="1:24" ht="63" customHeight="1" outlineLevel="1" collapsed="1" x14ac:dyDescent="0.2">
      <c r="A267" s="256" t="s">
        <v>1570</v>
      </c>
      <c r="B267" s="253"/>
      <c r="C267" s="253"/>
      <c r="D267" s="255">
        <v>784981.68</v>
      </c>
      <c r="E267" s="255">
        <v>523321.12</v>
      </c>
      <c r="F267" s="254"/>
      <c r="G267" s="255">
        <v>261660.56</v>
      </c>
      <c r="H267" s="254"/>
      <c r="I267" s="254"/>
      <c r="J267" s="254"/>
      <c r="K267" s="254"/>
      <c r="L267" s="255">
        <v>784981.68</v>
      </c>
      <c r="M267" s="254"/>
      <c r="N267" s="254"/>
      <c r="O267" s="255">
        <v>87220.19</v>
      </c>
      <c r="P267" s="254"/>
      <c r="Q267" s="254"/>
      <c r="R267" s="255">
        <v>436100.93</v>
      </c>
      <c r="S267" s="254"/>
      <c r="T267" s="255">
        <v>261660.56</v>
      </c>
      <c r="U267" s="254"/>
      <c r="V267" s="254"/>
      <c r="W267" s="253"/>
      <c r="X267" s="253"/>
    </row>
    <row r="268" spans="1:24" ht="12" hidden="1" customHeight="1" outlineLevel="2" x14ac:dyDescent="0.2">
      <c r="A268" s="252" t="s">
        <v>1555</v>
      </c>
      <c r="B268" s="249"/>
      <c r="C268" s="249"/>
      <c r="D268" s="251">
        <v>784981.68</v>
      </c>
      <c r="E268" s="251">
        <v>523321.12</v>
      </c>
      <c r="F268" s="250"/>
      <c r="G268" s="251">
        <v>261660.56</v>
      </c>
      <c r="H268" s="250"/>
      <c r="I268" s="250"/>
      <c r="J268" s="250"/>
      <c r="K268" s="250"/>
      <c r="L268" s="251">
        <v>784981.68</v>
      </c>
      <c r="M268" s="250"/>
      <c r="N268" s="250"/>
      <c r="O268" s="251">
        <v>87220.19</v>
      </c>
      <c r="P268" s="250"/>
      <c r="Q268" s="250"/>
      <c r="R268" s="251">
        <v>436100.93</v>
      </c>
      <c r="S268" s="250"/>
      <c r="T268" s="251">
        <v>261660.56</v>
      </c>
      <c r="U268" s="250"/>
      <c r="V268" s="250"/>
      <c r="W268" s="249"/>
      <c r="X268" s="249"/>
    </row>
    <row r="269" spans="1:24" ht="24.95" customHeight="1" outlineLevel="1" collapsed="1" x14ac:dyDescent="0.2">
      <c r="A269" s="256" t="s">
        <v>1569</v>
      </c>
      <c r="B269" s="253"/>
      <c r="C269" s="253"/>
      <c r="D269" s="255">
        <v>20000</v>
      </c>
      <c r="E269" s="255">
        <v>10000</v>
      </c>
      <c r="F269" s="254"/>
      <c r="G269" s="255">
        <v>10000</v>
      </c>
      <c r="H269" s="254"/>
      <c r="I269" s="254"/>
      <c r="J269" s="254"/>
      <c r="K269" s="254"/>
      <c r="L269" s="255">
        <v>20000</v>
      </c>
      <c r="M269" s="254"/>
      <c r="N269" s="254"/>
      <c r="O269" s="254"/>
      <c r="P269" s="254"/>
      <c r="Q269" s="255">
        <v>10000</v>
      </c>
      <c r="R269" s="254"/>
      <c r="S269" s="254"/>
      <c r="T269" s="255">
        <v>10000</v>
      </c>
      <c r="U269" s="254"/>
      <c r="V269" s="254"/>
      <c r="W269" s="253"/>
      <c r="X269" s="253"/>
    </row>
    <row r="270" spans="1:24" ht="12" hidden="1" customHeight="1" outlineLevel="2" x14ac:dyDescent="0.2">
      <c r="A270" s="252" t="s">
        <v>1555</v>
      </c>
      <c r="B270" s="249"/>
      <c r="C270" s="249"/>
      <c r="D270" s="251">
        <v>20000</v>
      </c>
      <c r="E270" s="251">
        <v>10000</v>
      </c>
      <c r="F270" s="250"/>
      <c r="G270" s="251">
        <v>10000</v>
      </c>
      <c r="H270" s="250"/>
      <c r="I270" s="250"/>
      <c r="J270" s="250"/>
      <c r="K270" s="250"/>
      <c r="L270" s="251">
        <v>20000</v>
      </c>
      <c r="M270" s="250"/>
      <c r="N270" s="250"/>
      <c r="O270" s="250"/>
      <c r="P270" s="250"/>
      <c r="Q270" s="251">
        <v>10000</v>
      </c>
      <c r="R270" s="250"/>
      <c r="S270" s="250"/>
      <c r="T270" s="251">
        <v>10000</v>
      </c>
      <c r="U270" s="250"/>
      <c r="V270" s="250"/>
      <c r="W270" s="249"/>
      <c r="X270" s="249"/>
    </row>
    <row r="271" spans="1:24" ht="12" customHeight="1" outlineLevel="1" x14ac:dyDescent="0.2">
      <c r="A271" s="256" t="s">
        <v>1568</v>
      </c>
      <c r="B271" s="253"/>
      <c r="C271" s="255">
        <v>1460949.81</v>
      </c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3"/>
      <c r="X271" s="255">
        <v>1460949.81</v>
      </c>
    </row>
    <row r="272" spans="1:24" ht="24.95" customHeight="1" outlineLevel="1" collapsed="1" x14ac:dyDescent="0.2">
      <c r="A272" s="256" t="s">
        <v>1567</v>
      </c>
      <c r="B272" s="253"/>
      <c r="C272" s="255">
        <v>15656.2</v>
      </c>
      <c r="D272" s="255">
        <v>277338.40000000002</v>
      </c>
      <c r="E272" s="255">
        <v>230369.8</v>
      </c>
      <c r="F272" s="254"/>
      <c r="G272" s="255">
        <v>46968.6</v>
      </c>
      <c r="H272" s="254"/>
      <c r="I272" s="254"/>
      <c r="J272" s="254"/>
      <c r="K272" s="254"/>
      <c r="L272" s="255">
        <v>261682.2</v>
      </c>
      <c r="M272" s="254"/>
      <c r="N272" s="254"/>
      <c r="O272" s="254"/>
      <c r="P272" s="254"/>
      <c r="Q272" s="254"/>
      <c r="R272" s="255">
        <v>214713.60000000001</v>
      </c>
      <c r="S272" s="254"/>
      <c r="T272" s="255">
        <v>46968.6</v>
      </c>
      <c r="U272" s="254"/>
      <c r="V272" s="254"/>
      <c r="W272" s="253"/>
      <c r="X272" s="253"/>
    </row>
    <row r="273" spans="1:24" ht="12" hidden="1" customHeight="1" outlineLevel="2" x14ac:dyDescent="0.2">
      <c r="A273" s="252" t="s">
        <v>1555</v>
      </c>
      <c r="B273" s="249"/>
      <c r="C273" s="251">
        <v>15656.2</v>
      </c>
      <c r="D273" s="251">
        <v>277338.40000000002</v>
      </c>
      <c r="E273" s="251">
        <v>230369.8</v>
      </c>
      <c r="F273" s="250"/>
      <c r="G273" s="251">
        <v>46968.6</v>
      </c>
      <c r="H273" s="250"/>
      <c r="I273" s="250"/>
      <c r="J273" s="250"/>
      <c r="K273" s="250"/>
      <c r="L273" s="251">
        <v>261682.2</v>
      </c>
      <c r="M273" s="250"/>
      <c r="N273" s="250"/>
      <c r="O273" s="250"/>
      <c r="P273" s="250"/>
      <c r="Q273" s="250"/>
      <c r="R273" s="251">
        <v>214713.60000000001</v>
      </c>
      <c r="S273" s="250"/>
      <c r="T273" s="251">
        <v>46968.6</v>
      </c>
      <c r="U273" s="250"/>
      <c r="V273" s="250"/>
      <c r="W273" s="249"/>
      <c r="X273" s="249"/>
    </row>
    <row r="274" spans="1:24" ht="12" customHeight="1" outlineLevel="1" collapsed="1" x14ac:dyDescent="0.2">
      <c r="A274" s="256" t="s">
        <v>1566</v>
      </c>
      <c r="B274" s="255">
        <v>1306.44</v>
      </c>
      <c r="C274" s="253"/>
      <c r="D274" s="255">
        <v>174127.26</v>
      </c>
      <c r="E274" s="255">
        <v>87540</v>
      </c>
      <c r="F274" s="254"/>
      <c r="G274" s="255">
        <v>86587.26</v>
      </c>
      <c r="H274" s="254"/>
      <c r="I274" s="254"/>
      <c r="J274" s="254"/>
      <c r="K274" s="254"/>
      <c r="L274" s="255">
        <v>164549.51999999999</v>
      </c>
      <c r="M274" s="254"/>
      <c r="N274" s="255">
        <v>58095.8</v>
      </c>
      <c r="O274" s="255">
        <v>12952.08</v>
      </c>
      <c r="P274" s="254"/>
      <c r="Q274" s="254"/>
      <c r="R274" s="255">
        <v>6914.38</v>
      </c>
      <c r="S274" s="254"/>
      <c r="T274" s="255">
        <v>86587.26</v>
      </c>
      <c r="U274" s="254"/>
      <c r="V274" s="254"/>
      <c r="W274" s="255">
        <v>10884.18</v>
      </c>
      <c r="X274" s="253"/>
    </row>
    <row r="275" spans="1:24" ht="12" hidden="1" customHeight="1" outlineLevel="2" x14ac:dyDescent="0.2">
      <c r="A275" s="252" t="s">
        <v>1555</v>
      </c>
      <c r="B275" s="251">
        <v>1306.44</v>
      </c>
      <c r="C275" s="249"/>
      <c r="D275" s="251">
        <v>174127.26</v>
      </c>
      <c r="E275" s="251">
        <v>87540</v>
      </c>
      <c r="F275" s="250"/>
      <c r="G275" s="251">
        <v>86587.26</v>
      </c>
      <c r="H275" s="250"/>
      <c r="I275" s="250"/>
      <c r="J275" s="250"/>
      <c r="K275" s="250"/>
      <c r="L275" s="251">
        <v>164549.51999999999</v>
      </c>
      <c r="M275" s="250"/>
      <c r="N275" s="251">
        <v>58095.8</v>
      </c>
      <c r="O275" s="251">
        <v>12952.08</v>
      </c>
      <c r="P275" s="250"/>
      <c r="Q275" s="250"/>
      <c r="R275" s="251">
        <v>6914.38</v>
      </c>
      <c r="S275" s="250"/>
      <c r="T275" s="251">
        <v>86587.26</v>
      </c>
      <c r="U275" s="250"/>
      <c r="V275" s="250"/>
      <c r="W275" s="251">
        <v>10884.18</v>
      </c>
      <c r="X275" s="249"/>
    </row>
    <row r="276" spans="1:24" ht="24.95" customHeight="1" outlineLevel="1" collapsed="1" x14ac:dyDescent="0.2">
      <c r="A276" s="256" t="s">
        <v>1565</v>
      </c>
      <c r="B276" s="253"/>
      <c r="C276" s="253"/>
      <c r="D276" s="255">
        <v>25000</v>
      </c>
      <c r="E276" s="255">
        <v>22500</v>
      </c>
      <c r="F276" s="254"/>
      <c r="G276" s="255">
        <v>2500</v>
      </c>
      <c r="H276" s="254"/>
      <c r="I276" s="254"/>
      <c r="J276" s="254"/>
      <c r="K276" s="254"/>
      <c r="L276" s="255">
        <v>25000</v>
      </c>
      <c r="M276" s="254"/>
      <c r="N276" s="254"/>
      <c r="O276" s="254"/>
      <c r="P276" s="255">
        <v>22500</v>
      </c>
      <c r="Q276" s="254"/>
      <c r="R276" s="254"/>
      <c r="S276" s="254"/>
      <c r="T276" s="255">
        <v>2500</v>
      </c>
      <c r="U276" s="254"/>
      <c r="V276" s="254"/>
      <c r="W276" s="253"/>
      <c r="X276" s="253"/>
    </row>
    <row r="277" spans="1:24" ht="12" hidden="1" customHeight="1" outlineLevel="2" x14ac:dyDescent="0.2">
      <c r="A277" s="252" t="s">
        <v>1555</v>
      </c>
      <c r="B277" s="249"/>
      <c r="C277" s="249"/>
      <c r="D277" s="251">
        <v>25000</v>
      </c>
      <c r="E277" s="251">
        <v>22500</v>
      </c>
      <c r="F277" s="250"/>
      <c r="G277" s="251">
        <v>2500</v>
      </c>
      <c r="H277" s="250"/>
      <c r="I277" s="250"/>
      <c r="J277" s="250"/>
      <c r="K277" s="250"/>
      <c r="L277" s="251">
        <v>25000</v>
      </c>
      <c r="M277" s="250"/>
      <c r="N277" s="250"/>
      <c r="O277" s="250"/>
      <c r="P277" s="251">
        <v>22500</v>
      </c>
      <c r="Q277" s="250"/>
      <c r="R277" s="250"/>
      <c r="S277" s="250"/>
      <c r="T277" s="251">
        <v>2500</v>
      </c>
      <c r="U277" s="250"/>
      <c r="V277" s="250"/>
      <c r="W277" s="249"/>
      <c r="X277" s="249"/>
    </row>
    <row r="278" spans="1:24" ht="24.95" customHeight="1" outlineLevel="1" collapsed="1" x14ac:dyDescent="0.2">
      <c r="A278" s="256" t="s">
        <v>1564</v>
      </c>
      <c r="B278" s="253"/>
      <c r="C278" s="253"/>
      <c r="D278" s="255">
        <v>11369249.17</v>
      </c>
      <c r="E278" s="255">
        <v>7940626.9900000002</v>
      </c>
      <c r="F278" s="254"/>
      <c r="G278" s="255">
        <v>3428622.18</v>
      </c>
      <c r="H278" s="254"/>
      <c r="I278" s="254"/>
      <c r="J278" s="254"/>
      <c r="K278" s="254"/>
      <c r="L278" s="255">
        <v>14320853.48</v>
      </c>
      <c r="M278" s="254"/>
      <c r="N278" s="254"/>
      <c r="O278" s="255">
        <v>1815371.89</v>
      </c>
      <c r="P278" s="254"/>
      <c r="Q278" s="254"/>
      <c r="R278" s="254"/>
      <c r="S278" s="254"/>
      <c r="T278" s="255">
        <v>3428622.18</v>
      </c>
      <c r="U278" s="255">
        <v>9076859.4100000001</v>
      </c>
      <c r="V278" s="254"/>
      <c r="W278" s="253"/>
      <c r="X278" s="255">
        <v>2951604.31</v>
      </c>
    </row>
    <row r="279" spans="1:24" ht="12" hidden="1" customHeight="1" outlineLevel="2" x14ac:dyDescent="0.2">
      <c r="A279" s="252" t="s">
        <v>1555</v>
      </c>
      <c r="B279" s="249"/>
      <c r="C279" s="249"/>
      <c r="D279" s="251">
        <v>11369249.17</v>
      </c>
      <c r="E279" s="251">
        <v>7940626.9900000002</v>
      </c>
      <c r="F279" s="250"/>
      <c r="G279" s="251">
        <v>3428622.18</v>
      </c>
      <c r="H279" s="250"/>
      <c r="I279" s="250"/>
      <c r="J279" s="250"/>
      <c r="K279" s="250"/>
      <c r="L279" s="251">
        <v>14320853.48</v>
      </c>
      <c r="M279" s="250"/>
      <c r="N279" s="250"/>
      <c r="O279" s="251">
        <v>1815371.89</v>
      </c>
      <c r="P279" s="250"/>
      <c r="Q279" s="250"/>
      <c r="R279" s="250"/>
      <c r="S279" s="250"/>
      <c r="T279" s="251">
        <v>3428622.18</v>
      </c>
      <c r="U279" s="251">
        <v>9076859.4100000001</v>
      </c>
      <c r="V279" s="250"/>
      <c r="W279" s="249"/>
      <c r="X279" s="251">
        <v>2951604.31</v>
      </c>
    </row>
    <row r="280" spans="1:24" ht="36.950000000000003" customHeight="1" outlineLevel="1" collapsed="1" x14ac:dyDescent="0.2">
      <c r="A280" s="256" t="s">
        <v>1563</v>
      </c>
      <c r="B280" s="253"/>
      <c r="C280" s="253"/>
      <c r="D280" s="255">
        <v>110000</v>
      </c>
      <c r="E280" s="255">
        <v>110000</v>
      </c>
      <c r="F280" s="254"/>
      <c r="G280" s="254"/>
      <c r="H280" s="254"/>
      <c r="I280" s="254"/>
      <c r="J280" s="254"/>
      <c r="K280" s="254"/>
      <c r="L280" s="255">
        <v>110000</v>
      </c>
      <c r="M280" s="254"/>
      <c r="N280" s="254"/>
      <c r="O280" s="254"/>
      <c r="P280" s="254"/>
      <c r="Q280" s="254"/>
      <c r="R280" s="255">
        <v>110000</v>
      </c>
      <c r="S280" s="254"/>
      <c r="T280" s="254"/>
      <c r="U280" s="254"/>
      <c r="V280" s="254"/>
      <c r="W280" s="253"/>
      <c r="X280" s="253"/>
    </row>
    <row r="281" spans="1:24" ht="12" hidden="1" customHeight="1" outlineLevel="2" x14ac:dyDescent="0.2">
      <c r="A281" s="252" t="s">
        <v>1555</v>
      </c>
      <c r="B281" s="249"/>
      <c r="C281" s="249"/>
      <c r="D281" s="251">
        <v>110000</v>
      </c>
      <c r="E281" s="251">
        <v>110000</v>
      </c>
      <c r="F281" s="250"/>
      <c r="G281" s="250"/>
      <c r="H281" s="250"/>
      <c r="I281" s="250"/>
      <c r="J281" s="250"/>
      <c r="K281" s="250"/>
      <c r="L281" s="251">
        <v>110000</v>
      </c>
      <c r="M281" s="250"/>
      <c r="N281" s="250"/>
      <c r="O281" s="250"/>
      <c r="P281" s="250"/>
      <c r="Q281" s="250"/>
      <c r="R281" s="251">
        <v>110000</v>
      </c>
      <c r="S281" s="250"/>
      <c r="T281" s="250"/>
      <c r="U281" s="250"/>
      <c r="V281" s="250"/>
      <c r="W281" s="249"/>
      <c r="X281" s="249"/>
    </row>
    <row r="282" spans="1:24" ht="36.950000000000003" customHeight="1" outlineLevel="1" collapsed="1" x14ac:dyDescent="0.2">
      <c r="A282" s="256" t="s">
        <v>1562</v>
      </c>
      <c r="B282" s="253"/>
      <c r="C282" s="253"/>
      <c r="D282" s="255">
        <v>85000</v>
      </c>
      <c r="E282" s="255">
        <v>85000</v>
      </c>
      <c r="F282" s="254"/>
      <c r="G282" s="254"/>
      <c r="H282" s="254"/>
      <c r="I282" s="254"/>
      <c r="J282" s="254"/>
      <c r="K282" s="254"/>
      <c r="L282" s="255">
        <v>85000</v>
      </c>
      <c r="M282" s="254"/>
      <c r="N282" s="254"/>
      <c r="O282" s="254"/>
      <c r="P282" s="254"/>
      <c r="Q282" s="254"/>
      <c r="R282" s="255">
        <v>85000</v>
      </c>
      <c r="S282" s="254"/>
      <c r="T282" s="254"/>
      <c r="U282" s="254"/>
      <c r="V282" s="254"/>
      <c r="W282" s="253"/>
      <c r="X282" s="253"/>
    </row>
    <row r="283" spans="1:24" ht="12" hidden="1" customHeight="1" outlineLevel="2" x14ac:dyDescent="0.2">
      <c r="A283" s="252" t="s">
        <v>1555</v>
      </c>
      <c r="B283" s="249"/>
      <c r="C283" s="249"/>
      <c r="D283" s="251">
        <v>85000</v>
      </c>
      <c r="E283" s="251">
        <v>85000</v>
      </c>
      <c r="F283" s="250"/>
      <c r="G283" s="250"/>
      <c r="H283" s="250"/>
      <c r="I283" s="250"/>
      <c r="J283" s="250"/>
      <c r="K283" s="250"/>
      <c r="L283" s="251">
        <v>85000</v>
      </c>
      <c r="M283" s="250"/>
      <c r="N283" s="250"/>
      <c r="O283" s="250"/>
      <c r="P283" s="250"/>
      <c r="Q283" s="250"/>
      <c r="R283" s="251">
        <v>85000</v>
      </c>
      <c r="S283" s="250"/>
      <c r="T283" s="250"/>
      <c r="U283" s="250"/>
      <c r="V283" s="250"/>
      <c r="W283" s="249"/>
      <c r="X283" s="249"/>
    </row>
    <row r="284" spans="1:24" ht="12" customHeight="1" outlineLevel="1" collapsed="1" x14ac:dyDescent="0.2">
      <c r="A284" s="256" t="s">
        <v>1561</v>
      </c>
      <c r="B284" s="255">
        <v>30100</v>
      </c>
      <c r="C284" s="253"/>
      <c r="D284" s="255">
        <v>3405900</v>
      </c>
      <c r="E284" s="255">
        <v>1703600</v>
      </c>
      <c r="F284" s="254"/>
      <c r="G284" s="255">
        <v>1702300</v>
      </c>
      <c r="H284" s="254"/>
      <c r="I284" s="254"/>
      <c r="J284" s="254"/>
      <c r="K284" s="254"/>
      <c r="L284" s="255">
        <v>3404600</v>
      </c>
      <c r="M284" s="254"/>
      <c r="N284" s="255">
        <v>1353500</v>
      </c>
      <c r="O284" s="255">
        <v>283716.68</v>
      </c>
      <c r="P284" s="255">
        <v>33000</v>
      </c>
      <c r="Q284" s="254"/>
      <c r="R284" s="255">
        <v>32083.32</v>
      </c>
      <c r="S284" s="254"/>
      <c r="T284" s="255">
        <v>1702300</v>
      </c>
      <c r="U284" s="254"/>
      <c r="V284" s="254"/>
      <c r="W284" s="255">
        <v>31400</v>
      </c>
      <c r="X284" s="253"/>
    </row>
    <row r="285" spans="1:24" ht="12" hidden="1" customHeight="1" outlineLevel="2" x14ac:dyDescent="0.2">
      <c r="A285" s="252" t="s">
        <v>1555</v>
      </c>
      <c r="B285" s="251">
        <v>30100</v>
      </c>
      <c r="C285" s="249"/>
      <c r="D285" s="251">
        <v>3405900</v>
      </c>
      <c r="E285" s="251">
        <v>1703600</v>
      </c>
      <c r="F285" s="250"/>
      <c r="G285" s="251">
        <v>1702300</v>
      </c>
      <c r="H285" s="250"/>
      <c r="I285" s="250"/>
      <c r="J285" s="250"/>
      <c r="K285" s="250"/>
      <c r="L285" s="251">
        <v>3404600</v>
      </c>
      <c r="M285" s="250"/>
      <c r="N285" s="251">
        <v>1353500</v>
      </c>
      <c r="O285" s="251">
        <v>283716.68</v>
      </c>
      <c r="P285" s="251">
        <v>33000</v>
      </c>
      <c r="Q285" s="250"/>
      <c r="R285" s="251">
        <v>32083.32</v>
      </c>
      <c r="S285" s="250"/>
      <c r="T285" s="251">
        <v>1702300</v>
      </c>
      <c r="U285" s="250"/>
      <c r="V285" s="250"/>
      <c r="W285" s="251">
        <v>31400</v>
      </c>
      <c r="X285" s="249"/>
    </row>
    <row r="286" spans="1:24" ht="12" customHeight="1" outlineLevel="1" collapsed="1" x14ac:dyDescent="0.2">
      <c r="A286" s="256" t="s">
        <v>1560</v>
      </c>
      <c r="B286" s="253"/>
      <c r="C286" s="253"/>
      <c r="D286" s="255">
        <v>63845</v>
      </c>
      <c r="E286" s="255">
        <v>35500</v>
      </c>
      <c r="F286" s="254"/>
      <c r="G286" s="255">
        <v>28345</v>
      </c>
      <c r="H286" s="254"/>
      <c r="I286" s="254"/>
      <c r="J286" s="254"/>
      <c r="K286" s="254"/>
      <c r="L286" s="255">
        <v>63845</v>
      </c>
      <c r="M286" s="254"/>
      <c r="N286" s="255">
        <v>29583.33</v>
      </c>
      <c r="O286" s="255">
        <v>5916.67</v>
      </c>
      <c r="P286" s="254"/>
      <c r="Q286" s="254"/>
      <c r="R286" s="254"/>
      <c r="S286" s="254"/>
      <c r="T286" s="255">
        <v>28345</v>
      </c>
      <c r="U286" s="254"/>
      <c r="V286" s="254"/>
      <c r="W286" s="253"/>
      <c r="X286" s="253"/>
    </row>
    <row r="287" spans="1:24" ht="12" hidden="1" customHeight="1" outlineLevel="2" x14ac:dyDescent="0.2">
      <c r="A287" s="252" t="s">
        <v>1555</v>
      </c>
      <c r="B287" s="249"/>
      <c r="C287" s="249"/>
      <c r="D287" s="251">
        <v>63845</v>
      </c>
      <c r="E287" s="251">
        <v>35500</v>
      </c>
      <c r="F287" s="250"/>
      <c r="G287" s="251">
        <v>28345</v>
      </c>
      <c r="H287" s="250"/>
      <c r="I287" s="250"/>
      <c r="J287" s="250"/>
      <c r="K287" s="250"/>
      <c r="L287" s="251">
        <v>63845</v>
      </c>
      <c r="M287" s="250"/>
      <c r="N287" s="251">
        <v>29583.33</v>
      </c>
      <c r="O287" s="251">
        <v>5916.67</v>
      </c>
      <c r="P287" s="250"/>
      <c r="Q287" s="250"/>
      <c r="R287" s="250"/>
      <c r="S287" s="250"/>
      <c r="T287" s="251">
        <v>28345</v>
      </c>
      <c r="U287" s="250"/>
      <c r="V287" s="250"/>
      <c r="W287" s="249"/>
      <c r="X287" s="249"/>
    </row>
    <row r="288" spans="1:24" ht="24.95" customHeight="1" outlineLevel="1" collapsed="1" x14ac:dyDescent="0.2">
      <c r="A288" s="256" t="s">
        <v>1559</v>
      </c>
      <c r="B288" s="258">
        <v>280.11</v>
      </c>
      <c r="C288" s="253"/>
      <c r="D288" s="255">
        <v>1052157.48</v>
      </c>
      <c r="E288" s="255">
        <v>526078.34</v>
      </c>
      <c r="F288" s="254"/>
      <c r="G288" s="255">
        <v>526079.14</v>
      </c>
      <c r="H288" s="254"/>
      <c r="I288" s="254"/>
      <c r="J288" s="254"/>
      <c r="K288" s="254"/>
      <c r="L288" s="255">
        <v>1052437.5900000001</v>
      </c>
      <c r="M288" s="254"/>
      <c r="N288" s="255">
        <v>438399.28</v>
      </c>
      <c r="O288" s="255">
        <v>87679.86</v>
      </c>
      <c r="P288" s="254"/>
      <c r="Q288" s="254"/>
      <c r="R288" s="254"/>
      <c r="S288" s="254"/>
      <c r="T288" s="255">
        <v>526358.44999999995</v>
      </c>
      <c r="U288" s="254"/>
      <c r="V288" s="254"/>
      <c r="W288" s="253"/>
      <c r="X288" s="253"/>
    </row>
    <row r="289" spans="1:24" ht="12" hidden="1" customHeight="1" outlineLevel="2" x14ac:dyDescent="0.2">
      <c r="A289" s="252" t="s">
        <v>1555</v>
      </c>
      <c r="B289" s="257">
        <v>280.11</v>
      </c>
      <c r="C289" s="249"/>
      <c r="D289" s="251">
        <v>1052157.48</v>
      </c>
      <c r="E289" s="251">
        <v>526078.34</v>
      </c>
      <c r="F289" s="250"/>
      <c r="G289" s="251">
        <v>526079.14</v>
      </c>
      <c r="H289" s="250"/>
      <c r="I289" s="250"/>
      <c r="J289" s="250"/>
      <c r="K289" s="250"/>
      <c r="L289" s="251">
        <v>1052437.5900000001</v>
      </c>
      <c r="M289" s="250"/>
      <c r="N289" s="251">
        <v>438399.28</v>
      </c>
      <c r="O289" s="251">
        <v>87679.86</v>
      </c>
      <c r="P289" s="250"/>
      <c r="Q289" s="250"/>
      <c r="R289" s="250"/>
      <c r="S289" s="250"/>
      <c r="T289" s="251">
        <v>526358.44999999995</v>
      </c>
      <c r="U289" s="250"/>
      <c r="V289" s="250"/>
      <c r="W289" s="249"/>
      <c r="X289" s="249"/>
    </row>
    <row r="290" spans="1:24" ht="24.95" customHeight="1" outlineLevel="1" collapsed="1" x14ac:dyDescent="0.2">
      <c r="A290" s="256" t="s">
        <v>1558</v>
      </c>
      <c r="B290" s="253"/>
      <c r="C290" s="253"/>
      <c r="D290" s="255">
        <v>462051.05</v>
      </c>
      <c r="E290" s="255">
        <v>225165.47</v>
      </c>
      <c r="F290" s="254"/>
      <c r="G290" s="255">
        <v>236885.58</v>
      </c>
      <c r="H290" s="254"/>
      <c r="I290" s="254"/>
      <c r="J290" s="254"/>
      <c r="K290" s="254"/>
      <c r="L290" s="255">
        <v>450330.94</v>
      </c>
      <c r="M290" s="254"/>
      <c r="N290" s="255">
        <v>178103.89</v>
      </c>
      <c r="O290" s="255">
        <v>35620.78</v>
      </c>
      <c r="P290" s="254"/>
      <c r="Q290" s="254"/>
      <c r="R290" s="254"/>
      <c r="S290" s="254"/>
      <c r="T290" s="255">
        <v>236606.27</v>
      </c>
      <c r="U290" s="254"/>
      <c r="V290" s="254"/>
      <c r="W290" s="255">
        <v>11720.11</v>
      </c>
      <c r="X290" s="253"/>
    </row>
    <row r="291" spans="1:24" ht="12" hidden="1" customHeight="1" outlineLevel="2" x14ac:dyDescent="0.2">
      <c r="A291" s="252" t="s">
        <v>1555</v>
      </c>
      <c r="B291" s="249"/>
      <c r="C291" s="249"/>
      <c r="D291" s="251">
        <v>462051.05</v>
      </c>
      <c r="E291" s="251">
        <v>225165.47</v>
      </c>
      <c r="F291" s="250"/>
      <c r="G291" s="251">
        <v>236885.58</v>
      </c>
      <c r="H291" s="250"/>
      <c r="I291" s="250"/>
      <c r="J291" s="250"/>
      <c r="K291" s="250"/>
      <c r="L291" s="251">
        <v>450330.94</v>
      </c>
      <c r="M291" s="250"/>
      <c r="N291" s="251">
        <v>178103.89</v>
      </c>
      <c r="O291" s="251">
        <v>35620.78</v>
      </c>
      <c r="P291" s="250"/>
      <c r="Q291" s="250"/>
      <c r="R291" s="250"/>
      <c r="S291" s="250"/>
      <c r="T291" s="251">
        <v>236606.27</v>
      </c>
      <c r="U291" s="250"/>
      <c r="V291" s="250"/>
      <c r="W291" s="251">
        <v>11720.11</v>
      </c>
      <c r="X291" s="249"/>
    </row>
    <row r="292" spans="1:24" ht="12" customHeight="1" outlineLevel="1" collapsed="1" x14ac:dyDescent="0.2">
      <c r="A292" s="256" t="s">
        <v>1557</v>
      </c>
      <c r="B292" s="253"/>
      <c r="C292" s="253"/>
      <c r="D292" s="255">
        <v>11721350.24</v>
      </c>
      <c r="E292" s="255">
        <v>7362636.7000000002</v>
      </c>
      <c r="F292" s="254"/>
      <c r="G292" s="255">
        <v>4358713.54</v>
      </c>
      <c r="H292" s="254"/>
      <c r="I292" s="254"/>
      <c r="J292" s="254"/>
      <c r="K292" s="254"/>
      <c r="L292" s="255">
        <v>14441655.57</v>
      </c>
      <c r="M292" s="254"/>
      <c r="N292" s="254"/>
      <c r="O292" s="255">
        <v>1680490.35</v>
      </c>
      <c r="P292" s="255">
        <v>2988882.19</v>
      </c>
      <c r="Q292" s="254"/>
      <c r="R292" s="254"/>
      <c r="S292" s="254"/>
      <c r="T292" s="255">
        <v>4358713.54</v>
      </c>
      <c r="U292" s="255">
        <v>5413569.4900000002</v>
      </c>
      <c r="V292" s="254"/>
      <c r="W292" s="253"/>
      <c r="X292" s="255">
        <v>2720305.33</v>
      </c>
    </row>
    <row r="293" spans="1:24" ht="12" hidden="1" customHeight="1" outlineLevel="2" x14ac:dyDescent="0.2">
      <c r="A293" s="252" t="s">
        <v>1555</v>
      </c>
      <c r="B293" s="249"/>
      <c r="C293" s="249"/>
      <c r="D293" s="251">
        <v>11721350.24</v>
      </c>
      <c r="E293" s="251">
        <v>7362636.7000000002</v>
      </c>
      <c r="F293" s="250"/>
      <c r="G293" s="251">
        <v>4358713.54</v>
      </c>
      <c r="H293" s="250"/>
      <c r="I293" s="250"/>
      <c r="J293" s="250"/>
      <c r="K293" s="250"/>
      <c r="L293" s="251">
        <v>14441655.57</v>
      </c>
      <c r="M293" s="250"/>
      <c r="N293" s="250"/>
      <c r="O293" s="251">
        <v>1680490.35</v>
      </c>
      <c r="P293" s="251">
        <v>2988882.19</v>
      </c>
      <c r="Q293" s="250"/>
      <c r="R293" s="250"/>
      <c r="S293" s="250"/>
      <c r="T293" s="251">
        <v>4358713.54</v>
      </c>
      <c r="U293" s="251">
        <v>5413569.4900000002</v>
      </c>
      <c r="V293" s="250"/>
      <c r="W293" s="249"/>
      <c r="X293" s="251">
        <v>2720305.33</v>
      </c>
    </row>
    <row r="294" spans="1:24" ht="12" customHeight="1" outlineLevel="1" collapsed="1" x14ac:dyDescent="0.2">
      <c r="A294" s="256" t="s">
        <v>1556</v>
      </c>
      <c r="B294" s="253"/>
      <c r="C294" s="255">
        <v>126810</v>
      </c>
      <c r="D294" s="255">
        <v>126810</v>
      </c>
      <c r="E294" s="255">
        <v>126810</v>
      </c>
      <c r="F294" s="254"/>
      <c r="G294" s="254"/>
      <c r="H294" s="254"/>
      <c r="I294" s="254"/>
      <c r="J294" s="254"/>
      <c r="K294" s="254"/>
      <c r="L294" s="253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3"/>
      <c r="X294" s="253"/>
    </row>
    <row r="295" spans="1:24" ht="12" hidden="1" customHeight="1" outlineLevel="2" x14ac:dyDescent="0.2">
      <c r="A295" s="252" t="s">
        <v>1555</v>
      </c>
      <c r="B295" s="249"/>
      <c r="C295" s="251">
        <v>126810</v>
      </c>
      <c r="D295" s="251">
        <v>126810</v>
      </c>
      <c r="E295" s="251">
        <v>126810</v>
      </c>
      <c r="F295" s="250"/>
      <c r="G295" s="250"/>
      <c r="H295" s="250"/>
      <c r="I295" s="250"/>
      <c r="J295" s="250"/>
      <c r="K295" s="250"/>
      <c r="L295" s="249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49"/>
      <c r="X295" s="249"/>
    </row>
    <row r="296" spans="1:24" ht="12.95" customHeight="1" x14ac:dyDescent="0.2">
      <c r="A296" s="248" t="s">
        <v>918</v>
      </c>
      <c r="B296" s="247"/>
      <c r="C296" s="246">
        <v>107031857.2</v>
      </c>
      <c r="D296" s="246">
        <v>1285121589.97</v>
      </c>
      <c r="E296" s="246">
        <v>877262691.13999999</v>
      </c>
      <c r="F296" s="246">
        <v>66523559.060000002</v>
      </c>
      <c r="G296" s="246">
        <v>124782488.78</v>
      </c>
      <c r="H296" s="246">
        <v>92109831.049999997</v>
      </c>
      <c r="I296" s="246">
        <v>2010</v>
      </c>
      <c r="J296" s="246">
        <v>123839621.01000001</v>
      </c>
      <c r="K296" s="246">
        <v>601388.93000000005</v>
      </c>
      <c r="L296" s="246">
        <v>1359206599.9300001</v>
      </c>
      <c r="M296" s="246">
        <v>170650</v>
      </c>
      <c r="N296" s="246">
        <v>28369785.530000001</v>
      </c>
      <c r="O296" s="246">
        <v>186713882.41</v>
      </c>
      <c r="P296" s="246">
        <v>912801571.88</v>
      </c>
      <c r="Q296" s="246">
        <v>925489.64</v>
      </c>
      <c r="R296" s="246">
        <v>4415327.79</v>
      </c>
      <c r="S296" s="246">
        <v>1452891.04</v>
      </c>
      <c r="T296" s="246">
        <v>124782488.78</v>
      </c>
      <c r="U296" s="246">
        <v>99570354.530000001</v>
      </c>
      <c r="V296" s="246">
        <v>4158.33</v>
      </c>
      <c r="W296" s="247"/>
      <c r="X296" s="246">
        <v>181116867.16</v>
      </c>
    </row>
  </sheetData>
  <mergeCells count="24">
    <mergeCell ref="T6:T8"/>
    <mergeCell ref="U6:U8"/>
    <mergeCell ref="P6:P8"/>
    <mergeCell ref="L6:L8"/>
    <mergeCell ref="M6:M8"/>
    <mergeCell ref="N6:N8"/>
    <mergeCell ref="O6:O8"/>
    <mergeCell ref="S6:S8"/>
    <mergeCell ref="A4:X4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V6:V8"/>
    <mergeCell ref="W6:W8"/>
    <mergeCell ref="X6:X8"/>
    <mergeCell ref="Q6:Q8"/>
    <mergeCell ref="R6:R8"/>
    <mergeCell ref="K6:K8"/>
  </mergeCells>
  <pageMargins left="0.19685039370078741" right="0.19685039370078741" top="0.39370078740157483" bottom="0.39370078740157483" header="0" footer="0"/>
  <pageSetup paperSize="9" fitToHeight="0" pageOrder="overThenDown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41"/>
  <sheetViews>
    <sheetView workbookViewId="0">
      <selection activeCell="EB284" sqref="EB284"/>
    </sheetView>
  </sheetViews>
  <sheetFormatPr defaultRowHeight="11.25" outlineLevelRow="1" x14ac:dyDescent="0.2"/>
  <cols>
    <col min="1" max="1" width="30" style="67" customWidth="1"/>
    <col min="2" max="7" width="16" style="67" customWidth="1"/>
    <col min="8" max="256" width="9.140625" style="67" customWidth="1"/>
    <col min="257" max="16384" width="9.140625" style="67"/>
  </cols>
  <sheetData>
    <row r="1" spans="1:7" ht="12.75" customHeight="1" x14ac:dyDescent="0.2">
      <c r="A1" s="88" t="s">
        <v>1309</v>
      </c>
      <c r="B1" s="85"/>
      <c r="C1" s="85"/>
      <c r="D1" s="85"/>
    </row>
    <row r="2" spans="1:7" ht="15.75" customHeight="1" x14ac:dyDescent="0.25">
      <c r="A2" s="87" t="s">
        <v>1379</v>
      </c>
      <c r="B2" s="85"/>
      <c r="C2" s="85"/>
      <c r="D2" s="85"/>
    </row>
    <row r="3" spans="1:7" ht="2.1" customHeight="1" x14ac:dyDescent="0.2"/>
    <row r="4" spans="1:7" ht="11.25" customHeight="1" x14ac:dyDescent="0.2">
      <c r="A4" s="386" t="s">
        <v>1307</v>
      </c>
      <c r="B4" s="387"/>
      <c r="C4" s="388"/>
      <c r="D4" s="388"/>
      <c r="E4" s="388"/>
      <c r="F4" s="388"/>
      <c r="G4" s="388"/>
    </row>
    <row r="5" spans="1:7" ht="2.1" customHeight="1" x14ac:dyDescent="0.2">
      <c r="A5" s="90"/>
      <c r="B5" s="90"/>
      <c r="C5" s="85"/>
      <c r="D5" s="85"/>
      <c r="E5" s="85"/>
      <c r="F5" s="85"/>
      <c r="G5" s="85"/>
    </row>
    <row r="6" spans="1:7" ht="12.75" customHeight="1" x14ac:dyDescent="0.2">
      <c r="A6" s="84" t="s">
        <v>1306</v>
      </c>
      <c r="B6" s="389" t="s">
        <v>1305</v>
      </c>
      <c r="C6" s="389"/>
      <c r="D6" s="389" t="s">
        <v>1304</v>
      </c>
      <c r="E6" s="389"/>
      <c r="F6" s="389" t="s">
        <v>1303</v>
      </c>
      <c r="G6" s="389"/>
    </row>
    <row r="7" spans="1:7" ht="11.25" customHeight="1" x14ac:dyDescent="0.2">
      <c r="A7" s="393" t="s">
        <v>1378</v>
      </c>
      <c r="B7" s="390" t="s">
        <v>1301</v>
      </c>
      <c r="C7" s="390" t="s">
        <v>1300</v>
      </c>
      <c r="D7" s="390" t="s">
        <v>1301</v>
      </c>
      <c r="E7" s="390" t="s">
        <v>1300</v>
      </c>
      <c r="F7" s="390" t="s">
        <v>1301</v>
      </c>
      <c r="G7" s="390" t="s">
        <v>1300</v>
      </c>
    </row>
    <row r="8" spans="1:7" ht="11.25" customHeight="1" x14ac:dyDescent="0.2">
      <c r="A8" s="394"/>
      <c r="B8" s="392"/>
      <c r="C8" s="392"/>
      <c r="D8" s="392"/>
      <c r="E8" s="392"/>
      <c r="F8" s="392"/>
      <c r="G8" s="392"/>
    </row>
    <row r="9" spans="1:7" ht="12.75" customHeight="1" x14ac:dyDescent="0.2">
      <c r="A9" s="83" t="s">
        <v>1377</v>
      </c>
      <c r="B9" s="81"/>
      <c r="C9" s="81"/>
      <c r="D9" s="82">
        <v>155837068.22999999</v>
      </c>
      <c r="E9" s="81"/>
      <c r="F9" s="82">
        <v>155837068.22999999</v>
      </c>
      <c r="G9" s="81"/>
    </row>
    <row r="10" spans="1:7" ht="12" customHeight="1" outlineLevel="1" x14ac:dyDescent="0.2">
      <c r="A10" s="89" t="s">
        <v>1376</v>
      </c>
      <c r="B10" s="71"/>
      <c r="C10" s="71"/>
      <c r="D10" s="272">
        <v>937053.16</v>
      </c>
      <c r="E10" s="71"/>
      <c r="F10" s="71"/>
      <c r="G10" s="71"/>
    </row>
    <row r="11" spans="1:7" ht="12" customHeight="1" outlineLevel="1" x14ac:dyDescent="0.2">
      <c r="A11" s="89" t="s">
        <v>1375</v>
      </c>
      <c r="B11" s="71"/>
      <c r="C11" s="71"/>
      <c r="D11" s="272">
        <v>3610357.7599999998</v>
      </c>
      <c r="E11" s="71"/>
      <c r="F11" s="71"/>
      <c r="G11" s="71"/>
    </row>
    <row r="12" spans="1:7" ht="12" customHeight="1" outlineLevel="1" x14ac:dyDescent="0.2">
      <c r="A12" s="89" t="s">
        <v>1374</v>
      </c>
      <c r="B12" s="71"/>
      <c r="C12" s="71"/>
      <c r="D12" s="272">
        <v>1493870</v>
      </c>
      <c r="E12" s="71"/>
      <c r="F12" s="71"/>
      <c r="G12" s="71"/>
    </row>
    <row r="13" spans="1:7" ht="24" customHeight="1" outlineLevel="1" x14ac:dyDescent="0.2">
      <c r="A13" s="89" t="s">
        <v>1373</v>
      </c>
      <c r="B13" s="71"/>
      <c r="C13" s="71"/>
      <c r="D13" s="72">
        <v>26666.67</v>
      </c>
      <c r="E13" s="71"/>
      <c r="F13" s="71"/>
      <c r="G13" s="71"/>
    </row>
    <row r="14" spans="1:7" ht="36" customHeight="1" outlineLevel="1" x14ac:dyDescent="0.2">
      <c r="A14" s="89" t="s">
        <v>1372</v>
      </c>
      <c r="B14" s="71"/>
      <c r="C14" s="71"/>
      <c r="D14" s="72">
        <v>8496164.0399999991</v>
      </c>
      <c r="E14" s="71"/>
      <c r="F14" s="71"/>
      <c r="G14" s="71"/>
    </row>
    <row r="15" spans="1:7" ht="12" customHeight="1" outlineLevel="1" x14ac:dyDescent="0.2">
      <c r="A15" s="89" t="s">
        <v>1371</v>
      </c>
      <c r="B15" s="71"/>
      <c r="C15" s="71"/>
      <c r="D15" s="72">
        <v>164705.31</v>
      </c>
      <c r="E15" s="71"/>
      <c r="F15" s="71"/>
      <c r="G15" s="71"/>
    </row>
    <row r="16" spans="1:7" ht="24" customHeight="1" outlineLevel="1" x14ac:dyDescent="0.2">
      <c r="A16" s="89" t="s">
        <v>1370</v>
      </c>
      <c r="B16" s="71"/>
      <c r="C16" s="71"/>
      <c r="D16" s="72">
        <v>296518.23</v>
      </c>
      <c r="E16" s="71"/>
      <c r="F16" s="71"/>
      <c r="G16" s="71"/>
    </row>
    <row r="17" spans="1:7" ht="12" customHeight="1" outlineLevel="1" x14ac:dyDescent="0.2">
      <c r="A17" s="89" t="s">
        <v>1369</v>
      </c>
      <c r="B17" s="71"/>
      <c r="C17" s="71"/>
      <c r="D17" s="298">
        <v>1402040</v>
      </c>
      <c r="E17" s="71"/>
      <c r="F17" s="71"/>
      <c r="G17" s="71"/>
    </row>
    <row r="18" spans="1:7" ht="12" customHeight="1" outlineLevel="1" x14ac:dyDescent="0.2">
      <c r="A18" s="89" t="s">
        <v>1368</v>
      </c>
      <c r="B18" s="71"/>
      <c r="C18" s="71"/>
      <c r="D18" s="272">
        <v>36805.129999999997</v>
      </c>
      <c r="E18" s="71"/>
      <c r="F18" s="71"/>
      <c r="G18" s="71"/>
    </row>
    <row r="19" spans="1:7" ht="36" customHeight="1" outlineLevel="1" x14ac:dyDescent="0.2">
      <c r="A19" s="89" t="s">
        <v>1367</v>
      </c>
      <c r="B19" s="71"/>
      <c r="C19" s="71"/>
      <c r="D19" s="272">
        <v>201458.16</v>
      </c>
      <c r="E19" s="71"/>
      <c r="F19" s="71"/>
      <c r="G19" s="71"/>
    </row>
    <row r="20" spans="1:7" ht="60" customHeight="1" outlineLevel="1" x14ac:dyDescent="0.2">
      <c r="A20" s="89" t="s">
        <v>1366</v>
      </c>
      <c r="B20" s="71"/>
      <c r="C20" s="71"/>
      <c r="D20" s="272">
        <v>1125299.72</v>
      </c>
      <c r="E20" s="71"/>
      <c r="F20" s="71"/>
      <c r="G20" s="71"/>
    </row>
    <row r="21" spans="1:7" ht="24" customHeight="1" outlineLevel="1" x14ac:dyDescent="0.2">
      <c r="A21" s="89" t="s">
        <v>1365</v>
      </c>
      <c r="B21" s="71"/>
      <c r="C21" s="71"/>
      <c r="D21" s="72">
        <v>3912984.51</v>
      </c>
      <c r="E21" s="71"/>
      <c r="F21" s="71"/>
      <c r="G21" s="71"/>
    </row>
    <row r="22" spans="1:7" ht="12" customHeight="1" outlineLevel="1" x14ac:dyDescent="0.2">
      <c r="A22" s="89" t="s">
        <v>1364</v>
      </c>
      <c r="B22" s="71"/>
      <c r="C22" s="71"/>
      <c r="D22" s="72">
        <v>3568553.63</v>
      </c>
      <c r="E22" s="71"/>
      <c r="F22" s="71"/>
      <c r="G22" s="71"/>
    </row>
    <row r="23" spans="1:7" ht="12" customHeight="1" outlineLevel="1" x14ac:dyDescent="0.2">
      <c r="A23" s="89" t="s">
        <v>1363</v>
      </c>
      <c r="B23" s="71"/>
      <c r="C23" s="71"/>
      <c r="D23" s="72">
        <v>107285.74</v>
      </c>
      <c r="E23" s="71"/>
      <c r="F23" s="71"/>
      <c r="G23" s="71"/>
    </row>
    <row r="24" spans="1:7" ht="24" customHeight="1" outlineLevel="1" x14ac:dyDescent="0.2">
      <c r="A24" s="89" t="s">
        <v>1362</v>
      </c>
      <c r="B24" s="71"/>
      <c r="C24" s="71"/>
      <c r="D24" s="72">
        <v>112559.49</v>
      </c>
      <c r="E24" s="71"/>
      <c r="F24" s="71"/>
      <c r="G24" s="71"/>
    </row>
    <row r="25" spans="1:7" ht="24" customHeight="1" outlineLevel="1" x14ac:dyDescent="0.2">
      <c r="A25" s="89" t="s">
        <v>1361</v>
      </c>
      <c r="B25" s="71"/>
      <c r="C25" s="71"/>
      <c r="D25" s="72">
        <v>115553603.98999999</v>
      </c>
      <c r="E25" s="71"/>
      <c r="F25" s="71"/>
      <c r="G25" s="71"/>
    </row>
    <row r="26" spans="1:7" ht="24" customHeight="1" outlineLevel="1" x14ac:dyDescent="0.2">
      <c r="A26" s="89" t="s">
        <v>1360</v>
      </c>
      <c r="B26" s="71"/>
      <c r="C26" s="71"/>
      <c r="D26" s="72">
        <v>119354.24000000001</v>
      </c>
      <c r="E26" s="71"/>
      <c r="F26" s="71"/>
      <c r="G26" s="71"/>
    </row>
    <row r="27" spans="1:7" ht="12" customHeight="1" outlineLevel="1" x14ac:dyDescent="0.2">
      <c r="A27" s="89" t="s">
        <v>1254</v>
      </c>
      <c r="B27" s="71"/>
      <c r="C27" s="71"/>
      <c r="D27" s="72">
        <v>196578.9</v>
      </c>
      <c r="E27" s="71"/>
      <c r="F27" s="71"/>
      <c r="G27" s="71"/>
    </row>
    <row r="28" spans="1:7" ht="12" customHeight="1" outlineLevel="1" x14ac:dyDescent="0.2">
      <c r="A28" s="89" t="s">
        <v>1359</v>
      </c>
      <c r="B28" s="71"/>
      <c r="C28" s="71"/>
      <c r="D28" s="72">
        <v>153161.07</v>
      </c>
      <c r="E28" s="71"/>
      <c r="F28" s="71"/>
      <c r="G28" s="71"/>
    </row>
    <row r="29" spans="1:7" ht="12" customHeight="1" outlineLevel="1" x14ac:dyDescent="0.2">
      <c r="A29" s="89" t="s">
        <v>1358</v>
      </c>
      <c r="B29" s="71"/>
      <c r="C29" s="71"/>
      <c r="D29" s="72">
        <v>21260</v>
      </c>
      <c r="E29" s="71"/>
      <c r="F29" s="71"/>
      <c r="G29" s="71"/>
    </row>
    <row r="30" spans="1:7" ht="24" customHeight="1" outlineLevel="1" x14ac:dyDescent="0.2">
      <c r="A30" s="89" t="s">
        <v>1357</v>
      </c>
      <c r="B30" s="71"/>
      <c r="C30" s="71"/>
      <c r="D30" s="72">
        <v>524084.96</v>
      </c>
      <c r="E30" s="71"/>
      <c r="F30" s="71"/>
      <c r="G30" s="71"/>
    </row>
    <row r="31" spans="1:7" ht="24" customHeight="1" outlineLevel="1" x14ac:dyDescent="0.2">
      <c r="A31" s="89" t="s">
        <v>1356</v>
      </c>
      <c r="B31" s="71"/>
      <c r="C31" s="71"/>
      <c r="D31" s="272">
        <v>12152558.609999999</v>
      </c>
      <c r="E31" s="71"/>
      <c r="F31" s="71"/>
      <c r="G31" s="71"/>
    </row>
    <row r="32" spans="1:7" ht="24" customHeight="1" outlineLevel="1" x14ac:dyDescent="0.2">
      <c r="A32" s="89" t="s">
        <v>1355</v>
      </c>
      <c r="B32" s="71"/>
      <c r="C32" s="71"/>
      <c r="D32" s="72">
        <v>26500.05</v>
      </c>
      <c r="E32" s="71"/>
      <c r="F32" s="71"/>
      <c r="G32" s="71"/>
    </row>
    <row r="33" spans="1:7" ht="36" customHeight="1" outlineLevel="1" x14ac:dyDescent="0.2">
      <c r="A33" s="89" t="s">
        <v>1354</v>
      </c>
      <c r="B33" s="71"/>
      <c r="C33" s="71"/>
      <c r="D33" s="72">
        <v>6257.34</v>
      </c>
      <c r="E33" s="71"/>
      <c r="F33" s="71"/>
      <c r="G33" s="71"/>
    </row>
    <row r="34" spans="1:7" ht="12" customHeight="1" outlineLevel="1" x14ac:dyDescent="0.2">
      <c r="A34" s="89" t="s">
        <v>1353</v>
      </c>
      <c r="B34" s="71"/>
      <c r="C34" s="71"/>
      <c r="D34" s="72">
        <v>5173.33</v>
      </c>
      <c r="E34" s="71"/>
      <c r="F34" s="71"/>
      <c r="G34" s="71"/>
    </row>
    <row r="35" spans="1:7" ht="12" customHeight="1" outlineLevel="1" x14ac:dyDescent="0.2">
      <c r="A35" s="89" t="s">
        <v>1352</v>
      </c>
      <c r="B35" s="71"/>
      <c r="C35" s="71"/>
      <c r="D35" s="72">
        <v>1216707.1399999999</v>
      </c>
      <c r="E35" s="71"/>
      <c r="F35" s="71"/>
      <c r="G35" s="71"/>
    </row>
    <row r="36" spans="1:7" ht="12" customHeight="1" outlineLevel="1" x14ac:dyDescent="0.2">
      <c r="A36" s="89" t="s">
        <v>1351</v>
      </c>
      <c r="B36" s="71"/>
      <c r="C36" s="71"/>
      <c r="D36" s="72">
        <v>244507.05</v>
      </c>
      <c r="E36" s="71"/>
      <c r="F36" s="71"/>
      <c r="G36" s="71"/>
    </row>
    <row r="37" spans="1:7" ht="12" customHeight="1" outlineLevel="1" x14ac:dyDescent="0.2">
      <c r="A37" s="89" t="s">
        <v>1350</v>
      </c>
      <c r="B37" s="71"/>
      <c r="C37" s="71"/>
      <c r="D37" s="72">
        <v>125000</v>
      </c>
      <c r="E37" s="71"/>
      <c r="F37" s="71"/>
      <c r="G37" s="71"/>
    </row>
    <row r="38" spans="1:7" ht="12.75" customHeight="1" x14ac:dyDescent="0.2">
      <c r="A38" s="70" t="s">
        <v>918</v>
      </c>
      <c r="B38" s="68"/>
      <c r="C38" s="68"/>
      <c r="D38" s="69">
        <v>155837068.22999999</v>
      </c>
      <c r="E38" s="68"/>
      <c r="F38" s="69">
        <v>155837068.22999999</v>
      </c>
      <c r="G38" s="68"/>
    </row>
    <row r="41" spans="1:7" x14ac:dyDescent="0.2">
      <c r="A41" s="67" t="s">
        <v>1833</v>
      </c>
      <c r="D41" s="91">
        <f>48795327.33-D17-'20Ф'!I1105-'20Ф'!I1282</f>
        <v>14295416.529999997</v>
      </c>
    </row>
  </sheetData>
  <mergeCells count="11">
    <mergeCell ref="F7:F8"/>
    <mergeCell ref="G7:G8"/>
    <mergeCell ref="A4:G4"/>
    <mergeCell ref="B6:C6"/>
    <mergeCell ref="D6:E6"/>
    <mergeCell ref="F6:G6"/>
    <mergeCell ref="A7:A8"/>
    <mergeCell ref="B7:B8"/>
    <mergeCell ref="C7:C8"/>
    <mergeCell ref="D7:D8"/>
    <mergeCell ref="E7:E8"/>
  </mergeCells>
  <pageMargins left="0.39370078740157477" right="0.39370078740157477" top="0" bottom="0" header="0" footer="0"/>
  <pageSetup paperSize="9" scale="55" fitToWidth="0" fitToHeight="0" pageOrder="overThenDown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N30"/>
  <sheetViews>
    <sheetView topLeftCell="A4" workbookViewId="0">
      <selection activeCell="EB284" sqref="EB284"/>
    </sheetView>
  </sheetViews>
  <sheetFormatPr defaultRowHeight="11.25" outlineLevelRow="1" x14ac:dyDescent="0.2"/>
  <cols>
    <col min="1" max="1" width="10" style="67" customWidth="1"/>
    <col min="2" max="2" width="35.5703125" style="67" customWidth="1"/>
    <col min="3" max="3" width="27.28515625" style="67" customWidth="1"/>
    <col min="4" max="4" width="17" style="67" customWidth="1"/>
    <col min="5" max="5" width="7" style="67" customWidth="1"/>
    <col min="6" max="6" width="4" style="67" customWidth="1"/>
    <col min="7" max="7" width="12" style="67" customWidth="1"/>
    <col min="8" max="8" width="7" style="67" customWidth="1"/>
    <col min="9" max="9" width="4" style="67" customWidth="1"/>
    <col min="10" max="10" width="12" style="67" customWidth="1"/>
    <col min="11" max="11" width="3" style="67" customWidth="1"/>
    <col min="12" max="12" width="14" style="67" customWidth="1"/>
    <col min="13" max="13" width="9.140625" style="67" customWidth="1"/>
    <col min="14" max="14" width="21.85546875" style="67" customWidth="1"/>
    <col min="15" max="256" width="9.140625" style="67" customWidth="1"/>
    <col min="257" max="16384" width="9.140625" style="67"/>
  </cols>
  <sheetData>
    <row r="1" spans="1:14" ht="12.75" x14ac:dyDescent="0.2">
      <c r="A1" s="88" t="s">
        <v>1309</v>
      </c>
      <c r="B1" s="85"/>
      <c r="C1" s="85"/>
      <c r="D1" s="85"/>
    </row>
    <row r="2" spans="1:14" ht="15.75" x14ac:dyDescent="0.25">
      <c r="A2" s="87" t="s">
        <v>1425</v>
      </c>
      <c r="B2" s="85"/>
      <c r="C2" s="85"/>
      <c r="D2" s="85"/>
    </row>
    <row r="4" spans="1:14" x14ac:dyDescent="0.2">
      <c r="A4" s="386" t="s">
        <v>1307</v>
      </c>
      <c r="B4" s="387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1:14" x14ac:dyDescent="0.2">
      <c r="A5" s="99"/>
      <c r="B5" s="99"/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4" x14ac:dyDescent="0.2">
      <c r="A6" s="386" t="s">
        <v>1424</v>
      </c>
      <c r="B6" s="387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1:14" x14ac:dyDescent="0.2">
      <c r="A7" s="99"/>
      <c r="B7" s="99"/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1:14" ht="12.75" x14ac:dyDescent="0.2">
      <c r="A8" s="440" t="s">
        <v>1423</v>
      </c>
      <c r="B8" s="442" t="s">
        <v>1422</v>
      </c>
      <c r="C8" s="442" t="s">
        <v>1421</v>
      </c>
      <c r="D8" s="444" t="s">
        <v>1420</v>
      </c>
      <c r="E8" s="446" t="s">
        <v>1301</v>
      </c>
      <c r="F8" s="446"/>
      <c r="G8" s="446"/>
      <c r="H8" s="447" t="s">
        <v>1300</v>
      </c>
      <c r="I8" s="447"/>
      <c r="J8" s="447"/>
      <c r="K8" s="442" t="s">
        <v>1419</v>
      </c>
      <c r="L8" s="442"/>
    </row>
    <row r="9" spans="1:14" ht="12.75" x14ac:dyDescent="0.2">
      <c r="A9" s="441"/>
      <c r="B9" s="443"/>
      <c r="C9" s="443"/>
      <c r="D9" s="445"/>
      <c r="E9" s="119" t="s">
        <v>1306</v>
      </c>
      <c r="F9" s="449"/>
      <c r="G9" s="449"/>
      <c r="H9" s="118" t="s">
        <v>1306</v>
      </c>
      <c r="I9" s="449"/>
      <c r="J9" s="449"/>
      <c r="K9" s="441"/>
      <c r="L9" s="448"/>
    </row>
    <row r="10" spans="1:14" ht="12.75" x14ac:dyDescent="0.2">
      <c r="A10" s="450" t="s">
        <v>1418</v>
      </c>
      <c r="B10" s="450"/>
      <c r="C10" s="450"/>
      <c r="D10" s="450"/>
      <c r="E10" s="451"/>
      <c r="F10" s="451"/>
      <c r="G10" s="451"/>
      <c r="H10" s="451"/>
      <c r="I10" s="451"/>
      <c r="J10" s="451"/>
      <c r="K10" s="117"/>
      <c r="L10" s="116">
        <v>0</v>
      </c>
    </row>
    <row r="11" spans="1:14" ht="13.5" customHeight="1" outlineLevel="1" x14ac:dyDescent="0.2">
      <c r="A11" s="115" t="s">
        <v>1417</v>
      </c>
      <c r="B11" s="114" t="s">
        <v>1416</v>
      </c>
      <c r="C11" s="114" t="s">
        <v>1383</v>
      </c>
      <c r="D11" s="114" t="s">
        <v>1382</v>
      </c>
      <c r="E11" s="113" t="s">
        <v>1377</v>
      </c>
      <c r="F11" s="452">
        <v>15000</v>
      </c>
      <c r="G11" s="452"/>
      <c r="H11" s="113" t="s">
        <v>1381</v>
      </c>
      <c r="I11" s="453"/>
      <c r="J11" s="453"/>
      <c r="K11" s="112"/>
      <c r="L11" s="111"/>
      <c r="N11" s="4" t="s">
        <v>138</v>
      </c>
    </row>
    <row r="12" spans="1:14" ht="13.5" customHeight="1" outlineLevel="1" x14ac:dyDescent="0.2">
      <c r="A12" s="115" t="s">
        <v>1415</v>
      </c>
      <c r="B12" s="114" t="s">
        <v>1414</v>
      </c>
      <c r="C12" s="114" t="s">
        <v>1413</v>
      </c>
      <c r="D12" s="114" t="s">
        <v>1412</v>
      </c>
      <c r="E12" s="113" t="s">
        <v>1377</v>
      </c>
      <c r="F12" s="454">
        <v>49.72</v>
      </c>
      <c r="G12" s="454"/>
      <c r="H12" s="113" t="s">
        <v>1381</v>
      </c>
      <c r="I12" s="453"/>
      <c r="J12" s="453"/>
      <c r="K12" s="112"/>
      <c r="L12" s="111"/>
    </row>
    <row r="13" spans="1:14" ht="13.5" customHeight="1" outlineLevel="1" x14ac:dyDescent="0.2">
      <c r="A13" s="115" t="s">
        <v>1410</v>
      </c>
      <c r="B13" s="114" t="s">
        <v>1411</v>
      </c>
      <c r="C13" s="114" t="s">
        <v>1383</v>
      </c>
      <c r="D13" s="114" t="s">
        <v>1382</v>
      </c>
      <c r="E13" s="113" t="s">
        <v>1377</v>
      </c>
      <c r="F13" s="452">
        <v>10000</v>
      </c>
      <c r="G13" s="452"/>
      <c r="H13" s="113" t="s">
        <v>1381</v>
      </c>
      <c r="I13" s="453"/>
      <c r="J13" s="453"/>
      <c r="K13" s="112"/>
      <c r="L13" s="111"/>
      <c r="N13" s="4" t="s">
        <v>152</v>
      </c>
    </row>
    <row r="14" spans="1:14" ht="13.5" customHeight="1" outlineLevel="1" x14ac:dyDescent="0.2">
      <c r="A14" s="115" t="s">
        <v>1410</v>
      </c>
      <c r="B14" s="114" t="s">
        <v>1409</v>
      </c>
      <c r="C14" s="114" t="s">
        <v>1383</v>
      </c>
      <c r="D14" s="114" t="s">
        <v>1382</v>
      </c>
      <c r="E14" s="113" t="s">
        <v>1377</v>
      </c>
      <c r="F14" s="452">
        <v>10000</v>
      </c>
      <c r="G14" s="452"/>
      <c r="H14" s="113" t="s">
        <v>1381</v>
      </c>
      <c r="I14" s="453"/>
      <c r="J14" s="453"/>
      <c r="K14" s="112"/>
      <c r="L14" s="111"/>
      <c r="N14" s="4" t="s">
        <v>184</v>
      </c>
    </row>
    <row r="15" spans="1:14" ht="13.5" customHeight="1" outlineLevel="1" x14ac:dyDescent="0.2">
      <c r="A15" s="115" t="s">
        <v>1408</v>
      </c>
      <c r="B15" s="114" t="s">
        <v>1407</v>
      </c>
      <c r="C15" s="114" t="s">
        <v>1383</v>
      </c>
      <c r="D15" s="114" t="s">
        <v>1382</v>
      </c>
      <c r="E15" s="113" t="s">
        <v>1377</v>
      </c>
      <c r="F15" s="452">
        <v>50000</v>
      </c>
      <c r="G15" s="452"/>
      <c r="H15" s="113" t="s">
        <v>1381</v>
      </c>
      <c r="I15" s="453"/>
      <c r="J15" s="453"/>
      <c r="K15" s="112"/>
      <c r="L15" s="111"/>
      <c r="N15" s="4" t="s">
        <v>121</v>
      </c>
    </row>
    <row r="16" spans="1:14" ht="13.5" customHeight="1" outlineLevel="1" x14ac:dyDescent="0.2">
      <c r="A16" s="115" t="s">
        <v>1406</v>
      </c>
      <c r="B16" s="114" t="s">
        <v>1405</v>
      </c>
      <c r="C16" s="114" t="s">
        <v>1383</v>
      </c>
      <c r="D16" s="114" t="s">
        <v>1382</v>
      </c>
      <c r="E16" s="113" t="s">
        <v>1377</v>
      </c>
      <c r="F16" s="452">
        <v>125000</v>
      </c>
      <c r="G16" s="452"/>
      <c r="H16" s="113" t="s">
        <v>1381</v>
      </c>
      <c r="I16" s="453"/>
      <c r="J16" s="453"/>
      <c r="K16" s="112"/>
      <c r="L16" s="111"/>
      <c r="N16" s="4" t="s">
        <v>120</v>
      </c>
    </row>
    <row r="17" spans="1:14" ht="13.5" customHeight="1" outlineLevel="1" x14ac:dyDescent="0.2">
      <c r="A17" s="115" t="s">
        <v>1403</v>
      </c>
      <c r="B17" s="114" t="s">
        <v>1404</v>
      </c>
      <c r="C17" s="114" t="s">
        <v>1383</v>
      </c>
      <c r="D17" s="114" t="s">
        <v>1382</v>
      </c>
      <c r="E17" s="113" t="s">
        <v>1377</v>
      </c>
      <c r="F17" s="452">
        <v>125000</v>
      </c>
      <c r="G17" s="452"/>
      <c r="H17" s="113" t="s">
        <v>1381</v>
      </c>
      <c r="I17" s="453"/>
      <c r="J17" s="453"/>
      <c r="K17" s="112"/>
      <c r="L17" s="111"/>
      <c r="N17" s="4" t="s">
        <v>220</v>
      </c>
    </row>
    <row r="18" spans="1:14" ht="13.5" customHeight="1" outlineLevel="1" x14ac:dyDescent="0.2">
      <c r="A18" s="115" t="s">
        <v>1403</v>
      </c>
      <c r="B18" s="114" t="s">
        <v>1402</v>
      </c>
      <c r="C18" s="114" t="s">
        <v>1383</v>
      </c>
      <c r="D18" s="114" t="s">
        <v>1382</v>
      </c>
      <c r="E18" s="113" t="s">
        <v>1377</v>
      </c>
      <c r="F18" s="452">
        <v>125000</v>
      </c>
      <c r="G18" s="452"/>
      <c r="H18" s="113" t="s">
        <v>1381</v>
      </c>
      <c r="I18" s="453"/>
      <c r="J18" s="453"/>
      <c r="K18" s="112"/>
      <c r="L18" s="111"/>
      <c r="N18" s="4" t="s">
        <v>217</v>
      </c>
    </row>
    <row r="19" spans="1:14" ht="13.5" customHeight="1" outlineLevel="1" x14ac:dyDescent="0.2">
      <c r="A19" s="115" t="s">
        <v>1401</v>
      </c>
      <c r="B19" s="114" t="s">
        <v>1400</v>
      </c>
      <c r="C19" s="114" t="s">
        <v>1383</v>
      </c>
      <c r="D19" s="114" t="s">
        <v>1382</v>
      </c>
      <c r="E19" s="113" t="s">
        <v>1377</v>
      </c>
      <c r="F19" s="452">
        <v>15000</v>
      </c>
      <c r="G19" s="452"/>
      <c r="H19" s="113" t="s">
        <v>1381</v>
      </c>
      <c r="I19" s="453"/>
      <c r="J19" s="453"/>
      <c r="K19" s="112"/>
      <c r="L19" s="111"/>
      <c r="N19" s="4" t="s">
        <v>204</v>
      </c>
    </row>
    <row r="20" spans="1:14" ht="13.5" customHeight="1" outlineLevel="1" x14ac:dyDescent="0.2">
      <c r="A20" s="115" t="s">
        <v>1399</v>
      </c>
      <c r="B20" s="114" t="s">
        <v>1398</v>
      </c>
      <c r="C20" s="114" t="s">
        <v>1383</v>
      </c>
      <c r="D20" s="114" t="s">
        <v>1382</v>
      </c>
      <c r="E20" s="113" t="s">
        <v>1377</v>
      </c>
      <c r="F20" s="452">
        <v>250000</v>
      </c>
      <c r="G20" s="452"/>
      <c r="H20" s="113" t="s">
        <v>1381</v>
      </c>
      <c r="I20" s="453"/>
      <c r="J20" s="453"/>
      <c r="K20" s="112"/>
      <c r="L20" s="111"/>
      <c r="N20" s="4" t="s">
        <v>233</v>
      </c>
    </row>
    <row r="21" spans="1:14" ht="13.5" customHeight="1" outlineLevel="1" x14ac:dyDescent="0.2">
      <c r="A21" s="115" t="s">
        <v>1397</v>
      </c>
      <c r="B21" s="114" t="s">
        <v>1396</v>
      </c>
      <c r="C21" s="114" t="s">
        <v>1383</v>
      </c>
      <c r="D21" s="114" t="s">
        <v>1382</v>
      </c>
      <c r="E21" s="113" t="s">
        <v>1377</v>
      </c>
      <c r="F21" s="452">
        <v>70000</v>
      </c>
      <c r="G21" s="452"/>
      <c r="H21" s="113" t="s">
        <v>1381</v>
      </c>
      <c r="I21" s="453"/>
      <c r="J21" s="453"/>
      <c r="K21" s="112"/>
      <c r="L21" s="111"/>
      <c r="N21" s="4" t="s">
        <v>77</v>
      </c>
    </row>
    <row r="22" spans="1:14" ht="13.5" customHeight="1" outlineLevel="1" x14ac:dyDescent="0.2">
      <c r="A22" s="115" t="s">
        <v>1394</v>
      </c>
      <c r="B22" s="114" t="s">
        <v>1395</v>
      </c>
      <c r="C22" s="114" t="s">
        <v>1383</v>
      </c>
      <c r="D22" s="114" t="s">
        <v>1382</v>
      </c>
      <c r="E22" s="113" t="s">
        <v>1377</v>
      </c>
      <c r="F22" s="452">
        <v>15000</v>
      </c>
      <c r="G22" s="452"/>
      <c r="H22" s="113" t="s">
        <v>1381</v>
      </c>
      <c r="I22" s="453"/>
      <c r="J22" s="453"/>
      <c r="K22" s="112"/>
      <c r="L22" s="111"/>
      <c r="N22" s="4" t="s">
        <v>182</v>
      </c>
    </row>
    <row r="23" spans="1:14" ht="13.5" customHeight="1" outlineLevel="1" x14ac:dyDescent="0.2">
      <c r="A23" s="115" t="s">
        <v>1394</v>
      </c>
      <c r="B23" s="114" t="s">
        <v>1393</v>
      </c>
      <c r="C23" s="114" t="s">
        <v>1383</v>
      </c>
      <c r="D23" s="114" t="s">
        <v>1382</v>
      </c>
      <c r="E23" s="113" t="s">
        <v>1377</v>
      </c>
      <c r="F23" s="452">
        <v>15000</v>
      </c>
      <c r="G23" s="452"/>
      <c r="H23" s="113" t="s">
        <v>1381</v>
      </c>
      <c r="I23" s="453"/>
      <c r="J23" s="453"/>
      <c r="K23" s="112"/>
      <c r="L23" s="111"/>
      <c r="N23" s="4" t="s">
        <v>203</v>
      </c>
    </row>
    <row r="24" spans="1:14" ht="13.5" customHeight="1" outlineLevel="1" x14ac:dyDescent="0.2">
      <c r="A24" s="115" t="s">
        <v>1390</v>
      </c>
      <c r="B24" s="114" t="s">
        <v>1392</v>
      </c>
      <c r="C24" s="114" t="s">
        <v>1383</v>
      </c>
      <c r="D24" s="114" t="s">
        <v>1382</v>
      </c>
      <c r="E24" s="113" t="s">
        <v>1377</v>
      </c>
      <c r="F24" s="452">
        <v>15000</v>
      </c>
      <c r="G24" s="452"/>
      <c r="H24" s="113" t="s">
        <v>1381</v>
      </c>
      <c r="I24" s="453"/>
      <c r="J24" s="453"/>
      <c r="K24" s="112"/>
      <c r="L24" s="111"/>
      <c r="N24" s="4" t="s">
        <v>258</v>
      </c>
    </row>
    <row r="25" spans="1:14" ht="13.5" customHeight="1" outlineLevel="1" x14ac:dyDescent="0.2">
      <c r="A25" s="115" t="s">
        <v>1390</v>
      </c>
      <c r="B25" s="114" t="s">
        <v>1391</v>
      </c>
      <c r="C25" s="114" t="s">
        <v>1383</v>
      </c>
      <c r="D25" s="114" t="s">
        <v>1382</v>
      </c>
      <c r="E25" s="113" t="s">
        <v>1377</v>
      </c>
      <c r="F25" s="452">
        <v>10000</v>
      </c>
      <c r="G25" s="452"/>
      <c r="H25" s="113" t="s">
        <v>1381</v>
      </c>
      <c r="I25" s="453"/>
      <c r="J25" s="453"/>
      <c r="K25" s="112"/>
      <c r="L25" s="111"/>
      <c r="N25" s="4" t="s">
        <v>145</v>
      </c>
    </row>
    <row r="26" spans="1:14" ht="13.5" customHeight="1" outlineLevel="1" x14ac:dyDescent="0.2">
      <c r="A26" s="115" t="s">
        <v>1390</v>
      </c>
      <c r="B26" s="114" t="s">
        <v>1389</v>
      </c>
      <c r="C26" s="114" t="s">
        <v>1383</v>
      </c>
      <c r="D26" s="114" t="s">
        <v>1382</v>
      </c>
      <c r="E26" s="113" t="s">
        <v>1377</v>
      </c>
      <c r="F26" s="452">
        <v>15000</v>
      </c>
      <c r="G26" s="452"/>
      <c r="H26" s="113" t="s">
        <v>1381</v>
      </c>
      <c r="I26" s="453"/>
      <c r="J26" s="453"/>
      <c r="K26" s="112"/>
      <c r="L26" s="111"/>
      <c r="N26" s="4" t="s">
        <v>231</v>
      </c>
    </row>
    <row r="27" spans="1:14" ht="13.5" customHeight="1" outlineLevel="1" x14ac:dyDescent="0.2">
      <c r="A27" s="115" t="s">
        <v>1388</v>
      </c>
      <c r="B27" s="114" t="s">
        <v>1387</v>
      </c>
      <c r="C27" s="114" t="s">
        <v>1383</v>
      </c>
      <c r="D27" s="114" t="s">
        <v>1382</v>
      </c>
      <c r="E27" s="113" t="s">
        <v>1377</v>
      </c>
      <c r="F27" s="454">
        <v>250</v>
      </c>
      <c r="G27" s="454"/>
      <c r="H27" s="113" t="s">
        <v>1381</v>
      </c>
      <c r="I27" s="453"/>
      <c r="J27" s="453"/>
      <c r="K27" s="112"/>
      <c r="L27" s="111"/>
    </row>
    <row r="28" spans="1:14" ht="13.5" customHeight="1" outlineLevel="1" x14ac:dyDescent="0.2">
      <c r="A28" s="115" t="s">
        <v>1385</v>
      </c>
      <c r="B28" s="114" t="s">
        <v>1386</v>
      </c>
      <c r="C28" s="114" t="s">
        <v>1383</v>
      </c>
      <c r="D28" s="114" t="s">
        <v>1382</v>
      </c>
      <c r="E28" s="113" t="s">
        <v>1377</v>
      </c>
      <c r="F28" s="452">
        <v>10000</v>
      </c>
      <c r="G28" s="452"/>
      <c r="H28" s="113" t="s">
        <v>1381</v>
      </c>
      <c r="I28" s="453"/>
      <c r="J28" s="453"/>
      <c r="K28" s="112"/>
      <c r="L28" s="111"/>
      <c r="N28" s="4" t="s">
        <v>171</v>
      </c>
    </row>
    <row r="29" spans="1:14" ht="13.5" customHeight="1" outlineLevel="1" x14ac:dyDescent="0.2">
      <c r="A29" s="115" t="s">
        <v>1385</v>
      </c>
      <c r="B29" s="114" t="s">
        <v>1384</v>
      </c>
      <c r="C29" s="114" t="s">
        <v>1383</v>
      </c>
      <c r="D29" s="114" t="s">
        <v>1382</v>
      </c>
      <c r="E29" s="113" t="s">
        <v>1377</v>
      </c>
      <c r="F29" s="452">
        <v>250000</v>
      </c>
      <c r="G29" s="452"/>
      <c r="H29" s="113" t="s">
        <v>1381</v>
      </c>
      <c r="I29" s="453"/>
      <c r="J29" s="453"/>
      <c r="K29" s="112"/>
      <c r="L29" s="111"/>
      <c r="N29" s="4" t="s">
        <v>85</v>
      </c>
    </row>
    <row r="30" spans="1:14" ht="12.75" x14ac:dyDescent="0.2">
      <c r="A30" s="455" t="s">
        <v>1380</v>
      </c>
      <c r="B30" s="455"/>
      <c r="C30" s="455"/>
      <c r="D30" s="455"/>
      <c r="E30" s="456">
        <v>1125299.72</v>
      </c>
      <c r="F30" s="456"/>
      <c r="G30" s="456"/>
      <c r="H30" s="457">
        <v>0</v>
      </c>
      <c r="I30" s="457"/>
      <c r="J30" s="457"/>
      <c r="K30" s="110"/>
      <c r="L30" s="109">
        <v>0</v>
      </c>
    </row>
  </sheetData>
  <mergeCells count="54">
    <mergeCell ref="F28:G28"/>
    <mergeCell ref="I28:J28"/>
    <mergeCell ref="F29:G29"/>
    <mergeCell ref="I29:J29"/>
    <mergeCell ref="A30:D30"/>
    <mergeCell ref="E30:G30"/>
    <mergeCell ref="H30:J30"/>
    <mergeCell ref="F25:G25"/>
    <mergeCell ref="I25:J25"/>
    <mergeCell ref="F26:G26"/>
    <mergeCell ref="I26:J26"/>
    <mergeCell ref="F27:G27"/>
    <mergeCell ref="I27:J27"/>
    <mergeCell ref="F22:G22"/>
    <mergeCell ref="I22:J22"/>
    <mergeCell ref="F23:G23"/>
    <mergeCell ref="I23:J23"/>
    <mergeCell ref="F24:G24"/>
    <mergeCell ref="I24:J24"/>
    <mergeCell ref="F19:G19"/>
    <mergeCell ref="I19:J19"/>
    <mergeCell ref="F20:G20"/>
    <mergeCell ref="I20:J20"/>
    <mergeCell ref="F21:G21"/>
    <mergeCell ref="I21:J21"/>
    <mergeCell ref="F16:G16"/>
    <mergeCell ref="I16:J16"/>
    <mergeCell ref="F17:G17"/>
    <mergeCell ref="I17:J17"/>
    <mergeCell ref="F18:G18"/>
    <mergeCell ref="I18:J18"/>
    <mergeCell ref="F13:G13"/>
    <mergeCell ref="I13:J13"/>
    <mergeCell ref="F14:G14"/>
    <mergeCell ref="I14:J14"/>
    <mergeCell ref="F15:G15"/>
    <mergeCell ref="I15:J15"/>
    <mergeCell ref="A10:D10"/>
    <mergeCell ref="E10:J10"/>
    <mergeCell ref="F11:G11"/>
    <mergeCell ref="I11:J11"/>
    <mergeCell ref="F12:G12"/>
    <mergeCell ref="I12:J12"/>
    <mergeCell ref="A4:L4"/>
    <mergeCell ref="A6:L6"/>
    <mergeCell ref="A8:A9"/>
    <mergeCell ref="B8:B9"/>
    <mergeCell ref="C8:C9"/>
    <mergeCell ref="D8:D9"/>
    <mergeCell ref="E8:G8"/>
    <mergeCell ref="H8:J8"/>
    <mergeCell ref="K8:L9"/>
    <mergeCell ref="F9:G9"/>
    <mergeCell ref="I9:J9"/>
  </mergeCells>
  <pageMargins left="0.39370078740157477" right="0.39370078740157477" top="0.39370078740157477" bottom="0.39370078740157477" header="0" footer="0"/>
  <pageSetup paperSize="9" scale="0" fitToHeight="0" pageOrder="overThenDown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Y297"/>
  <sheetViews>
    <sheetView zoomScaleNormal="100" workbookViewId="0">
      <pane xSplit="7" ySplit="4" topLeftCell="H5" activePane="bottomRight" state="frozen"/>
      <selection activeCell="EB284" sqref="EB284"/>
      <selection pane="topRight" activeCell="EB284" sqref="EB284"/>
      <selection pane="bottomLeft" activeCell="EB284" sqref="EB284"/>
      <selection pane="bottomRight" activeCell="EB284" sqref="EB284"/>
    </sheetView>
  </sheetViews>
  <sheetFormatPr defaultColWidth="10.7109375" defaultRowHeight="12" customHeight="1" outlineLevelRow="1" outlineLevelCol="1" x14ac:dyDescent="0.25"/>
  <cols>
    <col min="1" max="1" width="5.7109375" style="121" customWidth="1"/>
    <col min="2" max="2" width="50.7109375" style="121" customWidth="1"/>
    <col min="3" max="3" width="10.7109375" style="121" customWidth="1"/>
    <col min="4" max="6" width="10.7109375" style="121" customWidth="1" outlineLevel="1"/>
    <col min="7" max="7" width="10.7109375" style="121"/>
    <col min="8" max="14" width="10.7109375" style="121" customWidth="1" outlineLevel="1"/>
    <col min="15" max="15" width="6.7109375" style="121" customWidth="1" outlineLevel="1"/>
    <col min="16" max="20" width="10.7109375" style="121" customWidth="1" outlineLevel="1"/>
    <col min="21" max="21" width="10.7109375" style="121" customWidth="1"/>
    <col min="22" max="23" width="10.7109375" style="121" customWidth="1" outlineLevel="1"/>
    <col min="24" max="24" width="10.7109375" style="121"/>
    <col min="25" max="48" width="10.7109375" style="121" hidden="1" customWidth="1" outlineLevel="1"/>
    <col min="49" max="49" width="11.5703125" style="121" customWidth="1" collapsed="1"/>
    <col min="50" max="58" width="10.7109375" style="121" hidden="1" customWidth="1" outlineLevel="1"/>
    <col min="59" max="59" width="11.5703125" style="121" hidden="1" customWidth="1" outlineLevel="1"/>
    <col min="60" max="60" width="10.7109375" style="121" hidden="1" customWidth="1" outlineLevel="1"/>
    <col min="61" max="61" width="12.7109375" style="121" customWidth="1" collapsed="1"/>
    <col min="62" max="74" width="10.7109375" style="121" customWidth="1" outlineLevel="1"/>
    <col min="75" max="75" width="10.7109375" style="121" customWidth="1"/>
    <col min="76" max="76" width="12.140625" style="121" bestFit="1" customWidth="1"/>
    <col min="77" max="77" width="11.7109375" style="121" customWidth="1"/>
    <col min="78" max="78" width="11.5703125" style="121" bestFit="1" customWidth="1"/>
    <col min="79" max="79" width="13.42578125" style="121" customWidth="1"/>
    <col min="80" max="80" width="10.7109375" style="121" hidden="1" customWidth="1" outlineLevel="1"/>
    <col min="81" max="81" width="12.42578125" style="121" hidden="1" customWidth="1" outlineLevel="1"/>
    <col min="82" max="84" width="10.7109375" style="121" hidden="1" customWidth="1" outlineLevel="1"/>
    <col min="85" max="85" width="10.7109375" style="121" collapsed="1"/>
    <col min="86" max="86" width="10.7109375" style="121" hidden="1" customWidth="1" outlineLevel="1"/>
    <col min="87" max="87" width="11.5703125" style="121" hidden="1" customWidth="1" outlineLevel="1"/>
    <col min="88" max="88" width="5.85546875" style="121" customWidth="1" collapsed="1"/>
    <col min="89" max="89" width="11.28515625" style="121" customWidth="1"/>
    <col min="90" max="90" width="9" style="121" customWidth="1"/>
    <col min="91" max="91" width="12.140625" style="121" customWidth="1"/>
    <col min="92" max="96" width="10.7109375" style="121"/>
    <col min="97" max="97" width="11" style="121" bestFit="1" customWidth="1"/>
    <col min="98" max="98" width="13.140625" style="121" bestFit="1" customWidth="1"/>
    <col min="99" max="99" width="10.7109375" style="121"/>
    <col min="100" max="100" width="11.85546875" style="121" customWidth="1"/>
    <col min="101" max="101" width="10.7109375" style="121"/>
    <col min="102" max="102" width="13.42578125" style="121" customWidth="1"/>
    <col min="103" max="103" width="12.5703125" style="121" customWidth="1"/>
    <col min="104" max="16384" width="10.7109375" style="121"/>
  </cols>
  <sheetData>
    <row r="1" spans="1:103" ht="20.100000000000001" customHeight="1" x14ac:dyDescent="0.25">
      <c r="A1" s="396" t="s">
        <v>0</v>
      </c>
      <c r="B1" s="396" t="s">
        <v>1</v>
      </c>
      <c r="C1" s="396" t="s">
        <v>2</v>
      </c>
      <c r="D1" s="396" t="s">
        <v>3</v>
      </c>
      <c r="E1" s="396"/>
      <c r="F1" s="396" t="s">
        <v>4</v>
      </c>
      <c r="G1" s="467" t="s">
        <v>1426</v>
      </c>
      <c r="H1" s="467" t="s">
        <v>1427</v>
      </c>
      <c r="I1" s="359" t="s">
        <v>1428</v>
      </c>
      <c r="J1" s="359"/>
      <c r="K1" s="467" t="s">
        <v>1429</v>
      </c>
      <c r="L1" s="482" t="s">
        <v>3</v>
      </c>
      <c r="M1" s="482"/>
      <c r="N1" s="482"/>
      <c r="O1" s="483" t="s">
        <v>1430</v>
      </c>
      <c r="P1" s="467" t="s">
        <v>5</v>
      </c>
      <c r="Q1" s="467" t="s">
        <v>17</v>
      </c>
      <c r="R1" s="467" t="s">
        <v>18</v>
      </c>
      <c r="S1" s="467" t="s">
        <v>19</v>
      </c>
      <c r="T1" s="467" t="s">
        <v>21</v>
      </c>
      <c r="U1" s="467" t="s">
        <v>8</v>
      </c>
      <c r="V1" s="396" t="s">
        <v>1431</v>
      </c>
      <c r="W1" s="396"/>
      <c r="X1" s="458" t="s">
        <v>14</v>
      </c>
      <c r="Y1" s="464" t="s">
        <v>3</v>
      </c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6"/>
      <c r="AW1" s="458" t="s">
        <v>15</v>
      </c>
      <c r="AX1" s="464" t="s">
        <v>3</v>
      </c>
      <c r="AY1" s="465"/>
      <c r="AZ1" s="465"/>
      <c r="BA1" s="465"/>
      <c r="BB1" s="465"/>
      <c r="BC1" s="465"/>
      <c r="BD1" s="465"/>
      <c r="BE1" s="465"/>
      <c r="BF1" s="465"/>
      <c r="BG1" s="465"/>
      <c r="BH1" s="466"/>
      <c r="BI1" s="458" t="s">
        <v>16</v>
      </c>
      <c r="BJ1" s="464" t="s">
        <v>3</v>
      </c>
      <c r="BK1" s="465"/>
      <c r="BL1" s="465"/>
      <c r="BM1" s="465"/>
      <c r="BN1" s="465"/>
      <c r="BO1" s="466"/>
      <c r="BP1" s="464" t="s">
        <v>1432</v>
      </c>
      <c r="BQ1" s="465"/>
      <c r="BR1" s="466"/>
      <c r="BS1" s="464" t="s">
        <v>1433</v>
      </c>
      <c r="BT1" s="465"/>
      <c r="BU1" s="465"/>
      <c r="BV1" s="466"/>
      <c r="BW1" s="476" t="s">
        <v>1434</v>
      </c>
      <c r="BX1" s="476" t="s">
        <v>17</v>
      </c>
      <c r="BY1" s="476" t="s">
        <v>18</v>
      </c>
      <c r="BZ1" s="476" t="s">
        <v>36</v>
      </c>
      <c r="CA1" s="476" t="s">
        <v>20</v>
      </c>
      <c r="CB1" s="477" t="s">
        <v>3</v>
      </c>
      <c r="CC1" s="477"/>
      <c r="CD1" s="477"/>
      <c r="CE1" s="477"/>
      <c r="CF1" s="477"/>
      <c r="CG1" s="476" t="s">
        <v>21</v>
      </c>
      <c r="CH1" s="464" t="s">
        <v>3</v>
      </c>
      <c r="CI1" s="465"/>
      <c r="CJ1" s="120"/>
      <c r="CK1" s="478" t="s">
        <v>1435</v>
      </c>
      <c r="CL1" s="479" t="s">
        <v>1436</v>
      </c>
      <c r="CM1" s="474" t="s">
        <v>1437</v>
      </c>
      <c r="CN1" s="470" t="s">
        <v>1438</v>
      </c>
      <c r="CO1" s="470" t="s">
        <v>1278</v>
      </c>
      <c r="CP1" s="470" t="s">
        <v>1439</v>
      </c>
      <c r="CQ1" s="470" t="s">
        <v>1440</v>
      </c>
      <c r="CR1" s="470" t="s">
        <v>1441</v>
      </c>
      <c r="CS1" s="470" t="s">
        <v>1442</v>
      </c>
      <c r="CT1" s="470" t="s">
        <v>1443</v>
      </c>
      <c r="CU1" s="471" t="s">
        <v>1444</v>
      </c>
      <c r="CV1" s="473" t="s">
        <v>1445</v>
      </c>
      <c r="CX1" s="474" t="s">
        <v>1446</v>
      </c>
      <c r="CY1" s="474" t="s">
        <v>1447</v>
      </c>
    </row>
    <row r="2" spans="1:103" ht="20.100000000000001" customHeight="1" x14ac:dyDescent="0.25">
      <c r="A2" s="396"/>
      <c r="B2" s="396"/>
      <c r="C2" s="396"/>
      <c r="D2" s="359" t="s">
        <v>12</v>
      </c>
      <c r="E2" s="359" t="s">
        <v>13</v>
      </c>
      <c r="F2" s="396"/>
      <c r="G2" s="468"/>
      <c r="H2" s="468"/>
      <c r="I2" s="360" t="s">
        <v>1448</v>
      </c>
      <c r="J2" s="360" t="s">
        <v>1449</v>
      </c>
      <c r="K2" s="468"/>
      <c r="L2" s="467" t="s">
        <v>1450</v>
      </c>
      <c r="M2" s="467" t="s">
        <v>1451</v>
      </c>
      <c r="N2" s="467" t="s">
        <v>1452</v>
      </c>
      <c r="O2" s="483"/>
      <c r="P2" s="468"/>
      <c r="Q2" s="468"/>
      <c r="R2" s="468"/>
      <c r="S2" s="468"/>
      <c r="T2" s="468"/>
      <c r="U2" s="468"/>
      <c r="V2" s="396"/>
      <c r="W2" s="396"/>
      <c r="X2" s="458"/>
      <c r="Y2" s="463" t="s">
        <v>1314</v>
      </c>
      <c r="Z2" s="463" t="s">
        <v>1453</v>
      </c>
      <c r="AA2" s="463" t="s">
        <v>1454</v>
      </c>
      <c r="AB2" s="463" t="s">
        <v>1455</v>
      </c>
      <c r="AC2" s="463" t="s">
        <v>1456</v>
      </c>
      <c r="AD2" s="463" t="s">
        <v>1242</v>
      </c>
      <c r="AE2" s="463" t="s">
        <v>1228</v>
      </c>
      <c r="AF2" s="463" t="s">
        <v>1227</v>
      </c>
      <c r="AG2" s="463" t="s">
        <v>1457</v>
      </c>
      <c r="AH2" s="463" t="s">
        <v>1458</v>
      </c>
      <c r="AI2" s="463" t="s">
        <v>1245</v>
      </c>
      <c r="AJ2" s="463" t="s">
        <v>1459</v>
      </c>
      <c r="AK2" s="463" t="s">
        <v>1460</v>
      </c>
      <c r="AL2" s="463" t="s">
        <v>1247</v>
      </c>
      <c r="AM2" s="463" t="s">
        <v>1259</v>
      </c>
      <c r="AN2" s="463" t="s">
        <v>1244</v>
      </c>
      <c r="AO2" s="463" t="s">
        <v>1461</v>
      </c>
      <c r="AP2" s="463" t="s">
        <v>1236</v>
      </c>
      <c r="AQ2" s="463" t="s">
        <v>1462</v>
      </c>
      <c r="AR2" s="463" t="s">
        <v>1275</v>
      </c>
      <c r="AS2" s="463" t="s">
        <v>947</v>
      </c>
      <c r="AT2" s="463" t="s">
        <v>1463</v>
      </c>
      <c r="AU2" s="463" t="s">
        <v>1464</v>
      </c>
      <c r="AV2" s="463" t="s">
        <v>1465</v>
      </c>
      <c r="AW2" s="458"/>
      <c r="AX2" s="463" t="s">
        <v>1466</v>
      </c>
      <c r="AY2" s="463" t="s">
        <v>1467</v>
      </c>
      <c r="AZ2" s="463" t="s">
        <v>1109</v>
      </c>
      <c r="BA2" s="463" t="s">
        <v>1468</v>
      </c>
      <c r="BB2" s="463" t="s">
        <v>1469</v>
      </c>
      <c r="BC2" s="463" t="s">
        <v>1258</v>
      </c>
      <c r="BD2" s="463" t="s">
        <v>1470</v>
      </c>
      <c r="BE2" s="463" t="s">
        <v>1471</v>
      </c>
      <c r="BF2" s="463" t="s">
        <v>1110</v>
      </c>
      <c r="BG2" s="463" t="s">
        <v>1472</v>
      </c>
      <c r="BH2" s="463" t="s">
        <v>1473</v>
      </c>
      <c r="BI2" s="458"/>
      <c r="BJ2" s="463" t="s">
        <v>1474</v>
      </c>
      <c r="BK2" s="460" t="s">
        <v>1475</v>
      </c>
      <c r="BL2" s="459" t="s">
        <v>1476</v>
      </c>
      <c r="BM2" s="459" t="s">
        <v>1477</v>
      </c>
      <c r="BN2" s="459" t="s">
        <v>1478</v>
      </c>
      <c r="BO2" s="459" t="s">
        <v>1479</v>
      </c>
      <c r="BP2" s="459" t="s">
        <v>1477</v>
      </c>
      <c r="BQ2" s="459" t="s">
        <v>1478</v>
      </c>
      <c r="BR2" s="460" t="s">
        <v>1475</v>
      </c>
      <c r="BS2" s="460" t="s">
        <v>1480</v>
      </c>
      <c r="BT2" s="459" t="s">
        <v>1477</v>
      </c>
      <c r="BU2" s="459" t="s">
        <v>1481</v>
      </c>
      <c r="BV2" s="463" t="s">
        <v>1482</v>
      </c>
      <c r="BW2" s="476"/>
      <c r="BX2" s="476"/>
      <c r="BY2" s="476"/>
      <c r="BZ2" s="476"/>
      <c r="CA2" s="476"/>
      <c r="CB2" s="459" t="s">
        <v>20</v>
      </c>
      <c r="CC2" s="459" t="s">
        <v>20</v>
      </c>
      <c r="CD2" s="459" t="s">
        <v>1483</v>
      </c>
      <c r="CE2" s="459" t="s">
        <v>1484</v>
      </c>
      <c r="CF2" s="459" t="s">
        <v>1485</v>
      </c>
      <c r="CG2" s="476"/>
      <c r="CH2" s="459" t="s">
        <v>21</v>
      </c>
      <c r="CI2" s="459" t="s">
        <v>21</v>
      </c>
      <c r="CJ2" s="120"/>
      <c r="CK2" s="478"/>
      <c r="CL2" s="480"/>
      <c r="CM2" s="475"/>
      <c r="CN2" s="458"/>
      <c r="CO2" s="458"/>
      <c r="CP2" s="458"/>
      <c r="CQ2" s="458"/>
      <c r="CR2" s="458"/>
      <c r="CS2" s="458"/>
      <c r="CT2" s="458"/>
      <c r="CU2" s="472"/>
      <c r="CV2" s="473"/>
      <c r="CX2" s="475"/>
      <c r="CY2" s="475"/>
    </row>
    <row r="3" spans="1:103" ht="20.100000000000001" customHeight="1" x14ac:dyDescent="0.25">
      <c r="A3" s="396"/>
      <c r="B3" s="396"/>
      <c r="C3" s="396"/>
      <c r="D3" s="359"/>
      <c r="E3" s="359"/>
      <c r="F3" s="396"/>
      <c r="G3" s="468"/>
      <c r="H3" s="468"/>
      <c r="I3" s="361"/>
      <c r="J3" s="361"/>
      <c r="K3" s="468"/>
      <c r="L3" s="468"/>
      <c r="M3" s="468"/>
      <c r="N3" s="468"/>
      <c r="O3" s="483"/>
      <c r="P3" s="468"/>
      <c r="Q3" s="468"/>
      <c r="R3" s="468"/>
      <c r="S3" s="468"/>
      <c r="T3" s="468"/>
      <c r="U3" s="468"/>
      <c r="V3" s="396"/>
      <c r="W3" s="396"/>
      <c r="X3" s="458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58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58"/>
      <c r="BJ3" s="463"/>
      <c r="BK3" s="461"/>
      <c r="BL3" s="459"/>
      <c r="BM3" s="459"/>
      <c r="BN3" s="459"/>
      <c r="BO3" s="459"/>
      <c r="BP3" s="459"/>
      <c r="BQ3" s="459"/>
      <c r="BR3" s="461"/>
      <c r="BS3" s="461"/>
      <c r="BT3" s="459"/>
      <c r="BU3" s="459"/>
      <c r="BV3" s="463"/>
      <c r="BW3" s="476"/>
      <c r="BX3" s="476"/>
      <c r="BY3" s="476"/>
      <c r="BZ3" s="476"/>
      <c r="CA3" s="476"/>
      <c r="CB3" s="459"/>
      <c r="CC3" s="459"/>
      <c r="CD3" s="459"/>
      <c r="CE3" s="459"/>
      <c r="CF3" s="459"/>
      <c r="CG3" s="476"/>
      <c r="CH3" s="459"/>
      <c r="CI3" s="459"/>
      <c r="CJ3" s="120"/>
      <c r="CK3" s="478"/>
      <c r="CL3" s="480"/>
      <c r="CM3" s="475"/>
      <c r="CN3" s="458"/>
      <c r="CO3" s="458"/>
      <c r="CP3" s="458"/>
      <c r="CQ3" s="458"/>
      <c r="CR3" s="458"/>
      <c r="CS3" s="458"/>
      <c r="CT3" s="458"/>
      <c r="CU3" s="472"/>
      <c r="CV3" s="473"/>
      <c r="CX3" s="475"/>
      <c r="CY3" s="475"/>
    </row>
    <row r="4" spans="1:103" ht="20.100000000000001" customHeight="1" x14ac:dyDescent="0.25">
      <c r="A4" s="396"/>
      <c r="B4" s="396"/>
      <c r="C4" s="396"/>
      <c r="D4" s="359"/>
      <c r="E4" s="359"/>
      <c r="F4" s="396"/>
      <c r="G4" s="469"/>
      <c r="H4" s="469"/>
      <c r="I4" s="362"/>
      <c r="J4" s="362"/>
      <c r="K4" s="469"/>
      <c r="L4" s="469"/>
      <c r="M4" s="469"/>
      <c r="N4" s="469"/>
      <c r="O4" s="483"/>
      <c r="P4" s="469"/>
      <c r="Q4" s="469"/>
      <c r="R4" s="469"/>
      <c r="S4" s="469"/>
      <c r="T4" s="469"/>
      <c r="U4" s="469"/>
      <c r="V4" s="100" t="s">
        <v>1486</v>
      </c>
      <c r="W4" s="100" t="s">
        <v>1487</v>
      </c>
      <c r="X4" s="458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58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58"/>
      <c r="BJ4" s="463"/>
      <c r="BK4" s="462"/>
      <c r="BL4" s="459"/>
      <c r="BM4" s="459"/>
      <c r="BN4" s="459"/>
      <c r="BO4" s="459"/>
      <c r="BP4" s="459"/>
      <c r="BQ4" s="459"/>
      <c r="BR4" s="462"/>
      <c r="BS4" s="462"/>
      <c r="BT4" s="459"/>
      <c r="BU4" s="459"/>
      <c r="BV4" s="463"/>
      <c r="BW4" s="476"/>
      <c r="BX4" s="476"/>
      <c r="BY4" s="476"/>
      <c r="BZ4" s="476"/>
      <c r="CA4" s="476"/>
      <c r="CB4" s="459"/>
      <c r="CC4" s="459"/>
      <c r="CD4" s="459"/>
      <c r="CE4" s="459"/>
      <c r="CF4" s="459"/>
      <c r="CG4" s="476"/>
      <c r="CH4" s="459"/>
      <c r="CI4" s="459"/>
      <c r="CJ4" s="120"/>
      <c r="CK4" s="478"/>
      <c r="CL4" s="481"/>
      <c r="CM4" s="475"/>
      <c r="CN4" s="458"/>
      <c r="CO4" s="458"/>
      <c r="CP4" s="458"/>
      <c r="CQ4" s="458"/>
      <c r="CR4" s="458"/>
      <c r="CS4" s="458"/>
      <c r="CT4" s="458"/>
      <c r="CU4" s="472"/>
      <c r="CV4" s="473"/>
      <c r="CX4" s="475"/>
      <c r="CY4" s="475"/>
    </row>
    <row r="5" spans="1:103" ht="12" customHeight="1" x14ac:dyDescent="0.25">
      <c r="A5" s="122">
        <v>1</v>
      </c>
      <c r="B5" s="123" t="s">
        <v>878</v>
      </c>
      <c r="C5" s="124">
        <v>599.6</v>
      </c>
      <c r="D5" s="125">
        <v>599.6</v>
      </c>
      <c r="E5" s="125">
        <v>0</v>
      </c>
      <c r="F5" s="125">
        <v>47.8</v>
      </c>
      <c r="G5" s="124">
        <v>599.6</v>
      </c>
      <c r="H5" s="124"/>
      <c r="I5" s="126">
        <v>0</v>
      </c>
      <c r="J5" s="126">
        <v>0</v>
      </c>
      <c r="K5" s="127">
        <v>0</v>
      </c>
      <c r="L5" s="127">
        <v>0</v>
      </c>
      <c r="M5" s="127"/>
      <c r="N5" s="127"/>
      <c r="O5" s="128" t="s">
        <v>1488</v>
      </c>
      <c r="P5" s="129" t="s">
        <v>51</v>
      </c>
      <c r="Q5" s="130">
        <v>6.92</v>
      </c>
      <c r="R5" s="130">
        <v>3.15</v>
      </c>
      <c r="S5" s="130">
        <v>0</v>
      </c>
      <c r="T5" s="38">
        <v>0.26</v>
      </c>
      <c r="U5" s="131">
        <v>31</v>
      </c>
      <c r="V5" s="131"/>
      <c r="W5" s="132">
        <v>0</v>
      </c>
      <c r="X5" s="133">
        <v>32673.651604253562</v>
      </c>
      <c r="Y5" s="134">
        <v>30100.04</v>
      </c>
      <c r="Z5" s="134">
        <v>1936.1417534487509</v>
      </c>
      <c r="AA5" s="134">
        <v>377.30148144914148</v>
      </c>
      <c r="AB5" s="134">
        <v>260.16836935566801</v>
      </c>
      <c r="AC5" s="126">
        <v>0</v>
      </c>
      <c r="AD5" s="126">
        <v>0</v>
      </c>
      <c r="AE5" s="126">
        <v>0</v>
      </c>
      <c r="AF5" s="126">
        <v>0</v>
      </c>
      <c r="AG5" s="126">
        <v>0</v>
      </c>
      <c r="AH5" s="126">
        <v>0</v>
      </c>
      <c r="AI5" s="126">
        <v>0</v>
      </c>
      <c r="AJ5" s="126">
        <v>0</v>
      </c>
      <c r="AK5" s="126">
        <v>0</v>
      </c>
      <c r="AL5" s="126">
        <v>0</v>
      </c>
      <c r="AM5" s="126">
        <v>0</v>
      </c>
      <c r="AN5" s="126">
        <v>0</v>
      </c>
      <c r="AO5" s="126">
        <v>0</v>
      </c>
      <c r="AP5" s="126">
        <v>0</v>
      </c>
      <c r="AQ5" s="126">
        <v>0</v>
      </c>
      <c r="AR5" s="126">
        <v>0</v>
      </c>
      <c r="AS5" s="126">
        <v>0</v>
      </c>
      <c r="AT5" s="126">
        <v>0</v>
      </c>
      <c r="AU5" s="126">
        <v>0</v>
      </c>
      <c r="AV5" s="126">
        <v>0</v>
      </c>
      <c r="AW5" s="135">
        <v>71823.514156303194</v>
      </c>
      <c r="AX5" s="136">
        <v>57518.252049391311</v>
      </c>
      <c r="AY5" s="136">
        <v>3840.5201718642115</v>
      </c>
      <c r="AZ5" s="126">
        <v>0</v>
      </c>
      <c r="BA5" s="126">
        <v>0</v>
      </c>
      <c r="BB5" s="126">
        <v>0</v>
      </c>
      <c r="BC5" s="126">
        <v>8992.7759999999998</v>
      </c>
      <c r="BD5" s="126">
        <v>257.58371874703118</v>
      </c>
      <c r="BE5" s="126">
        <v>0</v>
      </c>
      <c r="BF5" s="126">
        <v>337.51500466641136</v>
      </c>
      <c r="BG5" s="126">
        <v>168.98593912238388</v>
      </c>
      <c r="BH5" s="126">
        <v>707.88127251184108</v>
      </c>
      <c r="BI5" s="137">
        <v>89456.473206320283</v>
      </c>
      <c r="BJ5" s="126">
        <v>633.57718535278786</v>
      </c>
      <c r="BK5" s="126">
        <v>901.5430156146092</v>
      </c>
      <c r="BL5" s="126">
        <v>967.13804645929065</v>
      </c>
      <c r="BM5" s="126">
        <v>958.45949236992146</v>
      </c>
      <c r="BN5" s="126">
        <v>16121.376610290641</v>
      </c>
      <c r="BO5" s="126">
        <v>9255.3974472583886</v>
      </c>
      <c r="BP5" s="126">
        <v>7593.3344513947231</v>
      </c>
      <c r="BQ5" s="126">
        <v>41198.091765348589</v>
      </c>
      <c r="BR5" s="126">
        <v>1537.4847051832764</v>
      </c>
      <c r="BS5" s="126">
        <v>1707.08166359047</v>
      </c>
      <c r="BT5" s="126">
        <v>8516.5345542122559</v>
      </c>
      <c r="BU5" s="126">
        <v>0</v>
      </c>
      <c r="BV5" s="126">
        <v>66.454269245338963</v>
      </c>
      <c r="BW5" s="126">
        <v>10280.785959894951</v>
      </c>
      <c r="BX5" s="126">
        <v>36473.553625563189</v>
      </c>
      <c r="BY5" s="126">
        <v>32076.460387880114</v>
      </c>
      <c r="BZ5" s="126">
        <v>0</v>
      </c>
      <c r="CA5" s="137">
        <v>0</v>
      </c>
      <c r="CB5" s="126">
        <v>0</v>
      </c>
      <c r="CC5" s="126">
        <v>0</v>
      </c>
      <c r="CD5" s="126">
        <v>0</v>
      </c>
      <c r="CE5" s="126">
        <v>0</v>
      </c>
      <c r="CF5" s="126">
        <v>0</v>
      </c>
      <c r="CG5" s="137">
        <v>9492.6102432188272</v>
      </c>
      <c r="CH5" s="126">
        <v>2700</v>
      </c>
      <c r="CI5" s="126">
        <v>6792.6102432188263</v>
      </c>
      <c r="CJ5" s="120"/>
      <c r="CK5" s="138">
        <v>282277.04918343411</v>
      </c>
      <c r="CL5" s="139">
        <v>39.231299919867979</v>
      </c>
      <c r="CM5" s="140">
        <v>205377.81999999998</v>
      </c>
      <c r="CN5" s="125">
        <v>298.32</v>
      </c>
      <c r="CO5" s="125">
        <v>298.32</v>
      </c>
      <c r="CP5" s="125">
        <v>0</v>
      </c>
      <c r="CQ5" s="125">
        <v>1163.51</v>
      </c>
      <c r="CR5" s="125">
        <v>630.6099999999999</v>
      </c>
      <c r="CS5" s="125">
        <v>2545.1400000000003</v>
      </c>
      <c r="CT5" s="125">
        <v>0</v>
      </c>
      <c r="CU5" s="141">
        <v>0</v>
      </c>
      <c r="CV5" s="142">
        <v>-76899.22918343413</v>
      </c>
      <c r="CW5" s="143">
        <v>0</v>
      </c>
      <c r="CX5" s="140">
        <v>210807.65</v>
      </c>
      <c r="CY5" s="140">
        <v>170898.61</v>
      </c>
    </row>
    <row r="6" spans="1:103" ht="12" customHeight="1" x14ac:dyDescent="0.25">
      <c r="A6" s="122">
        <v>2</v>
      </c>
      <c r="B6" s="123" t="s">
        <v>879</v>
      </c>
      <c r="C6" s="124">
        <v>464.76</v>
      </c>
      <c r="D6" s="125">
        <v>464.76</v>
      </c>
      <c r="E6" s="125">
        <v>0</v>
      </c>
      <c r="F6" s="125">
        <v>59.3</v>
      </c>
      <c r="G6" s="124">
        <v>464.76</v>
      </c>
      <c r="H6" s="124"/>
      <c r="I6" s="126">
        <v>0</v>
      </c>
      <c r="J6" s="126">
        <v>0</v>
      </c>
      <c r="K6" s="127">
        <v>0</v>
      </c>
      <c r="L6" s="127">
        <v>0</v>
      </c>
      <c r="M6" s="127"/>
      <c r="N6" s="127"/>
      <c r="O6" s="128" t="s">
        <v>1488</v>
      </c>
      <c r="P6" s="129" t="s">
        <v>51</v>
      </c>
      <c r="Q6" s="130">
        <v>6.92</v>
      </c>
      <c r="R6" s="130">
        <v>3.15</v>
      </c>
      <c r="S6" s="130">
        <v>0</v>
      </c>
      <c r="T6" s="38">
        <v>0.26</v>
      </c>
      <c r="U6" s="131">
        <v>31</v>
      </c>
      <c r="V6" s="131"/>
      <c r="W6" s="132">
        <v>0</v>
      </c>
      <c r="X6" s="133">
        <v>55789.315820816235</v>
      </c>
      <c r="Y6" s="134">
        <v>29941.37</v>
      </c>
      <c r="Z6" s="134">
        <v>1500.7358928166134</v>
      </c>
      <c r="AA6" s="134">
        <v>292.45269599450131</v>
      </c>
      <c r="AB6" s="134">
        <v>201.66085947588437</v>
      </c>
      <c r="AC6" s="126">
        <v>6209.1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17643.996372529244</v>
      </c>
      <c r="AU6" s="126">
        <v>0</v>
      </c>
      <c r="AV6" s="126">
        <v>0</v>
      </c>
      <c r="AW6" s="135">
        <v>54898.329214015132</v>
      </c>
      <c r="AX6" s="136">
        <v>44583.360277643602</v>
      </c>
      <c r="AY6" s="136">
        <v>2976.8514927878769</v>
      </c>
      <c r="AZ6" s="126">
        <v>0</v>
      </c>
      <c r="BA6" s="126">
        <v>0</v>
      </c>
      <c r="BB6" s="126">
        <v>0</v>
      </c>
      <c r="BC6" s="126">
        <v>6197.1720000000005</v>
      </c>
      <c r="BD6" s="126">
        <v>199.65745351045732</v>
      </c>
      <c r="BE6" s="126">
        <v>0</v>
      </c>
      <c r="BF6" s="126">
        <v>261.61353163569271</v>
      </c>
      <c r="BG6" s="126">
        <v>130.98383099819736</v>
      </c>
      <c r="BH6" s="126">
        <v>548.69062743929828</v>
      </c>
      <c r="BI6" s="137">
        <v>69339.210285806228</v>
      </c>
      <c r="BJ6" s="126">
        <v>491.09628529780133</v>
      </c>
      <c r="BK6" s="126">
        <v>698.80108728660059</v>
      </c>
      <c r="BL6" s="126">
        <v>749.64489405006645</v>
      </c>
      <c r="BM6" s="126">
        <v>742.91800145737932</v>
      </c>
      <c r="BN6" s="126">
        <v>12495.948954967776</v>
      </c>
      <c r="BO6" s="126">
        <v>7174.0135383385732</v>
      </c>
      <c r="BP6" s="126">
        <v>5885.7206798369107</v>
      </c>
      <c r="BQ6" s="126">
        <v>31933.330768618092</v>
      </c>
      <c r="BR6" s="126">
        <v>1191.7301393945622</v>
      </c>
      <c r="BS6" s="126">
        <v>1323.1875816716258</v>
      </c>
      <c r="BT6" s="126">
        <v>6601.308538051514</v>
      </c>
      <c r="BU6" s="126">
        <v>0</v>
      </c>
      <c r="BV6" s="126">
        <v>51.509816835329779</v>
      </c>
      <c r="BW6" s="126">
        <v>7968.8093440973607</v>
      </c>
      <c r="BX6" s="126">
        <v>28271.262146458885</v>
      </c>
      <c r="BY6" s="126">
        <v>24863.001550819146</v>
      </c>
      <c r="BZ6" s="126">
        <v>0</v>
      </c>
      <c r="CA6" s="137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37">
        <v>6615.065938356207</v>
      </c>
      <c r="CH6" s="126">
        <v>1350</v>
      </c>
      <c r="CI6" s="126">
        <v>5265.065938356207</v>
      </c>
      <c r="CJ6" s="120"/>
      <c r="CK6" s="138">
        <v>247744.99430036917</v>
      </c>
      <c r="CL6" s="139">
        <v>44.421671812758056</v>
      </c>
      <c r="CM6" s="140">
        <v>165751.97999999998</v>
      </c>
      <c r="CN6" s="125">
        <v>328.01</v>
      </c>
      <c r="CO6" s="125">
        <v>371.35</v>
      </c>
      <c r="CP6" s="125">
        <v>0</v>
      </c>
      <c r="CQ6" s="125">
        <v>1449.4299999999998</v>
      </c>
      <c r="CR6" s="125">
        <v>785.89</v>
      </c>
      <c r="CS6" s="125">
        <v>3305.91</v>
      </c>
      <c r="CT6" s="125">
        <v>0</v>
      </c>
      <c r="CU6" s="141">
        <v>0</v>
      </c>
      <c r="CV6" s="142">
        <v>-81993.014300369192</v>
      </c>
      <c r="CW6" s="143">
        <v>0</v>
      </c>
      <c r="CX6" s="140">
        <v>128632.19999999998</v>
      </c>
      <c r="CY6" s="140">
        <v>149158.85</v>
      </c>
    </row>
    <row r="7" spans="1:103" ht="12" customHeight="1" x14ac:dyDescent="0.25">
      <c r="A7" s="122">
        <v>3</v>
      </c>
      <c r="B7" s="123" t="s">
        <v>1336</v>
      </c>
      <c r="C7" s="124">
        <v>490.28</v>
      </c>
      <c r="D7" s="125">
        <v>490.28</v>
      </c>
      <c r="E7" s="125">
        <v>0</v>
      </c>
      <c r="F7" s="125">
        <v>67.7</v>
      </c>
      <c r="G7" s="124">
        <v>490.28</v>
      </c>
      <c r="H7" s="124"/>
      <c r="I7" s="126">
        <v>0</v>
      </c>
      <c r="J7" s="126">
        <v>0</v>
      </c>
      <c r="K7" s="127">
        <v>0</v>
      </c>
      <c r="L7" s="127">
        <v>0</v>
      </c>
      <c r="M7" s="127"/>
      <c r="N7" s="127"/>
      <c r="O7" s="128" t="s">
        <v>1488</v>
      </c>
      <c r="P7" s="129" t="s">
        <v>51</v>
      </c>
      <c r="Q7" s="130">
        <v>6.92</v>
      </c>
      <c r="R7" s="130">
        <v>3.15</v>
      </c>
      <c r="S7" s="130">
        <v>0</v>
      </c>
      <c r="T7" s="38">
        <v>0.26</v>
      </c>
      <c r="U7" s="131">
        <v>31</v>
      </c>
      <c r="V7" s="131"/>
      <c r="W7" s="132">
        <v>0</v>
      </c>
      <c r="X7" s="133">
        <v>33039.976753391318</v>
      </c>
      <c r="Y7" s="134">
        <v>30935.59</v>
      </c>
      <c r="Z7" s="134">
        <v>1583.1413923963535</v>
      </c>
      <c r="AA7" s="134">
        <v>308.51129140241005</v>
      </c>
      <c r="AB7" s="134">
        <v>212.73406959255655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35">
        <v>57572.512732608942</v>
      </c>
      <c r="AX7" s="136">
        <v>47031.435314835835</v>
      </c>
      <c r="AY7" s="136">
        <v>3140.3105901627509</v>
      </c>
      <c r="AZ7" s="126">
        <v>0</v>
      </c>
      <c r="BA7" s="126">
        <v>0</v>
      </c>
      <c r="BB7" s="126">
        <v>0</v>
      </c>
      <c r="BC7" s="126">
        <v>6197.1720000000005</v>
      </c>
      <c r="BD7" s="126">
        <v>210.62065648314618</v>
      </c>
      <c r="BE7" s="126">
        <v>0</v>
      </c>
      <c r="BF7" s="126">
        <v>275.9787466441764</v>
      </c>
      <c r="BG7" s="126">
        <v>138.17616116231216</v>
      </c>
      <c r="BH7" s="126">
        <v>578.81926332072283</v>
      </c>
      <c r="BI7" s="137">
        <v>73146.630559697645</v>
      </c>
      <c r="BJ7" s="126">
        <v>518.06241233282992</v>
      </c>
      <c r="BK7" s="126">
        <v>737.17229769101152</v>
      </c>
      <c r="BL7" s="126">
        <v>790.80794099076206</v>
      </c>
      <c r="BM7" s="126">
        <v>783.71167431475158</v>
      </c>
      <c r="BN7" s="126">
        <v>13182.102275672607</v>
      </c>
      <c r="BO7" s="126">
        <v>7567.9390601098112</v>
      </c>
      <c r="BP7" s="126">
        <v>6208.905962024357</v>
      </c>
      <c r="BQ7" s="126">
        <v>33686.791912466819</v>
      </c>
      <c r="BR7" s="126">
        <v>1257.1681141715421</v>
      </c>
      <c r="BS7" s="126">
        <v>1395.843892636984</v>
      </c>
      <c r="BT7" s="126">
        <v>6963.7867932608142</v>
      </c>
      <c r="BU7" s="126">
        <v>0</v>
      </c>
      <c r="BV7" s="126">
        <v>54.338224025358215</v>
      </c>
      <c r="BW7" s="126">
        <v>8406.3771521302479</v>
      </c>
      <c r="BX7" s="126">
        <v>29823.638878487523</v>
      </c>
      <c r="BY7" s="126">
        <v>26228.230485273281</v>
      </c>
      <c r="BZ7" s="126">
        <v>0</v>
      </c>
      <c r="CA7" s="137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37">
        <v>6904.1710307627181</v>
      </c>
      <c r="CH7" s="126">
        <v>1350</v>
      </c>
      <c r="CI7" s="126">
        <v>5554.1710307627181</v>
      </c>
      <c r="CJ7" s="120"/>
      <c r="CK7" s="138">
        <v>235121.53759235167</v>
      </c>
      <c r="CL7" s="139">
        <v>39.963819584786869</v>
      </c>
      <c r="CM7" s="140">
        <v>174853.44</v>
      </c>
      <c r="CN7" s="125">
        <v>422.41000000000008</v>
      </c>
      <c r="CO7" s="125">
        <v>422.41000000000008</v>
      </c>
      <c r="CP7" s="125">
        <v>0</v>
      </c>
      <c r="CQ7" s="125">
        <v>1647.97</v>
      </c>
      <c r="CR7" s="125">
        <v>893.62</v>
      </c>
      <c r="CS7" s="125">
        <v>3734.2599999999998</v>
      </c>
      <c r="CT7" s="125">
        <v>0</v>
      </c>
      <c r="CU7" s="141">
        <v>0</v>
      </c>
      <c r="CV7" s="142">
        <v>-60268.097592351667</v>
      </c>
      <c r="CW7" s="143">
        <v>0</v>
      </c>
      <c r="CX7" s="140">
        <v>153861.19</v>
      </c>
      <c r="CY7" s="140">
        <v>34827.310000000005</v>
      </c>
    </row>
    <row r="8" spans="1:103" ht="12" customHeight="1" x14ac:dyDescent="0.25">
      <c r="A8" s="122">
        <v>4</v>
      </c>
      <c r="B8" s="123" t="s">
        <v>50</v>
      </c>
      <c r="C8" s="124">
        <v>1544.17</v>
      </c>
      <c r="D8" s="125">
        <v>1279.77</v>
      </c>
      <c r="E8" s="125">
        <v>264.39999999999998</v>
      </c>
      <c r="F8" s="125">
        <v>217.8</v>
      </c>
      <c r="G8" s="124">
        <v>1544.17</v>
      </c>
      <c r="H8" s="124"/>
      <c r="I8" s="126">
        <v>0</v>
      </c>
      <c r="J8" s="126">
        <v>0</v>
      </c>
      <c r="K8" s="127">
        <v>0</v>
      </c>
      <c r="L8" s="127">
        <v>0</v>
      </c>
      <c r="M8" s="127"/>
      <c r="N8" s="127"/>
      <c r="O8" s="128" t="s">
        <v>1488</v>
      </c>
      <c r="P8" s="129" t="s">
        <v>51</v>
      </c>
      <c r="Q8" s="130">
        <v>6.92</v>
      </c>
      <c r="R8" s="130">
        <v>3.15</v>
      </c>
      <c r="S8" s="130">
        <v>0</v>
      </c>
      <c r="T8" s="38">
        <v>0.26</v>
      </c>
      <c r="U8" s="131">
        <v>31</v>
      </c>
      <c r="V8" s="131"/>
      <c r="W8" s="132">
        <v>0</v>
      </c>
      <c r="X8" s="133">
        <v>22838.548323782888</v>
      </c>
      <c r="Y8" s="134">
        <v>16210.64</v>
      </c>
      <c r="Z8" s="134">
        <v>4986.2108262557667</v>
      </c>
      <c r="AA8" s="134">
        <v>971.67716579272974</v>
      </c>
      <c r="AB8" s="134">
        <v>670.02033173439281</v>
      </c>
      <c r="AC8" s="126">
        <v>0</v>
      </c>
      <c r="AD8" s="126">
        <v>0</v>
      </c>
      <c r="AE8" s="126">
        <v>0</v>
      </c>
      <c r="AF8" s="126">
        <v>0</v>
      </c>
      <c r="AG8" s="126">
        <v>0</v>
      </c>
      <c r="AH8" s="126">
        <v>0</v>
      </c>
      <c r="AI8" s="126">
        <v>0</v>
      </c>
      <c r="AJ8" s="126">
        <v>0</v>
      </c>
      <c r="AK8" s="126">
        <v>0</v>
      </c>
      <c r="AL8" s="126">
        <v>0</v>
      </c>
      <c r="AM8" s="126">
        <v>0</v>
      </c>
      <c r="AN8" s="126">
        <v>0</v>
      </c>
      <c r="AO8" s="126">
        <v>0</v>
      </c>
      <c r="AP8" s="126">
        <v>0</v>
      </c>
      <c r="AQ8" s="126">
        <v>0</v>
      </c>
      <c r="AR8" s="126">
        <v>0</v>
      </c>
      <c r="AS8" s="126">
        <v>0</v>
      </c>
      <c r="AT8" s="126">
        <v>0</v>
      </c>
      <c r="AU8" s="126">
        <v>0</v>
      </c>
      <c r="AV8" s="126">
        <v>0</v>
      </c>
      <c r="AW8" s="135">
        <v>164994.24830356688</v>
      </c>
      <c r="AX8" s="136">
        <v>148128.68456822645</v>
      </c>
      <c r="AY8" s="136">
        <v>9890.6204699592381</v>
      </c>
      <c r="AZ8" s="126">
        <v>0</v>
      </c>
      <c r="BA8" s="126">
        <v>0</v>
      </c>
      <c r="BB8" s="126">
        <v>0</v>
      </c>
      <c r="BC8" s="126">
        <v>3184.14</v>
      </c>
      <c r="BD8" s="126">
        <v>663.36399429220012</v>
      </c>
      <c r="BE8" s="126">
        <v>0</v>
      </c>
      <c r="BF8" s="126">
        <v>869.21371707093476</v>
      </c>
      <c r="BG8" s="126">
        <v>435.1951594639952</v>
      </c>
      <c r="BH8" s="126">
        <v>1823.0303945540522</v>
      </c>
      <c r="BI8" s="137">
        <v>230380.2572231548</v>
      </c>
      <c r="BJ8" s="126">
        <v>1631.6725855674024</v>
      </c>
      <c r="BK8" s="126">
        <v>2321.7739800227</v>
      </c>
      <c r="BL8" s="126">
        <v>2490.7030640444341</v>
      </c>
      <c r="BM8" s="126">
        <v>2468.3528924830916</v>
      </c>
      <c r="BN8" s="126">
        <v>41517.922148619917</v>
      </c>
      <c r="BO8" s="126">
        <v>23835.735617299844</v>
      </c>
      <c r="BP8" s="126">
        <v>19555.369012358555</v>
      </c>
      <c r="BQ8" s="126">
        <v>106098.82815426672</v>
      </c>
      <c r="BR8" s="126">
        <v>3959.5359526398597</v>
      </c>
      <c r="BS8" s="126">
        <v>4396.3046905712081</v>
      </c>
      <c r="BT8" s="126">
        <v>21932.917215773748</v>
      </c>
      <c r="BU8" s="126">
        <v>0</v>
      </c>
      <c r="BV8" s="126">
        <v>171.14190950729665</v>
      </c>
      <c r="BW8" s="126">
        <v>26476.453061525997</v>
      </c>
      <c r="BX8" s="126">
        <v>93931.566547674971</v>
      </c>
      <c r="BY8" s="126">
        <v>82607.584785111467</v>
      </c>
      <c r="BZ8" s="126">
        <v>0</v>
      </c>
      <c r="CA8" s="137">
        <v>0</v>
      </c>
      <c r="CB8" s="126">
        <v>0</v>
      </c>
      <c r="CC8" s="126">
        <v>0</v>
      </c>
      <c r="CD8" s="126">
        <v>0</v>
      </c>
      <c r="CE8" s="126">
        <v>0</v>
      </c>
      <c r="CF8" s="126">
        <v>0</v>
      </c>
      <c r="CG8" s="137">
        <v>20873.241090178813</v>
      </c>
      <c r="CH8" s="126">
        <v>3380.0039999999999</v>
      </c>
      <c r="CI8" s="126">
        <v>17493.237090178813</v>
      </c>
      <c r="CJ8" s="120"/>
      <c r="CK8" s="138">
        <v>642101.89933499589</v>
      </c>
      <c r="CL8" s="139">
        <v>34.651943510915025</v>
      </c>
      <c r="CM8" s="140">
        <v>408656.19</v>
      </c>
      <c r="CN8" s="125">
        <v>1120.2599999999998</v>
      </c>
      <c r="CO8" s="125">
        <v>1120.2599999999998</v>
      </c>
      <c r="CP8" s="125">
        <v>0</v>
      </c>
      <c r="CQ8" s="125">
        <v>4369.79</v>
      </c>
      <c r="CR8" s="125">
        <v>2369.36</v>
      </c>
      <c r="CS8" s="125">
        <v>8770.85</v>
      </c>
      <c r="CT8" s="125">
        <v>65689.140904435335</v>
      </c>
      <c r="CU8" s="141">
        <v>0</v>
      </c>
      <c r="CV8" s="142">
        <v>-167756.56843056052</v>
      </c>
      <c r="CW8" s="143">
        <v>0</v>
      </c>
      <c r="CX8" s="140">
        <v>297667.31999999995</v>
      </c>
      <c r="CY8" s="140">
        <v>1200530.98</v>
      </c>
    </row>
    <row r="9" spans="1:103" ht="12" customHeight="1" x14ac:dyDescent="0.25">
      <c r="A9" s="122">
        <v>5</v>
      </c>
      <c r="B9" s="123" t="s">
        <v>1337</v>
      </c>
      <c r="C9" s="124">
        <v>543.29999999999995</v>
      </c>
      <c r="D9" s="125">
        <v>543.29999999999995</v>
      </c>
      <c r="E9" s="125">
        <v>0</v>
      </c>
      <c r="F9" s="125">
        <v>84.8</v>
      </c>
      <c r="G9" s="124">
        <v>543.29999999999995</v>
      </c>
      <c r="H9" s="124"/>
      <c r="I9" s="126">
        <v>0</v>
      </c>
      <c r="J9" s="126">
        <v>0</v>
      </c>
      <c r="K9" s="127">
        <v>0</v>
      </c>
      <c r="L9" s="127">
        <v>0</v>
      </c>
      <c r="M9" s="127"/>
      <c r="N9" s="127"/>
      <c r="O9" s="128" t="s">
        <v>1488</v>
      </c>
      <c r="P9" s="129" t="s">
        <v>51</v>
      </c>
      <c r="Q9" s="130">
        <v>6.92</v>
      </c>
      <c r="R9" s="130">
        <v>3.15</v>
      </c>
      <c r="S9" s="130">
        <v>0</v>
      </c>
      <c r="T9" s="38">
        <v>0.26</v>
      </c>
      <c r="U9" s="131">
        <v>31</v>
      </c>
      <c r="V9" s="131"/>
      <c r="W9" s="132">
        <v>0</v>
      </c>
      <c r="X9" s="133">
        <v>15157.969947616677</v>
      </c>
      <c r="Y9" s="134">
        <v>12826.01</v>
      </c>
      <c r="Z9" s="134">
        <v>1754.3459216956408</v>
      </c>
      <c r="AA9" s="134">
        <v>341.87440772401357</v>
      </c>
      <c r="AB9" s="134">
        <v>235.73961819702205</v>
      </c>
      <c r="AC9" s="126">
        <v>0</v>
      </c>
      <c r="AD9" s="126">
        <v>0</v>
      </c>
      <c r="AE9" s="126">
        <v>0</v>
      </c>
      <c r="AF9" s="126">
        <v>0</v>
      </c>
      <c r="AG9" s="126">
        <v>0</v>
      </c>
      <c r="AH9" s="126">
        <v>0</v>
      </c>
      <c r="AI9" s="126">
        <v>0</v>
      </c>
      <c r="AJ9" s="126">
        <v>0</v>
      </c>
      <c r="AK9" s="126">
        <v>0</v>
      </c>
      <c r="AL9" s="126">
        <v>0</v>
      </c>
      <c r="AM9" s="126">
        <v>0</v>
      </c>
      <c r="AN9" s="126">
        <v>0</v>
      </c>
      <c r="AO9" s="126">
        <v>0</v>
      </c>
      <c r="AP9" s="126">
        <v>0</v>
      </c>
      <c r="AQ9" s="126">
        <v>0</v>
      </c>
      <c r="AR9" s="126">
        <v>0</v>
      </c>
      <c r="AS9" s="126">
        <v>0</v>
      </c>
      <c r="AT9" s="126">
        <v>0</v>
      </c>
      <c r="AU9" s="126">
        <v>0</v>
      </c>
      <c r="AV9" s="126">
        <v>0</v>
      </c>
      <c r="AW9" s="135">
        <v>78529.939525549577</v>
      </c>
      <c r="AX9" s="136">
        <v>52117.522245554195</v>
      </c>
      <c r="AY9" s="136">
        <v>3479.9109562605504</v>
      </c>
      <c r="AZ9" s="126">
        <v>0</v>
      </c>
      <c r="BA9" s="126">
        <v>0</v>
      </c>
      <c r="BB9" s="126">
        <v>0</v>
      </c>
      <c r="BC9" s="126">
        <v>21598.751999999997</v>
      </c>
      <c r="BD9" s="126">
        <v>233.39765576261181</v>
      </c>
      <c r="BE9" s="126">
        <v>0</v>
      </c>
      <c r="BF9" s="126">
        <v>305.82371920490539</v>
      </c>
      <c r="BG9" s="126">
        <v>153.11884710672308</v>
      </c>
      <c r="BH9" s="126">
        <v>641.41410166057915</v>
      </c>
      <c r="BI9" s="137">
        <v>81056.874404592745</v>
      </c>
      <c r="BJ9" s="126">
        <v>574.08686591422554</v>
      </c>
      <c r="BK9" s="126">
        <v>816.89179516914123</v>
      </c>
      <c r="BL9" s="126">
        <v>876.32771954858663</v>
      </c>
      <c r="BM9" s="126">
        <v>868.46404637187834</v>
      </c>
      <c r="BN9" s="126">
        <v>14607.644950585231</v>
      </c>
      <c r="BO9" s="126">
        <v>8386.353290686262</v>
      </c>
      <c r="BP9" s="126">
        <v>6880.3512465689673</v>
      </c>
      <c r="BQ9" s="126">
        <v>37329.758599255976</v>
      </c>
      <c r="BR9" s="126">
        <v>1393.1211479754402</v>
      </c>
      <c r="BS9" s="126">
        <v>1546.7936421425989</v>
      </c>
      <c r="BT9" s="126">
        <v>7716.8666165835857</v>
      </c>
      <c r="BU9" s="126">
        <v>0</v>
      </c>
      <c r="BV9" s="126">
        <v>60.214483790848327</v>
      </c>
      <c r="BW9" s="126">
        <v>9315.4619946813309</v>
      </c>
      <c r="BX9" s="126">
        <v>33048.835364857368</v>
      </c>
      <c r="BY9" s="126">
        <v>29064.611288751272</v>
      </c>
      <c r="BZ9" s="126">
        <v>0</v>
      </c>
      <c r="CA9" s="137">
        <v>0</v>
      </c>
      <c r="CB9" s="126">
        <v>0</v>
      </c>
      <c r="CC9" s="126">
        <v>0</v>
      </c>
      <c r="CD9" s="126">
        <v>0</v>
      </c>
      <c r="CE9" s="126">
        <v>0</v>
      </c>
      <c r="CF9" s="126">
        <v>0</v>
      </c>
      <c r="CG9" s="137">
        <v>8174.8077830900402</v>
      </c>
      <c r="CH9" s="126">
        <v>2019.9959999999999</v>
      </c>
      <c r="CI9" s="126">
        <v>6154.8117830900401</v>
      </c>
      <c r="CJ9" s="120"/>
      <c r="CK9" s="138">
        <v>254348.50030913902</v>
      </c>
      <c r="CL9" s="139">
        <v>39.012899611807327</v>
      </c>
      <c r="CM9" s="140">
        <v>192379.90000000002</v>
      </c>
      <c r="CN9" s="125">
        <v>528.54999999999995</v>
      </c>
      <c r="CO9" s="125">
        <v>528.54999999999995</v>
      </c>
      <c r="CP9" s="125">
        <v>0</v>
      </c>
      <c r="CQ9" s="125">
        <v>2061.9699999999998</v>
      </c>
      <c r="CR9" s="125">
        <v>1117.9000000000001</v>
      </c>
      <c r="CS9" s="125">
        <v>4673.0300000000007</v>
      </c>
      <c r="CT9" s="125">
        <v>0</v>
      </c>
      <c r="CU9" s="141">
        <v>0</v>
      </c>
      <c r="CV9" s="142">
        <v>-61968.600309139001</v>
      </c>
      <c r="CW9" s="143">
        <v>0</v>
      </c>
      <c r="CX9" s="140">
        <v>159502.06</v>
      </c>
      <c r="CY9" s="140">
        <v>45832.93</v>
      </c>
    </row>
    <row r="10" spans="1:103" ht="12" customHeight="1" x14ac:dyDescent="0.25">
      <c r="A10" s="122">
        <v>6</v>
      </c>
      <c r="B10" s="123" t="s">
        <v>1338</v>
      </c>
      <c r="C10" s="124">
        <v>724.96</v>
      </c>
      <c r="D10" s="125">
        <v>724.96</v>
      </c>
      <c r="E10" s="125">
        <v>0</v>
      </c>
      <c r="F10" s="125">
        <v>94.7</v>
      </c>
      <c r="G10" s="124">
        <v>724.96</v>
      </c>
      <c r="H10" s="124"/>
      <c r="I10" s="126">
        <v>0</v>
      </c>
      <c r="J10" s="126">
        <v>0</v>
      </c>
      <c r="K10" s="127">
        <v>0</v>
      </c>
      <c r="L10" s="127">
        <v>0</v>
      </c>
      <c r="M10" s="127"/>
      <c r="N10" s="127"/>
      <c r="O10" s="128" t="s">
        <v>1488</v>
      </c>
      <c r="P10" s="129" t="s">
        <v>51</v>
      </c>
      <c r="Q10" s="130">
        <v>6.92</v>
      </c>
      <c r="R10" s="130">
        <v>3.15</v>
      </c>
      <c r="S10" s="130">
        <v>0</v>
      </c>
      <c r="T10" s="38">
        <v>0.26</v>
      </c>
      <c r="U10" s="131">
        <v>31</v>
      </c>
      <c r="V10" s="131"/>
      <c r="W10" s="132">
        <v>0</v>
      </c>
      <c r="X10" s="133">
        <v>23467.433570079487</v>
      </c>
      <c r="Y10" s="134">
        <v>20355.75</v>
      </c>
      <c r="Z10" s="134">
        <v>2340.9361667448406</v>
      </c>
      <c r="AA10" s="134">
        <v>456.18492660335153</v>
      </c>
      <c r="AB10" s="134">
        <v>314.56247673129604</v>
      </c>
      <c r="AC10" s="126">
        <v>0</v>
      </c>
      <c r="AD10" s="126">
        <v>0</v>
      </c>
      <c r="AE10" s="126">
        <v>0</v>
      </c>
      <c r="AF10" s="126">
        <v>0</v>
      </c>
      <c r="AG10" s="126">
        <v>0</v>
      </c>
      <c r="AH10" s="126">
        <v>0</v>
      </c>
      <c r="AI10" s="126">
        <v>0</v>
      </c>
      <c r="AJ10" s="126">
        <v>0</v>
      </c>
      <c r="AK10" s="126">
        <v>0</v>
      </c>
      <c r="AL10" s="126">
        <v>0</v>
      </c>
      <c r="AM10" s="126">
        <v>0</v>
      </c>
      <c r="AN10" s="126">
        <v>0</v>
      </c>
      <c r="AO10" s="126">
        <v>0</v>
      </c>
      <c r="AP10" s="126">
        <v>0</v>
      </c>
      <c r="AQ10" s="126">
        <v>0</v>
      </c>
      <c r="AR10" s="126">
        <v>0</v>
      </c>
      <c r="AS10" s="126">
        <v>0</v>
      </c>
      <c r="AT10" s="126">
        <v>0</v>
      </c>
      <c r="AU10" s="126">
        <v>0</v>
      </c>
      <c r="AV10" s="126">
        <v>0</v>
      </c>
      <c r="AW10" s="135">
        <v>82619.251177107348</v>
      </c>
      <c r="AX10" s="136">
        <v>69543.749175661651</v>
      </c>
      <c r="AY10" s="136">
        <v>4643.4681517589706</v>
      </c>
      <c r="AZ10" s="126">
        <v>0</v>
      </c>
      <c r="BA10" s="126">
        <v>0</v>
      </c>
      <c r="BB10" s="126">
        <v>0</v>
      </c>
      <c r="BC10" s="126">
        <v>6652.3200000000006</v>
      </c>
      <c r="BD10" s="126">
        <v>311.4374462022144</v>
      </c>
      <c r="BE10" s="126">
        <v>0</v>
      </c>
      <c r="BF10" s="126">
        <v>408.08018309366508</v>
      </c>
      <c r="BG10" s="126">
        <v>204.3162882357629</v>
      </c>
      <c r="BH10" s="126">
        <v>855.87993215507731</v>
      </c>
      <c r="BI10" s="137">
        <v>108159.38094672108</v>
      </c>
      <c r="BJ10" s="126">
        <v>766.04088774742684</v>
      </c>
      <c r="BK10" s="126">
        <v>1090.0310617077503</v>
      </c>
      <c r="BL10" s="126">
        <v>1169.3402237510463</v>
      </c>
      <c r="BM10" s="126">
        <v>1158.8472207946936</v>
      </c>
      <c r="BN10" s="126">
        <v>19491.916590053876</v>
      </c>
      <c r="BO10" s="126">
        <v>11190.448521288263</v>
      </c>
      <c r="BP10" s="126">
        <v>9180.8935021399575</v>
      </c>
      <c r="BQ10" s="126">
        <v>49811.488669458158</v>
      </c>
      <c r="BR10" s="126">
        <v>1858.9308069874385</v>
      </c>
      <c r="BS10" s="126">
        <v>2063.9858619688912</v>
      </c>
      <c r="BT10" s="126">
        <v>10297.109557074245</v>
      </c>
      <c r="BU10" s="126">
        <v>0</v>
      </c>
      <c r="BV10" s="126">
        <v>80.348043749334451</v>
      </c>
      <c r="BW10" s="126">
        <v>12430.217794338632</v>
      </c>
      <c r="BX10" s="126">
        <v>44099.178512989143</v>
      </c>
      <c r="BY10" s="126">
        <v>38782.773053364857</v>
      </c>
      <c r="BZ10" s="126">
        <v>0</v>
      </c>
      <c r="CA10" s="137">
        <v>0</v>
      </c>
      <c r="CB10" s="126">
        <v>0</v>
      </c>
      <c r="CC10" s="126">
        <v>0</v>
      </c>
      <c r="CD10" s="126">
        <v>0</v>
      </c>
      <c r="CE10" s="126">
        <v>0</v>
      </c>
      <c r="CF10" s="126">
        <v>0</v>
      </c>
      <c r="CG10" s="137">
        <v>10072.759709679654</v>
      </c>
      <c r="CH10" s="126">
        <v>1860</v>
      </c>
      <c r="CI10" s="126">
        <v>8212.7597096796544</v>
      </c>
      <c r="CJ10" s="120"/>
      <c r="CK10" s="138">
        <v>319630.99476428016</v>
      </c>
      <c r="CL10" s="139">
        <v>36.741221902390031</v>
      </c>
      <c r="CM10" s="140">
        <v>258549.84</v>
      </c>
      <c r="CN10" s="125">
        <v>591.11</v>
      </c>
      <c r="CO10" s="125">
        <v>591.11</v>
      </c>
      <c r="CP10" s="125">
        <v>0</v>
      </c>
      <c r="CQ10" s="125">
        <v>2305.3300000000004</v>
      </c>
      <c r="CR10" s="125">
        <v>1249.93</v>
      </c>
      <c r="CS10" s="125">
        <v>5223.3499999999995</v>
      </c>
      <c r="CT10" s="125">
        <v>0</v>
      </c>
      <c r="CU10" s="141">
        <v>0</v>
      </c>
      <c r="CV10" s="142">
        <v>-61081.15476428016</v>
      </c>
      <c r="CW10" s="143">
        <v>0</v>
      </c>
      <c r="CX10" s="140">
        <v>227557.55000000002</v>
      </c>
      <c r="CY10" s="140">
        <v>119804.87</v>
      </c>
    </row>
    <row r="11" spans="1:103" ht="12" customHeight="1" x14ac:dyDescent="0.25">
      <c r="A11" s="122">
        <v>7</v>
      </c>
      <c r="B11" s="123" t="s">
        <v>53</v>
      </c>
      <c r="C11" s="124">
        <v>1102.18</v>
      </c>
      <c r="D11" s="125">
        <v>1102.18</v>
      </c>
      <c r="E11" s="125">
        <v>0</v>
      </c>
      <c r="F11" s="125">
        <v>139.9</v>
      </c>
      <c r="G11" s="124">
        <v>1102.18</v>
      </c>
      <c r="H11" s="124"/>
      <c r="I11" s="126">
        <v>0</v>
      </c>
      <c r="J11" s="126">
        <v>0</v>
      </c>
      <c r="K11" s="127">
        <v>0</v>
      </c>
      <c r="L11" s="127">
        <v>0</v>
      </c>
      <c r="M11" s="127"/>
      <c r="N11" s="127"/>
      <c r="O11" s="128" t="s">
        <v>1488</v>
      </c>
      <c r="P11" s="129" t="s">
        <v>51</v>
      </c>
      <c r="Q11" s="130">
        <v>6.92</v>
      </c>
      <c r="R11" s="130">
        <v>3.15</v>
      </c>
      <c r="S11" s="130">
        <v>0</v>
      </c>
      <c r="T11" s="38">
        <v>0.26</v>
      </c>
      <c r="U11" s="131">
        <v>31</v>
      </c>
      <c r="V11" s="131"/>
      <c r="W11" s="132">
        <v>0</v>
      </c>
      <c r="X11" s="133">
        <v>39618.012591688108</v>
      </c>
      <c r="Y11" s="134">
        <v>12208.82</v>
      </c>
      <c r="Z11" s="134">
        <v>3559.0005300469384</v>
      </c>
      <c r="AA11" s="134">
        <v>693.55261311476772</v>
      </c>
      <c r="AB11" s="134">
        <v>478.23944852640125</v>
      </c>
      <c r="AC11" s="126">
        <v>14472.34</v>
      </c>
      <c r="AD11" s="126">
        <v>0</v>
      </c>
      <c r="AE11" s="126">
        <v>0</v>
      </c>
      <c r="AF11" s="126">
        <v>0</v>
      </c>
      <c r="AG11" s="126">
        <v>0</v>
      </c>
      <c r="AH11" s="126">
        <v>0</v>
      </c>
      <c r="AI11" s="126">
        <v>0</v>
      </c>
      <c r="AJ11" s="126">
        <v>0</v>
      </c>
      <c r="AK11" s="126">
        <v>8206.06</v>
      </c>
      <c r="AL11" s="126">
        <v>0</v>
      </c>
      <c r="AM11" s="126">
        <v>0</v>
      </c>
      <c r="AN11" s="126">
        <v>0</v>
      </c>
      <c r="AO11" s="126">
        <v>0</v>
      </c>
      <c r="AP11" s="126">
        <v>0</v>
      </c>
      <c r="AQ11" s="126">
        <v>0</v>
      </c>
      <c r="AR11" s="126">
        <v>0</v>
      </c>
      <c r="AS11" s="126">
        <v>0</v>
      </c>
      <c r="AT11" s="126">
        <v>0</v>
      </c>
      <c r="AU11" s="126">
        <v>0</v>
      </c>
      <c r="AV11" s="126">
        <v>0</v>
      </c>
      <c r="AW11" s="135">
        <v>135508.52028071092</v>
      </c>
      <c r="AX11" s="136">
        <v>105729.59813842247</v>
      </c>
      <c r="AY11" s="136">
        <v>7059.6139476739436</v>
      </c>
      <c r="AZ11" s="126">
        <v>0</v>
      </c>
      <c r="BA11" s="126">
        <v>0</v>
      </c>
      <c r="BB11" s="126">
        <v>0</v>
      </c>
      <c r="BC11" s="126">
        <v>20013.552</v>
      </c>
      <c r="BD11" s="126">
        <v>473.48836412375391</v>
      </c>
      <c r="BE11" s="126">
        <v>0</v>
      </c>
      <c r="BF11" s="126">
        <v>620.41742468850111</v>
      </c>
      <c r="BG11" s="126">
        <v>310.62862305188304</v>
      </c>
      <c r="BH11" s="126">
        <v>1301.2217827503353</v>
      </c>
      <c r="BI11" s="137">
        <v>164438.18485413963</v>
      </c>
      <c r="BJ11" s="126">
        <v>1164.636594649993</v>
      </c>
      <c r="BK11" s="126">
        <v>1657.2092744331387</v>
      </c>
      <c r="BL11" s="126">
        <v>1777.7855437733506</v>
      </c>
      <c r="BM11" s="126">
        <v>1761.8326939631088</v>
      </c>
      <c r="BN11" s="126">
        <v>29634.187578936191</v>
      </c>
      <c r="BO11" s="126">
        <v>17013.198729851989</v>
      </c>
      <c r="BP11" s="126">
        <v>13958.007614473376</v>
      </c>
      <c r="BQ11" s="126">
        <v>75730.00797520332</v>
      </c>
      <c r="BR11" s="126">
        <v>2826.1922821195858</v>
      </c>
      <c r="BS11" s="126">
        <v>3137.9440760109146</v>
      </c>
      <c r="BT11" s="126">
        <v>15655.026776120187</v>
      </c>
      <c r="BU11" s="126">
        <v>0</v>
      </c>
      <c r="BV11" s="126">
        <v>122.15571460444913</v>
      </c>
      <c r="BW11" s="126">
        <v>18898.059822009702</v>
      </c>
      <c r="BX11" s="126">
        <v>67045.399157810607</v>
      </c>
      <c r="BY11" s="126">
        <v>58962.69698184407</v>
      </c>
      <c r="BZ11" s="126">
        <v>0</v>
      </c>
      <c r="CA11" s="137">
        <v>0</v>
      </c>
      <c r="CB11" s="126">
        <v>0</v>
      </c>
      <c r="CC11" s="126">
        <v>0</v>
      </c>
      <c r="CD11" s="126">
        <v>0</v>
      </c>
      <c r="CE11" s="126">
        <v>0</v>
      </c>
      <c r="CF11" s="126">
        <v>0</v>
      </c>
      <c r="CG11" s="137">
        <v>15526.118678237035</v>
      </c>
      <c r="CH11" s="126">
        <v>3039.9959999999996</v>
      </c>
      <c r="CI11" s="126">
        <v>12486.122678237036</v>
      </c>
      <c r="CJ11" s="120"/>
      <c r="CK11" s="138">
        <v>499996.99236644007</v>
      </c>
      <c r="CL11" s="139">
        <v>37.803640086498277</v>
      </c>
      <c r="CM11" s="140">
        <v>393081.49</v>
      </c>
      <c r="CN11" s="125">
        <v>873.12000000000012</v>
      </c>
      <c r="CO11" s="125">
        <v>873.12000000000012</v>
      </c>
      <c r="CP11" s="125">
        <v>0</v>
      </c>
      <c r="CQ11" s="125">
        <v>3405.3599999999997</v>
      </c>
      <c r="CR11" s="125">
        <v>1846.56</v>
      </c>
      <c r="CS11" s="125">
        <v>7716.84</v>
      </c>
      <c r="CT11" s="125">
        <v>0</v>
      </c>
      <c r="CU11" s="141">
        <v>0</v>
      </c>
      <c r="CV11" s="142">
        <v>-106915.50236644008</v>
      </c>
      <c r="CW11" s="143">
        <v>0</v>
      </c>
      <c r="CX11" s="140">
        <v>304842.98</v>
      </c>
      <c r="CY11" s="140">
        <v>718135.95</v>
      </c>
    </row>
    <row r="12" spans="1:103" ht="12" customHeight="1" x14ac:dyDescent="0.25">
      <c r="A12" s="122">
        <v>8</v>
      </c>
      <c r="B12" s="123" t="s">
        <v>54</v>
      </c>
      <c r="C12" s="124">
        <v>1647.35</v>
      </c>
      <c r="D12" s="125">
        <v>1311.85</v>
      </c>
      <c r="E12" s="125">
        <v>335.5</v>
      </c>
      <c r="F12" s="125">
        <v>230.1</v>
      </c>
      <c r="G12" s="124">
        <v>1647.35</v>
      </c>
      <c r="H12" s="124"/>
      <c r="I12" s="126">
        <v>0</v>
      </c>
      <c r="J12" s="126">
        <v>0</v>
      </c>
      <c r="K12" s="127">
        <v>0</v>
      </c>
      <c r="L12" s="127">
        <v>0</v>
      </c>
      <c r="M12" s="127"/>
      <c r="N12" s="127"/>
      <c r="O12" s="128" t="s">
        <v>1488</v>
      </c>
      <c r="P12" s="129" t="s">
        <v>51</v>
      </c>
      <c r="Q12" s="130">
        <v>6.92</v>
      </c>
      <c r="R12" s="130">
        <v>3.15</v>
      </c>
      <c r="S12" s="130">
        <v>0</v>
      </c>
      <c r="T12" s="38">
        <v>0.26</v>
      </c>
      <c r="U12" s="131">
        <v>31</v>
      </c>
      <c r="V12" s="131"/>
      <c r="W12" s="132">
        <v>0</v>
      </c>
      <c r="X12" s="133">
        <v>92242.585840695494</v>
      </c>
      <c r="Y12" s="134">
        <v>6920.04</v>
      </c>
      <c r="Z12" s="134">
        <v>5319.3847857635083</v>
      </c>
      <c r="AA12" s="134">
        <v>1036.6037282609125</v>
      </c>
      <c r="AB12" s="134">
        <v>714.79046574059316</v>
      </c>
      <c r="AC12" s="126">
        <v>14087.31</v>
      </c>
      <c r="AD12" s="126">
        <v>0</v>
      </c>
      <c r="AE12" s="126">
        <v>37704.57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2986.14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23473.746860930474</v>
      </c>
      <c r="AU12" s="126">
        <v>0</v>
      </c>
      <c r="AV12" s="126">
        <v>0</v>
      </c>
      <c r="AW12" s="135">
        <v>197903.27690891601</v>
      </c>
      <c r="AX12" s="136">
        <v>158026.50519273643</v>
      </c>
      <c r="AY12" s="136">
        <v>10551.502510207652</v>
      </c>
      <c r="AZ12" s="126">
        <v>0</v>
      </c>
      <c r="BA12" s="126">
        <v>0</v>
      </c>
      <c r="BB12" s="126">
        <v>0</v>
      </c>
      <c r="BC12" s="126">
        <v>25281.167999999998</v>
      </c>
      <c r="BD12" s="126">
        <v>707.68935803522652</v>
      </c>
      <c r="BE12" s="126">
        <v>0</v>
      </c>
      <c r="BF12" s="126">
        <v>927.2937674069592</v>
      </c>
      <c r="BG12" s="126">
        <v>464.27449435166625</v>
      </c>
      <c r="BH12" s="126">
        <v>1944.8435861780877</v>
      </c>
      <c r="BI12" s="137">
        <v>245774.05126156058</v>
      </c>
      <c r="BJ12" s="126">
        <v>1740.6994267693713</v>
      </c>
      <c r="BK12" s="126">
        <v>2476.9127531232925</v>
      </c>
      <c r="BL12" s="126">
        <v>2657.1295210719018</v>
      </c>
      <c r="BM12" s="126">
        <v>2633.2859318805704</v>
      </c>
      <c r="BN12" s="126">
        <v>44292.111005607549</v>
      </c>
      <c r="BO12" s="126">
        <v>25428.417252737003</v>
      </c>
      <c r="BP12" s="126">
        <v>20862.04054120263</v>
      </c>
      <c r="BQ12" s="126">
        <v>113188.25295137924</v>
      </c>
      <c r="BR12" s="126">
        <v>4224.1084541088558</v>
      </c>
      <c r="BS12" s="126">
        <v>4690.0616719742511</v>
      </c>
      <c r="BT12" s="126">
        <v>23398.454299335488</v>
      </c>
      <c r="BU12" s="126">
        <v>0</v>
      </c>
      <c r="BV12" s="126">
        <v>182.57745237042883</v>
      </c>
      <c r="BW12" s="126">
        <v>28245.584975038269</v>
      </c>
      <c r="BX12" s="126">
        <v>100207.98626596318</v>
      </c>
      <c r="BY12" s="126">
        <v>88127.346597688957</v>
      </c>
      <c r="BZ12" s="126">
        <v>0</v>
      </c>
      <c r="CA12" s="137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37">
        <v>22042.122886201691</v>
      </c>
      <c r="CH12" s="126">
        <v>3380.0039999999999</v>
      </c>
      <c r="CI12" s="126">
        <v>18662.11888620169</v>
      </c>
      <c r="CJ12" s="120"/>
      <c r="CK12" s="138">
        <v>774542.95473606419</v>
      </c>
      <c r="CL12" s="139">
        <v>39.181258523085774</v>
      </c>
      <c r="CM12" s="140">
        <v>467858.22</v>
      </c>
      <c r="CN12" s="125">
        <v>1143.24</v>
      </c>
      <c r="CO12" s="125">
        <v>1143.24</v>
      </c>
      <c r="CP12" s="125">
        <v>0</v>
      </c>
      <c r="CQ12" s="125">
        <v>4460.28</v>
      </c>
      <c r="CR12" s="125">
        <v>2418</v>
      </c>
      <c r="CS12" s="125">
        <v>10107.24</v>
      </c>
      <c r="CT12" s="125">
        <v>70078.428067454704</v>
      </c>
      <c r="CU12" s="141">
        <v>0</v>
      </c>
      <c r="CV12" s="142">
        <v>-236606.3066686095</v>
      </c>
      <c r="CW12" s="143">
        <v>0</v>
      </c>
      <c r="CX12" s="140">
        <v>451081.16000000003</v>
      </c>
      <c r="CY12" s="140">
        <v>132097.25</v>
      </c>
    </row>
    <row r="13" spans="1:103" ht="12" customHeight="1" x14ac:dyDescent="0.25">
      <c r="A13" s="122">
        <v>9</v>
      </c>
      <c r="B13" s="123" t="s">
        <v>1339</v>
      </c>
      <c r="C13" s="124">
        <v>553.4</v>
      </c>
      <c r="D13" s="125">
        <v>553.4</v>
      </c>
      <c r="E13" s="125">
        <v>0</v>
      </c>
      <c r="F13" s="125">
        <v>82.8</v>
      </c>
      <c r="G13" s="124">
        <v>553.4</v>
      </c>
      <c r="H13" s="124"/>
      <c r="I13" s="126">
        <v>0</v>
      </c>
      <c r="J13" s="126">
        <v>0</v>
      </c>
      <c r="K13" s="127">
        <v>0</v>
      </c>
      <c r="L13" s="127">
        <v>0</v>
      </c>
      <c r="M13" s="127"/>
      <c r="N13" s="127"/>
      <c r="O13" s="128" t="s">
        <v>1488</v>
      </c>
      <c r="P13" s="129" t="s">
        <v>51</v>
      </c>
      <c r="Q13" s="130">
        <v>6.92</v>
      </c>
      <c r="R13" s="130">
        <v>3.15</v>
      </c>
      <c r="S13" s="130">
        <v>0</v>
      </c>
      <c r="T13" s="38">
        <v>0.26</v>
      </c>
      <c r="U13" s="131">
        <v>31</v>
      </c>
      <c r="V13" s="131"/>
      <c r="W13" s="132">
        <v>0</v>
      </c>
      <c r="X13" s="133">
        <v>17712.23131053022</v>
      </c>
      <c r="Y13" s="134">
        <v>15336.92</v>
      </c>
      <c r="Z13" s="134">
        <v>1786.9593835199109</v>
      </c>
      <c r="AA13" s="134">
        <v>348.22988631413421</v>
      </c>
      <c r="AB13" s="134">
        <v>240.12204069617525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35">
        <v>98488.667855400548</v>
      </c>
      <c r="AX13" s="136">
        <v>53086.392068267422</v>
      </c>
      <c r="AY13" s="136">
        <v>3544.6028404096974</v>
      </c>
      <c r="AZ13" s="126">
        <v>0</v>
      </c>
      <c r="BA13" s="126">
        <v>0</v>
      </c>
      <c r="BB13" s="126">
        <v>0</v>
      </c>
      <c r="BC13" s="126">
        <v>40499.123999999996</v>
      </c>
      <c r="BD13" s="126">
        <v>237.73654095164619</v>
      </c>
      <c r="BE13" s="126">
        <v>0</v>
      </c>
      <c r="BF13" s="126">
        <v>311.50901197863914</v>
      </c>
      <c r="BG13" s="126">
        <v>155.96534141148638</v>
      </c>
      <c r="BH13" s="126">
        <v>653.33805238167588</v>
      </c>
      <c r="BI13" s="137">
        <v>82563.729607034096</v>
      </c>
      <c r="BJ13" s="126">
        <v>584.75919675489126</v>
      </c>
      <c r="BK13" s="126">
        <v>832.07789333076164</v>
      </c>
      <c r="BL13" s="126">
        <v>892.61873734251401</v>
      </c>
      <c r="BM13" s="126">
        <v>884.60887771433374</v>
      </c>
      <c r="BN13" s="126">
        <v>14879.202495221549</v>
      </c>
      <c r="BO13" s="126">
        <v>8542.2564164656305</v>
      </c>
      <c r="BP13" s="126">
        <v>7008.2576474346888</v>
      </c>
      <c r="BQ13" s="126">
        <v>38023.722453208647</v>
      </c>
      <c r="BR13" s="126">
        <v>1419.0194060180538</v>
      </c>
      <c r="BS13" s="126">
        <v>1575.5486868428388</v>
      </c>
      <c r="BT13" s="126">
        <v>7860.3239197816247</v>
      </c>
      <c r="BU13" s="126">
        <v>0</v>
      </c>
      <c r="BV13" s="126">
        <v>61.333876918563341</v>
      </c>
      <c r="BW13" s="126">
        <v>9488.6373419043794</v>
      </c>
      <c r="BX13" s="126">
        <v>33663.216438269956</v>
      </c>
      <c r="BY13" s="126">
        <v>29604.925247920037</v>
      </c>
      <c r="BZ13" s="126">
        <v>0</v>
      </c>
      <c r="CA13" s="137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37">
        <v>8289.2263345518641</v>
      </c>
      <c r="CH13" s="126">
        <v>2019.9959999999999</v>
      </c>
      <c r="CI13" s="126">
        <v>6269.2303345518649</v>
      </c>
      <c r="CJ13" s="120"/>
      <c r="CK13" s="138">
        <v>279810.63413561112</v>
      </c>
      <c r="CL13" s="139">
        <v>42.135079227745322</v>
      </c>
      <c r="CM13" s="140">
        <v>152160.18000000002</v>
      </c>
      <c r="CN13" s="125">
        <v>516.95000000000005</v>
      </c>
      <c r="CO13" s="125">
        <v>516.95000000000005</v>
      </c>
      <c r="CP13" s="125">
        <v>0</v>
      </c>
      <c r="CQ13" s="125">
        <v>2015.52</v>
      </c>
      <c r="CR13" s="125">
        <v>1092.5999999999999</v>
      </c>
      <c r="CS13" s="125">
        <v>4021.6299999999997</v>
      </c>
      <c r="CT13" s="125">
        <v>0</v>
      </c>
      <c r="CU13" s="141">
        <v>0</v>
      </c>
      <c r="CV13" s="142">
        <v>-127650.4541356111</v>
      </c>
      <c r="CW13" s="143">
        <v>0</v>
      </c>
      <c r="CX13" s="140">
        <v>187524.45</v>
      </c>
      <c r="CY13" s="140">
        <v>44938.68</v>
      </c>
    </row>
    <row r="14" spans="1:103" ht="12" customHeight="1" x14ac:dyDescent="0.25">
      <c r="A14" s="122">
        <v>10</v>
      </c>
      <c r="B14" s="123" t="s">
        <v>55</v>
      </c>
      <c r="C14" s="124">
        <v>2262.31</v>
      </c>
      <c r="D14" s="125">
        <v>2262.31</v>
      </c>
      <c r="E14" s="125">
        <v>0</v>
      </c>
      <c r="F14" s="125">
        <v>484.5</v>
      </c>
      <c r="G14" s="124">
        <v>2262.31</v>
      </c>
      <c r="H14" s="124">
        <v>2262.31</v>
      </c>
      <c r="I14" s="126">
        <v>1</v>
      </c>
      <c r="J14" s="126">
        <v>0</v>
      </c>
      <c r="K14" s="127">
        <v>1.7781632808809831E-3</v>
      </c>
      <c r="L14" s="127">
        <v>2.5308518131238549E-3</v>
      </c>
      <c r="M14" s="127"/>
      <c r="N14" s="127"/>
      <c r="O14" s="128" t="s">
        <v>1489</v>
      </c>
      <c r="P14" s="129" t="s">
        <v>51</v>
      </c>
      <c r="Q14" s="130">
        <v>6.91</v>
      </c>
      <c r="R14" s="130">
        <v>3.15</v>
      </c>
      <c r="S14" s="130">
        <v>1.81</v>
      </c>
      <c r="T14" s="38">
        <v>0.26</v>
      </c>
      <c r="U14" s="131">
        <v>45.06</v>
      </c>
      <c r="V14" s="144">
        <v>1</v>
      </c>
      <c r="W14" s="132">
        <v>2.4096385542168672E-3</v>
      </c>
      <c r="X14" s="133">
        <v>58235.738993360355</v>
      </c>
      <c r="Y14" s="134">
        <v>48525.42</v>
      </c>
      <c r="Z14" s="134">
        <v>7305.1248336301587</v>
      </c>
      <c r="AA14" s="134">
        <v>1423.5705712094848</v>
      </c>
      <c r="AB14" s="134">
        <v>981.623588520716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35">
        <v>241441.29168097052</v>
      </c>
      <c r="AX14" s="136">
        <v>217018.2067942936</v>
      </c>
      <c r="AY14" s="136">
        <v>14490.405587074923</v>
      </c>
      <c r="AZ14" s="126">
        <v>0</v>
      </c>
      <c r="BA14" s="126">
        <v>4378.9046923343185</v>
      </c>
      <c r="BB14" s="126">
        <v>0</v>
      </c>
      <c r="BC14" s="126">
        <v>0</v>
      </c>
      <c r="BD14" s="126">
        <v>971.8716190103338</v>
      </c>
      <c r="BE14" s="126">
        <v>0</v>
      </c>
      <c r="BF14" s="126">
        <v>1273.4549202916428</v>
      </c>
      <c r="BG14" s="126">
        <v>637.58935946624467</v>
      </c>
      <c r="BH14" s="126">
        <v>2670.8587084994383</v>
      </c>
      <c r="BI14" s="137">
        <v>337522.13792426692</v>
      </c>
      <c r="BJ14" s="126">
        <v>2390.5070083313299</v>
      </c>
      <c r="BK14" s="126">
        <v>3401.5506665361681</v>
      </c>
      <c r="BL14" s="126">
        <v>3649.0428183544323</v>
      </c>
      <c r="BM14" s="126">
        <v>3616.2983558762458</v>
      </c>
      <c r="BN14" s="126">
        <v>60826.470178830255</v>
      </c>
      <c r="BO14" s="126">
        <v>34920.910938804409</v>
      </c>
      <c r="BP14" s="126">
        <v>28649.894033913937</v>
      </c>
      <c r="BQ14" s="126">
        <v>155441.71944907564</v>
      </c>
      <c r="BR14" s="126">
        <v>5800.9790249886219</v>
      </c>
      <c r="BS14" s="126">
        <v>6440.873779782115</v>
      </c>
      <c r="BT14" s="126">
        <v>32133.15758395585</v>
      </c>
      <c r="BU14" s="126">
        <v>0</v>
      </c>
      <c r="BV14" s="126">
        <v>250.73408581791659</v>
      </c>
      <c r="BW14" s="126">
        <v>38789.734631304113</v>
      </c>
      <c r="BX14" s="126">
        <v>137615.88576158747</v>
      </c>
      <c r="BY14" s="126">
        <v>121025.51217495839</v>
      </c>
      <c r="BZ14" s="126">
        <v>23040.106600719908</v>
      </c>
      <c r="CA14" s="137">
        <v>78818.981463023301</v>
      </c>
      <c r="CB14" s="126">
        <v>2596.14</v>
      </c>
      <c r="CC14" s="126">
        <v>75655.159167971986</v>
      </c>
      <c r="CD14" s="126">
        <v>0</v>
      </c>
      <c r="CE14" s="126">
        <v>0</v>
      </c>
      <c r="CF14" s="126">
        <v>567.68229505131831</v>
      </c>
      <c r="CG14" s="137">
        <v>34748.735956198099</v>
      </c>
      <c r="CH14" s="126">
        <v>9120</v>
      </c>
      <c r="CI14" s="126">
        <v>25628.735956198103</v>
      </c>
      <c r="CJ14" s="120"/>
      <c r="CK14" s="138">
        <v>1071238.1251863891</v>
      </c>
      <c r="CL14" s="139">
        <v>39.459598271471386</v>
      </c>
      <c r="CM14" s="140">
        <v>1175012.54</v>
      </c>
      <c r="CN14" s="125">
        <v>2796.15</v>
      </c>
      <c r="CO14" s="125">
        <v>2796.15</v>
      </c>
      <c r="CP14" s="125">
        <v>0</v>
      </c>
      <c r="CQ14" s="125">
        <v>10906.099999999999</v>
      </c>
      <c r="CR14" s="125">
        <v>5915.23</v>
      </c>
      <c r="CS14" s="125">
        <v>126655.35</v>
      </c>
      <c r="CT14" s="125">
        <v>0</v>
      </c>
      <c r="CU14" s="141">
        <v>886.55421686746979</v>
      </c>
      <c r="CV14" s="142">
        <v>104660.9690304785</v>
      </c>
      <c r="CW14" s="143">
        <v>9.6873339711984974E-2</v>
      </c>
      <c r="CX14" s="140">
        <v>1170064.27</v>
      </c>
      <c r="CY14" s="140">
        <v>174775.98</v>
      </c>
    </row>
    <row r="15" spans="1:103" ht="12" customHeight="1" x14ac:dyDescent="0.25">
      <c r="A15" s="122">
        <v>11</v>
      </c>
      <c r="B15" s="123" t="s">
        <v>56</v>
      </c>
      <c r="C15" s="124">
        <v>2252</v>
      </c>
      <c r="D15" s="125">
        <v>2252</v>
      </c>
      <c r="E15" s="125">
        <v>0</v>
      </c>
      <c r="F15" s="125">
        <v>485.9</v>
      </c>
      <c r="G15" s="124">
        <v>2252</v>
      </c>
      <c r="H15" s="124">
        <v>2252</v>
      </c>
      <c r="I15" s="126">
        <v>1</v>
      </c>
      <c r="J15" s="126">
        <v>0</v>
      </c>
      <c r="K15" s="127">
        <v>1.7781632808809831E-3</v>
      </c>
      <c r="L15" s="127">
        <v>2.5308518131238549E-3</v>
      </c>
      <c r="M15" s="127"/>
      <c r="N15" s="127"/>
      <c r="O15" s="128" t="s">
        <v>1489</v>
      </c>
      <c r="P15" s="129" t="s">
        <v>51</v>
      </c>
      <c r="Q15" s="130">
        <v>6.91</v>
      </c>
      <c r="R15" s="130">
        <v>3.15</v>
      </c>
      <c r="S15" s="130">
        <v>1.81</v>
      </c>
      <c r="T15" s="38">
        <v>0.26</v>
      </c>
      <c r="U15" s="131">
        <v>45.06</v>
      </c>
      <c r="V15" s="144">
        <v>1</v>
      </c>
      <c r="W15" s="132">
        <v>2.4096385542168672E-3</v>
      </c>
      <c r="X15" s="133">
        <v>28964.316265475347</v>
      </c>
      <c r="Y15" s="134">
        <v>19298.25</v>
      </c>
      <c r="Z15" s="134">
        <v>7271.8332701243944</v>
      </c>
      <c r="AA15" s="134">
        <v>1417.0829490051142</v>
      </c>
      <c r="AB15" s="134">
        <v>977.15004634583784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35">
        <v>240340.97398921705</v>
      </c>
      <c r="AX15" s="136">
        <v>216029.19215348436</v>
      </c>
      <c r="AY15" s="136">
        <v>14424.368624146438</v>
      </c>
      <c r="AZ15" s="126">
        <v>0</v>
      </c>
      <c r="BA15" s="126">
        <v>4358.9487590723138</v>
      </c>
      <c r="BB15" s="126">
        <v>0</v>
      </c>
      <c r="BC15" s="126">
        <v>0</v>
      </c>
      <c r="BD15" s="126">
        <v>967.44251937677495</v>
      </c>
      <c r="BE15" s="126">
        <v>0</v>
      </c>
      <c r="BF15" s="126">
        <v>1267.6514184602374</v>
      </c>
      <c r="BG15" s="126">
        <v>634.68368062643185</v>
      </c>
      <c r="BH15" s="126">
        <v>2658.686834050477</v>
      </c>
      <c r="BI15" s="137">
        <v>335983.95206910151</v>
      </c>
      <c r="BJ15" s="126">
        <v>2379.612777542492</v>
      </c>
      <c r="BK15" s="126">
        <v>3386.048817818712</v>
      </c>
      <c r="BL15" s="126">
        <v>3632.4130764281563</v>
      </c>
      <c r="BM15" s="126">
        <v>3599.8178399217195</v>
      </c>
      <c r="BN15" s="126">
        <v>60549.266388216354</v>
      </c>
      <c r="BO15" s="126">
        <v>34761.766262885074</v>
      </c>
      <c r="BP15" s="126">
        <v>28519.328193030215</v>
      </c>
      <c r="BQ15" s="126">
        <v>154733.32664370417</v>
      </c>
      <c r="BR15" s="126">
        <v>5774.5422883134397</v>
      </c>
      <c r="BS15" s="126">
        <v>6411.5208579148411</v>
      </c>
      <c r="BT15" s="126">
        <v>31986.717505146764</v>
      </c>
      <c r="BU15" s="126">
        <v>0</v>
      </c>
      <c r="BV15" s="126">
        <v>249.59141817962532</v>
      </c>
      <c r="BW15" s="126">
        <v>38612.958608544744</v>
      </c>
      <c r="BX15" s="126">
        <v>136988.73042823267</v>
      </c>
      <c r="BY15" s="126">
        <v>120473.96396515345</v>
      </c>
      <c r="BZ15" s="126">
        <v>22935.106181213552</v>
      </c>
      <c r="CA15" s="137">
        <v>78816.394370864407</v>
      </c>
      <c r="CB15" s="126">
        <v>2596.14</v>
      </c>
      <c r="CC15" s="126">
        <v>75655.159167971986</v>
      </c>
      <c r="CD15" s="126">
        <v>0</v>
      </c>
      <c r="CE15" s="126">
        <v>0</v>
      </c>
      <c r="CF15" s="126">
        <v>565.09520289242801</v>
      </c>
      <c r="CG15" s="137">
        <v>34631.938405151428</v>
      </c>
      <c r="CH15" s="126">
        <v>9120</v>
      </c>
      <c r="CI15" s="126">
        <v>25511.938405151428</v>
      </c>
      <c r="CJ15" s="120"/>
      <c r="CK15" s="138">
        <v>1037748.3342829542</v>
      </c>
      <c r="CL15" s="139">
        <v>38.400989279268586</v>
      </c>
      <c r="CM15" s="140">
        <v>1167436.8</v>
      </c>
      <c r="CN15" s="125">
        <v>2798.52</v>
      </c>
      <c r="CO15" s="125">
        <v>2798.52</v>
      </c>
      <c r="CP15" s="125">
        <v>0</v>
      </c>
      <c r="CQ15" s="125">
        <v>10916.64</v>
      </c>
      <c r="CR15" s="125">
        <v>5919.72</v>
      </c>
      <c r="CS15" s="125">
        <v>126749.40000000001</v>
      </c>
      <c r="CT15" s="125">
        <v>0</v>
      </c>
      <c r="CU15" s="141">
        <v>886.55421686746979</v>
      </c>
      <c r="CV15" s="142">
        <v>130575.01993391337</v>
      </c>
      <c r="CW15" s="143">
        <v>0.12497101795557763</v>
      </c>
      <c r="CX15" s="140">
        <v>1138280.8400000001</v>
      </c>
      <c r="CY15" s="140">
        <v>223395.49000000002</v>
      </c>
    </row>
    <row r="16" spans="1:103" ht="12" customHeight="1" x14ac:dyDescent="0.25">
      <c r="A16" s="122">
        <v>12</v>
      </c>
      <c r="B16" s="123" t="s">
        <v>57</v>
      </c>
      <c r="C16" s="124">
        <v>2252.2800000000002</v>
      </c>
      <c r="D16" s="125">
        <v>2252.2800000000002</v>
      </c>
      <c r="E16" s="125">
        <v>0</v>
      </c>
      <c r="F16" s="125">
        <v>485.9</v>
      </c>
      <c r="G16" s="124">
        <v>2252.2800000000002</v>
      </c>
      <c r="H16" s="124">
        <v>2252.2800000000002</v>
      </c>
      <c r="I16" s="126">
        <v>1</v>
      </c>
      <c r="J16" s="126">
        <v>0</v>
      </c>
      <c r="K16" s="127">
        <v>1.7781632808809831E-3</v>
      </c>
      <c r="L16" s="127">
        <v>2.5308518131238549E-3</v>
      </c>
      <c r="M16" s="127"/>
      <c r="N16" s="127"/>
      <c r="O16" s="128" t="s">
        <v>1489</v>
      </c>
      <c r="P16" s="129" t="s">
        <v>51</v>
      </c>
      <c r="Q16" s="130">
        <v>6.91</v>
      </c>
      <c r="R16" s="130">
        <v>3.15</v>
      </c>
      <c r="S16" s="130">
        <v>1.81</v>
      </c>
      <c r="T16" s="38">
        <v>0.26</v>
      </c>
      <c r="U16" s="131">
        <v>45.06</v>
      </c>
      <c r="V16" s="144">
        <v>1</v>
      </c>
      <c r="W16" s="132">
        <v>2.4096385542168672E-3</v>
      </c>
      <c r="X16" s="133">
        <v>30713.938085437305</v>
      </c>
      <c r="Y16" s="134">
        <v>21046.67</v>
      </c>
      <c r="Z16" s="134">
        <v>7272.7374056997214</v>
      </c>
      <c r="AA16" s="134">
        <v>1417.2591404907812</v>
      </c>
      <c r="AB16" s="134">
        <v>977.27153924680454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35">
        <v>240370.85652594751</v>
      </c>
      <c r="AX16" s="136">
        <v>216056.05191094574</v>
      </c>
      <c r="AY16" s="136">
        <v>14426.162062518892</v>
      </c>
      <c r="AZ16" s="126">
        <v>0</v>
      </c>
      <c r="BA16" s="126">
        <v>4359.4907242821455</v>
      </c>
      <c r="BB16" s="126">
        <v>0</v>
      </c>
      <c r="BC16" s="126">
        <v>0</v>
      </c>
      <c r="BD16" s="126">
        <v>967.56280530280765</v>
      </c>
      <c r="BE16" s="126">
        <v>0</v>
      </c>
      <c r="BF16" s="126">
        <v>1267.8090305371331</v>
      </c>
      <c r="BG16" s="126">
        <v>634.76259333983126</v>
      </c>
      <c r="BH16" s="126">
        <v>2659.0173990209632</v>
      </c>
      <c r="BI16" s="137">
        <v>336025.72627273359</v>
      </c>
      <c r="BJ16" s="126">
        <v>2379.9086441400555</v>
      </c>
      <c r="BK16" s="126">
        <v>3386.4698185598268</v>
      </c>
      <c r="BL16" s="126">
        <v>3632.8647086046217</v>
      </c>
      <c r="BM16" s="126">
        <v>3600.2654194044812</v>
      </c>
      <c r="BN16" s="126">
        <v>60556.794716186472</v>
      </c>
      <c r="BO16" s="126">
        <v>34766.08832973837</v>
      </c>
      <c r="BP16" s="126">
        <v>28522.874113054218</v>
      </c>
      <c r="BQ16" s="126">
        <v>154752.56524559594</v>
      </c>
      <c r="BR16" s="126">
        <v>5775.2602598235326</v>
      </c>
      <c r="BS16" s="126">
        <v>6412.3180274708875</v>
      </c>
      <c r="BT16" s="126">
        <v>31990.694539294829</v>
      </c>
      <c r="BU16" s="126">
        <v>0</v>
      </c>
      <c r="BV16" s="126">
        <v>249.62245086039368</v>
      </c>
      <c r="BW16" s="126">
        <v>38617.759509259842</v>
      </c>
      <c r="BX16" s="126">
        <v>137005.76277482233</v>
      </c>
      <c r="BY16" s="126">
        <v>120488.9429660017</v>
      </c>
      <c r="BZ16" s="126">
        <v>22937.957792994523</v>
      </c>
      <c r="CA16" s="137">
        <v>78816.464631369206</v>
      </c>
      <c r="CB16" s="126">
        <v>2596.14</v>
      </c>
      <c r="CC16" s="126">
        <v>75655.159167971986</v>
      </c>
      <c r="CD16" s="126">
        <v>0</v>
      </c>
      <c r="CE16" s="126">
        <v>0</v>
      </c>
      <c r="CF16" s="126">
        <v>565.16546339722822</v>
      </c>
      <c r="CG16" s="137">
        <v>34635.110404597901</v>
      </c>
      <c r="CH16" s="126">
        <v>9120</v>
      </c>
      <c r="CI16" s="126">
        <v>25515.110404597897</v>
      </c>
      <c r="CJ16" s="120"/>
      <c r="CK16" s="138">
        <v>1039612.518963164</v>
      </c>
      <c r="CL16" s="139">
        <v>38.465189310504762</v>
      </c>
      <c r="CM16" s="140">
        <v>1170197.3099999998</v>
      </c>
      <c r="CN16" s="125">
        <v>2799.0400000000004</v>
      </c>
      <c r="CO16" s="125">
        <v>2799.0400000000004</v>
      </c>
      <c r="CP16" s="125">
        <v>0</v>
      </c>
      <c r="CQ16" s="125">
        <v>10919.8</v>
      </c>
      <c r="CR16" s="125">
        <v>5920.87</v>
      </c>
      <c r="CS16" s="125">
        <v>126783.19</v>
      </c>
      <c r="CT16" s="125">
        <v>0</v>
      </c>
      <c r="CU16" s="141">
        <v>886.55421686746979</v>
      </c>
      <c r="CV16" s="142">
        <v>131471.34525370342</v>
      </c>
      <c r="CW16" s="143">
        <v>0.12560909825044431</v>
      </c>
      <c r="CX16" s="140">
        <v>1110027.8</v>
      </c>
      <c r="CY16" s="140">
        <v>746017.65999999992</v>
      </c>
    </row>
    <row r="17" spans="1:103" ht="12" customHeight="1" x14ac:dyDescent="0.25">
      <c r="A17" s="122">
        <v>13</v>
      </c>
      <c r="B17" s="123" t="s">
        <v>58</v>
      </c>
      <c r="C17" s="124">
        <v>546.05999999999995</v>
      </c>
      <c r="D17" s="125">
        <v>546.05999999999995</v>
      </c>
      <c r="E17" s="125">
        <v>0</v>
      </c>
      <c r="F17" s="125">
        <v>89.7</v>
      </c>
      <c r="G17" s="124">
        <v>546.05999999999995</v>
      </c>
      <c r="H17" s="124"/>
      <c r="I17" s="126">
        <v>0</v>
      </c>
      <c r="J17" s="126">
        <v>0</v>
      </c>
      <c r="K17" s="127">
        <v>0</v>
      </c>
      <c r="L17" s="127">
        <v>0</v>
      </c>
      <c r="M17" s="127"/>
      <c r="N17" s="127"/>
      <c r="O17" s="128" t="s">
        <v>1488</v>
      </c>
      <c r="P17" s="129" t="s">
        <v>51</v>
      </c>
      <c r="Q17" s="130">
        <v>6.92</v>
      </c>
      <c r="R17" s="130">
        <v>3.15</v>
      </c>
      <c r="S17" s="130">
        <v>0</v>
      </c>
      <c r="T17" s="38">
        <v>0.26</v>
      </c>
      <c r="U17" s="131">
        <v>31</v>
      </c>
      <c r="V17" s="131"/>
      <c r="W17" s="132">
        <v>0</v>
      </c>
      <c r="X17" s="133">
        <v>30318.886458670277</v>
      </c>
      <c r="Y17" s="134">
        <v>27975.08</v>
      </c>
      <c r="Z17" s="134">
        <v>1763.2581152238572</v>
      </c>
      <c r="AA17" s="134">
        <v>343.61115236844256</v>
      </c>
      <c r="AB17" s="134">
        <v>236.93719107797875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35">
        <v>69506.202929361432</v>
      </c>
      <c r="AX17" s="136">
        <v>52382.282711958993</v>
      </c>
      <c r="AY17" s="136">
        <v>3497.5891345032874</v>
      </c>
      <c r="AZ17" s="126">
        <v>0</v>
      </c>
      <c r="BA17" s="126">
        <v>0</v>
      </c>
      <c r="BB17" s="126">
        <v>0</v>
      </c>
      <c r="BC17" s="145">
        <v>12285.801198822895</v>
      </c>
      <c r="BD17" s="126">
        <v>234.58333131921921</v>
      </c>
      <c r="BE17" s="126">
        <v>0</v>
      </c>
      <c r="BF17" s="126">
        <v>307.37732396287623</v>
      </c>
      <c r="BG17" s="126">
        <v>153.89670099594551</v>
      </c>
      <c r="BH17" s="126">
        <v>644.67252779822536</v>
      </c>
      <c r="BI17" s="137">
        <v>81468.648697537137</v>
      </c>
      <c r="BJ17" s="126">
        <v>577.00326523306092</v>
      </c>
      <c r="BK17" s="126">
        <v>821.04165961726721</v>
      </c>
      <c r="BL17" s="126">
        <v>880.77952243088748</v>
      </c>
      <c r="BM17" s="126">
        <v>872.87590127338103</v>
      </c>
      <c r="BN17" s="126">
        <v>14681.852754862086</v>
      </c>
      <c r="BO17" s="126">
        <v>8428.9565210972578</v>
      </c>
      <c r="BP17" s="126">
        <v>6915.303886805541</v>
      </c>
      <c r="BQ17" s="126">
        <v>37519.396246474731</v>
      </c>
      <c r="BR17" s="126">
        <v>1400.1982957177781</v>
      </c>
      <c r="BS17" s="126">
        <v>1554.6514563379119</v>
      </c>
      <c r="BT17" s="126">
        <v>7756.0688103287921</v>
      </c>
      <c r="BU17" s="126">
        <v>0</v>
      </c>
      <c r="BV17" s="126">
        <v>60.520377358421932</v>
      </c>
      <c r="BW17" s="126">
        <v>9362.7851588729754</v>
      </c>
      <c r="BX17" s="126">
        <v>33216.725638383978</v>
      </c>
      <c r="BY17" s="126">
        <v>29212.261439969669</v>
      </c>
      <c r="BZ17" s="126">
        <v>0</v>
      </c>
      <c r="CA17" s="137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37">
        <v>7536.078634776638</v>
      </c>
      <c r="CH17" s="126">
        <v>1350</v>
      </c>
      <c r="CI17" s="126">
        <v>6186.078634776638</v>
      </c>
      <c r="CJ17" s="120"/>
      <c r="CK17" s="138">
        <v>260621.58895757212</v>
      </c>
      <c r="CL17" s="139">
        <v>39.773039128418752</v>
      </c>
      <c r="CM17" s="140">
        <v>194746.74</v>
      </c>
      <c r="CN17" s="125">
        <v>559.91999999999996</v>
      </c>
      <c r="CO17" s="125">
        <v>559.91999999999996</v>
      </c>
      <c r="CP17" s="125">
        <v>0</v>
      </c>
      <c r="CQ17" s="125">
        <v>2183.3999999999996</v>
      </c>
      <c r="CR17" s="125">
        <v>1184.04</v>
      </c>
      <c r="CS17" s="125">
        <v>4947.96</v>
      </c>
      <c r="CT17" s="125">
        <v>0</v>
      </c>
      <c r="CU17" s="141">
        <v>0</v>
      </c>
      <c r="CV17" s="142">
        <v>-65874.848957572132</v>
      </c>
      <c r="CW17" s="143">
        <v>0</v>
      </c>
      <c r="CX17" s="140">
        <v>196842.45</v>
      </c>
      <c r="CY17" s="140">
        <v>13151.359999999999</v>
      </c>
    </row>
    <row r="18" spans="1:103" ht="12" customHeight="1" x14ac:dyDescent="0.25">
      <c r="A18" s="122">
        <v>14</v>
      </c>
      <c r="B18" s="123" t="s">
        <v>59</v>
      </c>
      <c r="C18" s="124">
        <v>560.67999999999995</v>
      </c>
      <c r="D18" s="125">
        <v>560.67999999999995</v>
      </c>
      <c r="E18" s="125">
        <v>0</v>
      </c>
      <c r="F18" s="125">
        <v>100</v>
      </c>
      <c r="G18" s="124">
        <v>560.67999999999995</v>
      </c>
      <c r="H18" s="124"/>
      <c r="I18" s="126">
        <v>0</v>
      </c>
      <c r="J18" s="126">
        <v>0</v>
      </c>
      <c r="K18" s="127">
        <v>0</v>
      </c>
      <c r="L18" s="127">
        <v>0</v>
      </c>
      <c r="M18" s="127"/>
      <c r="N18" s="127"/>
      <c r="O18" s="128" t="s">
        <v>1488</v>
      </c>
      <c r="P18" s="129" t="s">
        <v>51</v>
      </c>
      <c r="Q18" s="130">
        <v>6.92</v>
      </c>
      <c r="R18" s="130">
        <v>3.15</v>
      </c>
      <c r="S18" s="130">
        <v>0</v>
      </c>
      <c r="T18" s="38">
        <v>0.26</v>
      </c>
      <c r="U18" s="131">
        <v>31</v>
      </c>
      <c r="V18" s="131"/>
      <c r="W18" s="132">
        <v>0</v>
      </c>
      <c r="X18" s="133">
        <v>189012.72862954118</v>
      </c>
      <c r="Y18" s="134">
        <v>34661.47</v>
      </c>
      <c r="Z18" s="134">
        <v>1810.4669084783948</v>
      </c>
      <c r="AA18" s="134">
        <v>352.81086494146865</v>
      </c>
      <c r="AB18" s="134">
        <v>243.28085612130744</v>
      </c>
      <c r="AC18" s="126">
        <v>7807.05</v>
      </c>
      <c r="AD18" s="126">
        <v>0</v>
      </c>
      <c r="AE18" s="126">
        <v>4606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139531.65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35">
        <v>67750.148575823841</v>
      </c>
      <c r="AX18" s="136">
        <v>53784.745762262697</v>
      </c>
      <c r="AY18" s="136">
        <v>3591.2322380934388</v>
      </c>
      <c r="AZ18" s="126">
        <v>0</v>
      </c>
      <c r="BA18" s="126">
        <v>0</v>
      </c>
      <c r="BB18" s="126">
        <v>0</v>
      </c>
      <c r="BC18" s="145">
        <v>8997.7498608871228</v>
      </c>
      <c r="BD18" s="126">
        <v>240.86397502849471</v>
      </c>
      <c r="BE18" s="126">
        <v>0</v>
      </c>
      <c r="BF18" s="126">
        <v>315.60692597792445</v>
      </c>
      <c r="BG18" s="126">
        <v>158.01707195987024</v>
      </c>
      <c r="BH18" s="126">
        <v>661.93274161430793</v>
      </c>
      <c r="BI18" s="137">
        <v>83649.858901467058</v>
      </c>
      <c r="BJ18" s="126">
        <v>592.45172829152943</v>
      </c>
      <c r="BK18" s="126">
        <v>843.02391259973149</v>
      </c>
      <c r="BL18" s="126">
        <v>904.36117393061204</v>
      </c>
      <c r="BM18" s="126">
        <v>896.24594426612327</v>
      </c>
      <c r="BN18" s="126">
        <v>15074.939022444556</v>
      </c>
      <c r="BO18" s="126">
        <v>8654.630154651155</v>
      </c>
      <c r="BP18" s="126">
        <v>7100.4515680586937</v>
      </c>
      <c r="BQ18" s="126">
        <v>38523.926102394333</v>
      </c>
      <c r="BR18" s="126">
        <v>1437.6866652804524</v>
      </c>
      <c r="BS18" s="126">
        <v>1596.2750953000411</v>
      </c>
      <c r="BT18" s="126">
        <v>7963.7268076312994</v>
      </c>
      <c r="BU18" s="126">
        <v>0</v>
      </c>
      <c r="BV18" s="126">
        <v>62.1407266185401</v>
      </c>
      <c r="BW18" s="126">
        <v>9613.4607604968314</v>
      </c>
      <c r="BX18" s="126">
        <v>34106.057449601016</v>
      </c>
      <c r="BY18" s="126">
        <v>29994.37926997435</v>
      </c>
      <c r="BZ18" s="126">
        <v>0</v>
      </c>
      <c r="CA18" s="137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37">
        <v>7701.7023201599923</v>
      </c>
      <c r="CH18" s="126">
        <v>1350</v>
      </c>
      <c r="CI18" s="126">
        <v>6351.7023201599923</v>
      </c>
      <c r="CJ18" s="120"/>
      <c r="CK18" s="138">
        <v>421828.33590706426</v>
      </c>
      <c r="CL18" s="139">
        <v>62.695943007756107</v>
      </c>
      <c r="CM18" s="140">
        <v>199960.91999999998</v>
      </c>
      <c r="CN18" s="125">
        <v>624.24</v>
      </c>
      <c r="CO18" s="125">
        <v>624.24</v>
      </c>
      <c r="CP18" s="125">
        <v>0</v>
      </c>
      <c r="CQ18" s="125">
        <v>2434.44</v>
      </c>
      <c r="CR18" s="125">
        <v>1319.8799999999999</v>
      </c>
      <c r="CS18" s="125">
        <v>5515.68</v>
      </c>
      <c r="CT18" s="125">
        <v>0</v>
      </c>
      <c r="CU18" s="141">
        <v>0</v>
      </c>
      <c r="CV18" s="142">
        <v>-221867.41590706428</v>
      </c>
      <c r="CW18" s="143">
        <v>0</v>
      </c>
      <c r="CX18" s="140">
        <v>250620.47</v>
      </c>
      <c r="CY18" s="140">
        <v>48340.7</v>
      </c>
    </row>
    <row r="19" spans="1:103" ht="12" customHeight="1" x14ac:dyDescent="0.25">
      <c r="A19" s="122">
        <v>15</v>
      </c>
      <c r="B19" s="123" t="s">
        <v>60</v>
      </c>
      <c r="C19" s="124">
        <v>642.20000000000005</v>
      </c>
      <c r="D19" s="125">
        <v>642.20000000000005</v>
      </c>
      <c r="E19" s="125">
        <v>0</v>
      </c>
      <c r="F19" s="125">
        <v>65.400000000000006</v>
      </c>
      <c r="G19" s="124">
        <v>642.20000000000005</v>
      </c>
      <c r="H19" s="124"/>
      <c r="I19" s="126">
        <v>0</v>
      </c>
      <c r="J19" s="126">
        <v>0</v>
      </c>
      <c r="K19" s="127">
        <v>0</v>
      </c>
      <c r="L19" s="127">
        <v>0</v>
      </c>
      <c r="M19" s="127"/>
      <c r="N19" s="127"/>
      <c r="O19" s="128" t="s">
        <v>1488</v>
      </c>
      <c r="P19" s="129" t="s">
        <v>51</v>
      </c>
      <c r="Q19" s="130">
        <v>6.92</v>
      </c>
      <c r="R19" s="130">
        <v>3.15</v>
      </c>
      <c r="S19" s="130">
        <v>0</v>
      </c>
      <c r="T19" s="38">
        <v>0.26</v>
      </c>
      <c r="U19" s="131">
        <v>31</v>
      </c>
      <c r="V19" s="131"/>
      <c r="W19" s="132">
        <v>0</v>
      </c>
      <c r="X19" s="133">
        <v>30642.949927037418</v>
      </c>
      <c r="Y19" s="134">
        <v>18559.919999999998</v>
      </c>
      <c r="Z19" s="134">
        <v>2073.6995231233955</v>
      </c>
      <c r="AA19" s="134">
        <v>404.10775748271953</v>
      </c>
      <c r="AB19" s="134">
        <v>278.65264643130422</v>
      </c>
      <c r="AC19" s="126">
        <v>0</v>
      </c>
      <c r="AD19" s="126">
        <v>9326.57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35">
        <v>83333.604207808516</v>
      </c>
      <c r="AX19" s="136">
        <v>61604.772291726316</v>
      </c>
      <c r="AY19" s="136">
        <v>4113.379009958634</v>
      </c>
      <c r="AZ19" s="126">
        <v>0</v>
      </c>
      <c r="BA19" s="126">
        <v>0</v>
      </c>
      <c r="BB19" s="126">
        <v>0</v>
      </c>
      <c r="BC19" s="145">
        <v>16038.907670153581</v>
      </c>
      <c r="BD19" s="126">
        <v>275.88436320771086</v>
      </c>
      <c r="BE19" s="126">
        <v>0</v>
      </c>
      <c r="BF19" s="126">
        <v>361.49455636552602</v>
      </c>
      <c r="BG19" s="126">
        <v>180.9919448038608</v>
      </c>
      <c r="BH19" s="126">
        <v>758.1743715929025</v>
      </c>
      <c r="BI19" s="137">
        <v>95812.119901765982</v>
      </c>
      <c r="BJ19" s="126">
        <v>678.59117483916009</v>
      </c>
      <c r="BK19" s="126">
        <v>965.59527122698807</v>
      </c>
      <c r="BL19" s="126">
        <v>1035.8506561643703</v>
      </c>
      <c r="BM19" s="126">
        <v>1026.5555136757232</v>
      </c>
      <c r="BN19" s="126">
        <v>17266.757937172533</v>
      </c>
      <c r="BO19" s="126">
        <v>9912.9690470802834</v>
      </c>
      <c r="BP19" s="126">
        <v>8132.8208550461832</v>
      </c>
      <c r="BQ19" s="126">
        <v>44125.107624594501</v>
      </c>
      <c r="BR19" s="126">
        <v>1646.7189420758841</v>
      </c>
      <c r="BS19" s="126">
        <v>1828.3653174746496</v>
      </c>
      <c r="BT19" s="126">
        <v>9121.6118924534876</v>
      </c>
      <c r="BU19" s="126">
        <v>0</v>
      </c>
      <c r="BV19" s="126">
        <v>71.175669962235958</v>
      </c>
      <c r="BW19" s="126">
        <v>11011.208711548596</v>
      </c>
      <c r="BX19" s="126">
        <v>39064.903499560845</v>
      </c>
      <c r="BY19" s="126">
        <v>34355.408374077066</v>
      </c>
      <c r="BZ19" s="126">
        <v>0</v>
      </c>
      <c r="CA19" s="137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37">
        <v>9975.2073018597912</v>
      </c>
      <c r="CH19" s="126">
        <v>2700</v>
      </c>
      <c r="CI19" s="126">
        <v>7275.2073018597912</v>
      </c>
      <c r="CJ19" s="120"/>
      <c r="CK19" s="138">
        <v>304195.40192365821</v>
      </c>
      <c r="CL19" s="139">
        <v>39.473087553677225</v>
      </c>
      <c r="CM19" s="140">
        <v>229034.28</v>
      </c>
      <c r="CN19" s="125">
        <v>408</v>
      </c>
      <c r="CO19" s="125">
        <v>408</v>
      </c>
      <c r="CP19" s="125">
        <v>0</v>
      </c>
      <c r="CQ19" s="125">
        <v>1592.04</v>
      </c>
      <c r="CR19" s="125">
        <v>863.04</v>
      </c>
      <c r="CS19" s="125">
        <v>3607.2000000000003</v>
      </c>
      <c r="CT19" s="125">
        <v>0</v>
      </c>
      <c r="CU19" s="141">
        <v>0</v>
      </c>
      <c r="CV19" s="142">
        <v>-75161.121923658211</v>
      </c>
      <c r="CW19" s="143">
        <v>0</v>
      </c>
      <c r="CX19" s="140">
        <v>196019.69999999998</v>
      </c>
      <c r="CY19" s="140">
        <v>267358.07</v>
      </c>
    </row>
    <row r="20" spans="1:103" ht="12" customHeight="1" x14ac:dyDescent="0.25">
      <c r="A20" s="122">
        <v>16</v>
      </c>
      <c r="B20" s="123" t="s">
        <v>61</v>
      </c>
      <c r="C20" s="124">
        <v>646.79999999999995</v>
      </c>
      <c r="D20" s="125">
        <v>646.79999999999995</v>
      </c>
      <c r="E20" s="125">
        <v>0</v>
      </c>
      <c r="F20" s="125">
        <v>65.400000000000006</v>
      </c>
      <c r="G20" s="124">
        <v>646.79999999999995</v>
      </c>
      <c r="H20" s="124"/>
      <c r="I20" s="126">
        <v>0</v>
      </c>
      <c r="J20" s="126">
        <v>0</v>
      </c>
      <c r="K20" s="127">
        <v>0</v>
      </c>
      <c r="L20" s="127">
        <v>0</v>
      </c>
      <c r="M20" s="127"/>
      <c r="N20" s="127"/>
      <c r="O20" s="128" t="s">
        <v>1488</v>
      </c>
      <c r="P20" s="129" t="s">
        <v>51</v>
      </c>
      <c r="Q20" s="130">
        <v>6.92</v>
      </c>
      <c r="R20" s="130">
        <v>3.15</v>
      </c>
      <c r="S20" s="130">
        <v>0</v>
      </c>
      <c r="T20" s="38">
        <v>0.26</v>
      </c>
      <c r="U20" s="131">
        <v>31</v>
      </c>
      <c r="V20" s="131"/>
      <c r="W20" s="132">
        <v>0</v>
      </c>
      <c r="X20" s="133">
        <v>28345.384112126754</v>
      </c>
      <c r="Y20" s="134">
        <v>9561.58</v>
      </c>
      <c r="Z20" s="134">
        <v>2088.5531790037558</v>
      </c>
      <c r="AA20" s="134">
        <v>407.00233189010117</v>
      </c>
      <c r="AB20" s="134">
        <v>280.64860123289873</v>
      </c>
      <c r="AC20" s="126">
        <v>0</v>
      </c>
      <c r="AD20" s="126">
        <v>0</v>
      </c>
      <c r="AE20" s="126">
        <v>16007.6</v>
      </c>
      <c r="AF20" s="126">
        <v>0</v>
      </c>
      <c r="AG20" s="126">
        <v>0</v>
      </c>
      <c r="AH20" s="126">
        <v>0</v>
      </c>
      <c r="AI20" s="126">
        <v>0</v>
      </c>
      <c r="AJ20" s="126">
        <v>0</v>
      </c>
      <c r="AK20" s="126">
        <v>0</v>
      </c>
      <c r="AL20" s="126">
        <v>0</v>
      </c>
      <c r="AM20" s="126">
        <v>0</v>
      </c>
      <c r="AN20" s="126">
        <v>0</v>
      </c>
      <c r="AO20" s="126">
        <v>0</v>
      </c>
      <c r="AP20" s="126">
        <v>0</v>
      </c>
      <c r="AQ20" s="126">
        <v>0</v>
      </c>
      <c r="AR20" s="126">
        <v>0</v>
      </c>
      <c r="AS20" s="126">
        <v>0</v>
      </c>
      <c r="AT20" s="126">
        <v>0</v>
      </c>
      <c r="AU20" s="126">
        <v>0</v>
      </c>
      <c r="AV20" s="126">
        <v>0</v>
      </c>
      <c r="AW20" s="135">
        <v>70627.952326394516</v>
      </c>
      <c r="AX20" s="136">
        <v>62046.03973573431</v>
      </c>
      <c r="AY20" s="136">
        <v>4142.8426403631947</v>
      </c>
      <c r="AZ20" s="126">
        <v>0</v>
      </c>
      <c r="BA20" s="126">
        <v>0</v>
      </c>
      <c r="BB20" s="126">
        <v>0</v>
      </c>
      <c r="BC20" s="145">
        <v>2851.2321137579211</v>
      </c>
      <c r="BD20" s="126">
        <v>277.86048913538986</v>
      </c>
      <c r="BE20" s="126">
        <v>0</v>
      </c>
      <c r="BF20" s="126">
        <v>364.08389762881063</v>
      </c>
      <c r="BG20" s="126">
        <v>182.28836795256487</v>
      </c>
      <c r="BH20" s="126">
        <v>763.60508182231285</v>
      </c>
      <c r="BI20" s="137">
        <v>96498.410390006611</v>
      </c>
      <c r="BJ20" s="126">
        <v>683.4518403705523</v>
      </c>
      <c r="BK20" s="126">
        <v>972.51171197386452</v>
      </c>
      <c r="BL20" s="126">
        <v>1043.2703276348718</v>
      </c>
      <c r="BM20" s="126">
        <v>1033.9086051782274</v>
      </c>
      <c r="BN20" s="126">
        <v>17390.437610967288</v>
      </c>
      <c r="BO20" s="126">
        <v>9983.974431098608</v>
      </c>
      <c r="BP20" s="126">
        <v>8191.0752554404717</v>
      </c>
      <c r="BQ20" s="126">
        <v>44441.17036995908</v>
      </c>
      <c r="BR20" s="126">
        <v>1658.5141883131139</v>
      </c>
      <c r="BS20" s="126">
        <v>1841.4616744668378</v>
      </c>
      <c r="BT20" s="126">
        <v>9186.9488820288298</v>
      </c>
      <c r="BU20" s="126">
        <v>0</v>
      </c>
      <c r="BV20" s="126">
        <v>71.685492574858628</v>
      </c>
      <c r="BW20" s="126">
        <v>11090.080651868002</v>
      </c>
      <c r="BX20" s="126">
        <v>39344.720622105182</v>
      </c>
      <c r="BY20" s="126">
        <v>34601.491959441053</v>
      </c>
      <c r="BZ20" s="126">
        <v>0</v>
      </c>
      <c r="CA20" s="137">
        <v>0</v>
      </c>
      <c r="CB20" s="126">
        <v>0</v>
      </c>
      <c r="CC20" s="126">
        <v>0</v>
      </c>
      <c r="CD20" s="126">
        <v>0</v>
      </c>
      <c r="CE20" s="126">
        <v>0</v>
      </c>
      <c r="CF20" s="126">
        <v>0</v>
      </c>
      <c r="CG20" s="137">
        <v>10027.318721337451</v>
      </c>
      <c r="CH20" s="126">
        <v>2700</v>
      </c>
      <c r="CI20" s="126">
        <v>7327.3187213374522</v>
      </c>
      <c r="CJ20" s="120"/>
      <c r="CK20" s="138">
        <v>290535.3587832796</v>
      </c>
      <c r="CL20" s="139">
        <v>37.432405532787008</v>
      </c>
      <c r="CM20" s="140">
        <v>230674.86</v>
      </c>
      <c r="CN20" s="125">
        <v>408.12</v>
      </c>
      <c r="CO20" s="125">
        <v>408.12</v>
      </c>
      <c r="CP20" s="125">
        <v>0</v>
      </c>
      <c r="CQ20" s="125">
        <v>1592.04</v>
      </c>
      <c r="CR20" s="125">
        <v>863.52</v>
      </c>
      <c r="CS20" s="125">
        <v>3607.2000000000003</v>
      </c>
      <c r="CT20" s="125">
        <v>0</v>
      </c>
      <c r="CU20" s="141">
        <v>0</v>
      </c>
      <c r="CV20" s="142">
        <v>-59860.498783279618</v>
      </c>
      <c r="CW20" s="143">
        <v>0</v>
      </c>
      <c r="CX20" s="140">
        <v>244481.82</v>
      </c>
      <c r="CY20" s="140">
        <v>50674.32</v>
      </c>
    </row>
    <row r="21" spans="1:103" ht="12" customHeight="1" x14ac:dyDescent="0.25">
      <c r="A21" s="122">
        <v>17</v>
      </c>
      <c r="B21" s="123" t="s">
        <v>62</v>
      </c>
      <c r="C21" s="124">
        <v>633</v>
      </c>
      <c r="D21" s="125">
        <v>633</v>
      </c>
      <c r="E21" s="125">
        <v>0</v>
      </c>
      <c r="F21" s="125">
        <v>65.400000000000006</v>
      </c>
      <c r="G21" s="124">
        <v>633</v>
      </c>
      <c r="H21" s="124"/>
      <c r="I21" s="126">
        <v>0</v>
      </c>
      <c r="J21" s="126">
        <v>0</v>
      </c>
      <c r="K21" s="127">
        <v>0</v>
      </c>
      <c r="L21" s="127">
        <v>0</v>
      </c>
      <c r="M21" s="127"/>
      <c r="N21" s="127"/>
      <c r="O21" s="128" t="s">
        <v>1488</v>
      </c>
      <c r="P21" s="129" t="s">
        <v>51</v>
      </c>
      <c r="Q21" s="130">
        <v>6.92</v>
      </c>
      <c r="R21" s="130">
        <v>3.15</v>
      </c>
      <c r="S21" s="130">
        <v>0</v>
      </c>
      <c r="T21" s="38">
        <v>0.26</v>
      </c>
      <c r="U21" s="131">
        <v>31</v>
      </c>
      <c r="V21" s="131"/>
      <c r="W21" s="132">
        <v>0</v>
      </c>
      <c r="X21" s="133">
        <v>15836.161556858746</v>
      </c>
      <c r="Y21" s="134">
        <v>13119.19</v>
      </c>
      <c r="Z21" s="134">
        <v>2043.992211362674</v>
      </c>
      <c r="AA21" s="134">
        <v>398.3186086679562</v>
      </c>
      <c r="AB21" s="134">
        <v>274.66073682811515</v>
      </c>
      <c r="AC21" s="126">
        <v>0</v>
      </c>
      <c r="AD21" s="126">
        <v>0</v>
      </c>
      <c r="AE21" s="126">
        <v>0</v>
      </c>
      <c r="AF21" s="126">
        <v>0</v>
      </c>
      <c r="AG21" s="126">
        <v>0</v>
      </c>
      <c r="AH21" s="126">
        <v>0</v>
      </c>
      <c r="AI21" s="126">
        <v>0</v>
      </c>
      <c r="AJ21" s="126">
        <v>0</v>
      </c>
      <c r="AK21" s="126">
        <v>0</v>
      </c>
      <c r="AL21" s="126">
        <v>0</v>
      </c>
      <c r="AM21" s="126">
        <v>0</v>
      </c>
      <c r="AN21" s="126">
        <v>0</v>
      </c>
      <c r="AO21" s="126">
        <v>0</v>
      </c>
      <c r="AP21" s="126">
        <v>0</v>
      </c>
      <c r="AQ21" s="126">
        <v>0</v>
      </c>
      <c r="AR21" s="126">
        <v>0</v>
      </c>
      <c r="AS21" s="126">
        <v>0</v>
      </c>
      <c r="AT21" s="126">
        <v>0</v>
      </c>
      <c r="AU21" s="126">
        <v>0</v>
      </c>
      <c r="AV21" s="126">
        <v>0</v>
      </c>
      <c r="AW21" s="135">
        <v>82045.243970636555</v>
      </c>
      <c r="AX21" s="136">
        <v>60722.2374037103</v>
      </c>
      <c r="AY21" s="136">
        <v>4054.4517491495094</v>
      </c>
      <c r="AZ21" s="126">
        <v>0</v>
      </c>
      <c r="BA21" s="126">
        <v>0</v>
      </c>
      <c r="BB21" s="126">
        <v>0</v>
      </c>
      <c r="BC21" s="145">
        <v>15714.594782944903</v>
      </c>
      <c r="BD21" s="126">
        <v>271.93211135235282</v>
      </c>
      <c r="BE21" s="126">
        <v>0</v>
      </c>
      <c r="BF21" s="126">
        <v>356.31587383895663</v>
      </c>
      <c r="BG21" s="126">
        <v>178.39909850645262</v>
      </c>
      <c r="BH21" s="126">
        <v>747.31295113408169</v>
      </c>
      <c r="BI21" s="137">
        <v>94439.538925284767</v>
      </c>
      <c r="BJ21" s="126">
        <v>668.86984377637543</v>
      </c>
      <c r="BK21" s="126">
        <v>951.76238973323484</v>
      </c>
      <c r="BL21" s="126">
        <v>1021.0113132233671</v>
      </c>
      <c r="BM21" s="126">
        <v>1011.8493306707143</v>
      </c>
      <c r="BN21" s="126">
        <v>17019.398589583016</v>
      </c>
      <c r="BO21" s="126">
        <v>9770.9582790436289</v>
      </c>
      <c r="BP21" s="126">
        <v>8016.3120542576044</v>
      </c>
      <c r="BQ21" s="126">
        <v>43492.982133865335</v>
      </c>
      <c r="BR21" s="126">
        <v>1623.1284496014241</v>
      </c>
      <c r="BS21" s="126">
        <v>1802.1726034902729</v>
      </c>
      <c r="BT21" s="126">
        <v>8990.9379133027978</v>
      </c>
      <c r="BU21" s="126">
        <v>0</v>
      </c>
      <c r="BV21" s="126">
        <v>70.156024736990602</v>
      </c>
      <c r="BW21" s="126">
        <v>10853.464830909779</v>
      </c>
      <c r="BX21" s="126">
        <v>38505.269254472143</v>
      </c>
      <c r="BY21" s="126">
        <v>33863.241203349084</v>
      </c>
      <c r="BZ21" s="126">
        <v>0</v>
      </c>
      <c r="CA21" s="137">
        <v>0</v>
      </c>
      <c r="CB21" s="126">
        <v>0</v>
      </c>
      <c r="CC21" s="126">
        <v>0</v>
      </c>
      <c r="CD21" s="126">
        <v>0</v>
      </c>
      <c r="CE21" s="126">
        <v>0</v>
      </c>
      <c r="CF21" s="126">
        <v>0</v>
      </c>
      <c r="CG21" s="137">
        <v>9870.9844629044637</v>
      </c>
      <c r="CH21" s="126">
        <v>2700</v>
      </c>
      <c r="CI21" s="126">
        <v>7170.9844629044646</v>
      </c>
      <c r="CJ21" s="120"/>
      <c r="CK21" s="138">
        <v>285413.90420441551</v>
      </c>
      <c r="CL21" s="139">
        <v>37.574236993735589</v>
      </c>
      <c r="CM21" s="140">
        <v>225753.18</v>
      </c>
      <c r="CN21" s="125">
        <v>408</v>
      </c>
      <c r="CO21" s="125">
        <v>408</v>
      </c>
      <c r="CP21" s="125">
        <v>0</v>
      </c>
      <c r="CQ21" s="125">
        <v>1592.04</v>
      </c>
      <c r="CR21" s="125">
        <v>863.16000000000008</v>
      </c>
      <c r="CS21" s="125">
        <v>3607.56</v>
      </c>
      <c r="CT21" s="125">
        <v>0</v>
      </c>
      <c r="CU21" s="141">
        <v>0</v>
      </c>
      <c r="CV21" s="142">
        <v>-59660.724204415514</v>
      </c>
      <c r="CW21" s="143">
        <v>0</v>
      </c>
      <c r="CX21" s="140">
        <v>219984.76</v>
      </c>
      <c r="CY21" s="140">
        <v>81364.479999999996</v>
      </c>
    </row>
    <row r="22" spans="1:103" ht="12" customHeight="1" x14ac:dyDescent="0.25">
      <c r="A22" s="122">
        <v>18</v>
      </c>
      <c r="B22" s="123" t="s">
        <v>63</v>
      </c>
      <c r="C22" s="124">
        <v>604.79999999999995</v>
      </c>
      <c r="D22" s="125">
        <v>604.79999999999995</v>
      </c>
      <c r="E22" s="125">
        <v>0</v>
      </c>
      <c r="F22" s="125">
        <v>67.400000000000006</v>
      </c>
      <c r="G22" s="124">
        <v>604.79999999999995</v>
      </c>
      <c r="H22" s="124"/>
      <c r="I22" s="126">
        <v>0</v>
      </c>
      <c r="J22" s="126">
        <v>0</v>
      </c>
      <c r="K22" s="127">
        <v>0</v>
      </c>
      <c r="L22" s="127">
        <v>0</v>
      </c>
      <c r="M22" s="127"/>
      <c r="N22" s="127"/>
      <c r="O22" s="128" t="s">
        <v>1488</v>
      </c>
      <c r="P22" s="129" t="s">
        <v>51</v>
      </c>
      <c r="Q22" s="130">
        <v>6.92</v>
      </c>
      <c r="R22" s="130">
        <v>3.15</v>
      </c>
      <c r="S22" s="130">
        <v>0</v>
      </c>
      <c r="T22" s="38">
        <v>0.26</v>
      </c>
      <c r="U22" s="131">
        <v>31</v>
      </c>
      <c r="V22" s="131"/>
      <c r="W22" s="132">
        <v>0</v>
      </c>
      <c r="X22" s="133">
        <v>16752.70111783281</v>
      </c>
      <c r="Y22" s="134">
        <v>14156.77</v>
      </c>
      <c r="Z22" s="134">
        <v>1952.9328427048106</v>
      </c>
      <c r="AA22" s="134">
        <v>380.5736090400946</v>
      </c>
      <c r="AB22" s="134">
        <v>262.42466608790528</v>
      </c>
      <c r="AC22" s="126">
        <v>0</v>
      </c>
      <c r="AD22" s="126">
        <v>0</v>
      </c>
      <c r="AE22" s="126">
        <v>0</v>
      </c>
      <c r="AF22" s="126">
        <v>0</v>
      </c>
      <c r="AG22" s="126">
        <v>0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126">
        <v>0</v>
      </c>
      <c r="AO22" s="126">
        <v>0</v>
      </c>
      <c r="AP22" s="126">
        <v>0</v>
      </c>
      <c r="AQ22" s="126">
        <v>0</v>
      </c>
      <c r="AR22" s="126">
        <v>0</v>
      </c>
      <c r="AS22" s="126">
        <v>0</v>
      </c>
      <c r="AT22" s="126">
        <v>0</v>
      </c>
      <c r="AU22" s="126">
        <v>0</v>
      </c>
      <c r="AV22" s="126">
        <v>0</v>
      </c>
      <c r="AW22" s="135">
        <v>85588.392461044205</v>
      </c>
      <c r="AX22" s="136">
        <v>58017.076116530785</v>
      </c>
      <c r="AY22" s="136">
        <v>3873.826884495455</v>
      </c>
      <c r="AZ22" s="126">
        <v>0</v>
      </c>
      <c r="BA22" s="126">
        <v>0</v>
      </c>
      <c r="BB22" s="126">
        <v>0</v>
      </c>
      <c r="BC22" s="145">
        <v>22212.75797650091</v>
      </c>
      <c r="BD22" s="126">
        <v>259.81760023049441</v>
      </c>
      <c r="BE22" s="126">
        <v>0</v>
      </c>
      <c r="BF22" s="126">
        <v>340.4420860944723</v>
      </c>
      <c r="BG22" s="126">
        <v>170.45146094265806</v>
      </c>
      <c r="BH22" s="126">
        <v>714.02033624943533</v>
      </c>
      <c r="BI22" s="137">
        <v>90232.279845200988</v>
      </c>
      <c r="BJ22" s="126">
        <v>639.07185073610083</v>
      </c>
      <c r="BK22" s="126">
        <v>909.36160080673039</v>
      </c>
      <c r="BL22" s="126">
        <v>975.52550116507484</v>
      </c>
      <c r="BM22" s="126">
        <v>966.77168276405678</v>
      </c>
      <c r="BN22" s="126">
        <v>16261.188415449931</v>
      </c>
      <c r="BO22" s="126">
        <v>9335.6644031051928</v>
      </c>
      <c r="BP22" s="126">
        <v>7659.1872518404407</v>
      </c>
      <c r="BQ22" s="126">
        <v>41555.380086195502</v>
      </c>
      <c r="BR22" s="126">
        <v>1550.8184617992754</v>
      </c>
      <c r="BS22" s="126">
        <v>1721.8862410599004</v>
      </c>
      <c r="BT22" s="126">
        <v>8590.393759819166</v>
      </c>
      <c r="BU22" s="126">
        <v>0</v>
      </c>
      <c r="BV22" s="126">
        <v>67.030590459608078</v>
      </c>
      <c r="BW22" s="126">
        <v>10369.945544603846</v>
      </c>
      <c r="BX22" s="126">
        <v>36789.868633656799</v>
      </c>
      <c r="BY22" s="126">
        <v>32354.641832204619</v>
      </c>
      <c r="BZ22" s="126">
        <v>0</v>
      </c>
      <c r="CA22" s="137">
        <v>0</v>
      </c>
      <c r="CB22" s="126">
        <v>0</v>
      </c>
      <c r="CC22" s="126">
        <v>0</v>
      </c>
      <c r="CD22" s="126">
        <v>0</v>
      </c>
      <c r="CE22" s="126">
        <v>0</v>
      </c>
      <c r="CF22" s="126">
        <v>0</v>
      </c>
      <c r="CG22" s="137">
        <v>9551.518804367488</v>
      </c>
      <c r="CH22" s="126">
        <v>2700</v>
      </c>
      <c r="CI22" s="126">
        <v>6851.518804367488</v>
      </c>
      <c r="CJ22" s="120"/>
      <c r="CK22" s="138">
        <v>281639.34823891072</v>
      </c>
      <c r="CL22" s="139">
        <v>38.806127127274955</v>
      </c>
      <c r="CM22" s="140">
        <v>215695.68</v>
      </c>
      <c r="CN22" s="125">
        <v>420.59999999999997</v>
      </c>
      <c r="CO22" s="125">
        <v>420.59999999999997</v>
      </c>
      <c r="CP22" s="125">
        <v>0</v>
      </c>
      <c r="CQ22" s="125">
        <v>1640.7599999999998</v>
      </c>
      <c r="CR22" s="125">
        <v>889.56</v>
      </c>
      <c r="CS22" s="125">
        <v>3717.7200000000003</v>
      </c>
      <c r="CT22" s="125">
        <v>0</v>
      </c>
      <c r="CU22" s="141">
        <v>0</v>
      </c>
      <c r="CV22" s="142">
        <v>-65943.66823891073</v>
      </c>
      <c r="CW22" s="143">
        <v>0</v>
      </c>
      <c r="CX22" s="140">
        <v>228900.78000000003</v>
      </c>
      <c r="CY22" s="140">
        <v>77856.69</v>
      </c>
    </row>
    <row r="23" spans="1:103" ht="12" customHeight="1" x14ac:dyDescent="0.25">
      <c r="A23" s="122">
        <v>19</v>
      </c>
      <c r="B23" s="123" t="s">
        <v>64</v>
      </c>
      <c r="C23" s="124">
        <v>1021.96</v>
      </c>
      <c r="D23" s="125">
        <v>1021.96</v>
      </c>
      <c r="E23" s="125">
        <v>0</v>
      </c>
      <c r="F23" s="125">
        <v>90.7</v>
      </c>
      <c r="G23" s="124">
        <v>1021.96</v>
      </c>
      <c r="H23" s="124"/>
      <c r="I23" s="126">
        <v>0</v>
      </c>
      <c r="J23" s="126">
        <v>0</v>
      </c>
      <c r="K23" s="127">
        <v>0</v>
      </c>
      <c r="L23" s="127">
        <v>0</v>
      </c>
      <c r="M23" s="127"/>
      <c r="N23" s="127"/>
      <c r="O23" s="128" t="s">
        <v>1488</v>
      </c>
      <c r="P23" s="129" t="s">
        <v>51</v>
      </c>
      <c r="Q23" s="130">
        <v>6.92</v>
      </c>
      <c r="R23" s="130">
        <v>3.15</v>
      </c>
      <c r="S23" s="130">
        <v>0</v>
      </c>
      <c r="T23" s="38">
        <v>0.26</v>
      </c>
      <c r="U23" s="131">
        <v>31</v>
      </c>
      <c r="V23" s="131"/>
      <c r="W23" s="132">
        <v>0</v>
      </c>
      <c r="X23" s="133">
        <v>39324.951172586676</v>
      </c>
      <c r="Y23" s="134">
        <v>25611.91</v>
      </c>
      <c r="Z23" s="134">
        <v>3299.9656877159532</v>
      </c>
      <c r="AA23" s="134">
        <v>643.07375247125515</v>
      </c>
      <c r="AB23" s="134">
        <v>443.43173239946378</v>
      </c>
      <c r="AC23" s="126">
        <v>0</v>
      </c>
      <c r="AD23" s="126">
        <v>9326.57</v>
      </c>
      <c r="AE23" s="126">
        <v>0</v>
      </c>
      <c r="AF23" s="126">
        <v>0</v>
      </c>
      <c r="AG23" s="126">
        <v>0</v>
      </c>
      <c r="AH23" s="126">
        <v>0</v>
      </c>
      <c r="AI23" s="126">
        <v>0</v>
      </c>
      <c r="AJ23" s="126">
        <v>0</v>
      </c>
      <c r="AK23" s="126">
        <v>0</v>
      </c>
      <c r="AL23" s="126">
        <v>0</v>
      </c>
      <c r="AM23" s="126">
        <v>0</v>
      </c>
      <c r="AN23" s="126">
        <v>0</v>
      </c>
      <c r="AO23" s="126">
        <v>0</v>
      </c>
      <c r="AP23" s="126">
        <v>0</v>
      </c>
      <c r="AQ23" s="126">
        <v>0</v>
      </c>
      <c r="AR23" s="126">
        <v>0</v>
      </c>
      <c r="AS23" s="126">
        <v>0</v>
      </c>
      <c r="AT23" s="126">
        <v>0</v>
      </c>
      <c r="AU23" s="126">
        <v>0</v>
      </c>
      <c r="AV23" s="126">
        <v>0</v>
      </c>
      <c r="AW23" s="135">
        <v>123128.84693698537</v>
      </c>
      <c r="AX23" s="136">
        <v>98034.277625743736</v>
      </c>
      <c r="AY23" s="136">
        <v>6545.7938539665602</v>
      </c>
      <c r="AZ23" s="126">
        <v>0</v>
      </c>
      <c r="BA23" s="126">
        <v>0</v>
      </c>
      <c r="BB23" s="126">
        <v>0</v>
      </c>
      <c r="BC23" s="145">
        <v>16039.95239693266</v>
      </c>
      <c r="BD23" s="126">
        <v>439.02644631540363</v>
      </c>
      <c r="BE23" s="126">
        <v>0</v>
      </c>
      <c r="BF23" s="126">
        <v>575.26156465791485</v>
      </c>
      <c r="BG23" s="126">
        <v>288.02013066296104</v>
      </c>
      <c r="BH23" s="126">
        <v>1206.5149187061393</v>
      </c>
      <c r="BI23" s="137">
        <v>152469.87551356084</v>
      </c>
      <c r="BJ23" s="126">
        <v>1079.8708144481907</v>
      </c>
      <c r="BK23" s="126">
        <v>1536.5925621039125</v>
      </c>
      <c r="BL23" s="126">
        <v>1648.3929252160385</v>
      </c>
      <c r="BM23" s="126">
        <v>1633.6011721520429</v>
      </c>
      <c r="BN23" s="126">
        <v>27477.32161549804</v>
      </c>
      <c r="BO23" s="126">
        <v>15774.926576384561</v>
      </c>
      <c r="BP23" s="126">
        <v>12942.101527597317</v>
      </c>
      <c r="BQ23" s="126">
        <v>70218.148533214888</v>
      </c>
      <c r="BR23" s="126">
        <v>2620.4934444781538</v>
      </c>
      <c r="BS23" s="126">
        <v>2909.5549982036637</v>
      </c>
      <c r="BT23" s="126">
        <v>14515.606492699728</v>
      </c>
      <c r="BU23" s="126">
        <v>0</v>
      </c>
      <c r="BV23" s="126">
        <v>113.26485156432057</v>
      </c>
      <c r="BW23" s="126">
        <v>17522.601767135166</v>
      </c>
      <c r="BX23" s="126">
        <v>62165.631859874178</v>
      </c>
      <c r="BY23" s="126">
        <v>54671.213238822485</v>
      </c>
      <c r="BZ23" s="126">
        <v>0</v>
      </c>
      <c r="CA23" s="137">
        <v>0</v>
      </c>
      <c r="CB23" s="126">
        <v>0</v>
      </c>
      <c r="CC23" s="126">
        <v>0</v>
      </c>
      <c r="CD23" s="126">
        <v>0</v>
      </c>
      <c r="CE23" s="126">
        <v>0</v>
      </c>
      <c r="CF23" s="126">
        <v>0</v>
      </c>
      <c r="CG23" s="137">
        <v>13597.340836824402</v>
      </c>
      <c r="CH23" s="126">
        <v>2019.9959999999999</v>
      </c>
      <c r="CI23" s="126">
        <v>11577.344836824403</v>
      </c>
      <c r="CJ23" s="120"/>
      <c r="CK23" s="138">
        <v>462880.46132578905</v>
      </c>
      <c r="CL23" s="139">
        <v>37.744502502200753</v>
      </c>
      <c r="CM23" s="140">
        <v>364471.86</v>
      </c>
      <c r="CN23" s="125">
        <v>566.16</v>
      </c>
      <c r="CO23" s="125">
        <v>566.16</v>
      </c>
      <c r="CP23" s="125">
        <v>0</v>
      </c>
      <c r="CQ23" s="125">
        <v>2208</v>
      </c>
      <c r="CR23" s="125">
        <v>1197.1200000000001</v>
      </c>
      <c r="CS23" s="125">
        <v>5002.5599999999995</v>
      </c>
      <c r="CT23" s="125">
        <v>0</v>
      </c>
      <c r="CU23" s="141">
        <v>0</v>
      </c>
      <c r="CV23" s="142">
        <v>-98408.601325789059</v>
      </c>
      <c r="CW23" s="143">
        <v>0</v>
      </c>
      <c r="CX23" s="140">
        <v>368822.51</v>
      </c>
      <c r="CY23" s="140">
        <v>110562.93</v>
      </c>
    </row>
    <row r="24" spans="1:103" ht="12" customHeight="1" x14ac:dyDescent="0.25">
      <c r="A24" s="122">
        <v>20</v>
      </c>
      <c r="B24" s="123" t="s">
        <v>65</v>
      </c>
      <c r="C24" s="124">
        <v>385.6</v>
      </c>
      <c r="D24" s="125">
        <v>385.6</v>
      </c>
      <c r="E24" s="125">
        <v>0</v>
      </c>
      <c r="F24" s="125">
        <v>54.9</v>
      </c>
      <c r="G24" s="124">
        <v>385.6</v>
      </c>
      <c r="H24" s="124"/>
      <c r="I24" s="126">
        <v>0</v>
      </c>
      <c r="J24" s="126">
        <v>0</v>
      </c>
      <c r="K24" s="127">
        <v>0</v>
      </c>
      <c r="L24" s="127">
        <v>0</v>
      </c>
      <c r="M24" s="127"/>
      <c r="N24" s="127"/>
      <c r="O24" s="128" t="s">
        <v>1488</v>
      </c>
      <c r="P24" s="129" t="s">
        <v>66</v>
      </c>
      <c r="Q24" s="130">
        <v>4.93</v>
      </c>
      <c r="R24" s="130">
        <v>2.42</v>
      </c>
      <c r="S24" s="130">
        <v>0</v>
      </c>
      <c r="T24" s="38">
        <v>0.26</v>
      </c>
      <c r="U24" s="131">
        <v>25.05</v>
      </c>
      <c r="V24" s="131"/>
      <c r="W24" s="132">
        <v>0</v>
      </c>
      <c r="X24" s="133">
        <v>409.95392673504762</v>
      </c>
      <c r="Y24" s="134">
        <v>0</v>
      </c>
      <c r="Z24" s="134">
        <v>0</v>
      </c>
      <c r="AA24" s="134">
        <v>242.64084597529845</v>
      </c>
      <c r="AB24" s="134">
        <v>167.31308075974917</v>
      </c>
      <c r="AC24" s="126">
        <v>0</v>
      </c>
      <c r="AD24" s="126">
        <v>0</v>
      </c>
      <c r="AE24" s="126">
        <v>0</v>
      </c>
      <c r="AF24" s="126">
        <v>0</v>
      </c>
      <c r="AG24" s="126">
        <v>0</v>
      </c>
      <c r="AH24" s="126">
        <v>0</v>
      </c>
      <c r="AI24" s="126">
        <v>0</v>
      </c>
      <c r="AJ24" s="126">
        <v>0</v>
      </c>
      <c r="AK24" s="126">
        <v>0</v>
      </c>
      <c r="AL24" s="126">
        <v>0</v>
      </c>
      <c r="AM24" s="126">
        <v>0</v>
      </c>
      <c r="AN24" s="126">
        <v>0</v>
      </c>
      <c r="AO24" s="126">
        <v>0</v>
      </c>
      <c r="AP24" s="126">
        <v>0</v>
      </c>
      <c r="AQ24" s="126">
        <v>0</v>
      </c>
      <c r="AR24" s="126">
        <v>0</v>
      </c>
      <c r="AS24" s="126">
        <v>0</v>
      </c>
      <c r="AT24" s="126">
        <v>0</v>
      </c>
      <c r="AU24" s="126">
        <v>0</v>
      </c>
      <c r="AV24" s="126">
        <v>0</v>
      </c>
      <c r="AW24" s="135">
        <v>262854.99430161755</v>
      </c>
      <c r="AX24" s="136">
        <v>259438.55894000112</v>
      </c>
      <c r="AY24" s="136">
        <v>2469.8208443476319</v>
      </c>
      <c r="AZ24" s="126">
        <v>0</v>
      </c>
      <c r="BA24" s="126">
        <v>0</v>
      </c>
      <c r="BB24" s="126">
        <v>0</v>
      </c>
      <c r="BC24" s="126">
        <v>0</v>
      </c>
      <c r="BD24" s="126">
        <v>165.65090385065915</v>
      </c>
      <c r="BE24" s="126">
        <v>0</v>
      </c>
      <c r="BF24" s="126">
        <v>217.0543458962112</v>
      </c>
      <c r="BG24" s="126">
        <v>108.67407959571585</v>
      </c>
      <c r="BH24" s="126">
        <v>455.23518792622735</v>
      </c>
      <c r="BI24" s="137">
        <v>57529.046144691638</v>
      </c>
      <c r="BJ24" s="126">
        <v>407.45057150105907</v>
      </c>
      <c r="BK24" s="126">
        <v>579.77816347730709</v>
      </c>
      <c r="BL24" s="126">
        <v>621.96202587508753</v>
      </c>
      <c r="BM24" s="126">
        <v>616.380887688195</v>
      </c>
      <c r="BN24" s="126">
        <v>10367.583090273634</v>
      </c>
      <c r="BO24" s="126">
        <v>5952.103495101459</v>
      </c>
      <c r="BP24" s="126">
        <v>4883.2384330517098</v>
      </c>
      <c r="BQ24" s="126">
        <v>26494.30317664846</v>
      </c>
      <c r="BR24" s="126">
        <v>988.74933675562272</v>
      </c>
      <c r="BS24" s="126">
        <v>1097.8163600408361</v>
      </c>
      <c r="BT24" s="126">
        <v>5476.9441696201566</v>
      </c>
      <c r="BU24" s="126">
        <v>0</v>
      </c>
      <c r="BV24" s="126">
        <v>42.736434658109914</v>
      </c>
      <c r="BW24" s="126">
        <v>6611.5261276442516</v>
      </c>
      <c r="BX24" s="126">
        <v>23455.97444632616</v>
      </c>
      <c r="BY24" s="126">
        <v>20628.224025294483</v>
      </c>
      <c r="BZ24" s="126">
        <v>0</v>
      </c>
      <c r="CA24" s="137">
        <v>0</v>
      </c>
      <c r="CB24" s="126">
        <v>0</v>
      </c>
      <c r="CC24" s="126">
        <v>0</v>
      </c>
      <c r="CD24" s="126">
        <v>0</v>
      </c>
      <c r="CE24" s="126">
        <v>0</v>
      </c>
      <c r="CF24" s="126">
        <v>0</v>
      </c>
      <c r="CG24" s="137">
        <v>5718.2963805623413</v>
      </c>
      <c r="CH24" s="126">
        <v>1350</v>
      </c>
      <c r="CI24" s="126">
        <v>4368.2963805623413</v>
      </c>
      <c r="CJ24" s="120"/>
      <c r="CK24" s="138">
        <v>377208.01535287144</v>
      </c>
      <c r="CL24" s="139">
        <v>81.519712861529953</v>
      </c>
      <c r="CM24" s="140">
        <v>0</v>
      </c>
      <c r="CN24" s="125">
        <v>0</v>
      </c>
      <c r="CO24" s="125">
        <v>0</v>
      </c>
      <c r="CP24" s="125">
        <v>0</v>
      </c>
      <c r="CQ24" s="125">
        <v>0</v>
      </c>
      <c r="CR24" s="125">
        <v>0</v>
      </c>
      <c r="CS24" s="125">
        <v>0</v>
      </c>
      <c r="CT24" s="125">
        <v>0</v>
      </c>
      <c r="CU24" s="141">
        <v>0</v>
      </c>
      <c r="CV24" s="142">
        <v>-377208.01535287144</v>
      </c>
      <c r="CW24" s="143">
        <v>0</v>
      </c>
      <c r="CX24" s="140">
        <v>0</v>
      </c>
      <c r="CY24" s="140">
        <v>0</v>
      </c>
    </row>
    <row r="25" spans="1:103" ht="12" customHeight="1" x14ac:dyDescent="0.25">
      <c r="A25" s="122">
        <v>21</v>
      </c>
      <c r="B25" s="123" t="s">
        <v>68</v>
      </c>
      <c r="C25" s="124">
        <v>385.6</v>
      </c>
      <c r="D25" s="125">
        <v>385.6</v>
      </c>
      <c r="E25" s="125">
        <v>0</v>
      </c>
      <c r="F25" s="125">
        <v>54.9</v>
      </c>
      <c r="G25" s="124">
        <v>385.6</v>
      </c>
      <c r="H25" s="124"/>
      <c r="I25" s="126">
        <v>0</v>
      </c>
      <c r="J25" s="126">
        <v>0</v>
      </c>
      <c r="K25" s="127">
        <v>0</v>
      </c>
      <c r="L25" s="127">
        <v>0</v>
      </c>
      <c r="M25" s="127"/>
      <c r="N25" s="127"/>
      <c r="O25" s="128" t="s">
        <v>1488</v>
      </c>
      <c r="P25" s="129" t="s">
        <v>66</v>
      </c>
      <c r="Q25" s="130">
        <v>4.93</v>
      </c>
      <c r="R25" s="130">
        <v>2.42</v>
      </c>
      <c r="S25" s="130">
        <v>0</v>
      </c>
      <c r="T25" s="38">
        <v>0.26</v>
      </c>
      <c r="U25" s="131">
        <v>25.05</v>
      </c>
      <c r="V25" s="131"/>
      <c r="W25" s="132">
        <v>0</v>
      </c>
      <c r="X25" s="133">
        <v>409.95392673504762</v>
      </c>
      <c r="Y25" s="134">
        <v>0</v>
      </c>
      <c r="Z25" s="134">
        <v>0</v>
      </c>
      <c r="AA25" s="134">
        <v>242.64084597529845</v>
      </c>
      <c r="AB25" s="134">
        <v>167.31308075974917</v>
      </c>
      <c r="AC25" s="126">
        <v>0</v>
      </c>
      <c r="AD25" s="126">
        <v>0</v>
      </c>
      <c r="AE25" s="126">
        <v>0</v>
      </c>
      <c r="AF25" s="126">
        <v>0</v>
      </c>
      <c r="AG25" s="126">
        <v>0</v>
      </c>
      <c r="AH25" s="126">
        <v>0</v>
      </c>
      <c r="AI25" s="126">
        <v>0</v>
      </c>
      <c r="AJ25" s="126">
        <v>0</v>
      </c>
      <c r="AK25" s="126">
        <v>0</v>
      </c>
      <c r="AL25" s="126">
        <v>0</v>
      </c>
      <c r="AM25" s="126">
        <v>0</v>
      </c>
      <c r="AN25" s="126">
        <v>0</v>
      </c>
      <c r="AO25" s="126">
        <v>0</v>
      </c>
      <c r="AP25" s="126">
        <v>0</v>
      </c>
      <c r="AQ25" s="126">
        <v>0</v>
      </c>
      <c r="AR25" s="126">
        <v>0</v>
      </c>
      <c r="AS25" s="126">
        <v>0</v>
      </c>
      <c r="AT25" s="126">
        <v>0</v>
      </c>
      <c r="AU25" s="126">
        <v>0</v>
      </c>
      <c r="AV25" s="126">
        <v>0</v>
      </c>
      <c r="AW25" s="135">
        <v>262854.99430161755</v>
      </c>
      <c r="AX25" s="136">
        <v>259438.55894000112</v>
      </c>
      <c r="AY25" s="136">
        <v>2469.8208443476319</v>
      </c>
      <c r="AZ25" s="126">
        <v>0</v>
      </c>
      <c r="BA25" s="126">
        <v>0</v>
      </c>
      <c r="BB25" s="126">
        <v>0</v>
      </c>
      <c r="BC25" s="126">
        <v>0</v>
      </c>
      <c r="BD25" s="126">
        <v>165.65090385065915</v>
      </c>
      <c r="BE25" s="126">
        <v>0</v>
      </c>
      <c r="BF25" s="126">
        <v>217.0543458962112</v>
      </c>
      <c r="BG25" s="126">
        <v>108.67407959571585</v>
      </c>
      <c r="BH25" s="126">
        <v>455.23518792622735</v>
      </c>
      <c r="BI25" s="137">
        <v>57529.046144691638</v>
      </c>
      <c r="BJ25" s="126">
        <v>407.45057150105907</v>
      </c>
      <c r="BK25" s="126">
        <v>579.77816347730709</v>
      </c>
      <c r="BL25" s="126">
        <v>621.96202587508753</v>
      </c>
      <c r="BM25" s="126">
        <v>616.380887688195</v>
      </c>
      <c r="BN25" s="126">
        <v>10367.583090273634</v>
      </c>
      <c r="BO25" s="126">
        <v>5952.103495101459</v>
      </c>
      <c r="BP25" s="126">
        <v>4883.2384330517098</v>
      </c>
      <c r="BQ25" s="126">
        <v>26494.30317664846</v>
      </c>
      <c r="BR25" s="126">
        <v>988.74933675562272</v>
      </c>
      <c r="BS25" s="126">
        <v>1097.8163600408361</v>
      </c>
      <c r="BT25" s="126">
        <v>5476.9441696201566</v>
      </c>
      <c r="BU25" s="126">
        <v>0</v>
      </c>
      <c r="BV25" s="126">
        <v>42.736434658109914</v>
      </c>
      <c r="BW25" s="126">
        <v>6611.5261276442516</v>
      </c>
      <c r="BX25" s="126">
        <v>23455.97444632616</v>
      </c>
      <c r="BY25" s="126">
        <v>20628.224025294483</v>
      </c>
      <c r="BZ25" s="126">
        <v>0</v>
      </c>
      <c r="CA25" s="137">
        <v>0</v>
      </c>
      <c r="CB25" s="126">
        <v>0</v>
      </c>
      <c r="CC25" s="126">
        <v>0</v>
      </c>
      <c r="CD25" s="126">
        <v>0</v>
      </c>
      <c r="CE25" s="126">
        <v>0</v>
      </c>
      <c r="CF25" s="126">
        <v>0</v>
      </c>
      <c r="CG25" s="137">
        <v>5718.2963805623413</v>
      </c>
      <c r="CH25" s="126">
        <v>1350</v>
      </c>
      <c r="CI25" s="126">
        <v>4368.2963805623413</v>
      </c>
      <c r="CJ25" s="120"/>
      <c r="CK25" s="138">
        <v>377208.01535287144</v>
      </c>
      <c r="CL25" s="139">
        <v>81.519712861529953</v>
      </c>
      <c r="CM25" s="140">
        <v>0</v>
      </c>
      <c r="CN25" s="125">
        <v>0</v>
      </c>
      <c r="CO25" s="125">
        <v>0</v>
      </c>
      <c r="CP25" s="125">
        <v>0</v>
      </c>
      <c r="CQ25" s="125">
        <v>0</v>
      </c>
      <c r="CR25" s="125">
        <v>0</v>
      </c>
      <c r="CS25" s="125">
        <v>0</v>
      </c>
      <c r="CT25" s="125">
        <v>0</v>
      </c>
      <c r="CU25" s="141">
        <v>0</v>
      </c>
      <c r="CV25" s="142">
        <v>-377208.01535287144</v>
      </c>
      <c r="CW25" s="143">
        <v>0</v>
      </c>
      <c r="CX25" s="140">
        <v>0</v>
      </c>
      <c r="CY25" s="140">
        <v>0</v>
      </c>
    </row>
    <row r="26" spans="1:103" ht="12" customHeight="1" x14ac:dyDescent="0.25">
      <c r="A26" s="122">
        <v>22</v>
      </c>
      <c r="B26" s="123" t="s">
        <v>69</v>
      </c>
      <c r="C26" s="124">
        <v>10450.300000000001</v>
      </c>
      <c r="D26" s="125">
        <v>9759.6</v>
      </c>
      <c r="E26" s="125">
        <v>690.7</v>
      </c>
      <c r="F26" s="125">
        <v>2001.5</v>
      </c>
      <c r="G26" s="124">
        <v>10450.300000000001</v>
      </c>
      <c r="H26" s="124">
        <v>10450.300000000001</v>
      </c>
      <c r="I26" s="126">
        <v>5</v>
      </c>
      <c r="J26" s="126">
        <v>0</v>
      </c>
      <c r="K26" s="127">
        <v>8.8908164044049151E-3</v>
      </c>
      <c r="L26" s="127">
        <v>1.2654259065619275E-2</v>
      </c>
      <c r="M26" s="127"/>
      <c r="N26" s="127"/>
      <c r="O26" s="128" t="s">
        <v>1488</v>
      </c>
      <c r="P26" s="129" t="s">
        <v>70</v>
      </c>
      <c r="Q26" s="130">
        <v>6.91</v>
      </c>
      <c r="R26" s="130">
        <v>3.15</v>
      </c>
      <c r="S26" s="130">
        <v>1.81</v>
      </c>
      <c r="T26" s="38">
        <v>0.26</v>
      </c>
      <c r="U26" s="131">
        <v>45.06</v>
      </c>
      <c r="V26" s="144">
        <v>4</v>
      </c>
      <c r="W26" s="132">
        <v>9.638554216867469E-3</v>
      </c>
      <c r="X26" s="133">
        <v>224633.44427303621</v>
      </c>
      <c r="Y26" s="134">
        <v>33816.730000000003</v>
      </c>
      <c r="Z26" s="134">
        <v>27953.958752913615</v>
      </c>
      <c r="AA26" s="134">
        <v>6575.9067237958025</v>
      </c>
      <c r="AB26" s="134">
        <v>4534.4187963267805</v>
      </c>
      <c r="AC26" s="126">
        <v>46549.42</v>
      </c>
      <c r="AD26" s="126">
        <v>26276.98</v>
      </c>
      <c r="AE26" s="126">
        <v>0</v>
      </c>
      <c r="AF26" s="126">
        <v>0</v>
      </c>
      <c r="AG26" s="126">
        <v>0</v>
      </c>
      <c r="AH26" s="126">
        <v>0</v>
      </c>
      <c r="AI26" s="126">
        <v>0</v>
      </c>
      <c r="AJ26" s="126">
        <v>0</v>
      </c>
      <c r="AK26" s="126">
        <v>78926.03</v>
      </c>
      <c r="AL26" s="126">
        <v>0</v>
      </c>
      <c r="AM26" s="126">
        <v>0</v>
      </c>
      <c r="AN26" s="126">
        <v>0</v>
      </c>
      <c r="AO26" s="126">
        <v>0</v>
      </c>
      <c r="AP26" s="126">
        <v>0</v>
      </c>
      <c r="AQ26" s="126">
        <v>0</v>
      </c>
      <c r="AR26" s="126">
        <v>0</v>
      </c>
      <c r="AS26" s="126">
        <v>0</v>
      </c>
      <c r="AT26" s="126">
        <v>0</v>
      </c>
      <c r="AU26" s="126">
        <v>0</v>
      </c>
      <c r="AV26" s="126">
        <v>0</v>
      </c>
      <c r="AW26" s="135">
        <v>662872.41998404975</v>
      </c>
      <c r="AX26" s="136">
        <v>570282.23725712975</v>
      </c>
      <c r="AY26" s="136">
        <v>66935.603655824845</v>
      </c>
      <c r="AZ26" s="126">
        <v>0</v>
      </c>
      <c r="BA26" s="126">
        <v>0</v>
      </c>
      <c r="BB26" s="126">
        <v>0</v>
      </c>
      <c r="BC26" s="126">
        <v>0</v>
      </c>
      <c r="BD26" s="126">
        <v>4489.3714743530691</v>
      </c>
      <c r="BE26" s="126">
        <v>0</v>
      </c>
      <c r="BF26" s="126">
        <v>5882.4767399356224</v>
      </c>
      <c r="BG26" s="126">
        <v>2945.2197458483129</v>
      </c>
      <c r="BH26" s="126">
        <v>12337.511110958128</v>
      </c>
      <c r="BI26" s="137">
        <v>1559117.7150567195</v>
      </c>
      <c r="BJ26" s="126">
        <v>11042.48108754543</v>
      </c>
      <c r="BK26" s="126">
        <v>15712.800160235742</v>
      </c>
      <c r="BL26" s="126">
        <v>16856.041906126626</v>
      </c>
      <c r="BM26" s="126">
        <v>16704.785245352552</v>
      </c>
      <c r="BN26" s="126">
        <v>280976.02066464361</v>
      </c>
      <c r="BO26" s="126">
        <v>161310.34013189518</v>
      </c>
      <c r="BP26" s="126">
        <v>132342.60009574765</v>
      </c>
      <c r="BQ26" s="126">
        <v>718032.71910510736</v>
      </c>
      <c r="BR26" s="126">
        <v>26796.49168541827</v>
      </c>
      <c r="BS26" s="126">
        <v>29752.360755536178</v>
      </c>
      <c r="BT26" s="126">
        <v>148432.85699113467</v>
      </c>
      <c r="BU26" s="126">
        <v>0</v>
      </c>
      <c r="BV26" s="126">
        <v>1158.2172279762606</v>
      </c>
      <c r="BW26" s="126">
        <v>179181.61693910978</v>
      </c>
      <c r="BX26" s="126">
        <v>635689.75559243339</v>
      </c>
      <c r="BY26" s="126">
        <v>559053.75915854494</v>
      </c>
      <c r="BZ26" s="126">
        <v>106429.28069517585</v>
      </c>
      <c r="CA26" s="137">
        <v>393878.79353026266</v>
      </c>
      <c r="CB26" s="126">
        <v>12980.699999999999</v>
      </c>
      <c r="CC26" s="126">
        <v>378275.79583985999</v>
      </c>
      <c r="CD26" s="126">
        <v>0</v>
      </c>
      <c r="CE26" s="126">
        <v>0</v>
      </c>
      <c r="CF26" s="126">
        <v>2622.2976904026382</v>
      </c>
      <c r="CG26" s="137">
        <v>148786.94534074335</v>
      </c>
      <c r="CH26" s="126">
        <v>30399.995999999999</v>
      </c>
      <c r="CI26" s="126">
        <v>118386.94934074335</v>
      </c>
      <c r="CJ26" s="120"/>
      <c r="CK26" s="138">
        <v>4469643.7305700751</v>
      </c>
      <c r="CL26" s="139">
        <v>35.642068733035373</v>
      </c>
      <c r="CM26" s="140">
        <v>5060285.67</v>
      </c>
      <c r="CN26" s="125">
        <v>10770.02</v>
      </c>
      <c r="CO26" s="125">
        <v>10770.02</v>
      </c>
      <c r="CP26" s="125">
        <v>0</v>
      </c>
      <c r="CQ26" s="125">
        <v>42007.4</v>
      </c>
      <c r="CR26" s="125">
        <v>22771.45</v>
      </c>
      <c r="CS26" s="125">
        <v>487624.77</v>
      </c>
      <c r="CT26" s="125">
        <v>444556.771076773</v>
      </c>
      <c r="CU26" s="141">
        <v>3546.2168674698792</v>
      </c>
      <c r="CV26" s="142">
        <v>1038744.9273741683</v>
      </c>
      <c r="CW26" s="143">
        <v>0.13214519434518612</v>
      </c>
      <c r="CX26" s="140">
        <v>4969778.25</v>
      </c>
      <c r="CY26" s="140">
        <v>656674.88</v>
      </c>
    </row>
    <row r="27" spans="1:103" ht="12" customHeight="1" x14ac:dyDescent="0.25">
      <c r="A27" s="122">
        <v>23</v>
      </c>
      <c r="B27" s="123" t="s">
        <v>71</v>
      </c>
      <c r="C27" s="124">
        <v>3844.53</v>
      </c>
      <c r="D27" s="125">
        <v>3633.53</v>
      </c>
      <c r="E27" s="125">
        <v>211</v>
      </c>
      <c r="F27" s="125">
        <v>808.1</v>
      </c>
      <c r="G27" s="124">
        <v>3844.53</v>
      </c>
      <c r="H27" s="124">
        <v>3844.53</v>
      </c>
      <c r="I27" s="126">
        <v>2</v>
      </c>
      <c r="J27" s="126">
        <v>0</v>
      </c>
      <c r="K27" s="127">
        <v>3.5563265617619662E-3</v>
      </c>
      <c r="L27" s="127">
        <v>5.0617036262477098E-3</v>
      </c>
      <c r="M27" s="127"/>
      <c r="N27" s="127"/>
      <c r="O27" s="128" t="s">
        <v>1489</v>
      </c>
      <c r="P27" s="129" t="s">
        <v>70</v>
      </c>
      <c r="Q27" s="130">
        <v>6.91</v>
      </c>
      <c r="R27" s="130">
        <v>3.15</v>
      </c>
      <c r="S27" s="130">
        <v>1.81</v>
      </c>
      <c r="T27" s="38">
        <v>0.26</v>
      </c>
      <c r="U27" s="131">
        <v>45.06</v>
      </c>
      <c r="V27" s="144">
        <v>2</v>
      </c>
      <c r="W27" s="132">
        <v>4.8192771084337345E-3</v>
      </c>
      <c r="X27" s="133">
        <v>33945.544157221884</v>
      </c>
      <c r="Y27" s="134">
        <v>19574.3</v>
      </c>
      <c r="Z27" s="134">
        <v>10283.899318138137</v>
      </c>
      <c r="AA27" s="134">
        <v>2419.1909013937088</v>
      </c>
      <c r="AB27" s="134">
        <v>1668.1539376900373</v>
      </c>
      <c r="AC27" s="126">
        <v>0</v>
      </c>
      <c r="AD27" s="126">
        <v>0</v>
      </c>
      <c r="AE27" s="126">
        <v>0</v>
      </c>
      <c r="AF27" s="126">
        <v>0</v>
      </c>
      <c r="AG27" s="126">
        <v>0</v>
      </c>
      <c r="AH27" s="126">
        <v>0</v>
      </c>
      <c r="AI27" s="126">
        <v>0</v>
      </c>
      <c r="AJ27" s="126">
        <v>0</v>
      </c>
      <c r="AK27" s="126">
        <v>0</v>
      </c>
      <c r="AL27" s="126">
        <v>0</v>
      </c>
      <c r="AM27" s="126">
        <v>0</v>
      </c>
      <c r="AN27" s="126">
        <v>0</v>
      </c>
      <c r="AO27" s="126">
        <v>0</v>
      </c>
      <c r="AP27" s="126">
        <v>0</v>
      </c>
      <c r="AQ27" s="126">
        <v>0</v>
      </c>
      <c r="AR27" s="126">
        <v>0</v>
      </c>
      <c r="AS27" s="126">
        <v>0</v>
      </c>
      <c r="AT27" s="126">
        <v>0</v>
      </c>
      <c r="AU27" s="126">
        <v>0</v>
      </c>
      <c r="AV27" s="126">
        <v>0</v>
      </c>
      <c r="AW27" s="135">
        <v>251303.6106225964</v>
      </c>
      <c r="AX27" s="136">
        <v>209799.44782467041</v>
      </c>
      <c r="AY27" s="136">
        <v>24624.741521576248</v>
      </c>
      <c r="AZ27" s="126">
        <v>0</v>
      </c>
      <c r="BA27" s="126">
        <v>7441.4339576892908</v>
      </c>
      <c r="BB27" s="126">
        <v>0</v>
      </c>
      <c r="BC27" s="126">
        <v>0</v>
      </c>
      <c r="BD27" s="126">
        <v>1651.5816114651832</v>
      </c>
      <c r="BE27" s="126">
        <v>0</v>
      </c>
      <c r="BF27" s="126">
        <v>2164.0869928121392</v>
      </c>
      <c r="BG27" s="126">
        <v>1083.508193018977</v>
      </c>
      <c r="BH27" s="126">
        <v>4538.8105213641566</v>
      </c>
      <c r="BI27" s="137">
        <v>573579.21103384683</v>
      </c>
      <c r="BJ27" s="126">
        <v>4062.385751174706</v>
      </c>
      <c r="BK27" s="126">
        <v>5780.5356401281415</v>
      </c>
      <c r="BL27" s="126">
        <v>6201.1194692363852</v>
      </c>
      <c r="BM27" s="126">
        <v>6145.4741030702708</v>
      </c>
      <c r="BN27" s="126">
        <v>103367.43832481769</v>
      </c>
      <c r="BO27" s="126">
        <v>59343.984569560198</v>
      </c>
      <c r="BP27" s="126">
        <v>48687.128249533947</v>
      </c>
      <c r="BQ27" s="126">
        <v>264154.93618184724</v>
      </c>
      <c r="BR27" s="126">
        <v>9858.0821774820906</v>
      </c>
      <c r="BS27" s="126">
        <v>10945.508118951751</v>
      </c>
      <c r="BT27" s="126">
        <v>54606.525333064783</v>
      </c>
      <c r="BU27" s="126">
        <v>0</v>
      </c>
      <c r="BV27" s="126">
        <v>426.09311497962477</v>
      </c>
      <c r="BW27" s="126">
        <v>65918.595807863472</v>
      </c>
      <c r="BX27" s="126">
        <v>233862.02655117822</v>
      </c>
      <c r="BY27" s="126">
        <v>205668.63618248288</v>
      </c>
      <c r="BZ27" s="126">
        <v>39153.95371530237</v>
      </c>
      <c r="CA27" s="137">
        <v>157467.30768779834</v>
      </c>
      <c r="CB27" s="126">
        <v>5192.28</v>
      </c>
      <c r="CC27" s="126">
        <v>151310.31833594397</v>
      </c>
      <c r="CD27" s="126">
        <v>0</v>
      </c>
      <c r="CE27" s="126">
        <v>0</v>
      </c>
      <c r="CF27" s="126">
        <v>964.70935185436349</v>
      </c>
      <c r="CG27" s="137">
        <v>55043.025114012802</v>
      </c>
      <c r="CH27" s="126">
        <v>11490</v>
      </c>
      <c r="CI27" s="126">
        <v>43553.025114012802</v>
      </c>
      <c r="CJ27" s="120"/>
      <c r="CK27" s="138">
        <v>1615941.9108723032</v>
      </c>
      <c r="CL27" s="139">
        <v>35.026863077157742</v>
      </c>
      <c r="CM27" s="140">
        <v>1881886.23</v>
      </c>
      <c r="CN27" s="125">
        <v>4400.87</v>
      </c>
      <c r="CO27" s="125">
        <v>4400.87</v>
      </c>
      <c r="CP27" s="125">
        <v>0</v>
      </c>
      <c r="CQ27" s="125">
        <v>17159.52</v>
      </c>
      <c r="CR27" s="125">
        <v>9303.74</v>
      </c>
      <c r="CS27" s="125">
        <v>199068.62</v>
      </c>
      <c r="CT27" s="125">
        <v>163546.67742627353</v>
      </c>
      <c r="CU27" s="141">
        <v>1773.1084337349396</v>
      </c>
      <c r="CV27" s="142">
        <v>431264.10498770513</v>
      </c>
      <c r="CW27" s="143">
        <v>0.1645754202786518</v>
      </c>
      <c r="CX27" s="140">
        <v>1900821.49</v>
      </c>
      <c r="CY27" s="140">
        <v>381044.23</v>
      </c>
    </row>
    <row r="28" spans="1:103" ht="12" customHeight="1" x14ac:dyDescent="0.25">
      <c r="A28" s="122">
        <v>24</v>
      </c>
      <c r="B28" s="123" t="s">
        <v>72</v>
      </c>
      <c r="C28" s="124">
        <v>8950.7999999999993</v>
      </c>
      <c r="D28" s="125">
        <v>8950.7999999999993</v>
      </c>
      <c r="E28" s="125">
        <v>0</v>
      </c>
      <c r="F28" s="125">
        <v>1174.4000000000001</v>
      </c>
      <c r="G28" s="124">
        <v>8950.7999999999993</v>
      </c>
      <c r="H28" s="124">
        <v>8950.7999999999993</v>
      </c>
      <c r="I28" s="126">
        <v>4</v>
      </c>
      <c r="J28" s="126">
        <v>0</v>
      </c>
      <c r="K28" s="127">
        <v>7.3645382652189036E-3</v>
      </c>
      <c r="L28" s="127">
        <v>1.0481914243620463E-2</v>
      </c>
      <c r="M28" s="127"/>
      <c r="N28" s="127"/>
      <c r="O28" s="128" t="s">
        <v>1489</v>
      </c>
      <c r="P28" s="129" t="s">
        <v>70</v>
      </c>
      <c r="Q28" s="130">
        <v>6.91</v>
      </c>
      <c r="R28" s="130">
        <v>3.15</v>
      </c>
      <c r="S28" s="130">
        <v>1.81</v>
      </c>
      <c r="T28" s="38">
        <v>0</v>
      </c>
      <c r="U28" s="131">
        <v>44.8</v>
      </c>
      <c r="V28" s="144">
        <v>4</v>
      </c>
      <c r="W28" s="132">
        <v>9.638554216867469E-3</v>
      </c>
      <c r="X28" s="133">
        <v>292770.22076276207</v>
      </c>
      <c r="Y28" s="134">
        <v>63238.95</v>
      </c>
      <c r="Z28" s="134">
        <v>23942.881448913344</v>
      </c>
      <c r="AA28" s="134">
        <v>5632.3383925199714</v>
      </c>
      <c r="AB28" s="134">
        <v>3883.780921328741</v>
      </c>
      <c r="AC28" s="126">
        <v>0</v>
      </c>
      <c r="AD28" s="126">
        <v>0</v>
      </c>
      <c r="AE28" s="126">
        <v>0</v>
      </c>
      <c r="AF28" s="126">
        <v>0</v>
      </c>
      <c r="AG28" s="126">
        <v>0</v>
      </c>
      <c r="AH28" s="126">
        <v>0</v>
      </c>
      <c r="AI28" s="126">
        <v>0</v>
      </c>
      <c r="AJ28" s="126">
        <v>0</v>
      </c>
      <c r="AK28" s="126">
        <v>0</v>
      </c>
      <c r="AL28" s="126">
        <v>0</v>
      </c>
      <c r="AM28" s="126">
        <v>0</v>
      </c>
      <c r="AN28" s="126">
        <v>0</v>
      </c>
      <c r="AO28" s="126">
        <v>0</v>
      </c>
      <c r="AP28" s="126">
        <v>196072.27</v>
      </c>
      <c r="AQ28" s="126">
        <v>0</v>
      </c>
      <c r="AR28" s="126">
        <v>0</v>
      </c>
      <c r="AS28" s="126">
        <v>0</v>
      </c>
      <c r="AT28" s="126">
        <v>0</v>
      </c>
      <c r="AU28" s="126">
        <v>0</v>
      </c>
      <c r="AV28" s="126">
        <v>0</v>
      </c>
      <c r="AW28" s="135">
        <v>585082.79502585111</v>
      </c>
      <c r="AX28" s="136">
        <v>488453.17830503586</v>
      </c>
      <c r="AY28" s="136">
        <v>57331.100657642062</v>
      </c>
      <c r="AZ28" s="126">
        <v>0</v>
      </c>
      <c r="BA28" s="126">
        <v>17325.079286280845</v>
      </c>
      <c r="BB28" s="126">
        <v>0</v>
      </c>
      <c r="BC28" s="126">
        <v>0</v>
      </c>
      <c r="BD28" s="126">
        <v>3845.1973811890034</v>
      </c>
      <c r="BE28" s="126">
        <v>0</v>
      </c>
      <c r="BF28" s="126">
        <v>5038.4077781322794</v>
      </c>
      <c r="BG28" s="126">
        <v>2522.613982482711</v>
      </c>
      <c r="BH28" s="126">
        <v>10567.217635088369</v>
      </c>
      <c r="BI28" s="137">
        <v>1335401.9352487184</v>
      </c>
      <c r="BJ28" s="126">
        <v>9458.0097909535234</v>
      </c>
      <c r="BK28" s="126">
        <v>13458.190834161513</v>
      </c>
      <c r="BL28" s="126">
        <v>14437.390303948994</v>
      </c>
      <c r="BM28" s="126">
        <v>14307.837265351387</v>
      </c>
      <c r="BN28" s="126">
        <v>240659.13569611317</v>
      </c>
      <c r="BO28" s="126">
        <v>138164.12853722545</v>
      </c>
      <c r="BP28" s="126">
        <v>113352.93196721796</v>
      </c>
      <c r="BQ28" s="126">
        <v>615003.13504550047</v>
      </c>
      <c r="BR28" s="126">
        <v>22951.497830477765</v>
      </c>
      <c r="BS28" s="126">
        <v>25483.233079495629</v>
      </c>
      <c r="BT28" s="126">
        <v>127134.41875891102</v>
      </c>
      <c r="BU28" s="126">
        <v>0</v>
      </c>
      <c r="BV28" s="126">
        <v>992.02613936154091</v>
      </c>
      <c r="BW28" s="126">
        <v>153471.07900238113</v>
      </c>
      <c r="BX28" s="126">
        <v>544475.45662390091</v>
      </c>
      <c r="BY28" s="126">
        <v>478835.85997304419</v>
      </c>
      <c r="BZ28" s="126">
        <v>91157.881175313611</v>
      </c>
      <c r="CA28" s="137">
        <v>326514.99525196868</v>
      </c>
      <c r="CB28" s="126">
        <v>10931.424000000001</v>
      </c>
      <c r="CC28" s="126">
        <v>313337.54365780816</v>
      </c>
      <c r="CD28" s="126">
        <v>0</v>
      </c>
      <c r="CE28" s="126">
        <v>0</v>
      </c>
      <c r="CF28" s="126">
        <v>2246.0275941605437</v>
      </c>
      <c r="CG28" s="137">
        <v>0</v>
      </c>
      <c r="CH28" s="126">
        <v>0</v>
      </c>
      <c r="CI28" s="126">
        <v>0</v>
      </c>
      <c r="CJ28" s="120"/>
      <c r="CK28" s="138">
        <v>3807710.2230639397</v>
      </c>
      <c r="CL28" s="139">
        <v>35.450371503701156</v>
      </c>
      <c r="CM28" s="140">
        <v>4606124.92</v>
      </c>
      <c r="CN28" s="125">
        <v>3962.8099999999995</v>
      </c>
      <c r="CO28" s="125">
        <v>3962.8099999999995</v>
      </c>
      <c r="CP28" s="125">
        <v>0</v>
      </c>
      <c r="CQ28" s="125">
        <v>15452.71</v>
      </c>
      <c r="CR28" s="125">
        <v>8380.15</v>
      </c>
      <c r="CS28" s="125">
        <v>230947.61</v>
      </c>
      <c r="CT28" s="125">
        <v>0</v>
      </c>
      <c r="CU28" s="141">
        <v>3546.2168674698792</v>
      </c>
      <c r="CV28" s="142">
        <v>801960.91380353039</v>
      </c>
      <c r="CW28" s="143">
        <v>0.209683681310602</v>
      </c>
      <c r="CX28" s="140">
        <v>4686797.6800000006</v>
      </c>
      <c r="CY28" s="140">
        <v>598854.51</v>
      </c>
    </row>
    <row r="29" spans="1:103" ht="12" customHeight="1" x14ac:dyDescent="0.25">
      <c r="A29" s="122">
        <v>25</v>
      </c>
      <c r="B29" s="123" t="s">
        <v>880</v>
      </c>
      <c r="C29" s="124">
        <v>3811.9</v>
      </c>
      <c r="D29" s="125">
        <v>3811.9</v>
      </c>
      <c r="E29" s="125">
        <v>0</v>
      </c>
      <c r="F29" s="125">
        <v>523.44000000000005</v>
      </c>
      <c r="G29" s="124">
        <v>3811.9</v>
      </c>
      <c r="H29" s="124">
        <v>3811.9</v>
      </c>
      <c r="I29" s="126">
        <v>1</v>
      </c>
      <c r="J29" s="126">
        <v>1</v>
      </c>
      <c r="K29" s="127">
        <v>3.8283381191371642E-3</v>
      </c>
      <c r="L29" s="127">
        <v>5.4488564544360124E-3</v>
      </c>
      <c r="M29" s="127"/>
      <c r="N29" s="127"/>
      <c r="O29" s="128" t="s">
        <v>1489</v>
      </c>
      <c r="P29" s="129" t="s">
        <v>74</v>
      </c>
      <c r="Q29" s="130">
        <v>5.4</v>
      </c>
      <c r="R29" s="130">
        <v>2.67</v>
      </c>
      <c r="S29" s="130">
        <v>1.54</v>
      </c>
      <c r="T29" s="38">
        <v>0.22</v>
      </c>
      <c r="U29" s="131">
        <v>36.75</v>
      </c>
      <c r="V29" s="131"/>
      <c r="W29" s="132">
        <v>0</v>
      </c>
      <c r="X29" s="133">
        <v>225727.2841058656</v>
      </c>
      <c r="Y29" s="134">
        <v>167339.84</v>
      </c>
      <c r="Z29" s="134">
        <v>12679.940129409895</v>
      </c>
      <c r="AA29" s="134">
        <v>2398.6583007604777</v>
      </c>
      <c r="AB29" s="134">
        <v>1653.9956756952483</v>
      </c>
      <c r="AC29" s="126">
        <v>0</v>
      </c>
      <c r="AD29" s="126">
        <v>22712.3</v>
      </c>
      <c r="AE29" s="126">
        <v>12018.6</v>
      </c>
      <c r="AF29" s="126">
        <v>0</v>
      </c>
      <c r="AG29" s="126">
        <v>0</v>
      </c>
      <c r="AH29" s="126">
        <v>0</v>
      </c>
      <c r="AI29" s="126">
        <v>6923.95</v>
      </c>
      <c r="AJ29" s="126">
        <v>0</v>
      </c>
      <c r="AK29" s="126">
        <v>0</v>
      </c>
      <c r="AL29" s="126">
        <v>0</v>
      </c>
      <c r="AM29" s="126">
        <v>0</v>
      </c>
      <c r="AN29" s="126">
        <v>0</v>
      </c>
      <c r="AO29" s="126">
        <v>0</v>
      </c>
      <c r="AP29" s="126">
        <v>0</v>
      </c>
      <c r="AQ29" s="126">
        <v>0</v>
      </c>
      <c r="AR29" s="126">
        <v>0</v>
      </c>
      <c r="AS29" s="126">
        <v>0</v>
      </c>
      <c r="AT29" s="126">
        <v>0</v>
      </c>
      <c r="AU29" s="126">
        <v>0</v>
      </c>
      <c r="AV29" s="126">
        <v>0</v>
      </c>
      <c r="AW29" s="135">
        <v>622118.84241551103</v>
      </c>
      <c r="AX29" s="136">
        <v>580966.9413588373</v>
      </c>
      <c r="AY29" s="136">
        <v>24415.741899815192</v>
      </c>
      <c r="AZ29" s="126">
        <v>0</v>
      </c>
      <c r="BA29" s="126">
        <v>7378.2756548435846</v>
      </c>
      <c r="BB29" s="126">
        <v>0</v>
      </c>
      <c r="BC29" s="126">
        <v>0</v>
      </c>
      <c r="BD29" s="126">
        <v>1637.5640051564512</v>
      </c>
      <c r="BE29" s="126">
        <v>0</v>
      </c>
      <c r="BF29" s="126">
        <v>2145.7195568510565</v>
      </c>
      <c r="BG29" s="126">
        <v>1074.3120435967564</v>
      </c>
      <c r="BH29" s="126">
        <v>4500.2878964107522</v>
      </c>
      <c r="BI29" s="137">
        <v>568711.02437487047</v>
      </c>
      <c r="BJ29" s="126">
        <v>4027.9067258944165</v>
      </c>
      <c r="BK29" s="126">
        <v>5731.4740180475792</v>
      </c>
      <c r="BL29" s="126">
        <v>6148.4881909575879</v>
      </c>
      <c r="BM29" s="126">
        <v>6093.3151083470702</v>
      </c>
      <c r="BN29" s="126">
        <v>102490.11924744313</v>
      </c>
      <c r="BO29" s="126">
        <v>58840.309421621503</v>
      </c>
      <c r="BP29" s="126">
        <v>48273.901926737068</v>
      </c>
      <c r="BQ29" s="126">
        <v>261912.95196853281</v>
      </c>
      <c r="BR29" s="126">
        <v>9774.4128547166965</v>
      </c>
      <c r="BS29" s="126">
        <v>10852.609395331076</v>
      </c>
      <c r="BT29" s="126">
        <v>54143.058817881414</v>
      </c>
      <c r="BU29" s="126">
        <v>0</v>
      </c>
      <c r="BV29" s="126">
        <v>422.47669936008606</v>
      </c>
      <c r="BW29" s="126">
        <v>65359.119413815148</v>
      </c>
      <c r="BX29" s="126">
        <v>231877.14987539078</v>
      </c>
      <c r="BY29" s="126">
        <v>203923.04761934656</v>
      </c>
      <c r="BZ29" s="126">
        <v>38821.639099541717</v>
      </c>
      <c r="CA29" s="137">
        <v>169852.66141738612</v>
      </c>
      <c r="CB29" s="126">
        <v>6012.5999999999995</v>
      </c>
      <c r="CC29" s="126">
        <v>162883.53992364471</v>
      </c>
      <c r="CD29" s="126">
        <v>0</v>
      </c>
      <c r="CE29" s="126">
        <v>0</v>
      </c>
      <c r="CF29" s="126">
        <v>956.52149374140606</v>
      </c>
      <c r="CG29" s="137">
        <v>57203.369892804942</v>
      </c>
      <c r="CH29" s="126">
        <v>14019.995999999999</v>
      </c>
      <c r="CI29" s="126">
        <v>43183.373892804942</v>
      </c>
      <c r="CJ29" s="120"/>
      <c r="CK29" s="138">
        <v>2183594.1382145323</v>
      </c>
      <c r="CL29" s="139">
        <v>47.736346227483502</v>
      </c>
      <c r="CM29" s="140">
        <v>1681049.98</v>
      </c>
      <c r="CN29" s="125">
        <v>1758.4699999999998</v>
      </c>
      <c r="CO29" s="125">
        <v>1758.4699999999998</v>
      </c>
      <c r="CP29" s="125">
        <v>0</v>
      </c>
      <c r="CQ29" s="125">
        <v>6853.68</v>
      </c>
      <c r="CR29" s="125">
        <v>3718.93</v>
      </c>
      <c r="CS29" s="125">
        <v>136542</v>
      </c>
      <c r="CT29" s="125">
        <v>0</v>
      </c>
      <c r="CU29" s="141">
        <v>0</v>
      </c>
      <c r="CV29" s="142">
        <v>-502544.1582145323</v>
      </c>
      <c r="CW29" s="143">
        <v>0</v>
      </c>
      <c r="CX29" s="140">
        <v>1646496.54</v>
      </c>
      <c r="CY29" s="140">
        <v>241856.17</v>
      </c>
    </row>
    <row r="30" spans="1:103" ht="12" customHeight="1" x14ac:dyDescent="0.25">
      <c r="A30" s="122">
        <v>26</v>
      </c>
      <c r="B30" s="123" t="s">
        <v>73</v>
      </c>
      <c r="C30" s="124">
        <v>3817.2000000000003</v>
      </c>
      <c r="D30" s="125">
        <v>3785.3</v>
      </c>
      <c r="E30" s="125">
        <v>31.9</v>
      </c>
      <c r="F30" s="125">
        <v>524.16</v>
      </c>
      <c r="G30" s="124">
        <v>3817.2000000000003</v>
      </c>
      <c r="H30" s="124">
        <v>3817.2000000000003</v>
      </c>
      <c r="I30" s="126">
        <v>1</v>
      </c>
      <c r="J30" s="126">
        <v>1</v>
      </c>
      <c r="K30" s="127">
        <v>3.8283381191371642E-3</v>
      </c>
      <c r="L30" s="127">
        <v>5.4488564544360124E-3</v>
      </c>
      <c r="M30" s="127"/>
      <c r="N30" s="127"/>
      <c r="O30" s="128" t="s">
        <v>1489</v>
      </c>
      <c r="P30" s="129" t="s">
        <v>74</v>
      </c>
      <c r="Q30" s="130">
        <v>5.4</v>
      </c>
      <c r="R30" s="130">
        <v>2.67</v>
      </c>
      <c r="S30" s="130">
        <v>1.54</v>
      </c>
      <c r="T30" s="38">
        <v>0.22</v>
      </c>
      <c r="U30" s="131">
        <v>36.75</v>
      </c>
      <c r="V30" s="131"/>
      <c r="W30" s="132">
        <v>0</v>
      </c>
      <c r="X30" s="133">
        <v>112239.44881605243</v>
      </c>
      <c r="Y30" s="134">
        <v>83464.990000000005</v>
      </c>
      <c r="Z30" s="134">
        <v>12697.570099421142</v>
      </c>
      <c r="AA30" s="134">
        <v>2401.993353882026</v>
      </c>
      <c r="AB30" s="134">
        <v>1656.2953627492595</v>
      </c>
      <c r="AC30" s="126">
        <v>0</v>
      </c>
      <c r="AD30" s="126">
        <v>0</v>
      </c>
      <c r="AE30" s="126">
        <v>12018.6</v>
      </c>
      <c r="AF30" s="126">
        <v>0</v>
      </c>
      <c r="AG30" s="126">
        <v>0</v>
      </c>
      <c r="AH30" s="126">
        <v>0</v>
      </c>
      <c r="AI30" s="126">
        <v>0</v>
      </c>
      <c r="AJ30" s="126">
        <v>0</v>
      </c>
      <c r="AK30" s="126">
        <v>0</v>
      </c>
      <c r="AL30" s="126">
        <v>0</v>
      </c>
      <c r="AM30" s="126">
        <v>0</v>
      </c>
      <c r="AN30" s="126">
        <v>0</v>
      </c>
      <c r="AO30" s="126">
        <v>0</v>
      </c>
      <c r="AP30" s="126">
        <v>0</v>
      </c>
      <c r="AQ30" s="126">
        <v>0</v>
      </c>
      <c r="AR30" s="126">
        <v>0</v>
      </c>
      <c r="AS30" s="126">
        <v>0</v>
      </c>
      <c r="AT30" s="126">
        <v>0</v>
      </c>
      <c r="AU30" s="126">
        <v>0</v>
      </c>
      <c r="AV30" s="126">
        <v>0</v>
      </c>
      <c r="AW30" s="135">
        <v>622983.82572168449</v>
      </c>
      <c r="AX30" s="136">
        <v>581774.70777170279</v>
      </c>
      <c r="AY30" s="136">
        <v>24449.689126150883</v>
      </c>
      <c r="AZ30" s="126">
        <v>0</v>
      </c>
      <c r="BA30" s="126">
        <v>7388.5342820296792</v>
      </c>
      <c r="BB30" s="126">
        <v>0</v>
      </c>
      <c r="BC30" s="126">
        <v>0</v>
      </c>
      <c r="BD30" s="126">
        <v>1639.8408458992121</v>
      </c>
      <c r="BE30" s="126">
        <v>0</v>
      </c>
      <c r="BF30" s="126">
        <v>2148.7029283065804</v>
      </c>
      <c r="BG30" s="126">
        <v>1075.8057485289589</v>
      </c>
      <c r="BH30" s="126">
        <v>4506.5450190663778</v>
      </c>
      <c r="BI30" s="137">
        <v>569501.75037219119</v>
      </c>
      <c r="BJ30" s="126">
        <v>4033.5070579197163</v>
      </c>
      <c r="BK30" s="126">
        <v>5739.4429606472422</v>
      </c>
      <c r="BL30" s="126">
        <v>6157.0369428692529</v>
      </c>
      <c r="BM30" s="126">
        <v>6101.7871485564783</v>
      </c>
      <c r="BN30" s="126">
        <v>102632.61974116317</v>
      </c>
      <c r="BO30" s="126">
        <v>58922.119972773056</v>
      </c>
      <c r="BP30" s="126">
        <v>48341.021127191358</v>
      </c>
      <c r="BQ30" s="126">
        <v>262277.11121862679</v>
      </c>
      <c r="BR30" s="126">
        <v>9788.0030297291578</v>
      </c>
      <c r="BS30" s="126">
        <v>10867.69867621338</v>
      </c>
      <c r="BT30" s="126">
        <v>54218.338392826925</v>
      </c>
      <c r="BU30" s="126">
        <v>0</v>
      </c>
      <c r="BV30" s="126">
        <v>423.06410367462962</v>
      </c>
      <c r="BW30" s="126">
        <v>65449.993605922296</v>
      </c>
      <c r="BX30" s="126">
        <v>232199.54786440928</v>
      </c>
      <c r="BY30" s="126">
        <v>204206.57870683118</v>
      </c>
      <c r="BZ30" s="126">
        <v>38875.616036824322</v>
      </c>
      <c r="CA30" s="137">
        <v>169853.99134836983</v>
      </c>
      <c r="CB30" s="126">
        <v>6012.5999999999995</v>
      </c>
      <c r="CC30" s="126">
        <v>162883.53992364471</v>
      </c>
      <c r="CD30" s="126">
        <v>0</v>
      </c>
      <c r="CE30" s="126">
        <v>0</v>
      </c>
      <c r="CF30" s="126">
        <v>957.8514247251228</v>
      </c>
      <c r="CG30" s="137">
        <v>57433.415310898774</v>
      </c>
      <c r="CH30" s="126">
        <v>14190</v>
      </c>
      <c r="CI30" s="126">
        <v>43243.415310898774</v>
      </c>
      <c r="CJ30" s="120"/>
      <c r="CK30" s="138">
        <v>2072744.1677831837</v>
      </c>
      <c r="CL30" s="139">
        <v>45.250099719322712</v>
      </c>
      <c r="CM30" s="140">
        <v>1671731.49</v>
      </c>
      <c r="CN30" s="125">
        <v>1748.87</v>
      </c>
      <c r="CO30" s="125">
        <v>1748.87</v>
      </c>
      <c r="CP30" s="125">
        <v>0</v>
      </c>
      <c r="CQ30" s="125">
        <v>6812.42</v>
      </c>
      <c r="CR30" s="125">
        <v>3698.13</v>
      </c>
      <c r="CS30" s="125">
        <v>135740.43000000002</v>
      </c>
      <c r="CT30" s="125">
        <v>162384.05658729968</v>
      </c>
      <c r="CU30" s="141">
        <v>0</v>
      </c>
      <c r="CV30" s="142">
        <v>-238628.62119588419</v>
      </c>
      <c r="CW30" s="143">
        <v>0</v>
      </c>
      <c r="CX30" s="140">
        <v>1656508.83</v>
      </c>
      <c r="CY30" s="140">
        <v>194227.83</v>
      </c>
    </row>
    <row r="31" spans="1:103" ht="12" customHeight="1" x14ac:dyDescent="0.25">
      <c r="A31" s="122">
        <v>27</v>
      </c>
      <c r="B31" s="146" t="s">
        <v>76</v>
      </c>
      <c r="C31" s="124">
        <v>3908.8</v>
      </c>
      <c r="D31" s="125">
        <v>3876.8</v>
      </c>
      <c r="E31" s="125">
        <v>32</v>
      </c>
      <c r="F31" s="125">
        <v>802.06</v>
      </c>
      <c r="G31" s="124">
        <v>3908.8</v>
      </c>
      <c r="H31" s="124">
        <v>3908.8</v>
      </c>
      <c r="I31" s="126">
        <v>1</v>
      </c>
      <c r="J31" s="126">
        <v>1</v>
      </c>
      <c r="K31" s="127">
        <v>3.8283381191371642E-3</v>
      </c>
      <c r="L31" s="127">
        <v>5.4488564544360124E-3</v>
      </c>
      <c r="M31" s="127"/>
      <c r="N31" s="127"/>
      <c r="O31" s="128" t="s">
        <v>1488</v>
      </c>
      <c r="P31" s="129" t="s">
        <v>74</v>
      </c>
      <c r="Q31" s="130">
        <v>5.4</v>
      </c>
      <c r="R31" s="130">
        <v>2.67</v>
      </c>
      <c r="S31" s="130">
        <v>1.54</v>
      </c>
      <c r="T31" s="38">
        <v>0</v>
      </c>
      <c r="U31" s="131">
        <v>36.54</v>
      </c>
      <c r="V31" s="131">
        <v>1</v>
      </c>
      <c r="W31" s="132">
        <v>2.4096385542168672E-3</v>
      </c>
      <c r="X31" s="133">
        <v>118990.5232411678</v>
      </c>
      <c r="Y31" s="134">
        <v>94956.58</v>
      </c>
      <c r="Z31" s="134">
        <v>13002.269203766467</v>
      </c>
      <c r="AA31" s="134">
        <v>2459.6331399072783</v>
      </c>
      <c r="AB31" s="134">
        <v>1696.0408974940547</v>
      </c>
      <c r="AC31" s="126">
        <v>0</v>
      </c>
      <c r="AD31" s="126">
        <v>0</v>
      </c>
      <c r="AE31" s="126">
        <v>0</v>
      </c>
      <c r="AF31" s="126">
        <v>0</v>
      </c>
      <c r="AG31" s="126">
        <v>0</v>
      </c>
      <c r="AH31" s="126">
        <v>0</v>
      </c>
      <c r="AI31" s="126">
        <v>0</v>
      </c>
      <c r="AJ31" s="126">
        <v>0</v>
      </c>
      <c r="AK31" s="126">
        <v>0</v>
      </c>
      <c r="AL31" s="126">
        <v>0</v>
      </c>
      <c r="AM31" s="126">
        <v>0</v>
      </c>
      <c r="AN31" s="126">
        <v>0</v>
      </c>
      <c r="AO31" s="126">
        <v>0</v>
      </c>
      <c r="AP31" s="126">
        <v>0</v>
      </c>
      <c r="AQ31" s="126">
        <v>0</v>
      </c>
      <c r="AR31" s="126">
        <v>0</v>
      </c>
      <c r="AS31" s="126">
        <v>6876</v>
      </c>
      <c r="AT31" s="126">
        <v>0</v>
      </c>
      <c r="AU31" s="126">
        <v>0</v>
      </c>
      <c r="AV31" s="126">
        <v>0</v>
      </c>
      <c r="AW31" s="135">
        <v>630367.51419347245</v>
      </c>
      <c r="AX31" s="136">
        <v>595735.34992613213</v>
      </c>
      <c r="AY31" s="136">
        <v>25036.399679424332</v>
      </c>
      <c r="AZ31" s="126">
        <v>0</v>
      </c>
      <c r="BA31" s="126">
        <v>0</v>
      </c>
      <c r="BB31" s="126">
        <v>0</v>
      </c>
      <c r="BC31" s="126">
        <v>0</v>
      </c>
      <c r="BD31" s="126">
        <v>1679.1915274156031</v>
      </c>
      <c r="BE31" s="126">
        <v>0</v>
      </c>
      <c r="BF31" s="126">
        <v>2200.2645934624229</v>
      </c>
      <c r="BG31" s="126">
        <v>1101.6214790553272</v>
      </c>
      <c r="BH31" s="126">
        <v>4614.6869879824626</v>
      </c>
      <c r="BI31" s="137">
        <v>583167.88270324341</v>
      </c>
      <c r="BJ31" s="126">
        <v>4130.2977019796153</v>
      </c>
      <c r="BK31" s="126">
        <v>5877.1703459546106</v>
      </c>
      <c r="BL31" s="126">
        <v>6304.7851834557623</v>
      </c>
      <c r="BM31" s="126">
        <v>6248.2095793454791</v>
      </c>
      <c r="BN31" s="126">
        <v>105095.45846281531</v>
      </c>
      <c r="BO31" s="126">
        <v>60336.053271920602</v>
      </c>
      <c r="BP31" s="126">
        <v>49501.043535042852</v>
      </c>
      <c r="BQ31" s="126">
        <v>268570.88240893022</v>
      </c>
      <c r="BR31" s="126">
        <v>10022.88228088791</v>
      </c>
      <c r="BS31" s="126">
        <v>11128.487002405653</v>
      </c>
      <c r="BT31" s="126">
        <v>55519.396706979431</v>
      </c>
      <c r="BU31" s="126">
        <v>0</v>
      </c>
      <c r="BV31" s="126">
        <v>433.21622352598558</v>
      </c>
      <c r="BW31" s="126">
        <v>67020.573982717455</v>
      </c>
      <c r="BX31" s="126">
        <v>237771.55839159671</v>
      </c>
      <c r="BY31" s="126">
        <v>209106.85184147063</v>
      </c>
      <c r="BZ31" s="126">
        <v>39808.500462312404</v>
      </c>
      <c r="CA31" s="137">
        <v>169876.97657065446</v>
      </c>
      <c r="CB31" s="126">
        <v>6012.5999999999995</v>
      </c>
      <c r="CC31" s="126">
        <v>162883.53992364471</v>
      </c>
      <c r="CD31" s="126">
        <v>0</v>
      </c>
      <c r="CE31" s="126">
        <v>0</v>
      </c>
      <c r="CF31" s="126">
        <v>980.83664700973486</v>
      </c>
      <c r="CG31" s="137">
        <v>0</v>
      </c>
      <c r="CH31" s="126">
        <v>0</v>
      </c>
      <c r="CI31" s="126">
        <v>0</v>
      </c>
      <c r="CJ31" s="120"/>
      <c r="CK31" s="138">
        <v>2056110.3813866354</v>
      </c>
      <c r="CL31" s="139">
        <v>43.835072600854382</v>
      </c>
      <c r="CM31" s="147">
        <v>1621568.5888003164</v>
      </c>
      <c r="CN31" s="148">
        <v>2549.9340172671468</v>
      </c>
      <c r="CO31" s="148">
        <v>2549.9340172671468</v>
      </c>
      <c r="CP31" s="148">
        <v>0</v>
      </c>
      <c r="CQ31" s="148">
        <v>9935.7280416980611</v>
      </c>
      <c r="CR31" s="148">
        <v>5392.3798910613496</v>
      </c>
      <c r="CS31" s="148">
        <v>148532.41091165104</v>
      </c>
      <c r="CT31" s="125">
        <v>166280.7294321589</v>
      </c>
      <c r="CU31" s="141">
        <v>886.55421686746979</v>
      </c>
      <c r="CV31" s="142">
        <v>-267374.5089372925</v>
      </c>
      <c r="CW31" s="143">
        <v>0</v>
      </c>
      <c r="CX31" s="147">
        <v>1624509.6345560318</v>
      </c>
      <c r="CY31" s="147">
        <v>191149.41573410077</v>
      </c>
    </row>
    <row r="32" spans="1:103" ht="12" customHeight="1" x14ac:dyDescent="0.25">
      <c r="A32" s="122">
        <v>28</v>
      </c>
      <c r="B32" s="146" t="s">
        <v>77</v>
      </c>
      <c r="C32" s="124">
        <v>4187.5</v>
      </c>
      <c r="D32" s="125">
        <v>3783.2</v>
      </c>
      <c r="E32" s="125">
        <v>404.3</v>
      </c>
      <c r="F32" s="125">
        <v>859.24</v>
      </c>
      <c r="G32" s="124">
        <v>4187.5</v>
      </c>
      <c r="H32" s="124">
        <v>4187.5</v>
      </c>
      <c r="I32" s="126">
        <v>1</v>
      </c>
      <c r="J32" s="126">
        <v>1</v>
      </c>
      <c r="K32" s="127">
        <v>3.8283381191371642E-3</v>
      </c>
      <c r="L32" s="127">
        <v>5.4488564544360124E-3</v>
      </c>
      <c r="M32" s="127"/>
      <c r="N32" s="127"/>
      <c r="O32" s="128" t="s">
        <v>1488</v>
      </c>
      <c r="P32" s="129" t="s">
        <v>74</v>
      </c>
      <c r="Q32" s="130">
        <v>5.4</v>
      </c>
      <c r="R32" s="130">
        <v>2.67</v>
      </c>
      <c r="S32" s="130">
        <v>1.54</v>
      </c>
      <c r="T32" s="38">
        <v>0</v>
      </c>
      <c r="U32" s="131">
        <v>36.54</v>
      </c>
      <c r="V32" s="131">
        <v>1</v>
      </c>
      <c r="W32" s="132">
        <v>2.4096385542168672E-3</v>
      </c>
      <c r="X32" s="133">
        <v>148114.59583155703</v>
      </c>
      <c r="Y32" s="134">
        <v>129733.28</v>
      </c>
      <c r="Z32" s="134">
        <v>13929.339513603172</v>
      </c>
      <c r="AA32" s="134">
        <v>2635.0065936762503</v>
      </c>
      <c r="AB32" s="134">
        <v>1816.9697242776181</v>
      </c>
      <c r="AC32" s="126">
        <v>0</v>
      </c>
      <c r="AD32" s="126">
        <v>0</v>
      </c>
      <c r="AE32" s="126">
        <v>0</v>
      </c>
      <c r="AF32" s="126">
        <v>0</v>
      </c>
      <c r="AG32" s="126">
        <v>0</v>
      </c>
      <c r="AH32" s="126">
        <v>0</v>
      </c>
      <c r="AI32" s="126">
        <v>0</v>
      </c>
      <c r="AJ32" s="126">
        <v>0</v>
      </c>
      <c r="AK32" s="126">
        <v>0</v>
      </c>
      <c r="AL32" s="126">
        <v>0</v>
      </c>
      <c r="AM32" s="126">
        <v>0</v>
      </c>
      <c r="AN32" s="126">
        <v>0</v>
      </c>
      <c r="AO32" s="126">
        <v>0</v>
      </c>
      <c r="AP32" s="126">
        <v>0</v>
      </c>
      <c r="AQ32" s="126">
        <v>0</v>
      </c>
      <c r="AR32" s="126">
        <v>0</v>
      </c>
      <c r="AS32" s="126">
        <v>0</v>
      </c>
      <c r="AT32" s="126">
        <v>0</v>
      </c>
      <c r="AU32" s="126">
        <v>0</v>
      </c>
      <c r="AV32" s="126">
        <v>0</v>
      </c>
      <c r="AW32" s="135">
        <v>675313.13080361381</v>
      </c>
      <c r="AX32" s="136">
        <v>638211.67054228368</v>
      </c>
      <c r="AY32" s="136">
        <v>26821.51137371812</v>
      </c>
      <c r="AZ32" s="126">
        <v>0</v>
      </c>
      <c r="BA32" s="126">
        <v>0</v>
      </c>
      <c r="BB32" s="126">
        <v>0</v>
      </c>
      <c r="BC32" s="126">
        <v>0</v>
      </c>
      <c r="BD32" s="126">
        <v>1798.9189830773735</v>
      </c>
      <c r="BE32" s="126">
        <v>0</v>
      </c>
      <c r="BF32" s="126">
        <v>2357.1449000009966</v>
      </c>
      <c r="BG32" s="126">
        <v>1180.1678119996373</v>
      </c>
      <c r="BH32" s="126">
        <v>4943.7171925339135</v>
      </c>
      <c r="BI32" s="137">
        <v>624748.13467556075</v>
      </c>
      <c r="BJ32" s="126">
        <v>4424.7906331967961</v>
      </c>
      <c r="BK32" s="126">
        <v>6296.2164407708069</v>
      </c>
      <c r="BL32" s="126">
        <v>6754.3204962446289</v>
      </c>
      <c r="BM32" s="126">
        <v>6693.7110145080824</v>
      </c>
      <c r="BN32" s="126">
        <v>112588.8334816412</v>
      </c>
      <c r="BO32" s="126">
        <v>64638.053386248335</v>
      </c>
      <c r="BP32" s="126">
        <v>53030.500358931626</v>
      </c>
      <c r="BQ32" s="126">
        <v>287720.16222047567</v>
      </c>
      <c r="BR32" s="126">
        <v>10737.520351826166</v>
      </c>
      <c r="BS32" s="126">
        <v>11921.955414084545</v>
      </c>
      <c r="BT32" s="126">
        <v>59477.966053642129</v>
      </c>
      <c r="BU32" s="126">
        <v>0</v>
      </c>
      <c r="BV32" s="126">
        <v>464.10482399075534</v>
      </c>
      <c r="BW32" s="126">
        <v>71799.184801634605</v>
      </c>
      <c r="BX32" s="126">
        <v>254724.82622922925</v>
      </c>
      <c r="BY32" s="126">
        <v>224016.30732863236</v>
      </c>
      <c r="BZ32" s="126">
        <v>42646.872617154419</v>
      </c>
      <c r="CA32" s="137">
        <v>169946.91086596801</v>
      </c>
      <c r="CB32" s="126">
        <v>6012.5999999999995</v>
      </c>
      <c r="CC32" s="126">
        <v>162883.53992364471</v>
      </c>
      <c r="CD32" s="126">
        <v>0</v>
      </c>
      <c r="CE32" s="126">
        <v>0</v>
      </c>
      <c r="CF32" s="126">
        <v>1050.770942323287</v>
      </c>
      <c r="CG32" s="137">
        <v>0</v>
      </c>
      <c r="CH32" s="126">
        <v>0</v>
      </c>
      <c r="CI32" s="126">
        <v>0</v>
      </c>
      <c r="CJ32" s="120"/>
      <c r="CK32" s="138">
        <v>2211309.9631533502</v>
      </c>
      <c r="CL32" s="139">
        <v>44.00616842096219</v>
      </c>
      <c r="CM32" s="147">
        <v>1737187.4911996839</v>
      </c>
      <c r="CN32" s="148">
        <v>2731.7459827328535</v>
      </c>
      <c r="CO32" s="148">
        <v>2731.7459827328535</v>
      </c>
      <c r="CP32" s="148">
        <v>0</v>
      </c>
      <c r="CQ32" s="148">
        <v>10644.151958301942</v>
      </c>
      <c r="CR32" s="148">
        <v>5776.8601089386511</v>
      </c>
      <c r="CS32" s="148">
        <v>159122.86908834902</v>
      </c>
      <c r="CT32" s="125">
        <v>178136.65434331904</v>
      </c>
      <c r="CU32" s="141">
        <v>886.55421686746979</v>
      </c>
      <c r="CV32" s="142">
        <v>-295099.26339347963</v>
      </c>
      <c r="CW32" s="143">
        <v>0</v>
      </c>
      <c r="CX32" s="147">
        <v>1740338.2354439683</v>
      </c>
      <c r="CY32" s="147">
        <v>204778.49426589924</v>
      </c>
    </row>
    <row r="33" spans="1:103" ht="12" customHeight="1" x14ac:dyDescent="0.25">
      <c r="A33" s="122">
        <v>29</v>
      </c>
      <c r="B33" s="123" t="s">
        <v>78</v>
      </c>
      <c r="C33" s="124">
        <v>1596.9</v>
      </c>
      <c r="D33" s="125">
        <v>1545.9</v>
      </c>
      <c r="E33" s="125">
        <v>51</v>
      </c>
      <c r="F33" s="125">
        <v>87.4</v>
      </c>
      <c r="G33" s="124">
        <v>1596.9</v>
      </c>
      <c r="H33" s="124"/>
      <c r="I33" s="126">
        <v>0</v>
      </c>
      <c r="J33" s="126">
        <v>0</v>
      </c>
      <c r="K33" s="127">
        <v>0</v>
      </c>
      <c r="L33" s="127">
        <v>0</v>
      </c>
      <c r="M33" s="127"/>
      <c r="N33" s="127"/>
      <c r="O33" s="128" t="s">
        <v>1488</v>
      </c>
      <c r="P33" s="129" t="s">
        <v>74</v>
      </c>
      <c r="Q33" s="130">
        <v>4</v>
      </c>
      <c r="R33" s="130">
        <v>2.0499999999999998</v>
      </c>
      <c r="S33" s="130">
        <v>0</v>
      </c>
      <c r="T33" s="38">
        <v>0.22</v>
      </c>
      <c r="U33" s="131">
        <v>20.440000000000001</v>
      </c>
      <c r="V33" s="144">
        <v>2</v>
      </c>
      <c r="W33" s="132">
        <v>4.8192771084337345E-3</v>
      </c>
      <c r="X33" s="133">
        <v>136040.88107496442</v>
      </c>
      <c r="Y33" s="134">
        <v>110196.62</v>
      </c>
      <c r="Z33" s="134">
        <v>5311.9432284830827</v>
      </c>
      <c r="AA33" s="134">
        <v>1004.8577980756071</v>
      </c>
      <c r="AB33" s="134">
        <v>692.9000484057143</v>
      </c>
      <c r="AC33" s="126">
        <v>0</v>
      </c>
      <c r="AD33" s="126">
        <v>18834.560000000001</v>
      </c>
      <c r="AE33" s="126">
        <v>0</v>
      </c>
      <c r="AF33" s="126">
        <v>0</v>
      </c>
      <c r="AG33" s="126">
        <v>0</v>
      </c>
      <c r="AH33" s="126">
        <v>0</v>
      </c>
      <c r="AI33" s="126">
        <v>0</v>
      </c>
      <c r="AJ33" s="126">
        <v>0</v>
      </c>
      <c r="AK33" s="126">
        <v>0</v>
      </c>
      <c r="AL33" s="126">
        <v>0</v>
      </c>
      <c r="AM33" s="126">
        <v>0</v>
      </c>
      <c r="AN33" s="126">
        <v>0</v>
      </c>
      <c r="AO33" s="126">
        <v>0</v>
      </c>
      <c r="AP33" s="126">
        <v>0</v>
      </c>
      <c r="AQ33" s="126">
        <v>0</v>
      </c>
      <c r="AR33" s="126">
        <v>0</v>
      </c>
      <c r="AS33" s="126">
        <v>0</v>
      </c>
      <c r="AT33" s="126">
        <v>0</v>
      </c>
      <c r="AU33" s="126">
        <v>0</v>
      </c>
      <c r="AV33" s="126">
        <v>0</v>
      </c>
      <c r="AW33" s="135">
        <v>306617.29846693511</v>
      </c>
      <c r="AX33" s="136">
        <v>243381.54428393382</v>
      </c>
      <c r="AY33" s="136">
        <v>10228.363346314141</v>
      </c>
      <c r="AZ33" s="126">
        <v>0</v>
      </c>
      <c r="BA33" s="126">
        <v>0</v>
      </c>
      <c r="BB33" s="126">
        <v>0</v>
      </c>
      <c r="BC33" s="126">
        <v>49087.139999999992</v>
      </c>
      <c r="BD33" s="126">
        <v>686.01641171970334</v>
      </c>
      <c r="BE33" s="126">
        <v>0</v>
      </c>
      <c r="BF33" s="126">
        <v>898.89544855202189</v>
      </c>
      <c r="BG33" s="126">
        <v>450.05611438381396</v>
      </c>
      <c r="BH33" s="126">
        <v>1885.2828620316195</v>
      </c>
      <c r="BI33" s="137">
        <v>238247.23492857383</v>
      </c>
      <c r="BJ33" s="126">
        <v>1687.3906058870364</v>
      </c>
      <c r="BK33" s="126">
        <v>2401.0574410189615</v>
      </c>
      <c r="BL33" s="126">
        <v>2575.7550807052053</v>
      </c>
      <c r="BM33" s="126">
        <v>2552.6417000759297</v>
      </c>
      <c r="BN33" s="126">
        <v>42935.667626706345</v>
      </c>
      <c r="BO33" s="126">
        <v>24649.673421492531</v>
      </c>
      <c r="BP33" s="126">
        <v>20223.141736878308</v>
      </c>
      <c r="BQ33" s="126">
        <v>109721.86914623943</v>
      </c>
      <c r="BR33" s="126">
        <v>4094.7453730940197</v>
      </c>
      <c r="BS33" s="126">
        <v>4546.4288001794894</v>
      </c>
      <c r="BT33" s="126">
        <v>22681.877968014596</v>
      </c>
      <c r="BU33" s="126">
        <v>0</v>
      </c>
      <c r="BV33" s="126">
        <v>176.986028281991</v>
      </c>
      <c r="BW33" s="126">
        <v>27380.56554262216</v>
      </c>
      <c r="BX33" s="126">
        <v>97139.122389362674</v>
      </c>
      <c r="BY33" s="126">
        <v>85428.451623425208</v>
      </c>
      <c r="BZ33" s="126">
        <v>0</v>
      </c>
      <c r="CA33" s="137">
        <v>0</v>
      </c>
      <c r="CB33" s="126">
        <v>0</v>
      </c>
      <c r="CC33" s="126">
        <v>0</v>
      </c>
      <c r="CD33" s="126">
        <v>0</v>
      </c>
      <c r="CE33" s="126">
        <v>0</v>
      </c>
      <c r="CF33" s="126">
        <v>0</v>
      </c>
      <c r="CG33" s="137">
        <v>24850.58855736515</v>
      </c>
      <c r="CH33" s="126">
        <v>6759.9960000000001</v>
      </c>
      <c r="CI33" s="126">
        <v>18090.592557365151</v>
      </c>
      <c r="CJ33" s="120"/>
      <c r="CK33" s="138">
        <v>915704.14258324844</v>
      </c>
      <c r="CL33" s="139">
        <v>47.785508515626553</v>
      </c>
      <c r="CM33" s="140">
        <v>379227.36</v>
      </c>
      <c r="CN33" s="125">
        <v>406.20000000000005</v>
      </c>
      <c r="CO33" s="125">
        <v>0</v>
      </c>
      <c r="CP33" s="125">
        <v>0</v>
      </c>
      <c r="CQ33" s="125">
        <v>0</v>
      </c>
      <c r="CR33" s="125">
        <v>429.24</v>
      </c>
      <c r="CS33" s="125">
        <v>4667.28</v>
      </c>
      <c r="CT33" s="125">
        <v>67932.28019602297</v>
      </c>
      <c r="CU33" s="141">
        <v>1773.1084337349396</v>
      </c>
      <c r="CV33" s="142">
        <v>-466771.39395349059</v>
      </c>
      <c r="CW33" s="143">
        <v>0</v>
      </c>
      <c r="CX33" s="140">
        <v>439103.08999999997</v>
      </c>
      <c r="CY33" s="140">
        <v>2257.8600000000006</v>
      </c>
    </row>
    <row r="34" spans="1:103" ht="12" customHeight="1" x14ac:dyDescent="0.25">
      <c r="A34" s="122">
        <v>30</v>
      </c>
      <c r="B34" s="123" t="s">
        <v>79</v>
      </c>
      <c r="C34" s="124">
        <v>2617.3000000000002</v>
      </c>
      <c r="D34" s="125">
        <v>2539.3000000000002</v>
      </c>
      <c r="E34" s="125">
        <v>78</v>
      </c>
      <c r="F34" s="125">
        <v>193.2</v>
      </c>
      <c r="G34" s="124">
        <v>2617.3000000000002</v>
      </c>
      <c r="H34" s="124"/>
      <c r="I34" s="126">
        <v>0</v>
      </c>
      <c r="J34" s="126">
        <v>0</v>
      </c>
      <c r="K34" s="127">
        <v>0</v>
      </c>
      <c r="L34" s="127">
        <v>0</v>
      </c>
      <c r="M34" s="127"/>
      <c r="N34" s="127"/>
      <c r="O34" s="128" t="s">
        <v>1488</v>
      </c>
      <c r="P34" s="129" t="s">
        <v>74</v>
      </c>
      <c r="Q34" s="130">
        <v>4</v>
      </c>
      <c r="R34" s="130">
        <v>2.0499999999999998</v>
      </c>
      <c r="S34" s="130">
        <v>0</v>
      </c>
      <c r="T34" s="38">
        <v>0.22</v>
      </c>
      <c r="U34" s="131">
        <v>20.440000000000001</v>
      </c>
      <c r="V34" s="144">
        <v>4</v>
      </c>
      <c r="W34" s="132">
        <v>9.638554216867469E-3</v>
      </c>
      <c r="X34" s="133">
        <v>152890.94477310413</v>
      </c>
      <c r="Y34" s="134">
        <v>90179.82</v>
      </c>
      <c r="Z34" s="134">
        <v>8706.2114170635432</v>
      </c>
      <c r="AA34" s="134">
        <v>1646.9499122695763</v>
      </c>
      <c r="AB34" s="134">
        <v>1135.6548917855068</v>
      </c>
      <c r="AC34" s="126">
        <v>0</v>
      </c>
      <c r="AD34" s="126">
        <v>0</v>
      </c>
      <c r="AE34" s="126">
        <v>0</v>
      </c>
      <c r="AF34" s="126">
        <v>0</v>
      </c>
      <c r="AG34" s="126">
        <v>0</v>
      </c>
      <c r="AH34" s="126">
        <v>0</v>
      </c>
      <c r="AI34" s="126">
        <v>30056.1</v>
      </c>
      <c r="AJ34" s="126">
        <v>0</v>
      </c>
      <c r="AK34" s="126">
        <v>0</v>
      </c>
      <c r="AL34" s="126">
        <v>0</v>
      </c>
      <c r="AM34" s="126">
        <v>0</v>
      </c>
      <c r="AN34" s="126">
        <v>0</v>
      </c>
      <c r="AO34" s="126">
        <v>0</v>
      </c>
      <c r="AP34" s="126">
        <v>0</v>
      </c>
      <c r="AQ34" s="126">
        <v>0</v>
      </c>
      <c r="AR34" s="126">
        <v>0</v>
      </c>
      <c r="AS34" s="126">
        <v>0</v>
      </c>
      <c r="AT34" s="126">
        <v>21166.208551985514</v>
      </c>
      <c r="AU34" s="126">
        <v>0</v>
      </c>
      <c r="AV34" s="126">
        <v>0</v>
      </c>
      <c r="AW34" s="135">
        <v>429368.55349308613</v>
      </c>
      <c r="AX34" s="136">
        <v>398899.44007410604</v>
      </c>
      <c r="AY34" s="136">
        <v>16764.165186491329</v>
      </c>
      <c r="AZ34" s="126">
        <v>0</v>
      </c>
      <c r="BA34" s="126">
        <v>0</v>
      </c>
      <c r="BB34" s="126">
        <v>0</v>
      </c>
      <c r="BC34" s="126">
        <v>7279.7039999999997</v>
      </c>
      <c r="BD34" s="126">
        <v>1124.3726935900679</v>
      </c>
      <c r="BE34" s="126">
        <v>0</v>
      </c>
      <c r="BF34" s="126">
        <v>1473.2788887815186</v>
      </c>
      <c r="BG34" s="126">
        <v>737.63658850069271</v>
      </c>
      <c r="BH34" s="126">
        <v>3089.9560616164808</v>
      </c>
      <c r="BI34" s="137">
        <v>390484.36845047056</v>
      </c>
      <c r="BJ34" s="126">
        <v>2765.6130207202332</v>
      </c>
      <c r="BK34" s="126">
        <v>3935.3044275652378</v>
      </c>
      <c r="BL34" s="126">
        <v>4221.6317695095086</v>
      </c>
      <c r="BM34" s="126">
        <v>4183.7492151097322</v>
      </c>
      <c r="BN34" s="126">
        <v>70371.045700656599</v>
      </c>
      <c r="BO34" s="126">
        <v>40400.519911123054</v>
      </c>
      <c r="BP34" s="126">
        <v>33145.487424341911</v>
      </c>
      <c r="BQ34" s="126">
        <v>179832.83118320024</v>
      </c>
      <c r="BR34" s="126">
        <v>6711.2386905873736</v>
      </c>
      <c r="BS34" s="126">
        <v>7451.5424251423246</v>
      </c>
      <c r="BT34" s="126">
        <v>37175.326699032252</v>
      </c>
      <c r="BU34" s="126">
        <v>0</v>
      </c>
      <c r="BV34" s="126">
        <v>290.07798348203079</v>
      </c>
      <c r="BW34" s="126">
        <v>44876.419434344658</v>
      </c>
      <c r="BX34" s="126">
        <v>159209.85974680877</v>
      </c>
      <c r="BY34" s="126">
        <v>140016.21042895035</v>
      </c>
      <c r="BZ34" s="126">
        <v>0</v>
      </c>
      <c r="CA34" s="137">
        <v>0</v>
      </c>
      <c r="CB34" s="126">
        <v>0</v>
      </c>
      <c r="CC34" s="126">
        <v>0</v>
      </c>
      <c r="CD34" s="126">
        <v>0</v>
      </c>
      <c r="CE34" s="126">
        <v>0</v>
      </c>
      <c r="CF34" s="126">
        <v>0</v>
      </c>
      <c r="CG34" s="137">
        <v>40450.264825844955</v>
      </c>
      <c r="CH34" s="126">
        <v>10800</v>
      </c>
      <c r="CI34" s="126">
        <v>29650.264825844955</v>
      </c>
      <c r="CJ34" s="120"/>
      <c r="CK34" s="138">
        <v>1357296.6211526094</v>
      </c>
      <c r="CL34" s="139">
        <v>43.215547229097716</v>
      </c>
      <c r="CM34" s="140">
        <v>622839.24</v>
      </c>
      <c r="CN34" s="125">
        <v>899.40000000000009</v>
      </c>
      <c r="CO34" s="125">
        <v>0</v>
      </c>
      <c r="CP34" s="125">
        <v>0</v>
      </c>
      <c r="CQ34" s="125">
        <v>0</v>
      </c>
      <c r="CR34" s="125">
        <v>951.24</v>
      </c>
      <c r="CS34" s="125">
        <v>10338.719999999999</v>
      </c>
      <c r="CT34" s="125">
        <v>111340.19472543735</v>
      </c>
      <c r="CU34" s="141">
        <v>3546.2168674698792</v>
      </c>
      <c r="CV34" s="142">
        <v>-619570.96955970221</v>
      </c>
      <c r="CW34" s="143">
        <v>0</v>
      </c>
      <c r="CX34" s="140">
        <v>607842.97</v>
      </c>
      <c r="CY34" s="140">
        <v>140401.67000000001</v>
      </c>
    </row>
    <row r="35" spans="1:103" ht="12" customHeight="1" x14ac:dyDescent="0.25">
      <c r="A35" s="122">
        <v>31</v>
      </c>
      <c r="B35" s="123" t="s">
        <v>80</v>
      </c>
      <c r="C35" s="124">
        <v>794.16</v>
      </c>
      <c r="D35" s="125">
        <v>794.16</v>
      </c>
      <c r="E35" s="125">
        <v>0</v>
      </c>
      <c r="F35" s="125">
        <v>96</v>
      </c>
      <c r="G35" s="124">
        <v>794.16</v>
      </c>
      <c r="H35" s="124"/>
      <c r="I35" s="126">
        <v>0</v>
      </c>
      <c r="J35" s="126">
        <v>0</v>
      </c>
      <c r="K35" s="127">
        <v>0</v>
      </c>
      <c r="L35" s="127">
        <v>0</v>
      </c>
      <c r="M35" s="127"/>
      <c r="N35" s="127"/>
      <c r="O35" s="128" t="s">
        <v>1488</v>
      </c>
      <c r="P35" s="129" t="s">
        <v>74</v>
      </c>
      <c r="Q35" s="130">
        <v>4</v>
      </c>
      <c r="R35" s="130">
        <v>2.0499999999999998</v>
      </c>
      <c r="S35" s="130">
        <v>0</v>
      </c>
      <c r="T35" s="38">
        <v>0.22</v>
      </c>
      <c r="U35" s="131">
        <v>16.23</v>
      </c>
      <c r="V35" s="131"/>
      <c r="W35" s="132">
        <v>0</v>
      </c>
      <c r="X35" s="133">
        <v>80298.339290934775</v>
      </c>
      <c r="Y35" s="134">
        <v>76812.320000000007</v>
      </c>
      <c r="Z35" s="134">
        <v>2641.7013177607391</v>
      </c>
      <c r="AA35" s="134">
        <v>499.72939377526711</v>
      </c>
      <c r="AB35" s="134">
        <v>344.58857939876134</v>
      </c>
      <c r="AC35" s="126">
        <v>0</v>
      </c>
      <c r="AD35" s="126">
        <v>0</v>
      </c>
      <c r="AE35" s="126">
        <v>0</v>
      </c>
      <c r="AF35" s="126">
        <v>0</v>
      </c>
      <c r="AG35" s="126">
        <v>0</v>
      </c>
      <c r="AH35" s="126">
        <v>0</v>
      </c>
      <c r="AI35" s="126">
        <v>0</v>
      </c>
      <c r="AJ35" s="126">
        <v>0</v>
      </c>
      <c r="AK35" s="126">
        <v>0</v>
      </c>
      <c r="AL35" s="126">
        <v>0</v>
      </c>
      <c r="AM35" s="126">
        <v>0</v>
      </c>
      <c r="AN35" s="126">
        <v>0</v>
      </c>
      <c r="AO35" s="126">
        <v>0</v>
      </c>
      <c r="AP35" s="126">
        <v>0</v>
      </c>
      <c r="AQ35" s="126">
        <v>0</v>
      </c>
      <c r="AR35" s="126">
        <v>0</v>
      </c>
      <c r="AS35" s="126">
        <v>0</v>
      </c>
      <c r="AT35" s="126">
        <v>0</v>
      </c>
      <c r="AU35" s="126">
        <v>0</v>
      </c>
      <c r="AV35" s="126">
        <v>0</v>
      </c>
      <c r="AW35" s="135">
        <v>140924.20404990992</v>
      </c>
      <c r="AX35" s="136">
        <v>121036.9385738173</v>
      </c>
      <c r="AY35" s="136">
        <v>5086.7036352362938</v>
      </c>
      <c r="AZ35" s="126">
        <v>0</v>
      </c>
      <c r="BA35" s="126">
        <v>0</v>
      </c>
      <c r="BB35" s="126">
        <v>0</v>
      </c>
      <c r="BC35" s="126">
        <v>12850.967999999999</v>
      </c>
      <c r="BD35" s="126">
        <v>341.16525363599447</v>
      </c>
      <c r="BE35" s="126">
        <v>0</v>
      </c>
      <c r="BF35" s="126">
        <v>447.03288209786064</v>
      </c>
      <c r="BG35" s="126">
        <v>223.81900169018076</v>
      </c>
      <c r="BH35" s="126">
        <v>937.57670343229438</v>
      </c>
      <c r="BI35" s="137">
        <v>118483.57698721034</v>
      </c>
      <c r="BJ35" s="126">
        <v>839.16220400228485</v>
      </c>
      <c r="BK35" s="126">
        <v>1194.0783877259805</v>
      </c>
      <c r="BL35" s="126">
        <v>1280.9578902203305</v>
      </c>
      <c r="BM35" s="126">
        <v>1269.4632929628031</v>
      </c>
      <c r="BN35" s="126">
        <v>21352.489074096757</v>
      </c>
      <c r="BO35" s="126">
        <v>12258.616472172651</v>
      </c>
      <c r="BP35" s="126">
        <v>10057.242308071436</v>
      </c>
      <c r="BQ35" s="126">
        <v>54566.171708421003</v>
      </c>
      <c r="BR35" s="126">
        <v>2036.3723373388104</v>
      </c>
      <c r="BS35" s="126">
        <v>2261.0006236774643</v>
      </c>
      <c r="BT35" s="126">
        <v>11280.005139381596</v>
      </c>
      <c r="BU35" s="126">
        <v>0</v>
      </c>
      <c r="BV35" s="126">
        <v>88.017549139223462</v>
      </c>
      <c r="BW35" s="126">
        <v>13616.726113926241</v>
      </c>
      <c r="BX35" s="126">
        <v>48308.601313004103</v>
      </c>
      <c r="BY35" s="126">
        <v>42484.726120144878</v>
      </c>
      <c r="BZ35" s="126">
        <v>0</v>
      </c>
      <c r="CA35" s="137">
        <v>0</v>
      </c>
      <c r="CB35" s="126">
        <v>0</v>
      </c>
      <c r="CC35" s="126">
        <v>0</v>
      </c>
      <c r="CD35" s="126">
        <v>0</v>
      </c>
      <c r="CE35" s="126">
        <v>0</v>
      </c>
      <c r="CF35" s="126">
        <v>0</v>
      </c>
      <c r="CG35" s="137">
        <v>11016.692715734927</v>
      </c>
      <c r="CH35" s="126">
        <v>2019.9959999999999</v>
      </c>
      <c r="CI35" s="126">
        <v>8996.6967157349281</v>
      </c>
      <c r="CJ35" s="120"/>
      <c r="CK35" s="138">
        <v>455132.86659086519</v>
      </c>
      <c r="CL35" s="139">
        <v>47.758309260819111</v>
      </c>
      <c r="CM35" s="140">
        <v>154670.63999999998</v>
      </c>
      <c r="CN35" s="125">
        <v>460.68</v>
      </c>
      <c r="CO35" s="125">
        <v>0</v>
      </c>
      <c r="CP35" s="125">
        <v>0</v>
      </c>
      <c r="CQ35" s="125">
        <v>0</v>
      </c>
      <c r="CR35" s="125">
        <v>487.56000000000006</v>
      </c>
      <c r="CS35" s="125">
        <v>5295.24</v>
      </c>
      <c r="CT35" s="125">
        <v>0</v>
      </c>
      <c r="CU35" s="141">
        <v>0</v>
      </c>
      <c r="CV35" s="142">
        <v>-300462.22659086518</v>
      </c>
      <c r="CW35" s="143">
        <v>0</v>
      </c>
      <c r="CX35" s="140">
        <v>141155.55000000002</v>
      </c>
      <c r="CY35" s="140">
        <v>110746.31</v>
      </c>
    </row>
    <row r="36" spans="1:103" ht="12" customHeight="1" x14ac:dyDescent="0.25">
      <c r="A36" s="122">
        <v>32</v>
      </c>
      <c r="B36" s="123" t="s">
        <v>83</v>
      </c>
      <c r="C36" s="124">
        <v>3900.4</v>
      </c>
      <c r="D36" s="125">
        <v>3900.4</v>
      </c>
      <c r="E36" s="125">
        <v>0</v>
      </c>
      <c r="F36" s="125">
        <v>628</v>
      </c>
      <c r="G36" s="124">
        <v>3900.4</v>
      </c>
      <c r="H36" s="124">
        <v>3900.4</v>
      </c>
      <c r="I36" s="126">
        <v>1</v>
      </c>
      <c r="J36" s="126">
        <v>1</v>
      </c>
      <c r="K36" s="127">
        <v>3.8074327058252367E-3</v>
      </c>
      <c r="L36" s="127">
        <v>5.419101873541516E-3</v>
      </c>
      <c r="M36" s="127"/>
      <c r="N36" s="127"/>
      <c r="O36" s="128" t="s">
        <v>1489</v>
      </c>
      <c r="P36" s="129" t="s">
        <v>74</v>
      </c>
      <c r="Q36" s="130">
        <v>5.4</v>
      </c>
      <c r="R36" s="130">
        <v>2.67</v>
      </c>
      <c r="S36" s="130">
        <v>1.54</v>
      </c>
      <c r="T36" s="38">
        <v>0</v>
      </c>
      <c r="U36" s="131">
        <v>36.54</v>
      </c>
      <c r="V36" s="131"/>
      <c r="W36" s="132">
        <v>0</v>
      </c>
      <c r="X36" s="133">
        <v>134806.7608703057</v>
      </c>
      <c r="Y36" s="134">
        <v>117685.69</v>
      </c>
      <c r="Z36" s="134">
        <v>12974.327364503359</v>
      </c>
      <c r="AA36" s="134">
        <v>2454.3473953372772</v>
      </c>
      <c r="AB36" s="134">
        <v>1692.3961104650559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6">
        <v>0</v>
      </c>
      <c r="AI36" s="126">
        <v>0</v>
      </c>
      <c r="AJ36" s="126">
        <v>0</v>
      </c>
      <c r="AK36" s="126">
        <v>0</v>
      </c>
      <c r="AL36" s="126">
        <v>0</v>
      </c>
      <c r="AM36" s="126">
        <v>0</v>
      </c>
      <c r="AN36" s="126">
        <v>0</v>
      </c>
      <c r="AO36" s="126">
        <v>0</v>
      </c>
      <c r="AP36" s="126">
        <v>0</v>
      </c>
      <c r="AQ36" s="126">
        <v>0</v>
      </c>
      <c r="AR36" s="126">
        <v>0</v>
      </c>
      <c r="AS36" s="126">
        <v>0</v>
      </c>
      <c r="AT36" s="126">
        <v>0</v>
      </c>
      <c r="AU36" s="126">
        <v>0</v>
      </c>
      <c r="AV36" s="126">
        <v>0</v>
      </c>
      <c r="AW36" s="135">
        <v>636562.43158463214</v>
      </c>
      <c r="AX36" s="136">
        <v>594455.11636611901</v>
      </c>
      <c r="AY36" s="136">
        <v>24982.596528250786</v>
      </c>
      <c r="AZ36" s="126">
        <v>0</v>
      </c>
      <c r="BA36" s="126">
        <v>7549.5753729510006</v>
      </c>
      <c r="BB36" s="126">
        <v>0</v>
      </c>
      <c r="BC36" s="126">
        <v>0</v>
      </c>
      <c r="BD36" s="126">
        <v>1675.5829496346239</v>
      </c>
      <c r="BE36" s="126">
        <v>0</v>
      </c>
      <c r="BF36" s="126">
        <v>2195.5362311555555</v>
      </c>
      <c r="BG36" s="126">
        <v>1099.2540976533458</v>
      </c>
      <c r="BH36" s="126">
        <v>4604.7700388678868</v>
      </c>
      <c r="BI36" s="137">
        <v>581914.65659428237</v>
      </c>
      <c r="BJ36" s="126">
        <v>4121.4217040527246</v>
      </c>
      <c r="BK36" s="126">
        <v>5864.5403237211831</v>
      </c>
      <c r="BL36" s="126">
        <v>6291.2362181618028</v>
      </c>
      <c r="BM36" s="126">
        <v>6234.7821948626442</v>
      </c>
      <c r="BN36" s="126">
        <v>104869.60862371184</v>
      </c>
      <c r="BO36" s="126">
        <v>60206.391266321916</v>
      </c>
      <c r="BP36" s="126">
        <v>49394.665934322846</v>
      </c>
      <c r="BQ36" s="126">
        <v>267993.72435217752</v>
      </c>
      <c r="BR36" s="126">
        <v>10001.343135585143</v>
      </c>
      <c r="BS36" s="126">
        <v>11104.571915724266</v>
      </c>
      <c r="BT36" s="126">
        <v>55400.085682537494</v>
      </c>
      <c r="BU36" s="126">
        <v>0</v>
      </c>
      <c r="BV36" s="126">
        <v>432.28524310293545</v>
      </c>
      <c r="BW36" s="126">
        <v>66876.546961264627</v>
      </c>
      <c r="BX36" s="126">
        <v>237260.58799390704</v>
      </c>
      <c r="BY36" s="126">
        <v>208657.48181602333</v>
      </c>
      <c r="BZ36" s="126">
        <v>39722.952108883364</v>
      </c>
      <c r="CA36" s="137">
        <v>169532.29829655355</v>
      </c>
      <c r="CB36" s="126">
        <v>6559.4879999999994</v>
      </c>
      <c r="CC36" s="126">
        <v>161994.0814646878</v>
      </c>
      <c r="CD36" s="126">
        <v>0</v>
      </c>
      <c r="CE36" s="126">
        <v>0</v>
      </c>
      <c r="CF36" s="126">
        <v>978.72883186573108</v>
      </c>
      <c r="CG36" s="137">
        <v>0</v>
      </c>
      <c r="CH36" s="126">
        <v>0</v>
      </c>
      <c r="CI36" s="126">
        <v>0</v>
      </c>
      <c r="CJ36" s="120"/>
      <c r="CK36" s="138">
        <v>2075333.7162258523</v>
      </c>
      <c r="CL36" s="139">
        <v>44.340189814417585</v>
      </c>
      <c r="CM36" s="140">
        <v>1710247.2</v>
      </c>
      <c r="CN36" s="125">
        <v>2109.7200000000003</v>
      </c>
      <c r="CO36" s="125">
        <v>2109.7200000000003</v>
      </c>
      <c r="CP36" s="125">
        <v>0</v>
      </c>
      <c r="CQ36" s="125">
        <v>8222.1699999999983</v>
      </c>
      <c r="CR36" s="125">
        <v>4462.68</v>
      </c>
      <c r="CS36" s="125">
        <v>122923.20000000001</v>
      </c>
      <c r="CT36" s="125">
        <v>0</v>
      </c>
      <c r="CU36" s="141">
        <v>0</v>
      </c>
      <c r="CV36" s="142">
        <v>-365086.51622585231</v>
      </c>
      <c r="CW36" s="143">
        <v>0</v>
      </c>
      <c r="CX36" s="140">
        <v>1686518.2599999998</v>
      </c>
      <c r="CY36" s="140">
        <v>304079.14</v>
      </c>
    </row>
    <row r="37" spans="1:103" ht="12" customHeight="1" x14ac:dyDescent="0.25">
      <c r="A37" s="122">
        <v>33</v>
      </c>
      <c r="B37" s="123" t="s">
        <v>1346</v>
      </c>
      <c r="C37" s="124">
        <v>330.3</v>
      </c>
      <c r="D37" s="125">
        <v>330.3</v>
      </c>
      <c r="E37" s="125">
        <v>0</v>
      </c>
      <c r="F37" s="125">
        <v>148.6</v>
      </c>
      <c r="G37" s="124">
        <v>330.3</v>
      </c>
      <c r="H37" s="124"/>
      <c r="I37" s="126">
        <v>0</v>
      </c>
      <c r="J37" s="126">
        <v>0</v>
      </c>
      <c r="K37" s="127">
        <v>0</v>
      </c>
      <c r="L37" s="127">
        <v>0</v>
      </c>
      <c r="M37" s="127"/>
      <c r="N37" s="127"/>
      <c r="O37" s="128" t="s">
        <v>1488</v>
      </c>
      <c r="P37" s="129" t="s">
        <v>74</v>
      </c>
      <c r="Q37" s="130">
        <v>4</v>
      </c>
      <c r="R37" s="130">
        <v>2.0499999999999998</v>
      </c>
      <c r="S37" s="130">
        <v>0</v>
      </c>
      <c r="T37" s="38">
        <v>0</v>
      </c>
      <c r="U37" s="131">
        <v>16.02</v>
      </c>
      <c r="V37" s="131"/>
      <c r="W37" s="132">
        <v>0</v>
      </c>
      <c r="X37" s="133">
        <v>23411.48429711362</v>
      </c>
      <c r="Y37" s="134">
        <v>15535.06</v>
      </c>
      <c r="Z37" s="134">
        <v>1098.7130367386574</v>
      </c>
      <c r="AA37" s="134">
        <v>207.84302755612313</v>
      </c>
      <c r="AB37" s="134">
        <v>143.31823281884115</v>
      </c>
      <c r="AC37" s="126">
        <v>6426.55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26">
        <v>0</v>
      </c>
      <c r="AJ37" s="126">
        <v>0</v>
      </c>
      <c r="AK37" s="126">
        <v>0</v>
      </c>
      <c r="AL37" s="126">
        <v>0</v>
      </c>
      <c r="AM37" s="126">
        <v>0</v>
      </c>
      <c r="AN37" s="126">
        <v>0</v>
      </c>
      <c r="AO37" s="126">
        <v>0</v>
      </c>
      <c r="AP37" s="126">
        <v>0</v>
      </c>
      <c r="AQ37" s="126">
        <v>0</v>
      </c>
      <c r="AR37" s="126">
        <v>0</v>
      </c>
      <c r="AS37" s="126">
        <v>0</v>
      </c>
      <c r="AT37" s="126">
        <v>0</v>
      </c>
      <c r="AU37" s="126">
        <v>0</v>
      </c>
      <c r="AV37" s="126">
        <v>0</v>
      </c>
      <c r="AW37" s="135">
        <v>53267.087069715497</v>
      </c>
      <c r="AX37" s="136">
        <v>50340.612484803889</v>
      </c>
      <c r="AY37" s="136">
        <v>2115.6167657884407</v>
      </c>
      <c r="AZ37" s="126">
        <v>0</v>
      </c>
      <c r="BA37" s="126">
        <v>0</v>
      </c>
      <c r="BB37" s="126">
        <v>0</v>
      </c>
      <c r="BC37" s="126">
        <v>0</v>
      </c>
      <c r="BD37" s="126">
        <v>141.89443345921347</v>
      </c>
      <c r="BE37" s="126">
        <v>0</v>
      </c>
      <c r="BF37" s="126">
        <v>185.92596070933234</v>
      </c>
      <c r="BG37" s="126">
        <v>93.08881869933856</v>
      </c>
      <c r="BH37" s="126">
        <v>389.94860625527207</v>
      </c>
      <c r="BI37" s="137">
        <v>49278.640927364235</v>
      </c>
      <c r="BJ37" s="126">
        <v>349.01691848236464</v>
      </c>
      <c r="BK37" s="126">
        <v>496.63051710724716</v>
      </c>
      <c r="BL37" s="126">
        <v>532.76467102318827</v>
      </c>
      <c r="BM37" s="126">
        <v>527.98393984287031</v>
      </c>
      <c r="BN37" s="126">
        <v>8880.7383161757825</v>
      </c>
      <c r="BO37" s="126">
        <v>5098.4952915767944</v>
      </c>
      <c r="BP37" s="126">
        <v>4182.9192283116699</v>
      </c>
      <c r="BQ37" s="126">
        <v>22694.679303026416</v>
      </c>
      <c r="BR37" s="126">
        <v>846.94996351240195</v>
      </c>
      <c r="BS37" s="126">
        <v>940.37537272170164</v>
      </c>
      <c r="BT37" s="126">
        <v>4691.4799253774318</v>
      </c>
      <c r="BU37" s="126">
        <v>0</v>
      </c>
      <c r="BV37" s="126">
        <v>36.607480206363341</v>
      </c>
      <c r="BW37" s="126">
        <v>5663.3482364131132</v>
      </c>
      <c r="BX37" s="126">
        <v>20092.085994869118</v>
      </c>
      <c r="BY37" s="126">
        <v>17669.871357766515</v>
      </c>
      <c r="BZ37" s="126">
        <v>0</v>
      </c>
      <c r="CA37" s="137">
        <v>0</v>
      </c>
      <c r="CB37" s="126">
        <v>0</v>
      </c>
      <c r="CC37" s="126">
        <v>0</v>
      </c>
      <c r="CD37" s="126">
        <v>0</v>
      </c>
      <c r="CE37" s="126">
        <v>0</v>
      </c>
      <c r="CF37" s="126">
        <v>0</v>
      </c>
      <c r="CG37" s="137">
        <v>0</v>
      </c>
      <c r="CH37" s="126">
        <v>0</v>
      </c>
      <c r="CI37" s="126">
        <v>0</v>
      </c>
      <c r="CJ37" s="120"/>
      <c r="CK37" s="138">
        <v>169382.51788324208</v>
      </c>
      <c r="CL37" s="139">
        <v>42.734513544061478</v>
      </c>
      <c r="CM37" s="140">
        <v>63496.680000000008</v>
      </c>
      <c r="CN37" s="125">
        <v>713.52</v>
      </c>
      <c r="CO37" s="125">
        <v>0</v>
      </c>
      <c r="CP37" s="125">
        <v>0</v>
      </c>
      <c r="CQ37" s="125">
        <v>0</v>
      </c>
      <c r="CR37" s="125">
        <v>754.33</v>
      </c>
      <c r="CS37" s="125">
        <v>6150.369999999999</v>
      </c>
      <c r="CT37" s="125">
        <v>0</v>
      </c>
      <c r="CU37" s="141">
        <v>0</v>
      </c>
      <c r="CV37" s="142">
        <v>-105885.83788324207</v>
      </c>
      <c r="CW37" s="143">
        <v>0</v>
      </c>
      <c r="CX37" s="140">
        <v>58233.279999999999</v>
      </c>
      <c r="CY37" s="140">
        <v>34437.089999999997</v>
      </c>
    </row>
    <row r="38" spans="1:103" ht="12" customHeight="1" x14ac:dyDescent="0.25">
      <c r="A38" s="122">
        <v>34</v>
      </c>
      <c r="B38" s="123" t="s">
        <v>1347</v>
      </c>
      <c r="C38" s="124">
        <v>331.2</v>
      </c>
      <c r="D38" s="125">
        <v>331.2</v>
      </c>
      <c r="E38" s="125">
        <v>0</v>
      </c>
      <c r="F38" s="125">
        <v>41.4</v>
      </c>
      <c r="G38" s="124">
        <v>331.2</v>
      </c>
      <c r="H38" s="124"/>
      <c r="I38" s="126">
        <v>0</v>
      </c>
      <c r="J38" s="126">
        <v>0</v>
      </c>
      <c r="K38" s="127">
        <v>0</v>
      </c>
      <c r="L38" s="127">
        <v>0</v>
      </c>
      <c r="M38" s="127"/>
      <c r="N38" s="127"/>
      <c r="O38" s="128" t="s">
        <v>1488</v>
      </c>
      <c r="P38" s="129" t="s">
        <v>74</v>
      </c>
      <c r="Q38" s="130">
        <v>4</v>
      </c>
      <c r="R38" s="130">
        <v>2.0499999999999998</v>
      </c>
      <c r="S38" s="130">
        <v>0</v>
      </c>
      <c r="T38" s="38">
        <v>0</v>
      </c>
      <c r="U38" s="131">
        <v>16.02</v>
      </c>
      <c r="V38" s="131"/>
      <c r="W38" s="132">
        <v>0</v>
      </c>
      <c r="X38" s="133">
        <v>26931.16490827742</v>
      </c>
      <c r="Y38" s="134">
        <v>25477.34</v>
      </c>
      <c r="Z38" s="134">
        <v>1101.7068052311333</v>
      </c>
      <c r="AA38" s="134">
        <v>208.40935733148038</v>
      </c>
      <c r="AB38" s="134">
        <v>143.70874571480527</v>
      </c>
      <c r="AC38" s="126">
        <v>0</v>
      </c>
      <c r="AD38" s="126">
        <v>0</v>
      </c>
      <c r="AE38" s="126">
        <v>0</v>
      </c>
      <c r="AF38" s="126">
        <v>0</v>
      </c>
      <c r="AG38" s="126">
        <v>0</v>
      </c>
      <c r="AH38" s="126">
        <v>0</v>
      </c>
      <c r="AI38" s="126">
        <v>0</v>
      </c>
      <c r="AJ38" s="126">
        <v>0</v>
      </c>
      <c r="AK38" s="126">
        <v>0</v>
      </c>
      <c r="AL38" s="126">
        <v>0</v>
      </c>
      <c r="AM38" s="126">
        <v>0</v>
      </c>
      <c r="AN38" s="126">
        <v>0</v>
      </c>
      <c r="AO38" s="126">
        <v>0</v>
      </c>
      <c r="AP38" s="126">
        <v>0</v>
      </c>
      <c r="AQ38" s="126">
        <v>0</v>
      </c>
      <c r="AR38" s="126">
        <v>0</v>
      </c>
      <c r="AS38" s="126">
        <v>0</v>
      </c>
      <c r="AT38" s="126">
        <v>0</v>
      </c>
      <c r="AU38" s="126">
        <v>0</v>
      </c>
      <c r="AV38" s="126">
        <v>0</v>
      </c>
      <c r="AW38" s="135">
        <v>53412.228996335965</v>
      </c>
      <c r="AX38" s="136">
        <v>50477.78036623387</v>
      </c>
      <c r="AY38" s="136">
        <v>2121.3813891284635</v>
      </c>
      <c r="AZ38" s="126">
        <v>0</v>
      </c>
      <c r="BA38" s="126">
        <v>0</v>
      </c>
      <c r="BB38" s="126">
        <v>0</v>
      </c>
      <c r="BC38" s="126">
        <v>0</v>
      </c>
      <c r="BD38" s="126">
        <v>142.28106679288982</v>
      </c>
      <c r="BE38" s="126">
        <v>0</v>
      </c>
      <c r="BF38" s="126">
        <v>186.43257095649673</v>
      </c>
      <c r="BG38" s="126">
        <v>93.342466706693699</v>
      </c>
      <c r="BH38" s="126">
        <v>391.01113651754798</v>
      </c>
      <c r="BI38" s="137">
        <v>49412.915153324349</v>
      </c>
      <c r="BJ38" s="126">
        <v>349.96791826024571</v>
      </c>
      <c r="BK38" s="126">
        <v>497.98373377511427</v>
      </c>
      <c r="BL38" s="126">
        <v>534.21634587611243</v>
      </c>
      <c r="BM38" s="126">
        <v>529.42258818031678</v>
      </c>
      <c r="BN38" s="126">
        <v>8904.9365132225812</v>
      </c>
      <c r="BO38" s="126">
        <v>5112.3876493195103</v>
      </c>
      <c r="BP38" s="126">
        <v>4194.3168283888126</v>
      </c>
      <c r="BQ38" s="126">
        <v>22756.517666249918</v>
      </c>
      <c r="BR38" s="126">
        <v>849.25772908055558</v>
      </c>
      <c r="BS38" s="126">
        <v>942.93770343756455</v>
      </c>
      <c r="BT38" s="126">
        <v>4704.2632494247819</v>
      </c>
      <c r="BU38" s="126">
        <v>0</v>
      </c>
      <c r="BV38" s="126">
        <v>36.707228108832993</v>
      </c>
      <c r="BW38" s="126">
        <v>5678.7797029973444</v>
      </c>
      <c r="BX38" s="126">
        <v>20146.832823193006</v>
      </c>
      <c r="BY38" s="126">
        <v>17718.018146207294</v>
      </c>
      <c r="BZ38" s="126">
        <v>0</v>
      </c>
      <c r="CA38" s="137">
        <v>0</v>
      </c>
      <c r="CB38" s="126">
        <v>0</v>
      </c>
      <c r="CC38" s="126">
        <v>0</v>
      </c>
      <c r="CD38" s="126">
        <v>0</v>
      </c>
      <c r="CE38" s="126">
        <v>0</v>
      </c>
      <c r="CF38" s="126">
        <v>0</v>
      </c>
      <c r="CG38" s="137">
        <v>0</v>
      </c>
      <c r="CH38" s="126">
        <v>0</v>
      </c>
      <c r="CI38" s="126">
        <v>0</v>
      </c>
      <c r="CJ38" s="120"/>
      <c r="CK38" s="138">
        <v>173299.93973033535</v>
      </c>
      <c r="CL38" s="139">
        <v>43.604050858075517</v>
      </c>
      <c r="CM38" s="140">
        <v>63669.84</v>
      </c>
      <c r="CN38" s="125">
        <v>198.95999999999998</v>
      </c>
      <c r="CO38" s="125">
        <v>0</v>
      </c>
      <c r="CP38" s="125">
        <v>0</v>
      </c>
      <c r="CQ38" s="125">
        <v>0</v>
      </c>
      <c r="CR38" s="125">
        <v>210.36</v>
      </c>
      <c r="CS38" s="125">
        <v>1713.48</v>
      </c>
      <c r="CT38" s="125">
        <v>0</v>
      </c>
      <c r="CU38" s="141">
        <v>0</v>
      </c>
      <c r="CV38" s="142">
        <v>-109630.09973033535</v>
      </c>
      <c r="CW38" s="143">
        <v>0</v>
      </c>
      <c r="CX38" s="140">
        <v>58702.28</v>
      </c>
      <c r="CY38" s="140">
        <v>8444.5499999999993</v>
      </c>
    </row>
    <row r="39" spans="1:103" ht="12" customHeight="1" x14ac:dyDescent="0.25">
      <c r="A39" s="122">
        <v>35</v>
      </c>
      <c r="B39" s="123" t="s">
        <v>1490</v>
      </c>
      <c r="C39" s="124">
        <v>169.6</v>
      </c>
      <c r="D39" s="125">
        <v>169.6</v>
      </c>
      <c r="E39" s="125">
        <v>0</v>
      </c>
      <c r="F39" s="125">
        <v>11.9</v>
      </c>
      <c r="G39" s="149">
        <v>28.266666666666666</v>
      </c>
      <c r="H39" s="149"/>
      <c r="I39" s="126">
        <v>0</v>
      </c>
      <c r="J39" s="126">
        <v>0</v>
      </c>
      <c r="K39" s="127">
        <v>0</v>
      </c>
      <c r="L39" s="127">
        <v>0</v>
      </c>
      <c r="M39" s="127"/>
      <c r="N39" s="127"/>
      <c r="O39" s="128" t="s">
        <v>1488</v>
      </c>
      <c r="P39" s="129" t="s">
        <v>74</v>
      </c>
      <c r="Q39" s="130">
        <v>4</v>
      </c>
      <c r="R39" s="130">
        <v>2.0499999999999998</v>
      </c>
      <c r="S39" s="130">
        <v>0</v>
      </c>
      <c r="T39" s="38">
        <v>0</v>
      </c>
      <c r="U39" s="131">
        <v>16.02</v>
      </c>
      <c r="V39" s="131"/>
      <c r="W39" s="132">
        <v>0</v>
      </c>
      <c r="X39" s="133">
        <v>124.07845432963479</v>
      </c>
      <c r="Y39" s="134">
        <v>0</v>
      </c>
      <c r="Z39" s="134">
        <v>94.026506726650666</v>
      </c>
      <c r="AA39" s="134">
        <v>17.786949981591725</v>
      </c>
      <c r="AB39" s="134">
        <v>12.2649976213924</v>
      </c>
      <c r="AC39" s="126">
        <v>0</v>
      </c>
      <c r="AD39" s="126">
        <v>0</v>
      </c>
      <c r="AE39" s="126">
        <v>0</v>
      </c>
      <c r="AF39" s="126">
        <v>0</v>
      </c>
      <c r="AG39" s="126">
        <v>0</v>
      </c>
      <c r="AH39" s="126">
        <v>0</v>
      </c>
      <c r="AI39" s="126">
        <v>0</v>
      </c>
      <c r="AJ39" s="126">
        <v>0</v>
      </c>
      <c r="AK39" s="126">
        <v>0</v>
      </c>
      <c r="AL39" s="126">
        <v>0</v>
      </c>
      <c r="AM39" s="126">
        <v>0</v>
      </c>
      <c r="AN39" s="126">
        <v>0</v>
      </c>
      <c r="AO39" s="126">
        <v>0</v>
      </c>
      <c r="AP39" s="126">
        <v>0</v>
      </c>
      <c r="AQ39" s="126">
        <v>0</v>
      </c>
      <c r="AR39" s="126">
        <v>0</v>
      </c>
      <c r="AS39" s="126">
        <v>0</v>
      </c>
      <c r="AT39" s="126">
        <v>0</v>
      </c>
      <c r="AU39" s="126">
        <v>0</v>
      </c>
      <c r="AV39" s="126">
        <v>0</v>
      </c>
      <c r="AW39" s="135">
        <v>4558.5316212653888</v>
      </c>
      <c r="AX39" s="136">
        <v>4308.0875352824396</v>
      </c>
      <c r="AY39" s="136">
        <v>181.05187379035198</v>
      </c>
      <c r="AZ39" s="126">
        <v>0</v>
      </c>
      <c r="BA39" s="126">
        <v>0</v>
      </c>
      <c r="BB39" s="126">
        <v>0</v>
      </c>
      <c r="BC39" s="126">
        <v>0</v>
      </c>
      <c r="BD39" s="126">
        <v>12.143150628056619</v>
      </c>
      <c r="BE39" s="126">
        <v>0</v>
      </c>
      <c r="BF39" s="126">
        <v>15.911314429459463</v>
      </c>
      <c r="BG39" s="126">
        <v>7.9664263050801383</v>
      </c>
      <c r="BH39" s="126">
        <v>33.371320830000066</v>
      </c>
      <c r="BI39" s="137">
        <v>4217.2053190437846</v>
      </c>
      <c r="BJ39" s="126">
        <v>29.868437468265736</v>
      </c>
      <c r="BK39" s="126">
        <v>42.501027198198159</v>
      </c>
      <c r="BL39" s="126">
        <v>45.59334352887916</v>
      </c>
      <c r="BM39" s="126">
        <v>45.184214450171964</v>
      </c>
      <c r="BN39" s="126">
        <v>760.00263317358588</v>
      </c>
      <c r="BO39" s="126">
        <v>436.32293947493406</v>
      </c>
      <c r="BP39" s="126">
        <v>357.9690690895444</v>
      </c>
      <c r="BQ39" s="126">
        <v>1942.1826671678675</v>
      </c>
      <c r="BR39" s="126">
        <v>72.480933399789762</v>
      </c>
      <c r="BS39" s="126">
        <v>80.476164705621443</v>
      </c>
      <c r="BT39" s="126">
        <v>401.49106637602802</v>
      </c>
      <c r="BU39" s="126">
        <v>0</v>
      </c>
      <c r="BV39" s="126">
        <v>3.13282301089879</v>
      </c>
      <c r="BW39" s="126">
        <v>484.66235790476532</v>
      </c>
      <c r="BX39" s="126">
        <v>1719.4559414319315</v>
      </c>
      <c r="BY39" s="126">
        <v>1512.1657999178526</v>
      </c>
      <c r="BZ39" s="126">
        <v>0</v>
      </c>
      <c r="CA39" s="137">
        <v>0</v>
      </c>
      <c r="CB39" s="126">
        <v>0</v>
      </c>
      <c r="CC39" s="126">
        <v>0</v>
      </c>
      <c r="CD39" s="126">
        <v>0</v>
      </c>
      <c r="CE39" s="126">
        <v>0</v>
      </c>
      <c r="CF39" s="126">
        <v>0</v>
      </c>
      <c r="CG39" s="137">
        <v>0</v>
      </c>
      <c r="CH39" s="126">
        <v>0</v>
      </c>
      <c r="CI39" s="126">
        <v>0</v>
      </c>
      <c r="CJ39" s="120"/>
      <c r="CK39" s="138">
        <v>12616.099493893358</v>
      </c>
      <c r="CL39" s="139">
        <v>37.193689545676172</v>
      </c>
      <c r="CM39" s="147">
        <v>-1306.9400000000005</v>
      </c>
      <c r="CN39" s="148">
        <v>-1.3399999999999999</v>
      </c>
      <c r="CO39" s="148">
        <v>0</v>
      </c>
      <c r="CP39" s="148">
        <v>0</v>
      </c>
      <c r="CQ39" s="148">
        <v>0</v>
      </c>
      <c r="CR39" s="148">
        <v>-1.4000000000000004</v>
      </c>
      <c r="CS39" s="148">
        <v>-13.11999999999999</v>
      </c>
      <c r="CT39" s="125">
        <v>0</v>
      </c>
      <c r="CU39" s="141">
        <v>0</v>
      </c>
      <c r="CV39" s="142">
        <v>-13923.039493893359</v>
      </c>
      <c r="CW39" s="143">
        <v>0</v>
      </c>
      <c r="CX39" s="140">
        <v>1994.49</v>
      </c>
      <c r="CY39" s="140">
        <v>16905.849999999999</v>
      </c>
    </row>
    <row r="40" spans="1:103" ht="12" customHeight="1" x14ac:dyDescent="0.25">
      <c r="A40" s="122">
        <v>36</v>
      </c>
      <c r="B40" s="123" t="s">
        <v>84</v>
      </c>
      <c r="C40" s="124">
        <v>10785.62</v>
      </c>
      <c r="D40" s="125">
        <v>10785.62</v>
      </c>
      <c r="E40" s="125">
        <v>0</v>
      </c>
      <c r="F40" s="125">
        <v>980.8</v>
      </c>
      <c r="G40" s="124">
        <v>10785.62</v>
      </c>
      <c r="H40" s="124">
        <v>10785.62</v>
      </c>
      <c r="I40" s="126">
        <v>6</v>
      </c>
      <c r="J40" s="126">
        <v>0</v>
      </c>
      <c r="K40" s="127">
        <v>1.0096524543095226E-2</v>
      </c>
      <c r="L40" s="127">
        <v>1.4370338045380191E-2</v>
      </c>
      <c r="M40" s="127"/>
      <c r="N40" s="127"/>
      <c r="O40" s="128" t="s">
        <v>1488</v>
      </c>
      <c r="P40" s="129" t="s">
        <v>51</v>
      </c>
      <c r="Q40" s="130">
        <v>6.91</v>
      </c>
      <c r="R40" s="130">
        <v>3.15</v>
      </c>
      <c r="S40" s="130">
        <v>1.81</v>
      </c>
      <c r="T40" s="38">
        <v>0.26</v>
      </c>
      <c r="U40" s="131">
        <v>45.06</v>
      </c>
      <c r="V40" s="144">
        <v>6</v>
      </c>
      <c r="W40" s="132">
        <v>1.4457831325301205E-2</v>
      </c>
      <c r="X40" s="133">
        <v>130612.80077896813</v>
      </c>
      <c r="Y40" s="134">
        <v>69318.61</v>
      </c>
      <c r="Z40" s="134">
        <v>34827.366942681649</v>
      </c>
      <c r="AA40" s="134">
        <v>6786.9086129878069</v>
      </c>
      <c r="AB40" s="134">
        <v>4679.9152232986662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6">
        <v>0</v>
      </c>
      <c r="AI40" s="126">
        <v>0</v>
      </c>
      <c r="AJ40" s="126">
        <v>0</v>
      </c>
      <c r="AK40" s="126">
        <v>0</v>
      </c>
      <c r="AL40" s="126">
        <v>0</v>
      </c>
      <c r="AM40" s="126">
        <v>15000</v>
      </c>
      <c r="AN40" s="126">
        <v>0</v>
      </c>
      <c r="AO40" s="126">
        <v>0</v>
      </c>
      <c r="AP40" s="126">
        <v>0</v>
      </c>
      <c r="AQ40" s="126">
        <v>0</v>
      </c>
      <c r="AR40" s="126">
        <v>0</v>
      </c>
      <c r="AS40" s="126">
        <v>0</v>
      </c>
      <c r="AT40" s="126">
        <v>0</v>
      </c>
      <c r="AU40" s="126">
        <v>0</v>
      </c>
      <c r="AV40" s="126">
        <v>0</v>
      </c>
      <c r="AW40" s="135">
        <v>1251335.4507294642</v>
      </c>
      <c r="AX40" s="136">
        <v>1034639.7759655702</v>
      </c>
      <c r="AY40" s="136">
        <v>69083.374209576519</v>
      </c>
      <c r="AZ40" s="126">
        <v>0</v>
      </c>
      <c r="BA40" s="126">
        <v>0</v>
      </c>
      <c r="BB40" s="126">
        <v>0</v>
      </c>
      <c r="BC40" s="126">
        <v>0</v>
      </c>
      <c r="BD40" s="126">
        <v>4633.4224626290106</v>
      </c>
      <c r="BE40" s="126">
        <v>121134.54</v>
      </c>
      <c r="BF40" s="126">
        <v>6071.2284600235826</v>
      </c>
      <c r="BG40" s="126">
        <v>3039.7233567664548</v>
      </c>
      <c r="BH40" s="126">
        <v>12733.386274898539</v>
      </c>
      <c r="BI40" s="137">
        <v>1609145.3077777724</v>
      </c>
      <c r="BJ40" s="126">
        <v>11396.80247145553</v>
      </c>
      <c r="BK40" s="126">
        <v>16216.978619201536</v>
      </c>
      <c r="BL40" s="126">
        <v>17396.903696885012</v>
      </c>
      <c r="BM40" s="126">
        <v>17240.793645922069</v>
      </c>
      <c r="BN40" s="126">
        <v>289991.73114656931</v>
      </c>
      <c r="BO40" s="126">
        <v>166486.32390777025</v>
      </c>
      <c r="BP40" s="126">
        <v>136589.09260448959</v>
      </c>
      <c r="BQ40" s="126">
        <v>741072.31905633595</v>
      </c>
      <c r="BR40" s="126">
        <v>27656.313852433039</v>
      </c>
      <c r="BS40" s="126">
        <v>30707.028239584135</v>
      </c>
      <c r="BT40" s="126">
        <v>153195.63945730953</v>
      </c>
      <c r="BU40" s="126">
        <v>0</v>
      </c>
      <c r="BV40" s="126">
        <v>1195.3810798163991</v>
      </c>
      <c r="BW40" s="126">
        <v>184931.03846691494</v>
      </c>
      <c r="BX40" s="126">
        <v>656087.20722973126</v>
      </c>
      <c r="BY40" s="126">
        <v>576992.18260294781</v>
      </c>
      <c r="BZ40" s="126">
        <v>109844.28948944074</v>
      </c>
      <c r="CA40" s="137">
        <v>447858.09968383668</v>
      </c>
      <c r="CB40" s="126">
        <v>15576.84</v>
      </c>
      <c r="CC40" s="126">
        <v>429574.82002032839</v>
      </c>
      <c r="CD40" s="126">
        <v>0</v>
      </c>
      <c r="CE40" s="126">
        <v>0</v>
      </c>
      <c r="CF40" s="126">
        <v>2706.439663508273</v>
      </c>
      <c r="CG40" s="137">
        <v>158685.64924927591</v>
      </c>
      <c r="CH40" s="126">
        <v>36500.003999999994</v>
      </c>
      <c r="CI40" s="126">
        <v>122185.64524927593</v>
      </c>
      <c r="CJ40" s="120"/>
      <c r="CK40" s="138">
        <v>5125492.0260083526</v>
      </c>
      <c r="CL40" s="139">
        <v>39.601277951633385</v>
      </c>
      <c r="CM40" s="140">
        <v>5591215.5800000001</v>
      </c>
      <c r="CN40" s="125">
        <v>5649.83</v>
      </c>
      <c r="CO40" s="125">
        <v>5649.83</v>
      </c>
      <c r="CP40" s="125">
        <v>0</v>
      </c>
      <c r="CQ40" s="125">
        <v>22036.65</v>
      </c>
      <c r="CR40" s="125">
        <v>11948.08</v>
      </c>
      <c r="CS40" s="125">
        <v>255883.57</v>
      </c>
      <c r="CT40" s="125">
        <v>0</v>
      </c>
      <c r="CU40" s="141">
        <v>5319.3253012048199</v>
      </c>
      <c r="CV40" s="142">
        <v>471042.87929285225</v>
      </c>
      <c r="CW40" s="143">
        <v>9.0864165162762855E-2</v>
      </c>
      <c r="CX40" s="140">
        <v>5510130.25</v>
      </c>
      <c r="CY40" s="140">
        <v>1430589.75</v>
      </c>
    </row>
    <row r="41" spans="1:103" ht="12" customHeight="1" x14ac:dyDescent="0.25">
      <c r="A41" s="122">
        <v>37</v>
      </c>
      <c r="B41" s="123" t="s">
        <v>85</v>
      </c>
      <c r="C41" s="124">
        <v>10772.68</v>
      </c>
      <c r="D41" s="125">
        <v>10772.68</v>
      </c>
      <c r="E41" s="125">
        <v>0</v>
      </c>
      <c r="F41" s="125">
        <v>1031.5999999999999</v>
      </c>
      <c r="G41" s="124">
        <v>10772.68</v>
      </c>
      <c r="H41" s="124">
        <v>10772.68</v>
      </c>
      <c r="I41" s="126">
        <v>6</v>
      </c>
      <c r="J41" s="126">
        <v>0</v>
      </c>
      <c r="K41" s="127">
        <v>1.0096524543095226E-2</v>
      </c>
      <c r="L41" s="127">
        <v>1.4370338045380191E-2</v>
      </c>
      <c r="M41" s="127"/>
      <c r="N41" s="127"/>
      <c r="O41" s="128" t="s">
        <v>1489</v>
      </c>
      <c r="P41" s="129" t="s">
        <v>51</v>
      </c>
      <c r="Q41" s="130">
        <v>6.91</v>
      </c>
      <c r="R41" s="130">
        <v>3.15</v>
      </c>
      <c r="S41" s="130">
        <v>1.81</v>
      </c>
      <c r="T41" s="38">
        <v>0.26</v>
      </c>
      <c r="U41" s="131">
        <v>45.06</v>
      </c>
      <c r="V41" s="144">
        <v>6</v>
      </c>
      <c r="W41" s="132">
        <v>1.4457831325301205E-2</v>
      </c>
      <c r="X41" s="133">
        <v>589720.42952786898</v>
      </c>
      <c r="Y41" s="134">
        <v>110970.34</v>
      </c>
      <c r="Z41" s="134">
        <v>34785.582962879067</v>
      </c>
      <c r="AA41" s="134">
        <v>6778.7660493287813</v>
      </c>
      <c r="AB41" s="134">
        <v>4674.3005156611371</v>
      </c>
      <c r="AC41" s="126">
        <v>195972.04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26">
        <v>0</v>
      </c>
      <c r="AJ41" s="126">
        <v>0</v>
      </c>
      <c r="AK41" s="126">
        <v>0</v>
      </c>
      <c r="AL41" s="126">
        <v>0</v>
      </c>
      <c r="AM41" s="126">
        <v>15000</v>
      </c>
      <c r="AN41" s="126">
        <v>0</v>
      </c>
      <c r="AO41" s="126">
        <v>0</v>
      </c>
      <c r="AP41" s="126">
        <v>221539.4</v>
      </c>
      <c r="AQ41" s="126">
        <v>0</v>
      </c>
      <c r="AR41" s="126">
        <v>0</v>
      </c>
      <c r="AS41" s="126">
        <v>0</v>
      </c>
      <c r="AT41" s="126">
        <v>0</v>
      </c>
      <c r="AU41" s="126">
        <v>0</v>
      </c>
      <c r="AV41" s="126">
        <v>0</v>
      </c>
      <c r="AW41" s="135">
        <v>1149696.4492336407</v>
      </c>
      <c r="AX41" s="136">
        <v>1033398.4714600346</v>
      </c>
      <c r="AY41" s="136">
        <v>69000.491736221069</v>
      </c>
      <c r="AZ41" s="126">
        <v>0</v>
      </c>
      <c r="BA41" s="126">
        <v>20851.492059450771</v>
      </c>
      <c r="BB41" s="126">
        <v>0</v>
      </c>
      <c r="BC41" s="126">
        <v>0</v>
      </c>
      <c r="BD41" s="126">
        <v>4627.8635344759305</v>
      </c>
      <c r="BE41" s="126">
        <v>0</v>
      </c>
      <c r="BF41" s="126">
        <v>6063.9445304699075</v>
      </c>
      <c r="BG41" s="126">
        <v>3036.0764620829259</v>
      </c>
      <c r="BH41" s="126">
        <v>12718.109450905371</v>
      </c>
      <c r="BI41" s="137">
        <v>1607214.7427956345</v>
      </c>
      <c r="BJ41" s="126">
        <v>11383.12920798244</v>
      </c>
      <c r="BK41" s="126">
        <v>16197.522370665756</v>
      </c>
      <c r="BL41" s="126">
        <v>17376.03183844408</v>
      </c>
      <c r="BM41" s="126">
        <v>17220.109079825892</v>
      </c>
      <c r="BN41" s="126">
        <v>289643.81484680751</v>
      </c>
      <c r="BO41" s="126">
        <v>166286.58267533607</v>
      </c>
      <c r="BP41" s="126">
        <v>136425.22044338044</v>
      </c>
      <c r="BQ41" s="126">
        <v>740183.22081176692</v>
      </c>
      <c r="BR41" s="126">
        <v>27623.133311930917</v>
      </c>
      <c r="BS41" s="126">
        <v>30670.187617958283</v>
      </c>
      <c r="BT41" s="126">
        <v>153011.84366489539</v>
      </c>
      <c r="BU41" s="126">
        <v>0</v>
      </c>
      <c r="BV41" s="126">
        <v>1193.9469266408908</v>
      </c>
      <c r="BW41" s="126">
        <v>184709.16826958163</v>
      </c>
      <c r="BX41" s="126">
        <v>655300.06949805212</v>
      </c>
      <c r="BY41" s="126">
        <v>576299.93877803255</v>
      </c>
      <c r="BZ41" s="126">
        <v>109712.50428784886</v>
      </c>
      <c r="CA41" s="137">
        <v>447854.85264479346</v>
      </c>
      <c r="CB41" s="126">
        <v>15576.84</v>
      </c>
      <c r="CC41" s="126">
        <v>429574.82002032839</v>
      </c>
      <c r="CD41" s="126">
        <v>0</v>
      </c>
      <c r="CE41" s="126">
        <v>0</v>
      </c>
      <c r="CF41" s="126">
        <v>2703.1926244650099</v>
      </c>
      <c r="CG41" s="137">
        <v>158539.05756057135</v>
      </c>
      <c r="CH41" s="126">
        <v>36500.003999999994</v>
      </c>
      <c r="CI41" s="126">
        <v>122039.05356057137</v>
      </c>
      <c r="CJ41" s="120"/>
      <c r="CK41" s="138">
        <v>5479047.2125960253</v>
      </c>
      <c r="CL41" s="139">
        <v>42.383814214878321</v>
      </c>
      <c r="CM41" s="140">
        <v>5557073.0700000003</v>
      </c>
      <c r="CN41" s="125">
        <v>5942.8399999999992</v>
      </c>
      <c r="CO41" s="125">
        <v>6762.48</v>
      </c>
      <c r="CP41" s="125">
        <v>0</v>
      </c>
      <c r="CQ41" s="125">
        <v>23177.960000000003</v>
      </c>
      <c r="CR41" s="125">
        <v>12567.24</v>
      </c>
      <c r="CS41" s="125">
        <v>269260.28000000003</v>
      </c>
      <c r="CT41" s="125">
        <v>0</v>
      </c>
      <c r="CU41" s="141">
        <v>5319.3253012048199</v>
      </c>
      <c r="CV41" s="142">
        <v>83345.182705179788</v>
      </c>
      <c r="CW41" s="143">
        <v>1.4240771137105313E-2</v>
      </c>
      <c r="CX41" s="140">
        <v>5337330.01</v>
      </c>
      <c r="CY41" s="140">
        <v>1680767.45</v>
      </c>
    </row>
    <row r="42" spans="1:103" ht="12" customHeight="1" x14ac:dyDescent="0.25">
      <c r="A42" s="122">
        <v>38</v>
      </c>
      <c r="B42" s="123" t="s">
        <v>86</v>
      </c>
      <c r="C42" s="124">
        <v>10745.800000000001</v>
      </c>
      <c r="D42" s="125">
        <v>10719.1</v>
      </c>
      <c r="E42" s="125">
        <v>26.7</v>
      </c>
      <c r="F42" s="125">
        <v>907.7</v>
      </c>
      <c r="G42" s="124">
        <v>10745.800000000001</v>
      </c>
      <c r="H42" s="124">
        <v>10745.800000000001</v>
      </c>
      <c r="I42" s="126">
        <v>6</v>
      </c>
      <c r="J42" s="126">
        <v>0</v>
      </c>
      <c r="K42" s="127">
        <v>1.0382752114190562E-2</v>
      </c>
      <c r="L42" s="127">
        <v>1.4777724462061659E-2</v>
      </c>
      <c r="M42" s="127"/>
      <c r="N42" s="127"/>
      <c r="O42" s="128" t="s">
        <v>1489</v>
      </c>
      <c r="P42" s="129" t="s">
        <v>51</v>
      </c>
      <c r="Q42" s="130">
        <v>6.91</v>
      </c>
      <c r="R42" s="130">
        <v>3.15</v>
      </c>
      <c r="S42" s="130">
        <v>1.81</v>
      </c>
      <c r="T42" s="38">
        <v>0.26</v>
      </c>
      <c r="U42" s="131">
        <v>45.06</v>
      </c>
      <c r="V42" s="144">
        <v>6</v>
      </c>
      <c r="W42" s="132">
        <v>1.4457831325301205E-2</v>
      </c>
      <c r="X42" s="133">
        <v>1045554.2937699612</v>
      </c>
      <c r="Y42" s="134">
        <v>42904.36</v>
      </c>
      <c r="Z42" s="134">
        <v>34698.785947647746</v>
      </c>
      <c r="AA42" s="134">
        <v>6761.851666704777</v>
      </c>
      <c r="AB42" s="134">
        <v>4662.637197168342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294488.53000000003</v>
      </c>
      <c r="AQ42" s="126">
        <v>0</v>
      </c>
      <c r="AR42" s="126">
        <v>0</v>
      </c>
      <c r="AS42" s="126">
        <v>0</v>
      </c>
      <c r="AT42" s="126">
        <v>662038.12895844039</v>
      </c>
      <c r="AU42" s="126">
        <v>0</v>
      </c>
      <c r="AV42" s="126">
        <v>0</v>
      </c>
      <c r="AW42" s="135">
        <v>1146827.725707517</v>
      </c>
      <c r="AX42" s="136">
        <v>1030819.9347437444</v>
      </c>
      <c r="AY42" s="136">
        <v>68828.321652465718</v>
      </c>
      <c r="AZ42" s="126">
        <v>0</v>
      </c>
      <c r="BA42" s="126">
        <v>20799.463399306958</v>
      </c>
      <c r="BB42" s="126">
        <v>0</v>
      </c>
      <c r="BC42" s="126">
        <v>0</v>
      </c>
      <c r="BD42" s="126">
        <v>4616.3160855767983</v>
      </c>
      <c r="BE42" s="126">
        <v>0</v>
      </c>
      <c r="BF42" s="126">
        <v>6048.8137710879309</v>
      </c>
      <c r="BG42" s="126">
        <v>3028.5008415965858</v>
      </c>
      <c r="BH42" s="126">
        <v>12686.375213738731</v>
      </c>
      <c r="BI42" s="137">
        <v>1603204.419246959</v>
      </c>
      <c r="BJ42" s="126">
        <v>11354.726014616392</v>
      </c>
      <c r="BK42" s="126">
        <v>16157.106299518791</v>
      </c>
      <c r="BL42" s="126">
        <v>17332.675149503411</v>
      </c>
      <c r="BM42" s="126">
        <v>17177.141449480827</v>
      </c>
      <c r="BN42" s="126">
        <v>288921.09536167642</v>
      </c>
      <c r="BO42" s="126">
        <v>165871.66425742029</v>
      </c>
      <c r="BP42" s="126">
        <v>136084.81212107642</v>
      </c>
      <c r="BQ42" s="126">
        <v>738336.31503015826</v>
      </c>
      <c r="BR42" s="126">
        <v>27554.208046962063</v>
      </c>
      <c r="BS42" s="126">
        <v>30593.659340577844</v>
      </c>
      <c r="BT42" s="126">
        <v>152630.04838668124</v>
      </c>
      <c r="BU42" s="126">
        <v>0</v>
      </c>
      <c r="BV42" s="126">
        <v>1190.9677892871305</v>
      </c>
      <c r="BW42" s="126">
        <v>184248.28180093257</v>
      </c>
      <c r="BX42" s="126">
        <v>653664.96422544518</v>
      </c>
      <c r="BY42" s="126">
        <v>574861.95469660126</v>
      </c>
      <c r="BZ42" s="126">
        <v>109438.74955687595</v>
      </c>
      <c r="CA42" s="137">
        <v>460026.17513008439</v>
      </c>
      <c r="CB42" s="126">
        <v>15576.84</v>
      </c>
      <c r="CC42" s="126">
        <v>441752.88751408015</v>
      </c>
      <c r="CD42" s="126">
        <v>0</v>
      </c>
      <c r="CE42" s="126">
        <v>0</v>
      </c>
      <c r="CF42" s="126">
        <v>2696.4476160041982</v>
      </c>
      <c r="CG42" s="137">
        <v>158234.54561371059</v>
      </c>
      <c r="CH42" s="126">
        <v>36500.003999999994</v>
      </c>
      <c r="CI42" s="126">
        <v>121734.54161371059</v>
      </c>
      <c r="CJ42" s="120"/>
      <c r="CK42" s="138">
        <v>5936061.1097480869</v>
      </c>
      <c r="CL42" s="139">
        <v>46.033962957218058</v>
      </c>
      <c r="CM42" s="140">
        <v>5558112.0700000003</v>
      </c>
      <c r="CN42" s="125">
        <v>5214.46</v>
      </c>
      <c r="CO42" s="125">
        <v>5214.58</v>
      </c>
      <c r="CP42" s="125">
        <v>0</v>
      </c>
      <c r="CQ42" s="125">
        <v>20342.89</v>
      </c>
      <c r="CR42" s="125">
        <v>11030.29</v>
      </c>
      <c r="CS42" s="125">
        <v>236962.38</v>
      </c>
      <c r="CT42" s="125">
        <v>457127.3696101344</v>
      </c>
      <c r="CU42" s="141">
        <v>5319.3253012048199</v>
      </c>
      <c r="CV42" s="142">
        <v>84497.655163252726</v>
      </c>
      <c r="CW42" s="143">
        <v>-6.3670004866935415E-2</v>
      </c>
      <c r="CX42" s="140">
        <v>5462603.0199999996</v>
      </c>
      <c r="CY42" s="140">
        <v>1206197.0599999998</v>
      </c>
    </row>
    <row r="43" spans="1:103" ht="12" customHeight="1" x14ac:dyDescent="0.25">
      <c r="A43" s="122">
        <v>39</v>
      </c>
      <c r="B43" s="123" t="s">
        <v>87</v>
      </c>
      <c r="C43" s="124">
        <v>4054.4</v>
      </c>
      <c r="D43" s="125">
        <v>3427.5</v>
      </c>
      <c r="E43" s="125">
        <v>626.9</v>
      </c>
      <c r="F43" s="125">
        <v>442.5</v>
      </c>
      <c r="G43" s="124">
        <v>4054.4</v>
      </c>
      <c r="H43" s="124">
        <v>4054.4</v>
      </c>
      <c r="I43" s="126">
        <v>2</v>
      </c>
      <c r="J43" s="126">
        <v>0</v>
      </c>
      <c r="K43" s="127">
        <v>3.708982375239572E-3</v>
      </c>
      <c r="L43" s="127">
        <v>5.2789779600941949E-3</v>
      </c>
      <c r="M43" s="127"/>
      <c r="N43" s="127"/>
      <c r="O43" s="128" t="s">
        <v>1488</v>
      </c>
      <c r="P43" s="129" t="s">
        <v>51</v>
      </c>
      <c r="Q43" s="130">
        <v>6.91</v>
      </c>
      <c r="R43" s="130">
        <v>3.15</v>
      </c>
      <c r="S43" s="130">
        <v>1.81</v>
      </c>
      <c r="T43" s="38">
        <v>0.26</v>
      </c>
      <c r="U43" s="131">
        <v>45.06</v>
      </c>
      <c r="V43" s="144">
        <v>1</v>
      </c>
      <c r="W43" s="132">
        <v>2.4096385542168672E-3</v>
      </c>
      <c r="X43" s="133">
        <v>99629.233049175498</v>
      </c>
      <c r="Y43" s="134">
        <v>29692.68</v>
      </c>
      <c r="Z43" s="134">
        <v>13091.883130724842</v>
      </c>
      <c r="AA43" s="134">
        <v>2551.2527124539679</v>
      </c>
      <c r="AB43" s="134">
        <v>1759.2172059966986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52534.2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35">
        <v>469578.0676186051</v>
      </c>
      <c r="AX43" s="136">
        <v>388929.28804044717</v>
      </c>
      <c r="AY43" s="136">
        <v>25968.987633099165</v>
      </c>
      <c r="AZ43" s="126">
        <v>0</v>
      </c>
      <c r="BA43" s="126">
        <v>0</v>
      </c>
      <c r="BB43" s="126">
        <v>0</v>
      </c>
      <c r="BC43" s="126">
        <v>0</v>
      </c>
      <c r="BD43" s="126">
        <v>1741.7402089525738</v>
      </c>
      <c r="BE43" s="126">
        <v>44726.592000000004</v>
      </c>
      <c r="BF43" s="126">
        <v>2282.2228734481291</v>
      </c>
      <c r="BG43" s="126">
        <v>1142.656090023004</v>
      </c>
      <c r="BH43" s="126">
        <v>4786.580772635104</v>
      </c>
      <c r="BI43" s="137">
        <v>604890.46859190287</v>
      </c>
      <c r="BJ43" s="126">
        <v>4284.1483327123797</v>
      </c>
      <c r="BK43" s="126">
        <v>6096.0907313340085</v>
      </c>
      <c r="BL43" s="126">
        <v>6539.6339152177252</v>
      </c>
      <c r="BM43" s="126">
        <v>6480.9509103812698</v>
      </c>
      <c r="BN43" s="126">
        <v>109010.18900727548</v>
      </c>
      <c r="BO43" s="126">
        <v>62583.528035631112</v>
      </c>
      <c r="BP43" s="126">
        <v>51344.921947522962</v>
      </c>
      <c r="BQ43" s="126">
        <v>278574.95539264393</v>
      </c>
      <c r="BR43" s="126">
        <v>10396.227466135884</v>
      </c>
      <c r="BS43" s="126">
        <v>11543.015171549703</v>
      </c>
      <c r="BT43" s="126">
        <v>57587.454463972928</v>
      </c>
      <c r="BU43" s="126">
        <v>0</v>
      </c>
      <c r="BV43" s="126">
        <v>449.35321752552085</v>
      </c>
      <c r="BW43" s="126">
        <v>69517.042354566525</v>
      </c>
      <c r="BX43" s="126">
        <v>246628.3786182178</v>
      </c>
      <c r="BY43" s="126">
        <v>216895.93228255693</v>
      </c>
      <c r="BZ43" s="126">
        <v>41291.338588415732</v>
      </c>
      <c r="CA43" s="137">
        <v>164835.30695531864</v>
      </c>
      <c r="CB43" s="126">
        <v>6012.5999999999995</v>
      </c>
      <c r="CC43" s="126">
        <v>157805.33484581282</v>
      </c>
      <c r="CD43" s="126">
        <v>0</v>
      </c>
      <c r="CE43" s="126">
        <v>0</v>
      </c>
      <c r="CF43" s="126">
        <v>1017.3721095057995</v>
      </c>
      <c r="CG43" s="137">
        <v>59450.555984833903</v>
      </c>
      <c r="CH43" s="126">
        <v>13520.003999999999</v>
      </c>
      <c r="CI43" s="126">
        <v>45930.551984833903</v>
      </c>
      <c r="CJ43" s="120"/>
      <c r="CK43" s="138">
        <v>1972716.3240435929</v>
      </c>
      <c r="CL43" s="139">
        <v>40.546819998922835</v>
      </c>
      <c r="CM43" s="140">
        <v>1783002.8099999998</v>
      </c>
      <c r="CN43" s="125">
        <v>1258.68</v>
      </c>
      <c r="CO43" s="125">
        <v>1258.68</v>
      </c>
      <c r="CP43" s="125">
        <v>0</v>
      </c>
      <c r="CQ43" s="125">
        <v>4902.8099999999995</v>
      </c>
      <c r="CR43" s="125">
        <v>2664.76</v>
      </c>
      <c r="CS43" s="125">
        <v>97654.88</v>
      </c>
      <c r="CT43" s="125">
        <v>172474.56749123646</v>
      </c>
      <c r="CU43" s="141">
        <v>886.55421686746979</v>
      </c>
      <c r="CV43" s="142">
        <v>-16352.392335489159</v>
      </c>
      <c r="CW43" s="143">
        <v>0</v>
      </c>
      <c r="CX43" s="140">
        <v>1734752.8199999998</v>
      </c>
      <c r="CY43" s="140">
        <v>250694.26</v>
      </c>
    </row>
    <row r="44" spans="1:103" ht="12" customHeight="1" x14ac:dyDescent="0.25">
      <c r="A44" s="122">
        <v>40</v>
      </c>
      <c r="B44" s="123" t="s">
        <v>88</v>
      </c>
      <c r="C44" s="124">
        <v>3567.1</v>
      </c>
      <c r="D44" s="125">
        <v>3567.1</v>
      </c>
      <c r="E44" s="125">
        <v>0</v>
      </c>
      <c r="F44" s="125">
        <v>685.7</v>
      </c>
      <c r="G44" s="124">
        <v>3567.1</v>
      </c>
      <c r="H44" s="124">
        <v>3567.1</v>
      </c>
      <c r="I44" s="126">
        <v>2</v>
      </c>
      <c r="J44" s="126">
        <v>0</v>
      </c>
      <c r="K44" s="127">
        <v>3.6822691326094518E-3</v>
      </c>
      <c r="L44" s="127">
        <v>5.2409571218102313E-3</v>
      </c>
      <c r="M44" s="127"/>
      <c r="N44" s="127"/>
      <c r="O44" s="128" t="s">
        <v>1488</v>
      </c>
      <c r="P44" s="129" t="s">
        <v>51</v>
      </c>
      <c r="Q44" s="130">
        <v>6.91</v>
      </c>
      <c r="R44" s="130">
        <v>3.15</v>
      </c>
      <c r="S44" s="130">
        <v>1.81</v>
      </c>
      <c r="T44" s="38">
        <v>0.26</v>
      </c>
      <c r="U44" s="131">
        <v>45.06</v>
      </c>
      <c r="V44" s="144">
        <v>2</v>
      </c>
      <c r="W44" s="132">
        <v>4.8192771084337345E-3</v>
      </c>
      <c r="X44" s="133">
        <v>256786.74709395075</v>
      </c>
      <c r="Y44" s="134">
        <v>31804.16</v>
      </c>
      <c r="Z44" s="134">
        <v>11518.36432409446</v>
      </c>
      <c r="AA44" s="134">
        <v>2244.6166018632962</v>
      </c>
      <c r="AB44" s="134">
        <v>1547.7761679930009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56780.78</v>
      </c>
      <c r="AI44" s="126">
        <v>0</v>
      </c>
      <c r="AJ44" s="126">
        <v>0</v>
      </c>
      <c r="AK44" s="126">
        <v>152891.04999999999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35">
        <v>373788.40239717998</v>
      </c>
      <c r="AX44" s="136">
        <v>342183.7172871643</v>
      </c>
      <c r="AY44" s="136">
        <v>22847.764351328933</v>
      </c>
      <c r="AZ44" s="126">
        <v>0</v>
      </c>
      <c r="BA44" s="126">
        <v>0</v>
      </c>
      <c r="BB44" s="126">
        <v>0</v>
      </c>
      <c r="BC44" s="126">
        <v>0</v>
      </c>
      <c r="BD44" s="126">
        <v>1532.3997383964893</v>
      </c>
      <c r="BE44" s="126">
        <v>0</v>
      </c>
      <c r="BF44" s="126">
        <v>2007.9215696223414</v>
      </c>
      <c r="BG44" s="126">
        <v>1005.3197855961566</v>
      </c>
      <c r="BH44" s="126">
        <v>4211.2796650716946</v>
      </c>
      <c r="BI44" s="137">
        <v>532188.43491371756</v>
      </c>
      <c r="BJ44" s="126">
        <v>3769.2347863107561</v>
      </c>
      <c r="BK44" s="126">
        <v>5363.3990843877118</v>
      </c>
      <c r="BL44" s="126">
        <v>5753.6326309622</v>
      </c>
      <c r="BM44" s="126">
        <v>5702.0027605616187</v>
      </c>
      <c r="BN44" s="126">
        <v>95908.209650713383</v>
      </c>
      <c r="BO44" s="126">
        <v>55061.588115602732</v>
      </c>
      <c r="BP44" s="126">
        <v>45173.754705754029</v>
      </c>
      <c r="BQ44" s="126">
        <v>245092.91717173939</v>
      </c>
      <c r="BR44" s="126">
        <v>9146.7006201788936</v>
      </c>
      <c r="BS44" s="126">
        <v>10155.655440616354</v>
      </c>
      <c r="BT44" s="126">
        <v>50665.994677002229</v>
      </c>
      <c r="BU44" s="126">
        <v>0</v>
      </c>
      <c r="BV44" s="126">
        <v>395.34526988833989</v>
      </c>
      <c r="BW44" s="126">
        <v>61161.760502904064</v>
      </c>
      <c r="BX44" s="126">
        <v>216986.01257129159</v>
      </c>
      <c r="BY44" s="126">
        <v>190827.1211634542</v>
      </c>
      <c r="BZ44" s="126">
        <v>36328.515656752599</v>
      </c>
      <c r="CA44" s="137">
        <v>163029.57756702023</v>
      </c>
      <c r="CB44" s="126">
        <v>5465.7120000000004</v>
      </c>
      <c r="CC44" s="126">
        <v>156668.77182890408</v>
      </c>
      <c r="CD44" s="126">
        <v>0</v>
      </c>
      <c r="CE44" s="126">
        <v>0</v>
      </c>
      <c r="CF44" s="126">
        <v>895.09373811615455</v>
      </c>
      <c r="CG44" s="137">
        <v>53590.136091037151</v>
      </c>
      <c r="CH44" s="126">
        <v>13179.995999999999</v>
      </c>
      <c r="CI44" s="126">
        <v>40410.140091037152</v>
      </c>
      <c r="CJ44" s="120"/>
      <c r="CK44" s="138">
        <v>1884686.7079573078</v>
      </c>
      <c r="CL44" s="139">
        <v>44.029386802475123</v>
      </c>
      <c r="CM44" s="140">
        <v>1847470.1800000002</v>
      </c>
      <c r="CN44" s="125">
        <v>2301.5199999999995</v>
      </c>
      <c r="CO44" s="125">
        <v>2301.5199999999995</v>
      </c>
      <c r="CP44" s="125">
        <v>0</v>
      </c>
      <c r="CQ44" s="125">
        <v>8973.42</v>
      </c>
      <c r="CR44" s="125">
        <v>4868.8</v>
      </c>
      <c r="CS44" s="125">
        <v>178747.55000000002</v>
      </c>
      <c r="CT44" s="125">
        <v>0</v>
      </c>
      <c r="CU44" s="141">
        <v>1773.1084337349396</v>
      </c>
      <c r="CV44" s="142">
        <v>-35443.419523572782</v>
      </c>
      <c r="CW44" s="143">
        <v>0</v>
      </c>
      <c r="CX44" s="140">
        <v>1741251.21</v>
      </c>
      <c r="CY44" s="140">
        <v>653929.1</v>
      </c>
    </row>
    <row r="45" spans="1:103" ht="12" customHeight="1" x14ac:dyDescent="0.25">
      <c r="A45" s="122">
        <v>41</v>
      </c>
      <c r="B45" s="123" t="s">
        <v>89</v>
      </c>
      <c r="C45" s="124">
        <v>21973.200000000001</v>
      </c>
      <c r="D45" s="125">
        <v>20211.400000000001</v>
      </c>
      <c r="E45" s="125">
        <v>1761.8</v>
      </c>
      <c r="F45" s="125">
        <v>3728</v>
      </c>
      <c r="G45" s="124">
        <v>21973.200000000001</v>
      </c>
      <c r="H45" s="124">
        <v>21973.200000000001</v>
      </c>
      <c r="I45" s="126">
        <v>8</v>
      </c>
      <c r="J45" s="126">
        <v>8</v>
      </c>
      <c r="K45" s="127">
        <v>3.2733885230145858E-2</v>
      </c>
      <c r="L45" s="127">
        <v>4.6589991861859741E-2</v>
      </c>
      <c r="M45" s="127"/>
      <c r="N45" s="127"/>
      <c r="O45" s="128" t="s">
        <v>1488</v>
      </c>
      <c r="P45" s="129" t="s">
        <v>51</v>
      </c>
      <c r="Q45" s="130">
        <v>6.91</v>
      </c>
      <c r="R45" s="130">
        <v>3.15</v>
      </c>
      <c r="S45" s="130">
        <v>1.81</v>
      </c>
      <c r="T45" s="38">
        <v>0</v>
      </c>
      <c r="U45" s="131">
        <v>44.8</v>
      </c>
      <c r="V45" s="144">
        <v>8</v>
      </c>
      <c r="W45" s="132">
        <v>1.9277108433734938E-2</v>
      </c>
      <c r="X45" s="133">
        <v>614515.01995761227</v>
      </c>
      <c r="Y45" s="134">
        <v>145505.25</v>
      </c>
      <c r="Z45" s="134">
        <v>70952.685084856726</v>
      </c>
      <c r="AA45" s="134">
        <v>13826.752688756296</v>
      </c>
      <c r="AB45" s="134">
        <v>9534.2421839992749</v>
      </c>
      <c r="AC45" s="126">
        <v>0</v>
      </c>
      <c r="AD45" s="126">
        <v>0</v>
      </c>
      <c r="AE45" s="126">
        <v>33309.050000000003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15000</v>
      </c>
      <c r="AN45" s="126">
        <v>0</v>
      </c>
      <c r="AO45" s="126">
        <v>0</v>
      </c>
      <c r="AP45" s="126">
        <v>326387.03999999998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35">
        <v>2302522.3076318894</v>
      </c>
      <c r="AX45" s="136">
        <v>2107838.6523210225</v>
      </c>
      <c r="AY45" s="136">
        <v>140741.35730554818</v>
      </c>
      <c r="AZ45" s="126">
        <v>0</v>
      </c>
      <c r="BA45" s="126">
        <v>0</v>
      </c>
      <c r="BB45" s="126">
        <v>0</v>
      </c>
      <c r="BC45" s="126">
        <v>0</v>
      </c>
      <c r="BD45" s="126">
        <v>9439.5239639297288</v>
      </c>
      <c r="BE45" s="126">
        <v>0</v>
      </c>
      <c r="BF45" s="126">
        <v>12368.720314436276</v>
      </c>
      <c r="BG45" s="126">
        <v>6192.7315502401025</v>
      </c>
      <c r="BH45" s="126">
        <v>25941.322176713122</v>
      </c>
      <c r="BI45" s="137">
        <v>3278260.4687410225</v>
      </c>
      <c r="BJ45" s="126">
        <v>23218.34257704116</v>
      </c>
      <c r="BK45" s="126">
        <v>33038.333873754054</v>
      </c>
      <c r="BL45" s="126">
        <v>35442.157642527156</v>
      </c>
      <c r="BM45" s="126">
        <v>35124.119609310801</v>
      </c>
      <c r="BN45" s="126">
        <v>590790.91483195184</v>
      </c>
      <c r="BO45" s="126">
        <v>339177.28350249841</v>
      </c>
      <c r="BP45" s="126">
        <v>278268.60668343317</v>
      </c>
      <c r="BQ45" s="126">
        <v>1509763.0253141387</v>
      </c>
      <c r="BR45" s="126">
        <v>56343.327091282801</v>
      </c>
      <c r="BS45" s="126">
        <v>62558.450317555231</v>
      </c>
      <c r="BT45" s="126">
        <v>312100.59550803324</v>
      </c>
      <c r="BU45" s="126">
        <v>0</v>
      </c>
      <c r="BV45" s="126">
        <v>2435.3117894958009</v>
      </c>
      <c r="BW45" s="126">
        <v>376754.11283182749</v>
      </c>
      <c r="BX45" s="126">
        <v>1336625.5645850985</v>
      </c>
      <c r="BY45" s="126">
        <v>1175487.7908521802</v>
      </c>
      <c r="BZ45" s="126">
        <v>223782.27137701673</v>
      </c>
      <c r="CA45" s="137">
        <v>1447157.0345024525</v>
      </c>
      <c r="CB45" s="126">
        <v>48921.192000000003</v>
      </c>
      <c r="CC45" s="126">
        <v>1392722.0992021877</v>
      </c>
      <c r="CD45" s="126">
        <v>0</v>
      </c>
      <c r="CE45" s="126">
        <v>0</v>
      </c>
      <c r="CF45" s="126">
        <v>5513.7433002646094</v>
      </c>
      <c r="CG45" s="137">
        <v>0</v>
      </c>
      <c r="CH45" s="126">
        <v>0</v>
      </c>
      <c r="CI45" s="126">
        <v>0</v>
      </c>
      <c r="CJ45" s="120"/>
      <c r="CK45" s="138">
        <v>10755104.570479099</v>
      </c>
      <c r="CL45" s="139">
        <v>40.788720541686764</v>
      </c>
      <c r="CM45" s="140">
        <v>10421788.92</v>
      </c>
      <c r="CN45" s="125">
        <v>14306.029999999999</v>
      </c>
      <c r="CO45" s="125">
        <v>14306.029999999999</v>
      </c>
      <c r="CP45" s="125">
        <v>0</v>
      </c>
      <c r="CQ45" s="125">
        <v>47693.039999999994</v>
      </c>
      <c r="CR45" s="125">
        <v>27146.55</v>
      </c>
      <c r="CS45" s="125">
        <v>674091.45000000007</v>
      </c>
      <c r="CT45" s="125">
        <v>934742.0497233714</v>
      </c>
      <c r="CU45" s="141">
        <v>7092.4337349397583</v>
      </c>
      <c r="CV45" s="142">
        <v>608518.83297921345</v>
      </c>
      <c r="CW45" s="143">
        <v>-3.099139095253356E-2</v>
      </c>
      <c r="CX45" s="140">
        <v>10114868.870000001</v>
      </c>
      <c r="CY45" s="140">
        <v>2134157.44</v>
      </c>
    </row>
    <row r="46" spans="1:103" ht="12" customHeight="1" x14ac:dyDescent="0.25">
      <c r="A46" s="122">
        <v>42</v>
      </c>
      <c r="B46" s="123" t="s">
        <v>90</v>
      </c>
      <c r="C46" s="124">
        <v>644.9</v>
      </c>
      <c r="D46" s="125">
        <v>644.9</v>
      </c>
      <c r="E46" s="125">
        <v>0</v>
      </c>
      <c r="F46" s="125">
        <v>62.2</v>
      </c>
      <c r="G46" s="124">
        <v>644.9</v>
      </c>
      <c r="H46" s="124"/>
      <c r="I46" s="126">
        <v>0</v>
      </c>
      <c r="J46" s="126">
        <v>0</v>
      </c>
      <c r="K46" s="127">
        <v>0</v>
      </c>
      <c r="L46" s="127">
        <v>0</v>
      </c>
      <c r="M46" s="127"/>
      <c r="N46" s="127"/>
      <c r="O46" s="128" t="s">
        <v>1488</v>
      </c>
      <c r="P46" s="129" t="s">
        <v>51</v>
      </c>
      <c r="Q46" s="130">
        <v>6.92</v>
      </c>
      <c r="R46" s="130">
        <v>3.15</v>
      </c>
      <c r="S46" s="130">
        <v>0</v>
      </c>
      <c r="T46" s="38">
        <v>0.26</v>
      </c>
      <c r="U46" s="131">
        <v>31</v>
      </c>
      <c r="V46" s="131"/>
      <c r="W46" s="132">
        <v>0</v>
      </c>
      <c r="X46" s="133">
        <v>16383.76890524203</v>
      </c>
      <c r="Y46" s="134">
        <v>13615.72</v>
      </c>
      <c r="Z46" s="134">
        <v>2082.4179733140418</v>
      </c>
      <c r="AA46" s="134">
        <v>405.80674680879139</v>
      </c>
      <c r="AB46" s="134">
        <v>279.82418511919661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6">
        <v>0</v>
      </c>
      <c r="AI46" s="126">
        <v>0</v>
      </c>
      <c r="AJ46" s="126">
        <v>0</v>
      </c>
      <c r="AK46" s="126">
        <v>0</v>
      </c>
      <c r="AL46" s="126">
        <v>0</v>
      </c>
      <c r="AM46" s="126">
        <v>0</v>
      </c>
      <c r="AN46" s="126">
        <v>0</v>
      </c>
      <c r="AO46" s="126">
        <v>0</v>
      </c>
      <c r="AP46" s="126">
        <v>0</v>
      </c>
      <c r="AQ46" s="126">
        <v>0</v>
      </c>
      <c r="AR46" s="126">
        <v>0</v>
      </c>
      <c r="AS46" s="126">
        <v>0</v>
      </c>
      <c r="AT46" s="126">
        <v>0</v>
      </c>
      <c r="AU46" s="126">
        <v>0</v>
      </c>
      <c r="AV46" s="126">
        <v>0</v>
      </c>
      <c r="AW46" s="135">
        <v>77491.483477318077</v>
      </c>
      <c r="AX46" s="136">
        <v>61863.777095817961</v>
      </c>
      <c r="AY46" s="136">
        <v>4130.6728799787024</v>
      </c>
      <c r="AZ46" s="126">
        <v>0</v>
      </c>
      <c r="BA46" s="126">
        <v>0</v>
      </c>
      <c r="BB46" s="126">
        <v>0</v>
      </c>
      <c r="BC46" s="126">
        <v>9913.8599999999988</v>
      </c>
      <c r="BD46" s="126">
        <v>277.04426320873984</v>
      </c>
      <c r="BE46" s="126">
        <v>0</v>
      </c>
      <c r="BF46" s="126">
        <v>363.01438710701916</v>
      </c>
      <c r="BG46" s="126">
        <v>181.75288882592622</v>
      </c>
      <c r="BH46" s="126">
        <v>761.36196237973036</v>
      </c>
      <c r="BI46" s="137">
        <v>96214.942579646347</v>
      </c>
      <c r="BJ46" s="126">
        <v>681.44417417280329</v>
      </c>
      <c r="BK46" s="126">
        <v>969.65492123058937</v>
      </c>
      <c r="BL46" s="126">
        <v>1040.2056807231429</v>
      </c>
      <c r="BM46" s="126">
        <v>1030.8714586880626</v>
      </c>
      <c r="BN46" s="126">
        <v>17339.352528312931</v>
      </c>
      <c r="BO46" s="126">
        <v>9954.6461203084309</v>
      </c>
      <c r="BP46" s="126">
        <v>8167.013655277613</v>
      </c>
      <c r="BQ46" s="126">
        <v>44310.622714265017</v>
      </c>
      <c r="BR46" s="126">
        <v>1653.642238780345</v>
      </c>
      <c r="BS46" s="126">
        <v>1836.0523096222385</v>
      </c>
      <c r="BT46" s="126">
        <v>9159.9618645955361</v>
      </c>
      <c r="BU46" s="126">
        <v>0</v>
      </c>
      <c r="BV46" s="126">
        <v>71.47491366964492</v>
      </c>
      <c r="BW46" s="126">
        <v>11057.50311130129</v>
      </c>
      <c r="BX46" s="126">
        <v>39229.143984532522</v>
      </c>
      <c r="BY46" s="126">
        <v>34499.848739399407</v>
      </c>
      <c r="BZ46" s="126">
        <v>0</v>
      </c>
      <c r="CA46" s="137">
        <v>0</v>
      </c>
      <c r="CB46" s="126">
        <v>0</v>
      </c>
      <c r="CC46" s="126">
        <v>0</v>
      </c>
      <c r="CD46" s="126">
        <v>0</v>
      </c>
      <c r="CE46" s="126">
        <v>0</v>
      </c>
      <c r="CF46" s="126">
        <v>0</v>
      </c>
      <c r="CG46" s="137">
        <v>10005.794439379288</v>
      </c>
      <c r="CH46" s="126">
        <v>2700</v>
      </c>
      <c r="CI46" s="126">
        <v>7305.7944393792877</v>
      </c>
      <c r="CJ46" s="120"/>
      <c r="CK46" s="138">
        <v>284882.48523681896</v>
      </c>
      <c r="CL46" s="139">
        <v>36.812229962890754</v>
      </c>
      <c r="CM46" s="140">
        <v>229997.22000000003</v>
      </c>
      <c r="CN46" s="125">
        <v>388.20000000000005</v>
      </c>
      <c r="CO46" s="125">
        <v>388.20000000000005</v>
      </c>
      <c r="CP46" s="125">
        <v>0</v>
      </c>
      <c r="CQ46" s="125">
        <v>1513.56</v>
      </c>
      <c r="CR46" s="125">
        <v>820.80000000000007</v>
      </c>
      <c r="CS46" s="125">
        <v>3430.7999999999997</v>
      </c>
      <c r="CT46" s="125">
        <v>0</v>
      </c>
      <c r="CU46" s="141">
        <v>0</v>
      </c>
      <c r="CV46" s="142">
        <v>-54885.26523681893</v>
      </c>
      <c r="CW46" s="143">
        <v>0</v>
      </c>
      <c r="CX46" s="140">
        <v>220819.27999999997</v>
      </c>
      <c r="CY46" s="140">
        <v>18786.219999999998</v>
      </c>
    </row>
    <row r="47" spans="1:103" ht="12" customHeight="1" x14ac:dyDescent="0.25">
      <c r="A47" s="122">
        <v>43</v>
      </c>
      <c r="B47" s="123" t="s">
        <v>91</v>
      </c>
      <c r="C47" s="124">
        <v>1486.2</v>
      </c>
      <c r="D47" s="125">
        <v>1376.2</v>
      </c>
      <c r="E47" s="125">
        <v>110</v>
      </c>
      <c r="F47" s="125">
        <v>88.8</v>
      </c>
      <c r="G47" s="124">
        <v>1486.2</v>
      </c>
      <c r="H47" s="124"/>
      <c r="I47" s="126">
        <v>0</v>
      </c>
      <c r="J47" s="126">
        <v>0</v>
      </c>
      <c r="K47" s="127">
        <v>0</v>
      </c>
      <c r="L47" s="127">
        <v>0</v>
      </c>
      <c r="M47" s="127"/>
      <c r="N47" s="127"/>
      <c r="O47" s="128" t="s">
        <v>1488</v>
      </c>
      <c r="P47" s="129" t="s">
        <v>74</v>
      </c>
      <c r="Q47" s="130">
        <v>4</v>
      </c>
      <c r="R47" s="130">
        <v>2.0499999999999998</v>
      </c>
      <c r="S47" s="130">
        <v>0</v>
      </c>
      <c r="T47" s="38">
        <v>0.22</v>
      </c>
      <c r="U47" s="131">
        <v>20.440000000000001</v>
      </c>
      <c r="V47" s="131"/>
      <c r="W47" s="132">
        <v>0</v>
      </c>
      <c r="X47" s="133">
        <v>93880.845901817331</v>
      </c>
      <c r="Y47" s="134">
        <v>27601.89</v>
      </c>
      <c r="Z47" s="134">
        <v>4943.7097039085456</v>
      </c>
      <c r="AA47" s="134">
        <v>935.19923570666117</v>
      </c>
      <c r="AB47" s="134">
        <v>644.86696220212445</v>
      </c>
      <c r="AC47" s="126">
        <v>0</v>
      </c>
      <c r="AD47" s="126">
        <v>0</v>
      </c>
      <c r="AE47" s="126">
        <v>18987.27</v>
      </c>
      <c r="AF47" s="126">
        <v>40767.910000000003</v>
      </c>
      <c r="AG47" s="126">
        <v>0</v>
      </c>
      <c r="AH47" s="126">
        <v>0</v>
      </c>
      <c r="AI47" s="126">
        <v>0</v>
      </c>
      <c r="AJ47" s="126">
        <v>0</v>
      </c>
      <c r="AK47" s="126">
        <v>0</v>
      </c>
      <c r="AL47" s="126">
        <v>0</v>
      </c>
      <c r="AM47" s="126">
        <v>0</v>
      </c>
      <c r="AN47" s="126">
        <v>0</v>
      </c>
      <c r="AO47" s="126">
        <v>0</v>
      </c>
      <c r="AP47" s="126">
        <v>0</v>
      </c>
      <c r="AQ47" s="126">
        <v>0</v>
      </c>
      <c r="AR47" s="126">
        <v>0</v>
      </c>
      <c r="AS47" s="126">
        <v>0</v>
      </c>
      <c r="AT47" s="126">
        <v>0</v>
      </c>
      <c r="AU47" s="126">
        <v>0</v>
      </c>
      <c r="AV47" s="126">
        <v>0</v>
      </c>
      <c r="AW47" s="135">
        <v>347270.12149261625</v>
      </c>
      <c r="AX47" s="136">
        <v>226509.89486804584</v>
      </c>
      <c r="AY47" s="136">
        <v>9519.3146754913123</v>
      </c>
      <c r="AZ47" s="126">
        <v>0</v>
      </c>
      <c r="BA47" s="126">
        <v>0</v>
      </c>
      <c r="BB47" s="126">
        <v>0</v>
      </c>
      <c r="BC47" s="126">
        <v>107592.42</v>
      </c>
      <c r="BD47" s="126">
        <v>638.46051167751466</v>
      </c>
      <c r="BE47" s="126">
        <v>0</v>
      </c>
      <c r="BF47" s="126">
        <v>836.58238815080153</v>
      </c>
      <c r="BG47" s="126">
        <v>418.85740947913098</v>
      </c>
      <c r="BH47" s="126">
        <v>1754.5916397716783</v>
      </c>
      <c r="BI47" s="137">
        <v>221731.50513547898</v>
      </c>
      <c r="BJ47" s="126">
        <v>1570.4176332076606</v>
      </c>
      <c r="BK47" s="126">
        <v>2234.6117908713009</v>
      </c>
      <c r="BL47" s="126">
        <v>2397.1990737955266</v>
      </c>
      <c r="BM47" s="126">
        <v>2375.687954570009</v>
      </c>
      <c r="BN47" s="126">
        <v>39959.289389949889</v>
      </c>
      <c r="BO47" s="126">
        <v>22940.913419138455</v>
      </c>
      <c r="BP47" s="126">
        <v>18821.236927389655</v>
      </c>
      <c r="BQ47" s="126">
        <v>102115.75046974828</v>
      </c>
      <c r="BR47" s="126">
        <v>3810.8902082111163</v>
      </c>
      <c r="BS47" s="126">
        <v>4231.2621221283471</v>
      </c>
      <c r="BT47" s="126">
        <v>21109.52911019055</v>
      </c>
      <c r="BU47" s="126">
        <v>0</v>
      </c>
      <c r="BV47" s="126">
        <v>164.71703627822342</v>
      </c>
      <c r="BW47" s="126">
        <v>25482.495152761636</v>
      </c>
      <c r="BX47" s="126">
        <v>90405.2625055237</v>
      </c>
      <c r="BY47" s="126">
        <v>79506.396645209184</v>
      </c>
      <c r="BZ47" s="126">
        <v>0</v>
      </c>
      <c r="CA47" s="137">
        <v>0</v>
      </c>
      <c r="CB47" s="126">
        <v>0</v>
      </c>
      <c r="CC47" s="126">
        <v>0</v>
      </c>
      <c r="CD47" s="126">
        <v>0</v>
      </c>
      <c r="CE47" s="126">
        <v>0</v>
      </c>
      <c r="CF47" s="126">
        <v>0</v>
      </c>
      <c r="CG47" s="137">
        <v>21396.519919065744</v>
      </c>
      <c r="CH47" s="126">
        <v>4560</v>
      </c>
      <c r="CI47" s="126">
        <v>16836.519919065744</v>
      </c>
      <c r="CJ47" s="120"/>
      <c r="CK47" s="138">
        <v>879673.14675247297</v>
      </c>
      <c r="CL47" s="139">
        <v>49.324515921616261</v>
      </c>
      <c r="CM47" s="140">
        <v>338301.94</v>
      </c>
      <c r="CN47" s="125">
        <v>394.83</v>
      </c>
      <c r="CO47" s="125">
        <v>0</v>
      </c>
      <c r="CP47" s="125">
        <v>0</v>
      </c>
      <c r="CQ47" s="125">
        <v>0</v>
      </c>
      <c r="CR47" s="125">
        <v>417.53999999999996</v>
      </c>
      <c r="CS47" s="125">
        <v>4536.38</v>
      </c>
      <c r="CT47" s="125">
        <v>63223.091506875404</v>
      </c>
      <c r="CU47" s="141">
        <v>0</v>
      </c>
      <c r="CV47" s="142">
        <v>-478148.11524559755</v>
      </c>
      <c r="CW47" s="143">
        <v>0</v>
      </c>
      <c r="CX47" s="140">
        <v>324911.49</v>
      </c>
      <c r="CY47" s="140">
        <v>36823.310000000005</v>
      </c>
    </row>
    <row r="48" spans="1:103" ht="12" customHeight="1" x14ac:dyDescent="0.25">
      <c r="A48" s="122">
        <v>44</v>
      </c>
      <c r="B48" s="123" t="s">
        <v>92</v>
      </c>
      <c r="C48" s="124">
        <v>879.9</v>
      </c>
      <c r="D48" s="125">
        <v>879.9</v>
      </c>
      <c r="E48" s="125">
        <v>0</v>
      </c>
      <c r="F48" s="125">
        <v>88.8</v>
      </c>
      <c r="G48" s="124">
        <v>879.9</v>
      </c>
      <c r="H48" s="124"/>
      <c r="I48" s="126">
        <v>0</v>
      </c>
      <c r="J48" s="126">
        <v>0</v>
      </c>
      <c r="K48" s="127">
        <v>0</v>
      </c>
      <c r="L48" s="127">
        <v>0</v>
      </c>
      <c r="M48" s="127"/>
      <c r="N48" s="127"/>
      <c r="O48" s="128" t="s">
        <v>1488</v>
      </c>
      <c r="P48" s="129" t="s">
        <v>74</v>
      </c>
      <c r="Q48" s="130">
        <v>4</v>
      </c>
      <c r="R48" s="130">
        <v>2.0499999999999998</v>
      </c>
      <c r="S48" s="130">
        <v>0</v>
      </c>
      <c r="T48" s="38">
        <v>0.22</v>
      </c>
      <c r="U48" s="131">
        <v>20.440000000000001</v>
      </c>
      <c r="V48" s="131"/>
      <c r="W48" s="132">
        <v>0</v>
      </c>
      <c r="X48" s="133">
        <v>91600.040847805867</v>
      </c>
      <c r="Y48" s="134">
        <v>87737.66</v>
      </c>
      <c r="Z48" s="134">
        <v>2926.9076628106104</v>
      </c>
      <c r="AA48" s="134">
        <v>553.68174370763768</v>
      </c>
      <c r="AB48" s="134">
        <v>381.7914412876122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26">
        <v>0</v>
      </c>
      <c r="AJ48" s="126">
        <v>0</v>
      </c>
      <c r="AK48" s="126">
        <v>0</v>
      </c>
      <c r="AL48" s="126">
        <v>0</v>
      </c>
      <c r="AM48" s="126">
        <v>0</v>
      </c>
      <c r="AN48" s="126">
        <v>0</v>
      </c>
      <c r="AO48" s="126">
        <v>0</v>
      </c>
      <c r="AP48" s="126">
        <v>0</v>
      </c>
      <c r="AQ48" s="126">
        <v>0</v>
      </c>
      <c r="AR48" s="126">
        <v>0</v>
      </c>
      <c r="AS48" s="126">
        <v>0</v>
      </c>
      <c r="AT48" s="126">
        <v>0</v>
      </c>
      <c r="AU48" s="126">
        <v>0</v>
      </c>
      <c r="AV48" s="126">
        <v>0</v>
      </c>
      <c r="AW48" s="135">
        <v>202582.34759262082</v>
      </c>
      <c r="AX48" s="136">
        <v>134104.4654113804</v>
      </c>
      <c r="AY48" s="136">
        <v>5635.8800854291521</v>
      </c>
      <c r="AZ48" s="126">
        <v>0</v>
      </c>
      <c r="BA48" s="126">
        <v>0</v>
      </c>
      <c r="BB48" s="126">
        <v>0</v>
      </c>
      <c r="BC48" s="126">
        <v>60681.923999999992</v>
      </c>
      <c r="BD48" s="126">
        <v>377.99852255755962</v>
      </c>
      <c r="BE48" s="126">
        <v>0</v>
      </c>
      <c r="BF48" s="126">
        <v>495.29595164438854</v>
      </c>
      <c r="BG48" s="126">
        <v>247.98320185754767</v>
      </c>
      <c r="BH48" s="126">
        <v>1038.8004197517828</v>
      </c>
      <c r="BI48" s="137">
        <v>131275.4349136778</v>
      </c>
      <c r="BJ48" s="126">
        <v>929.76078284175787</v>
      </c>
      <c r="BK48" s="126">
        <v>1322.9948289514587</v>
      </c>
      <c r="BL48" s="126">
        <v>1419.2541145422445</v>
      </c>
      <c r="BM48" s="126">
        <v>1406.5185245768744</v>
      </c>
      <c r="BN48" s="126">
        <v>23657.770646088618</v>
      </c>
      <c r="BO48" s="126">
        <v>13582.095086462068</v>
      </c>
      <c r="BP48" s="126">
        <v>11143.053675420642</v>
      </c>
      <c r="BQ48" s="126">
        <v>60457.30644484693</v>
      </c>
      <c r="BR48" s="126">
        <v>2256.2254704649181</v>
      </c>
      <c r="BS48" s="126">
        <v>2505.1053298753413</v>
      </c>
      <c r="BT48" s="126">
        <v>12497.829810292467</v>
      </c>
      <c r="BU48" s="126">
        <v>0</v>
      </c>
      <c r="BV48" s="126">
        <v>97.520199314499251</v>
      </c>
      <c r="BW48" s="126">
        <v>15086.830497184068</v>
      </c>
      <c r="BX48" s="126">
        <v>53524.149157993743</v>
      </c>
      <c r="BY48" s="126">
        <v>47071.510165603249</v>
      </c>
      <c r="BZ48" s="126">
        <v>0</v>
      </c>
      <c r="CA48" s="137">
        <v>0</v>
      </c>
      <c r="CB48" s="126">
        <v>0</v>
      </c>
      <c r="CC48" s="126">
        <v>0</v>
      </c>
      <c r="CD48" s="126">
        <v>0</v>
      </c>
      <c r="CE48" s="126">
        <v>0</v>
      </c>
      <c r="CF48" s="126">
        <v>0</v>
      </c>
      <c r="CG48" s="137">
        <v>13008.004260520755</v>
      </c>
      <c r="CH48" s="126">
        <v>3039.9959999999996</v>
      </c>
      <c r="CI48" s="126">
        <v>9968.0082605207554</v>
      </c>
      <c r="CJ48" s="120"/>
      <c r="CK48" s="138">
        <v>554148.31743540626</v>
      </c>
      <c r="CL48" s="139">
        <v>52.482130302250852</v>
      </c>
      <c r="CM48" s="140">
        <v>215821.68</v>
      </c>
      <c r="CN48" s="125">
        <v>426</v>
      </c>
      <c r="CO48" s="125">
        <v>0</v>
      </c>
      <c r="CP48" s="125">
        <v>0</v>
      </c>
      <c r="CQ48" s="125">
        <v>0</v>
      </c>
      <c r="CR48" s="125">
        <v>450.59999999999997</v>
      </c>
      <c r="CS48" s="125">
        <v>4897.92</v>
      </c>
      <c r="CT48" s="125">
        <v>0</v>
      </c>
      <c r="CU48" s="141">
        <v>0</v>
      </c>
      <c r="CV48" s="142">
        <v>-338326.63743540627</v>
      </c>
      <c r="CW48" s="143">
        <v>0</v>
      </c>
      <c r="CX48" s="140">
        <v>219121.52000000002</v>
      </c>
      <c r="CY48" s="140">
        <v>15661.14</v>
      </c>
    </row>
    <row r="49" spans="1:103" ht="12" customHeight="1" x14ac:dyDescent="0.25">
      <c r="A49" s="122">
        <v>45</v>
      </c>
      <c r="B49" s="123" t="s">
        <v>93</v>
      </c>
      <c r="C49" s="124">
        <v>886.63</v>
      </c>
      <c r="D49" s="125">
        <v>886.63</v>
      </c>
      <c r="E49" s="125">
        <v>0</v>
      </c>
      <c r="F49" s="125">
        <v>89.5</v>
      </c>
      <c r="G49" s="124">
        <v>886.63</v>
      </c>
      <c r="H49" s="124"/>
      <c r="I49" s="126">
        <v>0</v>
      </c>
      <c r="J49" s="126">
        <v>0</v>
      </c>
      <c r="K49" s="127">
        <v>0</v>
      </c>
      <c r="L49" s="127">
        <v>0</v>
      </c>
      <c r="M49" s="127"/>
      <c r="N49" s="127"/>
      <c r="O49" s="128" t="s">
        <v>1488</v>
      </c>
      <c r="P49" s="129" t="s">
        <v>74</v>
      </c>
      <c r="Q49" s="130">
        <v>4</v>
      </c>
      <c r="R49" s="130">
        <v>2.0499999999999998</v>
      </c>
      <c r="S49" s="130">
        <v>0</v>
      </c>
      <c r="T49" s="38">
        <v>0.22</v>
      </c>
      <c r="U49" s="131">
        <v>20.440000000000001</v>
      </c>
      <c r="V49" s="131"/>
      <c r="W49" s="132">
        <v>0</v>
      </c>
      <c r="X49" s="133">
        <v>84300.352640175144</v>
      </c>
      <c r="Y49" s="134">
        <v>54783.79</v>
      </c>
      <c r="Z49" s="134">
        <v>2949.2943983154582</v>
      </c>
      <c r="AA49" s="134">
        <v>557.91663191669829</v>
      </c>
      <c r="AB49" s="134">
        <v>384.71160994298856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25624.639999999999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35">
        <v>196469.61866612727</v>
      </c>
      <c r="AX49" s="136">
        <v>135130.17634696237</v>
      </c>
      <c r="AY49" s="136">
        <v>5678.9866577384355</v>
      </c>
      <c r="AZ49" s="126">
        <v>0</v>
      </c>
      <c r="BA49" s="126">
        <v>0</v>
      </c>
      <c r="BB49" s="126">
        <v>0</v>
      </c>
      <c r="BC49" s="126">
        <v>53483.855999999992</v>
      </c>
      <c r="BD49" s="126">
        <v>380.88968070827264</v>
      </c>
      <c r="BE49" s="126">
        <v>0</v>
      </c>
      <c r="BF49" s="126">
        <v>499.08427049262895</v>
      </c>
      <c r="BG49" s="126">
        <v>249.87992529032559</v>
      </c>
      <c r="BH49" s="126">
        <v>1046.7457849352463</v>
      </c>
      <c r="BI49" s="137">
        <v>132279.50773669072</v>
      </c>
      <c r="BJ49" s="126">
        <v>936.8721478474688</v>
      </c>
      <c r="BK49" s="126">
        <v>1333.1138824789541</v>
      </c>
      <c r="BL49" s="126">
        <v>1430.109416498</v>
      </c>
      <c r="BM49" s="126">
        <v>1417.2764171446688</v>
      </c>
      <c r="BN49" s="126">
        <v>23838.719386227469</v>
      </c>
      <c r="BO49" s="126">
        <v>13685.979050471489</v>
      </c>
      <c r="BP49" s="126">
        <v>11228.282395997503</v>
      </c>
      <c r="BQ49" s="126">
        <v>60919.719983173811</v>
      </c>
      <c r="BR49" s="126">
        <v>2273.4824285467785</v>
      </c>
      <c r="BS49" s="126">
        <v>2524.2658695617388</v>
      </c>
      <c r="BT49" s="126">
        <v>12593.420666779873</v>
      </c>
      <c r="BU49" s="126">
        <v>0</v>
      </c>
      <c r="BV49" s="126">
        <v>98.266091962966783</v>
      </c>
      <c r="BW49" s="126">
        <v>15202.223575086158</v>
      </c>
      <c r="BX49" s="126">
        <v>53933.533774237978</v>
      </c>
      <c r="BY49" s="126">
        <v>47431.541150277088</v>
      </c>
      <c r="BZ49" s="126">
        <v>0</v>
      </c>
      <c r="CA49" s="137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37">
        <v>13084.245532930467</v>
      </c>
      <c r="CH49" s="126">
        <v>3039.9959999999996</v>
      </c>
      <c r="CI49" s="126">
        <v>10044.249532930467</v>
      </c>
      <c r="CJ49" s="120"/>
      <c r="CK49" s="138">
        <v>542701.02307552483</v>
      </c>
      <c r="CL49" s="139">
        <v>51.007844598416177</v>
      </c>
      <c r="CM49" s="140">
        <v>217472.88</v>
      </c>
      <c r="CN49" s="125">
        <v>429.48</v>
      </c>
      <c r="CO49" s="125">
        <v>0</v>
      </c>
      <c r="CP49" s="125">
        <v>0</v>
      </c>
      <c r="CQ49" s="125">
        <v>0</v>
      </c>
      <c r="CR49" s="125">
        <v>454.56000000000006</v>
      </c>
      <c r="CS49" s="125">
        <v>4936.5599999999995</v>
      </c>
      <c r="CT49" s="125">
        <v>0</v>
      </c>
      <c r="CU49" s="141">
        <v>0</v>
      </c>
      <c r="CV49" s="142">
        <v>-325228.14307552483</v>
      </c>
      <c r="CW49" s="143">
        <v>0</v>
      </c>
      <c r="CX49" s="140">
        <v>219690.71</v>
      </c>
      <c r="CY49" s="140">
        <v>46365.140000000007</v>
      </c>
    </row>
    <row r="50" spans="1:103" ht="12" customHeight="1" x14ac:dyDescent="0.25">
      <c r="A50" s="122">
        <v>46</v>
      </c>
      <c r="B50" s="123" t="s">
        <v>94</v>
      </c>
      <c r="C50" s="124">
        <v>885.3</v>
      </c>
      <c r="D50" s="125">
        <v>885.3</v>
      </c>
      <c r="E50" s="125">
        <v>0</v>
      </c>
      <c r="F50" s="125">
        <v>88.8</v>
      </c>
      <c r="G50" s="124">
        <v>885.3</v>
      </c>
      <c r="H50" s="124"/>
      <c r="I50" s="126">
        <v>0</v>
      </c>
      <c r="J50" s="126">
        <v>0</v>
      </c>
      <c r="K50" s="127">
        <v>0</v>
      </c>
      <c r="L50" s="127">
        <v>0</v>
      </c>
      <c r="M50" s="127"/>
      <c r="N50" s="127"/>
      <c r="O50" s="128" t="s">
        <v>1488</v>
      </c>
      <c r="P50" s="129" t="s">
        <v>74</v>
      </c>
      <c r="Q50" s="130">
        <v>4</v>
      </c>
      <c r="R50" s="130">
        <v>2.0499999999999998</v>
      </c>
      <c r="S50" s="130">
        <v>0</v>
      </c>
      <c r="T50" s="38">
        <v>0.22</v>
      </c>
      <c r="U50" s="131">
        <v>20.440000000000001</v>
      </c>
      <c r="V50" s="131"/>
      <c r="W50" s="132">
        <v>0</v>
      </c>
      <c r="X50" s="133">
        <v>73162.984514788637</v>
      </c>
      <c r="Y50" s="134">
        <v>69276.899999999994</v>
      </c>
      <c r="Z50" s="134">
        <v>2944.8702737654658</v>
      </c>
      <c r="AA50" s="134">
        <v>557.07972235978139</v>
      </c>
      <c r="AB50" s="134">
        <v>384.1345186633971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35">
        <v>157882.75515234369</v>
      </c>
      <c r="AX50" s="136">
        <v>134927.47269996029</v>
      </c>
      <c r="AY50" s="136">
        <v>5670.4678254692899</v>
      </c>
      <c r="AZ50" s="126">
        <v>0</v>
      </c>
      <c r="BA50" s="126">
        <v>0</v>
      </c>
      <c r="BB50" s="126">
        <v>0</v>
      </c>
      <c r="BC50" s="126">
        <v>15111.48</v>
      </c>
      <c r="BD50" s="126">
        <v>380.31832255961757</v>
      </c>
      <c r="BE50" s="126">
        <v>0</v>
      </c>
      <c r="BF50" s="126">
        <v>498.33561312737487</v>
      </c>
      <c r="BG50" s="126">
        <v>249.50508990167853</v>
      </c>
      <c r="BH50" s="126">
        <v>1045.1756013254385</v>
      </c>
      <c r="BI50" s="137">
        <v>132081.08026943853</v>
      </c>
      <c r="BJ50" s="126">
        <v>935.46678150904449</v>
      </c>
      <c r="BK50" s="126">
        <v>1331.1141289586615</v>
      </c>
      <c r="BL50" s="126">
        <v>1427.9641636597896</v>
      </c>
      <c r="BM50" s="126">
        <v>1415.1504146015534</v>
      </c>
      <c r="BN50" s="126">
        <v>23802.959828369421</v>
      </c>
      <c r="BO50" s="126">
        <v>13665.449232918365</v>
      </c>
      <c r="BP50" s="126">
        <v>11211.439275883502</v>
      </c>
      <c r="BQ50" s="126">
        <v>60828.336624187963</v>
      </c>
      <c r="BR50" s="126">
        <v>2270.0720638738399</v>
      </c>
      <c r="BS50" s="126">
        <v>2520.479314170519</v>
      </c>
      <c r="BT50" s="126">
        <v>12574.529754576566</v>
      </c>
      <c r="BU50" s="126">
        <v>0</v>
      </c>
      <c r="BV50" s="126">
        <v>98.118686729317176</v>
      </c>
      <c r="BW50" s="126">
        <v>15179.419296689459</v>
      </c>
      <c r="BX50" s="126">
        <v>53852.630127937104</v>
      </c>
      <c r="BY50" s="126">
        <v>47360.390896247933</v>
      </c>
      <c r="BZ50" s="126">
        <v>0</v>
      </c>
      <c r="CA50" s="137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37">
        <v>13069.178535559749</v>
      </c>
      <c r="CH50" s="126">
        <v>3039.9959999999996</v>
      </c>
      <c r="CI50" s="126">
        <v>10029.18253555975</v>
      </c>
      <c r="CJ50" s="120"/>
      <c r="CK50" s="138">
        <v>492588.43879300507</v>
      </c>
      <c r="CL50" s="139">
        <v>46.367374411028756</v>
      </c>
      <c r="CM50" s="140">
        <v>217064.72</v>
      </c>
      <c r="CN50" s="125">
        <v>426.28</v>
      </c>
      <c r="CO50" s="125">
        <v>0</v>
      </c>
      <c r="CP50" s="125">
        <v>0</v>
      </c>
      <c r="CQ50" s="125">
        <v>0</v>
      </c>
      <c r="CR50" s="125">
        <v>451.12</v>
      </c>
      <c r="CS50" s="125">
        <v>4898.24</v>
      </c>
      <c r="CT50" s="125">
        <v>0</v>
      </c>
      <c r="CU50" s="141">
        <v>0</v>
      </c>
      <c r="CV50" s="142">
        <v>-275523.7187930051</v>
      </c>
      <c r="CW50" s="143">
        <v>0</v>
      </c>
      <c r="CX50" s="140">
        <v>207613.2</v>
      </c>
      <c r="CY50" s="140">
        <v>37834.639999999999</v>
      </c>
    </row>
    <row r="51" spans="1:103" ht="12" customHeight="1" x14ac:dyDescent="0.25">
      <c r="A51" s="122">
        <v>47</v>
      </c>
      <c r="B51" s="123" t="s">
        <v>95</v>
      </c>
      <c r="C51" s="124">
        <v>1380.65</v>
      </c>
      <c r="D51" s="125">
        <v>1380.65</v>
      </c>
      <c r="E51" s="125">
        <v>0</v>
      </c>
      <c r="F51" s="125">
        <v>142.19999999999999</v>
      </c>
      <c r="G51" s="124">
        <v>1380.65</v>
      </c>
      <c r="H51" s="124"/>
      <c r="I51" s="126">
        <v>0</v>
      </c>
      <c r="J51" s="126">
        <v>0</v>
      </c>
      <c r="K51" s="127">
        <v>0</v>
      </c>
      <c r="L51" s="127">
        <v>0</v>
      </c>
      <c r="M51" s="127"/>
      <c r="N51" s="127"/>
      <c r="O51" s="128" t="s">
        <v>1488</v>
      </c>
      <c r="P51" s="129" t="s">
        <v>74</v>
      </c>
      <c r="Q51" s="130">
        <v>4</v>
      </c>
      <c r="R51" s="130">
        <v>2.0499999999999998</v>
      </c>
      <c r="S51" s="130">
        <v>0</v>
      </c>
      <c r="T51" s="38">
        <v>0.22</v>
      </c>
      <c r="U51" s="131">
        <v>20.440000000000001</v>
      </c>
      <c r="V51" s="131"/>
      <c r="W51" s="132">
        <v>0</v>
      </c>
      <c r="X51" s="133">
        <v>88042.027003663097</v>
      </c>
      <c r="Y51" s="134">
        <v>51458.18</v>
      </c>
      <c r="Z51" s="134">
        <v>4592.6071879298443</v>
      </c>
      <c r="AA51" s="134">
        <v>868.78133816337083</v>
      </c>
      <c r="AB51" s="134">
        <v>599.06847756988509</v>
      </c>
      <c r="AC51" s="126">
        <v>24344.560000000001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6178.83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35">
        <v>355115.30687618128</v>
      </c>
      <c r="AX51" s="136">
        <v>210423.15055145169</v>
      </c>
      <c r="AY51" s="136">
        <v>8843.2524604475057</v>
      </c>
      <c r="AZ51" s="126">
        <v>0</v>
      </c>
      <c r="BA51" s="126">
        <v>0</v>
      </c>
      <c r="BB51" s="126">
        <v>0</v>
      </c>
      <c r="BC51" s="126">
        <v>132459.52799999999</v>
      </c>
      <c r="BD51" s="126">
        <v>593.1170134891405</v>
      </c>
      <c r="BE51" s="126">
        <v>0</v>
      </c>
      <c r="BF51" s="126">
        <v>777.16826416391075</v>
      </c>
      <c r="BG51" s="126">
        <v>389.11013483875803</v>
      </c>
      <c r="BH51" s="126">
        <v>1629.980451790316</v>
      </c>
      <c r="BI51" s="137">
        <v>205984.12230204491</v>
      </c>
      <c r="BJ51" s="126">
        <v>1458.8864925906048</v>
      </c>
      <c r="BK51" s="126">
        <v>2075.9095472119916</v>
      </c>
      <c r="BL51" s="126">
        <v>2226.9498729886918</v>
      </c>
      <c r="BM51" s="126">
        <v>2206.966474550587</v>
      </c>
      <c r="BN51" s="126">
        <v>37121.378614072339</v>
      </c>
      <c r="BO51" s="126">
        <v>21311.648574978812</v>
      </c>
      <c r="BP51" s="126">
        <v>17484.551718342438</v>
      </c>
      <c r="BQ51" s="126">
        <v>94863.484649480539</v>
      </c>
      <c r="BR51" s="126">
        <v>3540.2405907459815</v>
      </c>
      <c r="BS51" s="126">
        <v>3930.7576698401981</v>
      </c>
      <c r="BT51" s="126">
        <v>19610.329273304123</v>
      </c>
      <c r="BU51" s="126">
        <v>0</v>
      </c>
      <c r="BV51" s="126">
        <v>153.01882393858779</v>
      </c>
      <c r="BW51" s="126">
        <v>23672.727043910883</v>
      </c>
      <c r="BX51" s="126">
        <v>83984.676139315896</v>
      </c>
      <c r="BY51" s="126">
        <v>73859.848289737623</v>
      </c>
      <c r="BZ51" s="126">
        <v>0</v>
      </c>
      <c r="CA51" s="137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37">
        <v>20370.793413442418</v>
      </c>
      <c r="CH51" s="126">
        <v>4730.0039999999999</v>
      </c>
      <c r="CI51" s="126">
        <v>15640.789413442417</v>
      </c>
      <c r="CJ51" s="120"/>
      <c r="CK51" s="138">
        <v>851029.50106829614</v>
      </c>
      <c r="CL51" s="139">
        <v>51.366475999728152</v>
      </c>
      <c r="CM51" s="140">
        <v>340867.88</v>
      </c>
      <c r="CN51" s="125">
        <v>682.65000000000009</v>
      </c>
      <c r="CO51" s="125">
        <v>0</v>
      </c>
      <c r="CP51" s="125">
        <v>0</v>
      </c>
      <c r="CQ51" s="125">
        <v>0</v>
      </c>
      <c r="CR51" s="125">
        <v>721.99</v>
      </c>
      <c r="CS51" s="125">
        <v>7843.6399999999994</v>
      </c>
      <c r="CT51" s="125">
        <v>0</v>
      </c>
      <c r="CU51" s="141">
        <v>0</v>
      </c>
      <c r="CV51" s="142">
        <v>-510161.62106829614</v>
      </c>
      <c r="CW51" s="143">
        <v>0</v>
      </c>
      <c r="CX51" s="140">
        <v>331675.58</v>
      </c>
      <c r="CY51" s="140">
        <v>68840.75</v>
      </c>
    </row>
    <row r="52" spans="1:103" ht="12" customHeight="1" x14ac:dyDescent="0.25">
      <c r="A52" s="122">
        <v>48</v>
      </c>
      <c r="B52" s="123" t="s">
        <v>96</v>
      </c>
      <c r="C52" s="124">
        <v>379.15</v>
      </c>
      <c r="D52" s="125">
        <v>379.15</v>
      </c>
      <c r="E52" s="125">
        <v>0</v>
      </c>
      <c r="F52" s="125">
        <v>160.9</v>
      </c>
      <c r="G52" s="124">
        <v>379.15</v>
      </c>
      <c r="H52" s="124"/>
      <c r="I52" s="126">
        <v>0</v>
      </c>
      <c r="J52" s="126">
        <v>0</v>
      </c>
      <c r="K52" s="127">
        <v>0</v>
      </c>
      <c r="L52" s="127">
        <v>0</v>
      </c>
      <c r="M52" s="127"/>
      <c r="N52" s="127"/>
      <c r="O52" s="128" t="s">
        <v>1488</v>
      </c>
      <c r="P52" s="129" t="s">
        <v>74</v>
      </c>
      <c r="Q52" s="130">
        <v>5.31</v>
      </c>
      <c r="R52" s="130">
        <v>2.67</v>
      </c>
      <c r="S52" s="130">
        <v>0</v>
      </c>
      <c r="T52" s="38">
        <v>0.22</v>
      </c>
      <c r="U52" s="131">
        <v>25.29</v>
      </c>
      <c r="V52" s="131"/>
      <c r="W52" s="132">
        <v>0</v>
      </c>
      <c r="X52" s="133">
        <v>66544.754691948619</v>
      </c>
      <c r="Y52" s="134">
        <v>31557.059999999998</v>
      </c>
      <c r="Z52" s="134">
        <v>1261.2081376913773</v>
      </c>
      <c r="AA52" s="134">
        <v>238.58214925190455</v>
      </c>
      <c r="AB52" s="134">
        <v>164.51440500533943</v>
      </c>
      <c r="AC52" s="126">
        <v>0</v>
      </c>
      <c r="AD52" s="126">
        <v>0</v>
      </c>
      <c r="AE52" s="126">
        <v>18819.439999999999</v>
      </c>
      <c r="AF52" s="126">
        <v>0</v>
      </c>
      <c r="AG52" s="126">
        <v>0</v>
      </c>
      <c r="AH52" s="126">
        <v>0</v>
      </c>
      <c r="AI52" s="126">
        <v>14503.95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35">
        <v>133538.96830906032</v>
      </c>
      <c r="AX52" s="136">
        <v>57785.780271309093</v>
      </c>
      <c r="AY52" s="136">
        <v>2428.5077104108</v>
      </c>
      <c r="AZ52" s="126">
        <v>0</v>
      </c>
      <c r="BA52" s="126">
        <v>0</v>
      </c>
      <c r="BB52" s="126">
        <v>0</v>
      </c>
      <c r="BC52" s="126">
        <v>72393.899999999994</v>
      </c>
      <c r="BD52" s="126">
        <v>162.88003162597877</v>
      </c>
      <c r="BE52" s="126">
        <v>0</v>
      </c>
      <c r="BF52" s="126">
        <v>213.42363912486636</v>
      </c>
      <c r="BG52" s="126">
        <v>106.8562688763373</v>
      </c>
      <c r="BH52" s="126">
        <v>447.62038771324973</v>
      </c>
      <c r="BI52" s="137">
        <v>56566.74752531077</v>
      </c>
      <c r="BJ52" s="126">
        <v>400.63507309291111</v>
      </c>
      <c r="BK52" s="126">
        <v>570.08011069092572</v>
      </c>
      <c r="BL52" s="126">
        <v>611.55835609579719</v>
      </c>
      <c r="BM52" s="126">
        <v>606.07057460316162</v>
      </c>
      <c r="BN52" s="126">
        <v>10194.162678104896</v>
      </c>
      <c r="BO52" s="126">
        <v>5852.5415979453264</v>
      </c>
      <c r="BP52" s="126">
        <v>4801.5556324988474</v>
      </c>
      <c r="BQ52" s="126">
        <v>26051.128240213337</v>
      </c>
      <c r="BR52" s="126">
        <v>972.21035018385453</v>
      </c>
      <c r="BS52" s="126">
        <v>1079.4529899104848</v>
      </c>
      <c r="BT52" s="126">
        <v>5385.3303472808147</v>
      </c>
      <c r="BU52" s="126">
        <v>0</v>
      </c>
      <c r="BV52" s="126">
        <v>42.021574690410716</v>
      </c>
      <c r="BW52" s="126">
        <v>6500.9339504572554</v>
      </c>
      <c r="BX52" s="126">
        <v>23063.622176671583</v>
      </c>
      <c r="BY52" s="126">
        <v>20283.172041468886</v>
      </c>
      <c r="BZ52" s="126">
        <v>0</v>
      </c>
      <c r="CA52" s="137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37">
        <v>5305.2311075990956</v>
      </c>
      <c r="CH52" s="126">
        <v>1010.0039999999999</v>
      </c>
      <c r="CI52" s="126">
        <v>4295.2271075990957</v>
      </c>
      <c r="CJ52" s="120"/>
      <c r="CK52" s="138">
        <v>311803.42980251653</v>
      </c>
      <c r="CL52" s="139">
        <v>68.531238692363743</v>
      </c>
      <c r="CM52" s="140">
        <v>115064.40000000001</v>
      </c>
      <c r="CN52" s="125">
        <v>1003.8000000000001</v>
      </c>
      <c r="CO52" s="125">
        <v>1003.8000000000001</v>
      </c>
      <c r="CP52" s="125">
        <v>0</v>
      </c>
      <c r="CQ52" s="125">
        <v>3916.68</v>
      </c>
      <c r="CR52" s="125">
        <v>2123.3999999999996</v>
      </c>
      <c r="CS52" s="125">
        <v>8875.44</v>
      </c>
      <c r="CT52" s="125">
        <v>0</v>
      </c>
      <c r="CU52" s="141">
        <v>0</v>
      </c>
      <c r="CV52" s="142">
        <v>-196739.02980251651</v>
      </c>
      <c r="CW52" s="143">
        <v>0</v>
      </c>
      <c r="CX52" s="140">
        <v>110542.09999999999</v>
      </c>
      <c r="CY52" s="140">
        <v>28264</v>
      </c>
    </row>
    <row r="53" spans="1:103" ht="12" customHeight="1" x14ac:dyDescent="0.25">
      <c r="A53" s="122">
        <v>49</v>
      </c>
      <c r="B53" s="123" t="s">
        <v>97</v>
      </c>
      <c r="C53" s="124">
        <v>502.68</v>
      </c>
      <c r="D53" s="125">
        <v>502.68</v>
      </c>
      <c r="E53" s="125">
        <v>0</v>
      </c>
      <c r="F53" s="125">
        <v>65.2</v>
      </c>
      <c r="G53" s="124">
        <v>502.68</v>
      </c>
      <c r="H53" s="124"/>
      <c r="I53" s="126">
        <v>0</v>
      </c>
      <c r="J53" s="126">
        <v>0</v>
      </c>
      <c r="K53" s="127">
        <v>0</v>
      </c>
      <c r="L53" s="127">
        <v>0</v>
      </c>
      <c r="M53" s="127"/>
      <c r="N53" s="127"/>
      <c r="O53" s="128" t="s">
        <v>1488</v>
      </c>
      <c r="P53" s="129" t="s">
        <v>74</v>
      </c>
      <c r="Q53" s="130">
        <v>4</v>
      </c>
      <c r="R53" s="130">
        <v>2.0499999999999998</v>
      </c>
      <c r="S53" s="130">
        <v>0</v>
      </c>
      <c r="T53" s="38">
        <v>0.22</v>
      </c>
      <c r="U53" s="131">
        <v>20.440000000000001</v>
      </c>
      <c r="V53" s="131"/>
      <c r="W53" s="132">
        <v>0</v>
      </c>
      <c r="X53" s="133">
        <v>36207.548022019604</v>
      </c>
      <c r="Y53" s="134">
        <v>20553.02</v>
      </c>
      <c r="Z53" s="134">
        <v>1672.1194953308759</v>
      </c>
      <c r="AA53" s="134">
        <v>316.31405719622154</v>
      </c>
      <c r="AB53" s="134">
        <v>218.114469492507</v>
      </c>
      <c r="AC53" s="126">
        <v>0</v>
      </c>
      <c r="AD53" s="126">
        <v>0</v>
      </c>
      <c r="AE53" s="126">
        <v>13447.98</v>
      </c>
      <c r="AF53" s="126">
        <v>0</v>
      </c>
      <c r="AG53" s="126">
        <v>0</v>
      </c>
      <c r="AH53" s="126">
        <v>0</v>
      </c>
      <c r="AI53" s="126">
        <v>0</v>
      </c>
      <c r="AJ53" s="126">
        <v>0</v>
      </c>
      <c r="AK53" s="126">
        <v>0</v>
      </c>
      <c r="AL53" s="126">
        <v>0</v>
      </c>
      <c r="AM53" s="126">
        <v>0</v>
      </c>
      <c r="AN53" s="126">
        <v>0</v>
      </c>
      <c r="AO53" s="126">
        <v>0</v>
      </c>
      <c r="AP53" s="126">
        <v>0</v>
      </c>
      <c r="AQ53" s="126">
        <v>0</v>
      </c>
      <c r="AR53" s="126">
        <v>0</v>
      </c>
      <c r="AS53" s="126">
        <v>0</v>
      </c>
      <c r="AT53" s="126">
        <v>0</v>
      </c>
      <c r="AU53" s="126">
        <v>0</v>
      </c>
      <c r="AV53" s="126">
        <v>0</v>
      </c>
      <c r="AW53" s="135">
        <v>96178.084081757741</v>
      </c>
      <c r="AX53" s="136">
        <v>76612.834041360038</v>
      </c>
      <c r="AY53" s="136">
        <v>3219.7342895141792</v>
      </c>
      <c r="AZ53" s="126">
        <v>0</v>
      </c>
      <c r="BA53" s="126">
        <v>0</v>
      </c>
      <c r="BB53" s="126">
        <v>0</v>
      </c>
      <c r="BC53" s="126">
        <v>15111.48</v>
      </c>
      <c r="BD53" s="126">
        <v>215.94760463602009</v>
      </c>
      <c r="BE53" s="126">
        <v>0</v>
      </c>
      <c r="BF53" s="126">
        <v>282.95871004955251</v>
      </c>
      <c r="BG53" s="126">
        <v>141.6708670414275</v>
      </c>
      <c r="BH53" s="126">
        <v>593.45856915652485</v>
      </c>
      <c r="BI53" s="137">
        <v>74996.631006259297</v>
      </c>
      <c r="BJ53" s="126">
        <v>531.16507593919175</v>
      </c>
      <c r="BK53" s="126">
        <v>755.81661622607021</v>
      </c>
      <c r="BL53" s="126">
        <v>810.80879451994031</v>
      </c>
      <c r="BM53" s="126">
        <v>803.53305140845919</v>
      </c>
      <c r="BN53" s="126">
        <v>13515.499657206303</v>
      </c>
      <c r="BO53" s="126">
        <v>7759.3448778983438</v>
      </c>
      <c r="BP53" s="126">
        <v>6365.9395630872241</v>
      </c>
      <c r="BQ53" s="126">
        <v>34538.787139101783</v>
      </c>
      <c r="BR53" s="126">
        <v>1288.9639953327708</v>
      </c>
      <c r="BS53" s="126">
        <v>1431.1471158333181</v>
      </c>
      <c r="BT53" s="126">
        <v>7139.9125912465252</v>
      </c>
      <c r="BU53" s="126">
        <v>0</v>
      </c>
      <c r="BV53" s="126">
        <v>55.712528459384572</v>
      </c>
      <c r="BW53" s="126">
        <v>8618.9884695129986</v>
      </c>
      <c r="BX53" s="126">
        <v>30577.92851317229</v>
      </c>
      <c r="BY53" s="126">
        <v>26891.58623712404</v>
      </c>
      <c r="BZ53" s="126">
        <v>0</v>
      </c>
      <c r="CA53" s="137">
        <v>0</v>
      </c>
      <c r="CB53" s="126">
        <v>0</v>
      </c>
      <c r="CC53" s="126">
        <v>0</v>
      </c>
      <c r="CD53" s="126">
        <v>0</v>
      </c>
      <c r="CE53" s="126">
        <v>0</v>
      </c>
      <c r="CF53" s="126">
        <v>0</v>
      </c>
      <c r="CG53" s="137">
        <v>7194.6452919633748</v>
      </c>
      <c r="CH53" s="126">
        <v>1500</v>
      </c>
      <c r="CI53" s="126">
        <v>5694.6452919633748</v>
      </c>
      <c r="CJ53" s="120"/>
      <c r="CK53" s="138">
        <v>280665.4116218093</v>
      </c>
      <c r="CL53" s="139">
        <v>46.528177571849767</v>
      </c>
      <c r="CM53" s="140">
        <v>123297.24</v>
      </c>
      <c r="CN53" s="125">
        <v>312.71999999999997</v>
      </c>
      <c r="CO53" s="125">
        <v>0</v>
      </c>
      <c r="CP53" s="125">
        <v>0</v>
      </c>
      <c r="CQ53" s="125">
        <v>0</v>
      </c>
      <c r="CR53" s="125">
        <v>331.08</v>
      </c>
      <c r="CS53" s="125">
        <v>3596.3999999999996</v>
      </c>
      <c r="CT53" s="125">
        <v>0</v>
      </c>
      <c r="CU53" s="141">
        <v>0</v>
      </c>
      <c r="CV53" s="142">
        <v>-157368.17162180931</v>
      </c>
      <c r="CW53" s="143">
        <v>0</v>
      </c>
      <c r="CX53" s="140">
        <v>111173.15</v>
      </c>
      <c r="CY53" s="140">
        <v>31620.58</v>
      </c>
    </row>
    <row r="54" spans="1:103" ht="12" customHeight="1" x14ac:dyDescent="0.25">
      <c r="A54" s="122">
        <v>50</v>
      </c>
      <c r="B54" s="123" t="s">
        <v>98</v>
      </c>
      <c r="C54" s="124">
        <v>758.99</v>
      </c>
      <c r="D54" s="125">
        <v>758.99</v>
      </c>
      <c r="E54" s="125">
        <v>0</v>
      </c>
      <c r="F54" s="125">
        <v>99.8</v>
      </c>
      <c r="G54" s="124">
        <v>758.99</v>
      </c>
      <c r="H54" s="124"/>
      <c r="I54" s="126">
        <v>0</v>
      </c>
      <c r="J54" s="126">
        <v>0</v>
      </c>
      <c r="K54" s="127">
        <v>0</v>
      </c>
      <c r="L54" s="127">
        <v>0</v>
      </c>
      <c r="M54" s="127"/>
      <c r="N54" s="127"/>
      <c r="O54" s="128" t="s">
        <v>1488</v>
      </c>
      <c r="P54" s="129" t="s">
        <v>74</v>
      </c>
      <c r="Q54" s="130">
        <v>4</v>
      </c>
      <c r="R54" s="130">
        <v>2.0499999999999998</v>
      </c>
      <c r="S54" s="130">
        <v>0</v>
      </c>
      <c r="T54" s="38">
        <v>0.22</v>
      </c>
      <c r="U54" s="131">
        <v>20.440000000000001</v>
      </c>
      <c r="V54" s="131"/>
      <c r="W54" s="132">
        <v>0</v>
      </c>
      <c r="X54" s="133">
        <v>52363.528185789488</v>
      </c>
      <c r="Y54" s="134">
        <v>49031.89</v>
      </c>
      <c r="Z54" s="134">
        <v>2524.7114978936529</v>
      </c>
      <c r="AA54" s="134">
        <v>477.59848466491638</v>
      </c>
      <c r="AB54" s="134">
        <v>329.32820323091806</v>
      </c>
      <c r="AC54" s="126">
        <v>0</v>
      </c>
      <c r="AD54" s="126">
        <v>0</v>
      </c>
      <c r="AE54" s="126">
        <v>0</v>
      </c>
      <c r="AF54" s="126">
        <v>0</v>
      </c>
      <c r="AG54" s="126">
        <v>0</v>
      </c>
      <c r="AH54" s="126">
        <v>0</v>
      </c>
      <c r="AI54" s="126">
        <v>0</v>
      </c>
      <c r="AJ54" s="126">
        <v>0</v>
      </c>
      <c r="AK54" s="126">
        <v>0</v>
      </c>
      <c r="AL54" s="126">
        <v>0</v>
      </c>
      <c r="AM54" s="126">
        <v>0</v>
      </c>
      <c r="AN54" s="126">
        <v>0</v>
      </c>
      <c r="AO54" s="126">
        <v>0</v>
      </c>
      <c r="AP54" s="126">
        <v>0</v>
      </c>
      <c r="AQ54" s="126">
        <v>0</v>
      </c>
      <c r="AR54" s="126">
        <v>0</v>
      </c>
      <c r="AS54" s="126">
        <v>0</v>
      </c>
      <c r="AT54" s="126">
        <v>0</v>
      </c>
      <c r="AU54" s="126">
        <v>0</v>
      </c>
      <c r="AV54" s="126">
        <v>0</v>
      </c>
      <c r="AW54" s="135">
        <v>137512.89209519638</v>
      </c>
      <c r="AX54" s="136">
        <v>115676.72258504786</v>
      </c>
      <c r="AY54" s="136">
        <v>4861.4349653822846</v>
      </c>
      <c r="AZ54" s="126">
        <v>0</v>
      </c>
      <c r="BA54" s="126">
        <v>0</v>
      </c>
      <c r="BB54" s="126">
        <v>0</v>
      </c>
      <c r="BC54" s="126">
        <v>15111.48</v>
      </c>
      <c r="BD54" s="126">
        <v>326.05648214110943</v>
      </c>
      <c r="BE54" s="126">
        <v>0</v>
      </c>
      <c r="BF54" s="126">
        <v>427.23567943922541</v>
      </c>
      <c r="BG54" s="126">
        <v>213.90700122498023</v>
      </c>
      <c r="BH54" s="126">
        <v>896.05538196091106</v>
      </c>
      <c r="BI54" s="137">
        <v>113236.43862385764</v>
      </c>
      <c r="BJ54" s="126">
        <v>801.99924601553107</v>
      </c>
      <c r="BK54" s="126">
        <v>1141.197687493883</v>
      </c>
      <c r="BL54" s="126">
        <v>1224.2296629121697</v>
      </c>
      <c r="BM54" s="126">
        <v>1213.244112931699</v>
      </c>
      <c r="BN54" s="126">
        <v>20406.87730727901</v>
      </c>
      <c r="BO54" s="126">
        <v>11715.734003493404</v>
      </c>
      <c r="BP54" s="126">
        <v>9611.8494250568401</v>
      </c>
      <c r="BQ54" s="126">
        <v>52149.665892231358</v>
      </c>
      <c r="BR54" s="126">
        <v>1946.1899873032937</v>
      </c>
      <c r="BS54" s="126">
        <v>2160.8704333697979</v>
      </c>
      <c r="BT54" s="126">
        <v>10780.461242997932</v>
      </c>
      <c r="BU54" s="126">
        <v>0</v>
      </c>
      <c r="BV54" s="126">
        <v>84.119622772714848</v>
      </c>
      <c r="BW54" s="126">
        <v>13013.698691962423</v>
      </c>
      <c r="BX54" s="126">
        <v>46169.216921724823</v>
      </c>
      <c r="BY54" s="126">
        <v>40603.256620742373</v>
      </c>
      <c r="BZ54" s="126">
        <v>0</v>
      </c>
      <c r="CA54" s="137">
        <v>0</v>
      </c>
      <c r="CB54" s="126">
        <v>0</v>
      </c>
      <c r="CC54" s="126">
        <v>0</v>
      </c>
      <c r="CD54" s="126">
        <v>0</v>
      </c>
      <c r="CE54" s="126">
        <v>0</v>
      </c>
      <c r="CF54" s="126">
        <v>0</v>
      </c>
      <c r="CG54" s="137">
        <v>10618.266928119841</v>
      </c>
      <c r="CH54" s="126">
        <v>2019.9959999999999</v>
      </c>
      <c r="CI54" s="126">
        <v>8598.2709281198422</v>
      </c>
      <c r="CJ54" s="120"/>
      <c r="CK54" s="138">
        <v>413517.29806739296</v>
      </c>
      <c r="CL54" s="139">
        <v>45.402146061146276</v>
      </c>
      <c r="CM54" s="140">
        <v>186165</v>
      </c>
      <c r="CN54" s="125">
        <v>478.91999999999996</v>
      </c>
      <c r="CO54" s="125">
        <v>0</v>
      </c>
      <c r="CP54" s="125">
        <v>0</v>
      </c>
      <c r="CQ54" s="125">
        <v>0</v>
      </c>
      <c r="CR54" s="125">
        <v>506.88</v>
      </c>
      <c r="CS54" s="125">
        <v>5504.5199999999995</v>
      </c>
      <c r="CT54" s="125">
        <v>0</v>
      </c>
      <c r="CU54" s="141">
        <v>0</v>
      </c>
      <c r="CV54" s="142">
        <v>-227352.29806739296</v>
      </c>
      <c r="CW54" s="143">
        <v>0</v>
      </c>
      <c r="CX54" s="140">
        <v>184367.52</v>
      </c>
      <c r="CY54" s="140">
        <v>26154.44</v>
      </c>
    </row>
    <row r="55" spans="1:103" ht="12" customHeight="1" x14ac:dyDescent="0.25">
      <c r="A55" s="122">
        <v>51</v>
      </c>
      <c r="B55" s="123" t="s">
        <v>1491</v>
      </c>
      <c r="C55" s="124">
        <v>5789.9398064828247</v>
      </c>
      <c r="D55" s="125">
        <v>5758.6998064828249</v>
      </c>
      <c r="E55" s="125">
        <v>31.24</v>
      </c>
      <c r="F55" s="125">
        <v>1030.1199999999999</v>
      </c>
      <c r="G55" s="124">
        <v>5789.9398064828247</v>
      </c>
      <c r="H55" s="124">
        <v>5789.9398064828247</v>
      </c>
      <c r="I55" s="126">
        <v>3</v>
      </c>
      <c r="J55" s="126">
        <v>0</v>
      </c>
      <c r="K55" s="127">
        <v>5.2390806522778378E-3</v>
      </c>
      <c r="L55" s="127">
        <v>7.4567599671444091E-3</v>
      </c>
      <c r="M55" s="127"/>
      <c r="N55" s="127"/>
      <c r="O55" s="128" t="s">
        <v>1489</v>
      </c>
      <c r="P55" s="129" t="s">
        <v>70</v>
      </c>
      <c r="Q55" s="130">
        <v>6.91</v>
      </c>
      <c r="R55" s="130">
        <v>3.15</v>
      </c>
      <c r="S55" s="130">
        <v>1.81</v>
      </c>
      <c r="T55" s="38">
        <v>0.26</v>
      </c>
      <c r="U55" s="131">
        <v>45.06</v>
      </c>
      <c r="V55" s="144">
        <v>3</v>
      </c>
      <c r="W55" s="132">
        <v>7.2289156626506026E-3</v>
      </c>
      <c r="X55" s="133">
        <v>300441.64387646411</v>
      </c>
      <c r="Y55" s="134">
        <v>29366.54</v>
      </c>
      <c r="Z55" s="134">
        <v>15487.760019547142</v>
      </c>
      <c r="AA55" s="134">
        <v>3643.3503443751251</v>
      </c>
      <c r="AB55" s="134">
        <v>2512.2735125418753</v>
      </c>
      <c r="AC55" s="126">
        <v>0</v>
      </c>
      <c r="AD55" s="126">
        <v>60622.73</v>
      </c>
      <c r="AE55" s="126">
        <v>0</v>
      </c>
      <c r="AF55" s="126">
        <v>0</v>
      </c>
      <c r="AG55" s="126">
        <v>0</v>
      </c>
      <c r="AH55" s="126">
        <v>0</v>
      </c>
      <c r="AI55" s="126">
        <v>0</v>
      </c>
      <c r="AJ55" s="126">
        <v>0</v>
      </c>
      <c r="AK55" s="126">
        <v>188808.99</v>
      </c>
      <c r="AL55" s="126">
        <v>0</v>
      </c>
      <c r="AM55" s="126">
        <v>0</v>
      </c>
      <c r="AN55" s="126">
        <v>0</v>
      </c>
      <c r="AO55" s="126">
        <v>0</v>
      </c>
      <c r="AP55" s="126">
        <v>0</v>
      </c>
      <c r="AQ55" s="126">
        <v>0</v>
      </c>
      <c r="AR55" s="126">
        <v>0</v>
      </c>
      <c r="AS55" s="126">
        <v>0</v>
      </c>
      <c r="AT55" s="126">
        <v>0</v>
      </c>
      <c r="AU55" s="126">
        <v>0</v>
      </c>
      <c r="AV55" s="126">
        <v>0</v>
      </c>
      <c r="AW55" s="135">
        <v>378468.31177195412</v>
      </c>
      <c r="AX55" s="136">
        <v>315962.20457069541</v>
      </c>
      <c r="AY55" s="136">
        <v>37085.357939754598</v>
      </c>
      <c r="AZ55" s="126">
        <v>0</v>
      </c>
      <c r="BA55" s="126">
        <v>11206.949793326688</v>
      </c>
      <c r="BB55" s="126">
        <v>0</v>
      </c>
      <c r="BC55" s="126">
        <v>0</v>
      </c>
      <c r="BD55" s="126">
        <v>2487.315254628606</v>
      </c>
      <c r="BE55" s="126">
        <v>0</v>
      </c>
      <c r="BF55" s="126">
        <v>3259.1587071435815</v>
      </c>
      <c r="BG55" s="126">
        <v>1631.7852162451197</v>
      </c>
      <c r="BH55" s="126">
        <v>6835.5402901601483</v>
      </c>
      <c r="BI55" s="137">
        <v>863821.87319019006</v>
      </c>
      <c r="BJ55" s="126">
        <v>6118.0349665668</v>
      </c>
      <c r="BK55" s="126">
        <v>8705.6033912001203</v>
      </c>
      <c r="BL55" s="126">
        <v>9339.011130017816</v>
      </c>
      <c r="BM55" s="126">
        <v>9255.2080850132243</v>
      </c>
      <c r="BN55" s="126">
        <v>155673.44925153925</v>
      </c>
      <c r="BO55" s="126">
        <v>89373.239000501781</v>
      </c>
      <c r="BP55" s="126">
        <v>73323.798205583269</v>
      </c>
      <c r="BQ55" s="126">
        <v>397822.66755057377</v>
      </c>
      <c r="BR55" s="126">
        <v>14846.470807870517</v>
      </c>
      <c r="BS55" s="126">
        <v>16484.156232387231</v>
      </c>
      <c r="BT55" s="126">
        <v>82238.529734356227</v>
      </c>
      <c r="BU55" s="126">
        <v>0</v>
      </c>
      <c r="BV55" s="126">
        <v>641.7048345802458</v>
      </c>
      <c r="BW55" s="126">
        <v>99274.736276059892</v>
      </c>
      <c r="BX55" s="126">
        <v>352200.93399021722</v>
      </c>
      <c r="BY55" s="126">
        <v>309741.11883064802</v>
      </c>
      <c r="BZ55" s="126">
        <v>58966.644868791576</v>
      </c>
      <c r="CA55" s="137">
        <v>229551.27343540048</v>
      </c>
      <c r="CB55" s="126">
        <v>5192.28</v>
      </c>
      <c r="CC55" s="126">
        <v>222906.12167266541</v>
      </c>
      <c r="CD55" s="126">
        <v>0</v>
      </c>
      <c r="CE55" s="126">
        <v>0</v>
      </c>
      <c r="CF55" s="126">
        <v>1452.8717627350611</v>
      </c>
      <c r="CG55" s="137">
        <v>83291.735218705246</v>
      </c>
      <c r="CH55" s="126">
        <v>17700</v>
      </c>
      <c r="CI55" s="126">
        <v>65591.735218705246</v>
      </c>
      <c r="CJ55" s="120"/>
      <c r="CK55" s="138">
        <v>2675758.2714584307</v>
      </c>
      <c r="CL55" s="139">
        <v>38.51160174501387</v>
      </c>
      <c r="CM55" s="140">
        <v>2985465.56</v>
      </c>
      <c r="CN55" s="125">
        <v>9352.5300000000007</v>
      </c>
      <c r="CO55" s="125">
        <v>9352.52</v>
      </c>
      <c r="CP55" s="125">
        <v>0</v>
      </c>
      <c r="CQ55" s="125">
        <v>26425.14</v>
      </c>
      <c r="CR55" s="125">
        <v>15914.88</v>
      </c>
      <c r="CS55" s="125">
        <v>270032.37000000005</v>
      </c>
      <c r="CT55" s="125">
        <v>246304.59844204283</v>
      </c>
      <c r="CU55" s="141">
        <v>2659.6626506024099</v>
      </c>
      <c r="CV55" s="142">
        <v>558671.54963421449</v>
      </c>
      <c r="CW55" s="143">
        <v>0.1157456156802843</v>
      </c>
      <c r="CX55" s="140">
        <v>3027953.1199999996</v>
      </c>
      <c r="CY55" s="140">
        <v>818792.23</v>
      </c>
    </row>
    <row r="56" spans="1:103" ht="12" customHeight="1" x14ac:dyDescent="0.25">
      <c r="A56" s="122">
        <v>52</v>
      </c>
      <c r="B56" s="123" t="s">
        <v>1492</v>
      </c>
      <c r="C56" s="124">
        <v>5804.9</v>
      </c>
      <c r="D56" s="125">
        <v>5804.9</v>
      </c>
      <c r="E56" s="125">
        <v>0</v>
      </c>
      <c r="F56" s="125">
        <v>1032.78</v>
      </c>
      <c r="G56" s="124">
        <v>5804.9</v>
      </c>
      <c r="H56" s="124">
        <v>5804.9</v>
      </c>
      <c r="I56" s="126">
        <v>3</v>
      </c>
      <c r="J56" s="126">
        <v>0</v>
      </c>
      <c r="K56" s="127">
        <v>5.3344898426429498E-3</v>
      </c>
      <c r="L56" s="127">
        <v>7.5925554393715651E-3</v>
      </c>
      <c r="M56" s="127"/>
      <c r="N56" s="127"/>
      <c r="O56" s="128" t="s">
        <v>1489</v>
      </c>
      <c r="P56" s="129" t="s">
        <v>70</v>
      </c>
      <c r="Q56" s="130">
        <v>6.91</v>
      </c>
      <c r="R56" s="130">
        <v>3.15</v>
      </c>
      <c r="S56" s="130">
        <v>1.81</v>
      </c>
      <c r="T56" s="38">
        <v>0.26</v>
      </c>
      <c r="U56" s="131">
        <v>45.06</v>
      </c>
      <c r="V56" s="144">
        <v>3</v>
      </c>
      <c r="W56" s="132">
        <v>7.2289156626506026E-3</v>
      </c>
      <c r="X56" s="133">
        <v>312195.336601394</v>
      </c>
      <c r="Y56" s="134">
        <v>21815.38</v>
      </c>
      <c r="Z56" s="134">
        <v>15527.777687223163</v>
      </c>
      <c r="AA56" s="134">
        <v>3652.7641255238841</v>
      </c>
      <c r="AB56" s="134">
        <v>2518.7647886469599</v>
      </c>
      <c r="AC56" s="126">
        <v>92262</v>
      </c>
      <c r="AD56" s="126">
        <v>21243.63</v>
      </c>
      <c r="AE56" s="126">
        <v>0</v>
      </c>
      <c r="AF56" s="126">
        <v>0</v>
      </c>
      <c r="AG56" s="126">
        <v>0</v>
      </c>
      <c r="AH56" s="126">
        <v>0</v>
      </c>
      <c r="AI56" s="126">
        <v>0</v>
      </c>
      <c r="AJ56" s="126">
        <v>0</v>
      </c>
      <c r="AK56" s="126">
        <v>0</v>
      </c>
      <c r="AL56" s="126">
        <v>0</v>
      </c>
      <c r="AM56" s="126">
        <v>0</v>
      </c>
      <c r="AN56" s="126">
        <v>155175.01999999999</v>
      </c>
      <c r="AO56" s="126">
        <v>0</v>
      </c>
      <c r="AP56" s="126">
        <v>0</v>
      </c>
      <c r="AQ56" s="126">
        <v>0</v>
      </c>
      <c r="AR56" s="126">
        <v>0</v>
      </c>
      <c r="AS56" s="126">
        <v>0</v>
      </c>
      <c r="AT56" s="126">
        <v>0</v>
      </c>
      <c r="AU56" s="126">
        <v>0</v>
      </c>
      <c r="AV56" s="126">
        <v>0</v>
      </c>
      <c r="AW56" s="135">
        <v>379446.20780774497</v>
      </c>
      <c r="AX56" s="136">
        <v>316778.59573925269</v>
      </c>
      <c r="AY56" s="136">
        <v>37181.180029443894</v>
      </c>
      <c r="AZ56" s="126">
        <v>0</v>
      </c>
      <c r="BA56" s="126">
        <v>11235.906594821879</v>
      </c>
      <c r="BB56" s="126">
        <v>0</v>
      </c>
      <c r="BC56" s="126">
        <v>0</v>
      </c>
      <c r="BD56" s="126">
        <v>2493.7420429530375</v>
      </c>
      <c r="BE56" s="126">
        <v>0</v>
      </c>
      <c r="BF56" s="126">
        <v>3267.5798041828739</v>
      </c>
      <c r="BG56" s="126">
        <v>1636.0014643287627</v>
      </c>
      <c r="BH56" s="126">
        <v>6853.2021327618177</v>
      </c>
      <c r="BI56" s="137">
        <v>866053.8380843373</v>
      </c>
      <c r="BJ56" s="126">
        <v>6133.8429006911238</v>
      </c>
      <c r="BK56" s="126">
        <v>8728.0971503356304</v>
      </c>
      <c r="BL56" s="126">
        <v>9363.14150415533</v>
      </c>
      <c r="BM56" s="126">
        <v>9279.1219267147371</v>
      </c>
      <c r="BN56" s="126">
        <v>156075.68226330244</v>
      </c>
      <c r="BO56" s="126">
        <v>89604.163845213843</v>
      </c>
      <c r="BP56" s="126">
        <v>73513.254097567085</v>
      </c>
      <c r="BQ56" s="126">
        <v>398850.57186236157</v>
      </c>
      <c r="BR56" s="126">
        <v>14884.831496194796</v>
      </c>
      <c r="BS56" s="126">
        <v>16526.748413903133</v>
      </c>
      <c r="BT56" s="126">
        <v>82451.019736068571</v>
      </c>
      <c r="BU56" s="126">
        <v>0</v>
      </c>
      <c r="BV56" s="126">
        <v>643.36288782899953</v>
      </c>
      <c r="BW56" s="126">
        <v>99531.244860897597</v>
      </c>
      <c r="BX56" s="126">
        <v>353110.95970819175</v>
      </c>
      <c r="BY56" s="126">
        <v>310541.43579987535</v>
      </c>
      <c r="BZ56" s="126">
        <v>59119.004383359919</v>
      </c>
      <c r="CA56" s="137">
        <v>238806.6632336097</v>
      </c>
      <c r="CB56" s="126">
        <v>10384.56</v>
      </c>
      <c r="CC56" s="126">
        <v>226965.47750391599</v>
      </c>
      <c r="CD56" s="126">
        <v>0</v>
      </c>
      <c r="CE56" s="126">
        <v>0</v>
      </c>
      <c r="CF56" s="126">
        <v>1456.6257296937192</v>
      </c>
      <c r="CG56" s="137">
        <v>83461.212809974924</v>
      </c>
      <c r="CH56" s="126">
        <v>17700</v>
      </c>
      <c r="CI56" s="126">
        <v>65761.212809974924</v>
      </c>
      <c r="CJ56" s="120"/>
      <c r="CK56" s="138">
        <v>2702265.9032893856</v>
      </c>
      <c r="CL56" s="139">
        <v>38.792886229584575</v>
      </c>
      <c r="CM56" s="140">
        <v>3011636.57</v>
      </c>
      <c r="CN56" s="125">
        <v>3813.7200000000003</v>
      </c>
      <c r="CO56" s="125">
        <v>3813.7200000000003</v>
      </c>
      <c r="CP56" s="125">
        <v>0</v>
      </c>
      <c r="CQ56" s="125">
        <v>14864.13</v>
      </c>
      <c r="CR56" s="125">
        <v>8080.98</v>
      </c>
      <c r="CS56" s="125">
        <v>269618.84000000003</v>
      </c>
      <c r="CT56" s="125">
        <v>0</v>
      </c>
      <c r="CU56" s="141">
        <v>2659.6626506024099</v>
      </c>
      <c r="CV56" s="142">
        <v>312030.32936121663</v>
      </c>
      <c r="CW56" s="143">
        <v>0.1144856493707842</v>
      </c>
      <c r="CX56" s="140">
        <v>2895534.74</v>
      </c>
      <c r="CY56" s="140">
        <v>1013861.12</v>
      </c>
    </row>
    <row r="57" spans="1:103" ht="12" customHeight="1" x14ac:dyDescent="0.25">
      <c r="A57" s="122">
        <v>53</v>
      </c>
      <c r="B57" s="123" t="s">
        <v>101</v>
      </c>
      <c r="C57" s="124">
        <v>10302.899999999998</v>
      </c>
      <c r="D57" s="125">
        <v>9629.5999999999985</v>
      </c>
      <c r="E57" s="125">
        <v>673.3</v>
      </c>
      <c r="F57" s="125">
        <v>1358.8</v>
      </c>
      <c r="G57" s="124">
        <v>10302.899999999998</v>
      </c>
      <c r="H57" s="124">
        <v>10302.899999999998</v>
      </c>
      <c r="I57" s="126">
        <v>6</v>
      </c>
      <c r="J57" s="126">
        <v>0</v>
      </c>
      <c r="K57" s="127">
        <v>1.2558084981195398E-2</v>
      </c>
      <c r="L57" s="127">
        <v>1.7873865963689933E-2</v>
      </c>
      <c r="M57" s="127"/>
      <c r="N57" s="127"/>
      <c r="O57" s="128" t="s">
        <v>1488</v>
      </c>
      <c r="P57" s="129" t="s">
        <v>70</v>
      </c>
      <c r="Q57" s="130">
        <v>6.91</v>
      </c>
      <c r="R57" s="130">
        <v>3.15</v>
      </c>
      <c r="S57" s="130">
        <v>1.81</v>
      </c>
      <c r="T57" s="38">
        <v>0</v>
      </c>
      <c r="U57" s="131">
        <v>44.8</v>
      </c>
      <c r="V57" s="144">
        <v>3</v>
      </c>
      <c r="W57" s="132">
        <v>7.2289156626506026E-3</v>
      </c>
      <c r="X57" s="133">
        <v>352600.71808136266</v>
      </c>
      <c r="Y57" s="134">
        <v>23105.4</v>
      </c>
      <c r="Z57" s="134">
        <v>27559.672127632086</v>
      </c>
      <c r="AA57" s="134">
        <v>6483.1544916983967</v>
      </c>
      <c r="AB57" s="134">
        <v>4470.4614620322072</v>
      </c>
      <c r="AC57" s="126">
        <v>0</v>
      </c>
      <c r="AD57" s="126">
        <v>152582.79</v>
      </c>
      <c r="AE57" s="126">
        <v>0</v>
      </c>
      <c r="AF57" s="126">
        <v>0</v>
      </c>
      <c r="AG57" s="126">
        <v>0</v>
      </c>
      <c r="AH57" s="126">
        <v>0</v>
      </c>
      <c r="AI57" s="126">
        <v>0</v>
      </c>
      <c r="AJ57" s="126">
        <v>0</v>
      </c>
      <c r="AK57" s="126">
        <v>37678.89</v>
      </c>
      <c r="AL57" s="126">
        <v>0</v>
      </c>
      <c r="AM57" s="126">
        <v>0</v>
      </c>
      <c r="AN57" s="126">
        <v>0</v>
      </c>
      <c r="AO57" s="126">
        <v>0</v>
      </c>
      <c r="AP57" s="126">
        <v>100720.35</v>
      </c>
      <c r="AQ57" s="126">
        <v>0</v>
      </c>
      <c r="AR57" s="126">
        <v>0</v>
      </c>
      <c r="AS57" s="126">
        <v>0</v>
      </c>
      <c r="AT57" s="126">
        <v>0</v>
      </c>
      <c r="AU57" s="126">
        <v>0</v>
      </c>
      <c r="AV57" s="126">
        <v>0</v>
      </c>
      <c r="AW57" s="135">
        <v>653522.69847312174</v>
      </c>
      <c r="AX57" s="136">
        <v>562238.48714740062</v>
      </c>
      <c r="AY57" s="136">
        <v>65991.486455469945</v>
      </c>
      <c r="AZ57" s="126">
        <v>0</v>
      </c>
      <c r="BA57" s="126">
        <v>0</v>
      </c>
      <c r="BB57" s="126">
        <v>0</v>
      </c>
      <c r="BC57" s="126">
        <v>0</v>
      </c>
      <c r="BD57" s="126">
        <v>4426.049526148744</v>
      </c>
      <c r="BE57" s="126">
        <v>0</v>
      </c>
      <c r="BF57" s="126">
        <v>5799.5052394555851</v>
      </c>
      <c r="BG57" s="126">
        <v>2903.677838865925</v>
      </c>
      <c r="BH57" s="126">
        <v>12163.492265780931</v>
      </c>
      <c r="BI57" s="137">
        <v>1537126.5807161392</v>
      </c>
      <c r="BJ57" s="126">
        <v>10886.728457256899</v>
      </c>
      <c r="BK57" s="126">
        <v>15491.173341520604</v>
      </c>
      <c r="BL57" s="126">
        <v>16618.289824658812</v>
      </c>
      <c r="BM57" s="126">
        <v>16469.166617641862</v>
      </c>
      <c r="BN57" s="126">
        <v>277012.89372608974</v>
      </c>
      <c r="BO57" s="126">
        <v>159035.08065269919</v>
      </c>
      <c r="BP57" s="126">
        <v>130475.9264831132</v>
      </c>
      <c r="BQ57" s="126">
        <v>707904.96939494635</v>
      </c>
      <c r="BR57" s="126">
        <v>26418.530969033982</v>
      </c>
      <c r="BS57" s="126">
        <v>29332.707924960392</v>
      </c>
      <c r="BT57" s="126">
        <v>146339.23258604642</v>
      </c>
      <c r="BU57" s="126">
        <v>0</v>
      </c>
      <c r="BV57" s="126">
        <v>1141.8807381717857</v>
      </c>
      <c r="BW57" s="126">
        <v>176654.28563409217</v>
      </c>
      <c r="BX57" s="126">
        <v>626723.4417091643</v>
      </c>
      <c r="BY57" s="126">
        <v>551168.38514057698</v>
      </c>
      <c r="BZ57" s="126">
        <v>104928.11077905197</v>
      </c>
      <c r="CA57" s="137">
        <v>556570.11655943026</v>
      </c>
      <c r="CB57" s="126">
        <v>19678.464</v>
      </c>
      <c r="CC57" s="126">
        <v>534306.34200619732</v>
      </c>
      <c r="CD57" s="126">
        <v>0</v>
      </c>
      <c r="CE57" s="126">
        <v>0</v>
      </c>
      <c r="CF57" s="126">
        <v>2585.3105532328577</v>
      </c>
      <c r="CG57" s="137">
        <v>0</v>
      </c>
      <c r="CH57" s="126">
        <v>0</v>
      </c>
      <c r="CI57" s="126">
        <v>0</v>
      </c>
      <c r="CJ57" s="120"/>
      <c r="CK57" s="138">
        <v>4559294.3370929388</v>
      </c>
      <c r="CL57" s="139">
        <v>36.877111760547514</v>
      </c>
      <c r="CM57" s="140">
        <v>4964121.58</v>
      </c>
      <c r="CN57" s="125">
        <v>4269.22</v>
      </c>
      <c r="CO57" s="125">
        <v>4269.22</v>
      </c>
      <c r="CP57" s="125">
        <v>0</v>
      </c>
      <c r="CQ57" s="125">
        <v>16641.550000000003</v>
      </c>
      <c r="CR57" s="125">
        <v>9032.869999999999</v>
      </c>
      <c r="CS57" s="125">
        <v>248805.07999999996</v>
      </c>
      <c r="CT57" s="125">
        <v>438286.36084388808</v>
      </c>
      <c r="CU57" s="141">
        <v>2659.6626506024099</v>
      </c>
      <c r="CV57" s="142">
        <v>845773.2664015526</v>
      </c>
      <c r="CW57" s="143">
        <v>8.8791644709910189E-2</v>
      </c>
      <c r="CX57" s="140">
        <v>4918450.42</v>
      </c>
      <c r="CY57" s="140">
        <v>759158.10000000009</v>
      </c>
    </row>
    <row r="58" spans="1:103" ht="12" customHeight="1" x14ac:dyDescent="0.25">
      <c r="A58" s="122">
        <v>54</v>
      </c>
      <c r="B58" s="123" t="s">
        <v>102</v>
      </c>
      <c r="C58" s="124">
        <v>4904.3</v>
      </c>
      <c r="D58" s="125">
        <v>4904.3</v>
      </c>
      <c r="E58" s="125">
        <v>0</v>
      </c>
      <c r="F58" s="125">
        <v>536.79999999999995</v>
      </c>
      <c r="G58" s="124">
        <v>4904.3</v>
      </c>
      <c r="H58" s="124">
        <v>4904.3</v>
      </c>
      <c r="I58" s="126">
        <v>2</v>
      </c>
      <c r="J58" s="126">
        <v>0</v>
      </c>
      <c r="K58" s="127">
        <v>3.5053895422428889E-3</v>
      </c>
      <c r="L58" s="127">
        <v>4.9892051950906381E-3</v>
      </c>
      <c r="M58" s="127"/>
      <c r="N58" s="127"/>
      <c r="O58" s="128" t="s">
        <v>1488</v>
      </c>
      <c r="P58" s="129" t="s">
        <v>70</v>
      </c>
      <c r="Q58" s="130">
        <v>6.91</v>
      </c>
      <c r="R58" s="130">
        <v>3.15</v>
      </c>
      <c r="S58" s="130">
        <v>1.81</v>
      </c>
      <c r="T58" s="38">
        <v>0</v>
      </c>
      <c r="U58" s="131">
        <v>44.8</v>
      </c>
      <c r="V58" s="144">
        <v>2</v>
      </c>
      <c r="W58" s="132">
        <v>4.8192771084337345E-3</v>
      </c>
      <c r="X58" s="133">
        <v>58730.952203692854</v>
      </c>
      <c r="Y58" s="134">
        <v>40398.18</v>
      </c>
      <c r="Z58" s="134">
        <v>13118.723855957651</v>
      </c>
      <c r="AA58" s="134">
        <v>3086.0567969830295</v>
      </c>
      <c r="AB58" s="134">
        <v>2127.9915507521728</v>
      </c>
      <c r="AC58" s="126">
        <v>0</v>
      </c>
      <c r="AD58" s="126">
        <v>0</v>
      </c>
      <c r="AE58" s="126">
        <v>0</v>
      </c>
      <c r="AF58" s="126">
        <v>0</v>
      </c>
      <c r="AG58" s="126">
        <v>0</v>
      </c>
      <c r="AH58" s="126">
        <v>0</v>
      </c>
      <c r="AI58" s="126">
        <v>0</v>
      </c>
      <c r="AJ58" s="126">
        <v>0</v>
      </c>
      <c r="AK58" s="126">
        <v>0</v>
      </c>
      <c r="AL58" s="126">
        <v>0</v>
      </c>
      <c r="AM58" s="126">
        <v>0</v>
      </c>
      <c r="AN58" s="126">
        <v>0</v>
      </c>
      <c r="AO58" s="126">
        <v>0</v>
      </c>
      <c r="AP58" s="126">
        <v>0</v>
      </c>
      <c r="AQ58" s="126">
        <v>0</v>
      </c>
      <c r="AR58" s="126">
        <v>0</v>
      </c>
      <c r="AS58" s="126">
        <v>0</v>
      </c>
      <c r="AT58" s="126">
        <v>0</v>
      </c>
      <c r="AU58" s="126">
        <v>0</v>
      </c>
      <c r="AV58" s="126">
        <v>0</v>
      </c>
      <c r="AW58" s="135">
        <v>311084.39081440482</v>
      </c>
      <c r="AX58" s="136">
        <v>267632.04656135628</v>
      </c>
      <c r="AY58" s="136">
        <v>31412.713607194219</v>
      </c>
      <c r="AZ58" s="126">
        <v>0</v>
      </c>
      <c r="BA58" s="126">
        <v>0</v>
      </c>
      <c r="BB58" s="126">
        <v>0</v>
      </c>
      <c r="BC58" s="126">
        <v>0</v>
      </c>
      <c r="BD58" s="126">
        <v>2106.8509537209225</v>
      </c>
      <c r="BE58" s="126">
        <v>0</v>
      </c>
      <c r="BF58" s="126">
        <v>2760.6318168537045</v>
      </c>
      <c r="BG58" s="126">
        <v>1382.1843583020468</v>
      </c>
      <c r="BH58" s="126">
        <v>5789.9635169776893</v>
      </c>
      <c r="BI58" s="137">
        <v>731690.09597357665</v>
      </c>
      <c r="BJ58" s="126">
        <v>5182.209122958101</v>
      </c>
      <c r="BK58" s="126">
        <v>7373.9783380232284</v>
      </c>
      <c r="BL58" s="126">
        <v>7910.4988679958287</v>
      </c>
      <c r="BM58" s="126">
        <v>7839.514490376594</v>
      </c>
      <c r="BN58" s="126">
        <v>131861.35308513741</v>
      </c>
      <c r="BO58" s="126">
        <v>75702.544530669315</v>
      </c>
      <c r="BP58" s="126">
        <v>62108.05562037215</v>
      </c>
      <c r="BQ58" s="126">
        <v>336970.98306337406</v>
      </c>
      <c r="BR58" s="126">
        <v>12575.527417662346</v>
      </c>
      <c r="BS58" s="126">
        <v>13962.709477562947</v>
      </c>
      <c r="BT58" s="126">
        <v>69659.173472687064</v>
      </c>
      <c r="BU58" s="126">
        <v>0</v>
      </c>
      <c r="BV58" s="126">
        <v>543.54848675769824</v>
      </c>
      <c r="BW58" s="126">
        <v>84089.490632276196</v>
      </c>
      <c r="BX58" s="126">
        <v>298327.63349874842</v>
      </c>
      <c r="BY58" s="126">
        <v>262362.54950013413</v>
      </c>
      <c r="BZ58" s="126">
        <v>49946.998776432338</v>
      </c>
      <c r="CA58" s="137">
        <v>155839.46094009886</v>
      </c>
      <c r="CB58" s="126">
        <v>5465.7120000000004</v>
      </c>
      <c r="CC58" s="126">
        <v>149143.11110548725</v>
      </c>
      <c r="CD58" s="126">
        <v>0</v>
      </c>
      <c r="CE58" s="126">
        <v>0</v>
      </c>
      <c r="CF58" s="126">
        <v>1230.6378346116053</v>
      </c>
      <c r="CG58" s="137">
        <v>0</v>
      </c>
      <c r="CH58" s="126">
        <v>0</v>
      </c>
      <c r="CI58" s="126">
        <v>0</v>
      </c>
      <c r="CJ58" s="120"/>
      <c r="CK58" s="138">
        <v>1952071.5723393643</v>
      </c>
      <c r="CL58" s="139">
        <v>33.169388297673542</v>
      </c>
      <c r="CM58" s="140">
        <v>2527676.16</v>
      </c>
      <c r="CN58" s="125">
        <v>1803.6000000000001</v>
      </c>
      <c r="CO58" s="125">
        <v>1803.6000000000001</v>
      </c>
      <c r="CP58" s="125">
        <v>0</v>
      </c>
      <c r="CQ58" s="125">
        <v>7028.64</v>
      </c>
      <c r="CR58" s="125">
        <v>3815.0299999999997</v>
      </c>
      <c r="CS58" s="125">
        <v>105071.41</v>
      </c>
      <c r="CT58" s="125">
        <v>0</v>
      </c>
      <c r="CU58" s="141">
        <v>1773.1084337349396</v>
      </c>
      <c r="CV58" s="142">
        <v>577377.69609437091</v>
      </c>
      <c r="CW58" s="143">
        <v>0.29486858771824176</v>
      </c>
      <c r="CX58" s="140">
        <v>2459894.96</v>
      </c>
      <c r="CY58" s="140">
        <v>387792</v>
      </c>
    </row>
    <row r="59" spans="1:103" ht="12" customHeight="1" x14ac:dyDescent="0.25">
      <c r="A59" s="122">
        <v>55</v>
      </c>
      <c r="B59" s="123" t="s">
        <v>103</v>
      </c>
      <c r="C59" s="124">
        <v>3072.3</v>
      </c>
      <c r="D59" s="125">
        <v>3018.9</v>
      </c>
      <c r="E59" s="125">
        <v>53.4</v>
      </c>
      <c r="F59" s="125">
        <v>530.6</v>
      </c>
      <c r="G59" s="124">
        <v>3072.3</v>
      </c>
      <c r="H59" s="124">
        <v>3072.3</v>
      </c>
      <c r="I59" s="126">
        <v>1</v>
      </c>
      <c r="J59" s="126">
        <v>0</v>
      </c>
      <c r="K59" s="127">
        <v>1.5542111645846322E-3</v>
      </c>
      <c r="L59" s="127">
        <v>2.2121017716199435E-3</v>
      </c>
      <c r="M59" s="127"/>
      <c r="N59" s="127"/>
      <c r="O59" s="128" t="s">
        <v>1489</v>
      </c>
      <c r="P59" s="129" t="s">
        <v>74</v>
      </c>
      <c r="Q59" s="130">
        <v>5.4</v>
      </c>
      <c r="R59" s="130">
        <v>2.67</v>
      </c>
      <c r="S59" s="130">
        <v>1.54</v>
      </c>
      <c r="T59" s="38">
        <v>0.22</v>
      </c>
      <c r="U59" s="131">
        <v>36.75</v>
      </c>
      <c r="V59" s="131"/>
      <c r="W59" s="132">
        <v>0</v>
      </c>
      <c r="X59" s="133">
        <v>163817.11964281613</v>
      </c>
      <c r="Y59" s="134">
        <v>150331.04999999999</v>
      </c>
      <c r="Z59" s="134">
        <v>10219.727710481917</v>
      </c>
      <c r="AA59" s="134">
        <v>1933.2610764779809</v>
      </c>
      <c r="AB59" s="134">
        <v>1333.080855856269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>
        <v>0</v>
      </c>
      <c r="AI59" s="126">
        <v>0</v>
      </c>
      <c r="AJ59" s="126">
        <v>0</v>
      </c>
      <c r="AK59" s="126">
        <v>0</v>
      </c>
      <c r="AL59" s="126">
        <v>0</v>
      </c>
      <c r="AM59" s="126">
        <v>0</v>
      </c>
      <c r="AN59" s="126">
        <v>0</v>
      </c>
      <c r="AO59" s="126">
        <v>0</v>
      </c>
      <c r="AP59" s="126">
        <v>0</v>
      </c>
      <c r="AQ59" s="126">
        <v>0</v>
      </c>
      <c r="AR59" s="126">
        <v>0</v>
      </c>
      <c r="AS59" s="126">
        <v>0</v>
      </c>
      <c r="AT59" s="126">
        <v>0</v>
      </c>
      <c r="AU59" s="126">
        <v>0</v>
      </c>
      <c r="AV59" s="126">
        <v>0</v>
      </c>
      <c r="AW59" s="135">
        <v>501412.87010498036</v>
      </c>
      <c r="AX59" s="136">
        <v>468245.42457481986</v>
      </c>
      <c r="AY59" s="136">
        <v>19678.502541725178</v>
      </c>
      <c r="AZ59" s="126">
        <v>0</v>
      </c>
      <c r="BA59" s="126">
        <v>5946.7132648747202</v>
      </c>
      <c r="BB59" s="126">
        <v>0</v>
      </c>
      <c r="BC59" s="126">
        <v>0</v>
      </c>
      <c r="BD59" s="126">
        <v>1319.837323393102</v>
      </c>
      <c r="BE59" s="126">
        <v>0</v>
      </c>
      <c r="BF59" s="126">
        <v>1729.3985137368506</v>
      </c>
      <c r="BG59" s="126">
        <v>865.86974777468322</v>
      </c>
      <c r="BH59" s="126">
        <v>3627.1241386559864</v>
      </c>
      <c r="BI59" s="137">
        <v>458367.4493525314</v>
      </c>
      <c r="BJ59" s="126">
        <v>3246.3962417601238</v>
      </c>
      <c r="BK59" s="126">
        <v>4619.4306318758572</v>
      </c>
      <c r="BL59" s="126">
        <v>4955.5340562656411</v>
      </c>
      <c r="BM59" s="126">
        <v>4911.0658745965811</v>
      </c>
      <c r="BN59" s="126">
        <v>82604.578652094628</v>
      </c>
      <c r="BO59" s="126">
        <v>47423.878547718392</v>
      </c>
      <c r="BP59" s="126">
        <v>38907.607463342247</v>
      </c>
      <c r="BQ59" s="126">
        <v>211095.55925730566</v>
      </c>
      <c r="BR59" s="126">
        <v>7877.9423944872915</v>
      </c>
      <c r="BS59" s="126">
        <v>8746.9429537174801</v>
      </c>
      <c r="BT59" s="126">
        <v>43638.007189636948</v>
      </c>
      <c r="BU59" s="126">
        <v>0</v>
      </c>
      <c r="BV59" s="126">
        <v>340.50608973057854</v>
      </c>
      <c r="BW59" s="126">
        <v>52677.883096373014</v>
      </c>
      <c r="BX59" s="126">
        <v>186887.42295499964</v>
      </c>
      <c r="BY59" s="126">
        <v>164357.08680734501</v>
      </c>
      <c r="BZ59" s="126">
        <v>31289.310266670695</v>
      </c>
      <c r="CA59" s="137">
        <v>69357.070442533281</v>
      </c>
      <c r="CB59" s="126">
        <v>2459.424</v>
      </c>
      <c r="CC59" s="126">
        <v>66126.713053613916</v>
      </c>
      <c r="CD59" s="126">
        <v>0</v>
      </c>
      <c r="CE59" s="126">
        <v>0</v>
      </c>
      <c r="CF59" s="126">
        <v>770.93338891936355</v>
      </c>
      <c r="CG59" s="137">
        <v>46974.767926352906</v>
      </c>
      <c r="CH59" s="126">
        <v>12170.003999999999</v>
      </c>
      <c r="CI59" s="126">
        <v>34804.763926352905</v>
      </c>
      <c r="CJ59" s="120"/>
      <c r="CK59" s="138">
        <v>1675140.9805946024</v>
      </c>
      <c r="CL59" s="139">
        <v>45.436670154677877</v>
      </c>
      <c r="CM59" s="140">
        <v>1331337.1100000001</v>
      </c>
      <c r="CN59" s="125">
        <v>3003.36</v>
      </c>
      <c r="CO59" s="125">
        <v>3003.36</v>
      </c>
      <c r="CP59" s="125">
        <v>0</v>
      </c>
      <c r="CQ59" s="125">
        <v>11714.28</v>
      </c>
      <c r="CR59" s="125">
        <v>6352.1900000000005</v>
      </c>
      <c r="CS59" s="125">
        <v>136003.81</v>
      </c>
      <c r="CT59" s="125">
        <v>130695.9386600547</v>
      </c>
      <c r="CU59" s="141">
        <v>0</v>
      </c>
      <c r="CV59" s="142">
        <v>-213107.93193454761</v>
      </c>
      <c r="CW59" s="143">
        <v>0</v>
      </c>
      <c r="CX59" s="140">
        <v>1330008.27</v>
      </c>
      <c r="CY59" s="140">
        <v>214204.11000000002</v>
      </c>
    </row>
    <row r="60" spans="1:103" ht="12" customHeight="1" x14ac:dyDescent="0.25">
      <c r="A60" s="122">
        <v>56</v>
      </c>
      <c r="B60" s="123" t="s">
        <v>104</v>
      </c>
      <c r="C60" s="124">
        <v>4398.8</v>
      </c>
      <c r="D60" s="125">
        <v>3854.6</v>
      </c>
      <c r="E60" s="125">
        <v>544.20000000000005</v>
      </c>
      <c r="F60" s="125">
        <v>1214.2</v>
      </c>
      <c r="G60" s="124">
        <v>4398.8</v>
      </c>
      <c r="H60" s="124">
        <v>4398.8</v>
      </c>
      <c r="I60" s="126">
        <v>1</v>
      </c>
      <c r="J60" s="126">
        <v>1</v>
      </c>
      <c r="K60" s="127">
        <v>4.0424432618114542E-3</v>
      </c>
      <c r="L60" s="127">
        <v>5.753591342599884E-3</v>
      </c>
      <c r="M60" s="127"/>
      <c r="N60" s="127"/>
      <c r="O60" s="128" t="s">
        <v>1488</v>
      </c>
      <c r="P60" s="129" t="s">
        <v>74</v>
      </c>
      <c r="Q60" s="130">
        <v>5.4</v>
      </c>
      <c r="R60" s="130">
        <v>2.67</v>
      </c>
      <c r="S60" s="130">
        <v>1.54</v>
      </c>
      <c r="T60" s="38">
        <v>0</v>
      </c>
      <c r="U60" s="131">
        <v>36.54</v>
      </c>
      <c r="V60" s="144">
        <v>1</v>
      </c>
      <c r="W60" s="132">
        <v>2.4096385542168672E-3</v>
      </c>
      <c r="X60" s="133">
        <v>268989.9115414574</v>
      </c>
      <c r="Y60" s="134">
        <v>249681.08000000002</v>
      </c>
      <c r="Z60" s="134">
        <v>14632.209827447794</v>
      </c>
      <c r="AA60" s="134">
        <v>2767.9682398240216</v>
      </c>
      <c r="AB60" s="134">
        <v>1908.6534741856447</v>
      </c>
      <c r="AC60" s="126">
        <v>0</v>
      </c>
      <c r="AD60" s="126">
        <v>0</v>
      </c>
      <c r="AE60" s="126">
        <v>0</v>
      </c>
      <c r="AF60" s="126">
        <v>0</v>
      </c>
      <c r="AG60" s="126">
        <v>0</v>
      </c>
      <c r="AH60" s="126">
        <v>0</v>
      </c>
      <c r="AI60" s="126">
        <v>0</v>
      </c>
      <c r="AJ60" s="126">
        <v>0</v>
      </c>
      <c r="AK60" s="126">
        <v>0</v>
      </c>
      <c r="AL60" s="126">
        <v>0</v>
      </c>
      <c r="AM60" s="126">
        <v>0</v>
      </c>
      <c r="AN60" s="126">
        <v>0</v>
      </c>
      <c r="AO60" s="126">
        <v>0</v>
      </c>
      <c r="AP60" s="126">
        <v>0</v>
      </c>
      <c r="AQ60" s="126">
        <v>0</v>
      </c>
      <c r="AR60" s="126">
        <v>0</v>
      </c>
      <c r="AS60" s="126">
        <v>0</v>
      </c>
      <c r="AT60" s="126">
        <v>0</v>
      </c>
      <c r="AU60" s="126">
        <v>0</v>
      </c>
      <c r="AV60" s="126">
        <v>0</v>
      </c>
      <c r="AW60" s="135">
        <v>709389.22979795502</v>
      </c>
      <c r="AX60" s="136">
        <v>670415.6409269009</v>
      </c>
      <c r="AY60" s="136">
        <v>28174.916831214632</v>
      </c>
      <c r="AZ60" s="126">
        <v>0</v>
      </c>
      <c r="BA60" s="126">
        <v>0</v>
      </c>
      <c r="BB60" s="126">
        <v>0</v>
      </c>
      <c r="BC60" s="126">
        <v>0</v>
      </c>
      <c r="BD60" s="126">
        <v>1889.6918979727166</v>
      </c>
      <c r="BE60" s="126">
        <v>0</v>
      </c>
      <c r="BF60" s="126">
        <v>2476.0857280297037</v>
      </c>
      <c r="BG60" s="126">
        <v>1239.71872750424</v>
      </c>
      <c r="BH60" s="126">
        <v>5193.1756863327</v>
      </c>
      <c r="BI60" s="137">
        <v>656272.73905930913</v>
      </c>
      <c r="BJ60" s="126">
        <v>4648.0642477148822</v>
      </c>
      <c r="BK60" s="126">
        <v>6613.9216429045073</v>
      </c>
      <c r="BL60" s="126">
        <v>7095.1414922700596</v>
      </c>
      <c r="BM60" s="126">
        <v>7031.4736741774695</v>
      </c>
      <c r="BN60" s="126">
        <v>118270.0324105178</v>
      </c>
      <c r="BO60" s="126">
        <v>67899.670265177119</v>
      </c>
      <c r="BP60" s="126">
        <v>55706.403577043209</v>
      </c>
      <c r="BQ60" s="126">
        <v>302238.4357195053</v>
      </c>
      <c r="BR60" s="126">
        <v>11279.33242354936</v>
      </c>
      <c r="BS60" s="126">
        <v>12523.533725486592</v>
      </c>
      <c r="BT60" s="126">
        <v>62479.206466092182</v>
      </c>
      <c r="BU60" s="126">
        <v>0</v>
      </c>
      <c r="BV60" s="126">
        <v>487.52341487057544</v>
      </c>
      <c r="BW60" s="126">
        <v>75422.150234132612</v>
      </c>
      <c r="BX60" s="126">
        <v>267578.16492349457</v>
      </c>
      <c r="BY60" s="126">
        <v>235320.10332589567</v>
      </c>
      <c r="BZ60" s="126">
        <v>44798.821079006295</v>
      </c>
      <c r="CA60" s="137">
        <v>179109.42134175653</v>
      </c>
      <c r="CB60" s="126">
        <v>6012.5999999999995</v>
      </c>
      <c r="CC60" s="126">
        <v>171993.02881134656</v>
      </c>
      <c r="CD60" s="126">
        <v>0</v>
      </c>
      <c r="CE60" s="126">
        <v>0</v>
      </c>
      <c r="CF60" s="126">
        <v>1103.7925304099524</v>
      </c>
      <c r="CG60" s="137">
        <v>0</v>
      </c>
      <c r="CH60" s="126">
        <v>0</v>
      </c>
      <c r="CI60" s="126">
        <v>0</v>
      </c>
      <c r="CJ60" s="120"/>
      <c r="CK60" s="138">
        <v>2436880.5413030069</v>
      </c>
      <c r="CL60" s="139">
        <v>46.165631181667095</v>
      </c>
      <c r="CM60" s="140">
        <v>1690164.48</v>
      </c>
      <c r="CN60" s="125">
        <v>3495.12</v>
      </c>
      <c r="CO60" s="125">
        <v>3495.12</v>
      </c>
      <c r="CP60" s="125">
        <v>0</v>
      </c>
      <c r="CQ60" s="125">
        <v>13617.599999999999</v>
      </c>
      <c r="CR60" s="125">
        <v>7391.76</v>
      </c>
      <c r="CS60" s="125">
        <v>203578.44</v>
      </c>
      <c r="CT60" s="125">
        <v>187125.37674636222</v>
      </c>
      <c r="CU60" s="141">
        <v>886.55421686746979</v>
      </c>
      <c r="CV60" s="142">
        <v>-558704.1303397771</v>
      </c>
      <c r="CW60" s="143">
        <v>0</v>
      </c>
      <c r="CX60" s="140">
        <v>1683500.81</v>
      </c>
      <c r="CY60" s="140">
        <v>177997.34</v>
      </c>
    </row>
    <row r="61" spans="1:103" ht="12" customHeight="1" x14ac:dyDescent="0.25">
      <c r="A61" s="122">
        <v>57</v>
      </c>
      <c r="B61" s="123" t="s">
        <v>105</v>
      </c>
      <c r="C61" s="124">
        <v>7902.2</v>
      </c>
      <c r="D61" s="125">
        <v>7770.8</v>
      </c>
      <c r="E61" s="125">
        <v>131.4</v>
      </c>
      <c r="F61" s="125">
        <v>1429.18</v>
      </c>
      <c r="G61" s="124">
        <v>7902.2</v>
      </c>
      <c r="H61" s="124">
        <v>7902.2</v>
      </c>
      <c r="I61" s="126">
        <v>4</v>
      </c>
      <c r="J61" s="126">
        <v>0</v>
      </c>
      <c r="K61" s="127">
        <v>6.7310163620634836E-3</v>
      </c>
      <c r="L61" s="127">
        <v>9.5802253635867939E-3</v>
      </c>
      <c r="M61" s="127"/>
      <c r="N61" s="127"/>
      <c r="O61" s="128" t="s">
        <v>1489</v>
      </c>
      <c r="P61" s="129" t="s">
        <v>74</v>
      </c>
      <c r="Q61" s="130">
        <v>5.4</v>
      </c>
      <c r="R61" s="130">
        <v>2.67</v>
      </c>
      <c r="S61" s="130">
        <v>1.54</v>
      </c>
      <c r="T61" s="38">
        <v>0.22</v>
      </c>
      <c r="U61" s="131">
        <v>36.75</v>
      </c>
      <c r="V61" s="144">
        <v>4</v>
      </c>
      <c r="W61" s="132">
        <v>9.638554216867469E-3</v>
      </c>
      <c r="X61" s="133">
        <v>490344.05393173255</v>
      </c>
      <c r="Y61" s="134">
        <v>162975.66</v>
      </c>
      <c r="Z61" s="134">
        <v>26285.95264582567</v>
      </c>
      <c r="AA61" s="134">
        <v>4972.5012786981415</v>
      </c>
      <c r="AB61" s="134">
        <v>3428.7900072087386</v>
      </c>
      <c r="AC61" s="126">
        <v>0</v>
      </c>
      <c r="AD61" s="126">
        <v>292681.15000000002</v>
      </c>
      <c r="AE61" s="126">
        <v>0</v>
      </c>
      <c r="AF61" s="126">
        <v>0</v>
      </c>
      <c r="AG61" s="126">
        <v>0</v>
      </c>
      <c r="AH61" s="126">
        <v>0</v>
      </c>
      <c r="AI61" s="126">
        <v>0</v>
      </c>
      <c r="AJ61" s="126">
        <v>0</v>
      </c>
      <c r="AK61" s="126">
        <v>0</v>
      </c>
      <c r="AL61" s="126">
        <v>0</v>
      </c>
      <c r="AM61" s="126">
        <v>0</v>
      </c>
      <c r="AN61" s="126">
        <v>0</v>
      </c>
      <c r="AO61" s="126">
        <v>0</v>
      </c>
      <c r="AP61" s="126">
        <v>0</v>
      </c>
      <c r="AQ61" s="126">
        <v>0</v>
      </c>
      <c r="AR61" s="126">
        <v>0</v>
      </c>
      <c r="AS61" s="126">
        <v>0</v>
      </c>
      <c r="AT61" s="126">
        <v>0</v>
      </c>
      <c r="AU61" s="126">
        <v>0</v>
      </c>
      <c r="AV61" s="126">
        <v>0</v>
      </c>
      <c r="AW61" s="135">
        <v>1289673.7890647317</v>
      </c>
      <c r="AX61" s="136">
        <v>1204364.4807066827</v>
      </c>
      <c r="AY61" s="136">
        <v>50614.673952810823</v>
      </c>
      <c r="AZ61" s="126">
        <v>0</v>
      </c>
      <c r="BA61" s="126">
        <v>15295.419575462362</v>
      </c>
      <c r="BB61" s="126">
        <v>0</v>
      </c>
      <c r="BC61" s="126">
        <v>0</v>
      </c>
      <c r="BD61" s="126">
        <v>3394.726588196781</v>
      </c>
      <c r="BE61" s="126">
        <v>0</v>
      </c>
      <c r="BF61" s="126">
        <v>4448.1505501582988</v>
      </c>
      <c r="BG61" s="126">
        <v>2227.0858708020378</v>
      </c>
      <c r="BH61" s="126">
        <v>9329.2518206188633</v>
      </c>
      <c r="BI61" s="137">
        <v>1178957.542646738</v>
      </c>
      <c r="BJ61" s="126">
        <v>8349.9893830800538</v>
      </c>
      <c r="BK61" s="126">
        <v>11881.543058688732</v>
      </c>
      <c r="BL61" s="126">
        <v>12746.027803086401</v>
      </c>
      <c r="BM61" s="126">
        <v>12631.652102410928</v>
      </c>
      <c r="BN61" s="126">
        <v>212465.54744802986</v>
      </c>
      <c r="BO61" s="126">
        <v>121977.9881716565</v>
      </c>
      <c r="BP61" s="126">
        <v>100073.46147733719</v>
      </c>
      <c r="BQ61" s="126">
        <v>542954.5709608699</v>
      </c>
      <c r="BR61" s="126">
        <v>20262.694525182265</v>
      </c>
      <c r="BS61" s="126">
        <v>22497.833092102421</v>
      </c>
      <c r="BT61" s="126">
        <v>112240.42587440975</v>
      </c>
      <c r="BU61" s="126">
        <v>0</v>
      </c>
      <c r="BV61" s="126">
        <v>875.80874988411858</v>
      </c>
      <c r="BW61" s="126">
        <v>135491.70582435271</v>
      </c>
      <c r="BX61" s="126">
        <v>480689.31864563946</v>
      </c>
      <c r="BY61" s="126">
        <v>422739.50179637462</v>
      </c>
      <c r="BZ61" s="126">
        <v>80478.595055588696</v>
      </c>
      <c r="CA61" s="137">
        <v>298750.67535056971</v>
      </c>
      <c r="CB61" s="126">
        <v>10384.56</v>
      </c>
      <c r="CC61" s="126">
        <v>286383.21334688563</v>
      </c>
      <c r="CD61" s="126">
        <v>0</v>
      </c>
      <c r="CE61" s="126">
        <v>0</v>
      </c>
      <c r="CF61" s="126">
        <v>1982.9020036840786</v>
      </c>
      <c r="CG61" s="137">
        <v>116870.62552095365</v>
      </c>
      <c r="CH61" s="126">
        <v>27350.003999999997</v>
      </c>
      <c r="CI61" s="126">
        <v>89520.621520953646</v>
      </c>
      <c r="CJ61" s="120"/>
      <c r="CK61" s="138">
        <v>4493995.8078366807</v>
      </c>
      <c r="CL61" s="139">
        <v>47.391821347606587</v>
      </c>
      <c r="CM61" s="140">
        <v>3426928.0700000003</v>
      </c>
      <c r="CN61" s="125">
        <v>8095.5599999999995</v>
      </c>
      <c r="CO61" s="125">
        <v>8095.5599999999995</v>
      </c>
      <c r="CP61" s="125">
        <v>0</v>
      </c>
      <c r="CQ61" s="125">
        <v>31576.560000000001</v>
      </c>
      <c r="CR61" s="125">
        <v>17120.88</v>
      </c>
      <c r="CS61" s="125">
        <v>366610.44</v>
      </c>
      <c r="CT61" s="125">
        <v>336160.35103325982</v>
      </c>
      <c r="CU61" s="141">
        <v>3546.2168674698792</v>
      </c>
      <c r="CV61" s="142">
        <v>-727361.16993595101</v>
      </c>
      <c r="CW61" s="143">
        <v>0</v>
      </c>
      <c r="CX61" s="140">
        <v>3519433.3199999994</v>
      </c>
      <c r="CY61" s="140">
        <v>433735.48000000004</v>
      </c>
    </row>
    <row r="62" spans="1:103" ht="12" customHeight="1" x14ac:dyDescent="0.25">
      <c r="A62" s="122">
        <v>58</v>
      </c>
      <c r="B62" s="123" t="s">
        <v>106</v>
      </c>
      <c r="C62" s="124">
        <v>6108.4400000000005</v>
      </c>
      <c r="D62" s="125">
        <v>5292.14</v>
      </c>
      <c r="E62" s="125">
        <v>816.3</v>
      </c>
      <c r="F62" s="125">
        <v>984.8</v>
      </c>
      <c r="G62" s="124">
        <v>6108.4400000000005</v>
      </c>
      <c r="H62" s="124">
        <v>6108.4400000000005</v>
      </c>
      <c r="I62" s="126">
        <v>1</v>
      </c>
      <c r="J62" s="126">
        <v>1</v>
      </c>
      <c r="K62" s="127">
        <v>4.5682306241727954E-3</v>
      </c>
      <c r="L62" s="127">
        <v>6.5019421344858367E-3</v>
      </c>
      <c r="M62" s="127"/>
      <c r="N62" s="127"/>
      <c r="O62" s="128" t="s">
        <v>1488</v>
      </c>
      <c r="P62" s="129" t="s">
        <v>74</v>
      </c>
      <c r="Q62" s="130">
        <v>5.4</v>
      </c>
      <c r="R62" s="130">
        <v>2.67</v>
      </c>
      <c r="S62" s="130">
        <v>1.54</v>
      </c>
      <c r="T62" s="38">
        <v>0</v>
      </c>
      <c r="U62" s="131">
        <v>36.54</v>
      </c>
      <c r="V62" s="144">
        <v>1</v>
      </c>
      <c r="W62" s="132">
        <v>2.4096385542168672E-3</v>
      </c>
      <c r="X62" s="133">
        <v>275389.19250820688</v>
      </c>
      <c r="Y62" s="134">
        <v>239808.78</v>
      </c>
      <c r="Z62" s="134">
        <v>20319.172455755026</v>
      </c>
      <c r="AA62" s="134">
        <v>3843.7682810927181</v>
      </c>
      <c r="AB62" s="134">
        <v>2650.4717713591344</v>
      </c>
      <c r="AC62" s="126">
        <v>0</v>
      </c>
      <c r="AD62" s="126">
        <v>0</v>
      </c>
      <c r="AE62" s="126">
        <v>0</v>
      </c>
      <c r="AF62" s="126">
        <v>0</v>
      </c>
      <c r="AG62" s="126">
        <v>0</v>
      </c>
      <c r="AH62" s="126">
        <v>0</v>
      </c>
      <c r="AI62" s="126">
        <v>0</v>
      </c>
      <c r="AJ62" s="126">
        <v>0</v>
      </c>
      <c r="AK62" s="126">
        <v>0</v>
      </c>
      <c r="AL62" s="126">
        <v>0</v>
      </c>
      <c r="AM62" s="126">
        <v>0</v>
      </c>
      <c r="AN62" s="126">
        <v>0</v>
      </c>
      <c r="AO62" s="126">
        <v>0</v>
      </c>
      <c r="AP62" s="126">
        <v>0</v>
      </c>
      <c r="AQ62" s="126">
        <v>0</v>
      </c>
      <c r="AR62" s="126">
        <v>0</v>
      </c>
      <c r="AS62" s="126">
        <v>8767</v>
      </c>
      <c r="AT62" s="126">
        <v>0</v>
      </c>
      <c r="AU62" s="126">
        <v>0</v>
      </c>
      <c r="AV62" s="126">
        <v>0</v>
      </c>
      <c r="AW62" s="135">
        <v>998273.65360621514</v>
      </c>
      <c r="AX62" s="136">
        <v>930979.74849129736</v>
      </c>
      <c r="AY62" s="136">
        <v>39125.395327922328</v>
      </c>
      <c r="AZ62" s="126">
        <v>0</v>
      </c>
      <c r="BA62" s="126">
        <v>0</v>
      </c>
      <c r="BB62" s="126">
        <v>0</v>
      </c>
      <c r="BC62" s="126">
        <v>13172.82</v>
      </c>
      <c r="BD62" s="126">
        <v>2624.1405786242749</v>
      </c>
      <c r="BE62" s="126">
        <v>0</v>
      </c>
      <c r="BF62" s="126">
        <v>3438.4425535431856</v>
      </c>
      <c r="BG62" s="126">
        <v>1721.5484822760752</v>
      </c>
      <c r="BH62" s="126">
        <v>7211.558172552086</v>
      </c>
      <c r="BI62" s="137">
        <v>911340.05869315402</v>
      </c>
      <c r="BJ62" s="126">
        <v>6454.5834257778251</v>
      </c>
      <c r="BK62" s="126">
        <v>9184.4920251849617</v>
      </c>
      <c r="BL62" s="126">
        <v>9852.7430428849057</v>
      </c>
      <c r="BM62" s="126">
        <v>9764.3300559908657</v>
      </c>
      <c r="BN62" s="126">
        <v>164236.92752062003</v>
      </c>
      <c r="BO62" s="126">
        <v>94289.593033240555</v>
      </c>
      <c r="BP62" s="126">
        <v>77357.284683585036</v>
      </c>
      <c r="BQ62" s="126">
        <v>419706.59049887583</v>
      </c>
      <c r="BR62" s="126">
        <v>15663.163896814098</v>
      </c>
      <c r="BS62" s="126">
        <v>17390.937153339848</v>
      </c>
      <c r="BT62" s="126">
        <v>86762.408826438143</v>
      </c>
      <c r="BU62" s="126">
        <v>0</v>
      </c>
      <c r="BV62" s="126">
        <v>677.0045304019319</v>
      </c>
      <c r="BW62" s="126">
        <v>104735.76415753955</v>
      </c>
      <c r="BX62" s="126">
        <v>371575.24000756373</v>
      </c>
      <c r="BY62" s="126">
        <v>326779.74264800269</v>
      </c>
      <c r="BZ62" s="126">
        <v>62210.355240484954</v>
      </c>
      <c r="CA62" s="137">
        <v>203002.76819518468</v>
      </c>
      <c r="CB62" s="126">
        <v>7106.3759999999993</v>
      </c>
      <c r="CC62" s="126">
        <v>194363.59905968016</v>
      </c>
      <c r="CD62" s="126">
        <v>0</v>
      </c>
      <c r="CE62" s="126">
        <v>0</v>
      </c>
      <c r="CF62" s="126">
        <v>1532.7931355045398</v>
      </c>
      <c r="CG62" s="137">
        <v>0</v>
      </c>
      <c r="CH62" s="126">
        <v>0</v>
      </c>
      <c r="CI62" s="126">
        <v>0</v>
      </c>
      <c r="CJ62" s="120"/>
      <c r="CK62" s="138">
        <v>3253306.7750563524</v>
      </c>
      <c r="CL62" s="139">
        <v>44.382673468408086</v>
      </c>
      <c r="CM62" s="140">
        <v>2320152.13</v>
      </c>
      <c r="CN62" s="125">
        <v>2866.99</v>
      </c>
      <c r="CO62" s="125">
        <v>2866.99</v>
      </c>
      <c r="CP62" s="125">
        <v>0</v>
      </c>
      <c r="CQ62" s="125">
        <v>11171.150000000001</v>
      </c>
      <c r="CR62" s="125">
        <v>6061.4199999999992</v>
      </c>
      <c r="CS62" s="125">
        <v>166999.71000000002</v>
      </c>
      <c r="CT62" s="125">
        <v>259853.62742851433</v>
      </c>
      <c r="CU62" s="141">
        <v>886.55421686746979</v>
      </c>
      <c r="CV62" s="142">
        <v>-672414.46341097075</v>
      </c>
      <c r="CW62" s="143">
        <v>0</v>
      </c>
      <c r="CX62" s="140">
        <v>2226245.02</v>
      </c>
      <c r="CY62" s="140">
        <v>354434.57</v>
      </c>
    </row>
    <row r="63" spans="1:103" ht="12" customHeight="1" x14ac:dyDescent="0.25">
      <c r="A63" s="122">
        <v>59</v>
      </c>
      <c r="B63" s="123" t="s">
        <v>107</v>
      </c>
      <c r="C63" s="124">
        <v>5301.46</v>
      </c>
      <c r="D63" s="125">
        <v>5301.46</v>
      </c>
      <c r="E63" s="125">
        <v>0</v>
      </c>
      <c r="F63" s="125">
        <v>996.3</v>
      </c>
      <c r="G63" s="124">
        <v>5301.46</v>
      </c>
      <c r="H63" s="124">
        <v>5301.46</v>
      </c>
      <c r="I63" s="126">
        <v>1</v>
      </c>
      <c r="J63" s="126">
        <v>1</v>
      </c>
      <c r="K63" s="127">
        <v>4.5682306241727954E-3</v>
      </c>
      <c r="L63" s="127">
        <v>6.5019421344858367E-3</v>
      </c>
      <c r="M63" s="127"/>
      <c r="N63" s="127"/>
      <c r="O63" s="128" t="s">
        <v>1488</v>
      </c>
      <c r="P63" s="129" t="s">
        <v>74</v>
      </c>
      <c r="Q63" s="130">
        <v>5.4</v>
      </c>
      <c r="R63" s="130">
        <v>2.67</v>
      </c>
      <c r="S63" s="130">
        <v>1.54</v>
      </c>
      <c r="T63" s="38">
        <v>0</v>
      </c>
      <c r="U63" s="131">
        <v>36.54</v>
      </c>
      <c r="V63" s="144">
        <v>1</v>
      </c>
      <c r="W63" s="132">
        <v>2.4096385542168672E-3</v>
      </c>
      <c r="X63" s="133">
        <v>266263.4489560278</v>
      </c>
      <c r="Y63" s="134">
        <v>131392.20000000001</v>
      </c>
      <c r="Z63" s="134">
        <v>17634.826569023684</v>
      </c>
      <c r="AA63" s="134">
        <v>3335.9718342951392</v>
      </c>
      <c r="AB63" s="134">
        <v>2300.3205527089722</v>
      </c>
      <c r="AC63" s="126">
        <v>0</v>
      </c>
      <c r="AD63" s="126">
        <v>0</v>
      </c>
      <c r="AE63" s="126">
        <v>0</v>
      </c>
      <c r="AF63" s="126">
        <v>0</v>
      </c>
      <c r="AG63" s="126">
        <v>0</v>
      </c>
      <c r="AH63" s="126">
        <v>0</v>
      </c>
      <c r="AI63" s="126">
        <v>0</v>
      </c>
      <c r="AJ63" s="126">
        <v>0</v>
      </c>
      <c r="AK63" s="126">
        <v>111600.13</v>
      </c>
      <c r="AL63" s="126">
        <v>0</v>
      </c>
      <c r="AM63" s="126">
        <v>0</v>
      </c>
      <c r="AN63" s="126">
        <v>0</v>
      </c>
      <c r="AO63" s="126">
        <v>0</v>
      </c>
      <c r="AP63" s="126">
        <v>0</v>
      </c>
      <c r="AQ63" s="126">
        <v>0</v>
      </c>
      <c r="AR63" s="126">
        <v>0</v>
      </c>
      <c r="AS63" s="126">
        <v>0</v>
      </c>
      <c r="AT63" s="126">
        <v>0</v>
      </c>
      <c r="AU63" s="126">
        <v>0</v>
      </c>
      <c r="AV63" s="126">
        <v>0</v>
      </c>
      <c r="AW63" s="135">
        <v>854960.13144600031</v>
      </c>
      <c r="AX63" s="136">
        <v>807988.92965088843</v>
      </c>
      <c r="AY63" s="136">
        <v>33956.577835775919</v>
      </c>
      <c r="AZ63" s="126">
        <v>0</v>
      </c>
      <c r="BA63" s="126">
        <v>0</v>
      </c>
      <c r="BB63" s="126">
        <v>0</v>
      </c>
      <c r="BC63" s="126">
        <v>0</v>
      </c>
      <c r="BD63" s="126">
        <v>2277.4679479463575</v>
      </c>
      <c r="BE63" s="126">
        <v>0</v>
      </c>
      <c r="BF63" s="126">
        <v>2984.1932899246053</v>
      </c>
      <c r="BG63" s="126">
        <v>1494.1164056366799</v>
      </c>
      <c r="BH63" s="126">
        <v>6258.8463158282602</v>
      </c>
      <c r="BI63" s="137">
        <v>790943.81995393382</v>
      </c>
      <c r="BJ63" s="126">
        <v>5601.8747582728329</v>
      </c>
      <c r="BK63" s="126">
        <v>7971.1378178122513</v>
      </c>
      <c r="BL63" s="126">
        <v>8551.1068508706976</v>
      </c>
      <c r="BM63" s="126">
        <v>8474.3740167102133</v>
      </c>
      <c r="BN63" s="126">
        <v>142539.74857303439</v>
      </c>
      <c r="BO63" s="126">
        <v>81833.087642999424</v>
      </c>
      <c r="BP63" s="126">
        <v>67137.689894414725</v>
      </c>
      <c r="BQ63" s="126">
        <v>364259.56566098216</v>
      </c>
      <c r="BR63" s="126">
        <v>13593.91872104892</v>
      </c>
      <c r="BS63" s="126">
        <v>15093.437552131978</v>
      </c>
      <c r="BT63" s="126">
        <v>75300.312337848736</v>
      </c>
      <c r="BU63" s="126">
        <v>0</v>
      </c>
      <c r="BV63" s="126">
        <v>587.56612780752948</v>
      </c>
      <c r="BW63" s="126">
        <v>90899.225375157912</v>
      </c>
      <c r="BX63" s="126">
        <v>322486.80053999036</v>
      </c>
      <c r="BY63" s="126">
        <v>283609.19227473467</v>
      </c>
      <c r="BZ63" s="126">
        <v>53991.806401179572</v>
      </c>
      <c r="CA63" s="137">
        <v>202800.27240174325</v>
      </c>
      <c r="CB63" s="126">
        <v>7106.3759999999993</v>
      </c>
      <c r="CC63" s="126">
        <v>194363.59905968016</v>
      </c>
      <c r="CD63" s="126">
        <v>0</v>
      </c>
      <c r="CE63" s="126">
        <v>0</v>
      </c>
      <c r="CF63" s="126">
        <v>1330.2973420630958</v>
      </c>
      <c r="CG63" s="137">
        <v>0</v>
      </c>
      <c r="CH63" s="126">
        <v>0</v>
      </c>
      <c r="CI63" s="126">
        <v>0</v>
      </c>
      <c r="CJ63" s="120"/>
      <c r="CK63" s="138">
        <v>2865954.6973487679</v>
      </c>
      <c r="CL63" s="139">
        <v>45.049770839051376</v>
      </c>
      <c r="CM63" s="140">
        <v>2323064.04</v>
      </c>
      <c r="CN63" s="125">
        <v>3347.1299999999997</v>
      </c>
      <c r="CO63" s="125">
        <v>3347.1299999999997</v>
      </c>
      <c r="CP63" s="125">
        <v>0</v>
      </c>
      <c r="CQ63" s="125">
        <v>13046.039999999999</v>
      </c>
      <c r="CR63" s="125">
        <v>7079.2100000000009</v>
      </c>
      <c r="CS63" s="125">
        <v>195015.35</v>
      </c>
      <c r="CT63" s="125">
        <v>0</v>
      </c>
      <c r="CU63" s="141">
        <v>886.55421686746979</v>
      </c>
      <c r="CV63" s="142">
        <v>-542004.10313190054</v>
      </c>
      <c r="CW63" s="143">
        <v>0</v>
      </c>
      <c r="CX63" s="140">
        <v>2259629.1799999997</v>
      </c>
      <c r="CY63" s="140">
        <v>369918.66</v>
      </c>
    </row>
    <row r="64" spans="1:103" ht="12" customHeight="1" x14ac:dyDescent="0.25">
      <c r="A64" s="122">
        <v>60</v>
      </c>
      <c r="B64" s="123" t="s">
        <v>108</v>
      </c>
      <c r="C64" s="124">
        <v>5275.3899999999967</v>
      </c>
      <c r="D64" s="125">
        <v>5275.3899999999967</v>
      </c>
      <c r="E64" s="125">
        <v>0</v>
      </c>
      <c r="F64" s="125">
        <v>932.6</v>
      </c>
      <c r="G64" s="124">
        <v>5275.3899999999967</v>
      </c>
      <c r="H64" s="124">
        <v>5275.3899999999967</v>
      </c>
      <c r="I64" s="126">
        <v>1</v>
      </c>
      <c r="J64" s="126">
        <v>1</v>
      </c>
      <c r="K64" s="127">
        <v>4.2854212170628193E-3</v>
      </c>
      <c r="L64" s="127">
        <v>6.0994207752560195E-3</v>
      </c>
      <c r="M64" s="127"/>
      <c r="N64" s="127"/>
      <c r="O64" s="128" t="s">
        <v>1489</v>
      </c>
      <c r="P64" s="129" t="s">
        <v>74</v>
      </c>
      <c r="Q64" s="130">
        <v>5.4</v>
      </c>
      <c r="R64" s="130">
        <v>2.67</v>
      </c>
      <c r="S64" s="130">
        <v>1.54</v>
      </c>
      <c r="T64" s="38">
        <v>0</v>
      </c>
      <c r="U64" s="131">
        <v>36.54</v>
      </c>
      <c r="V64" s="144">
        <v>1</v>
      </c>
      <c r="W64" s="132">
        <v>2.4096385542168672E-3</v>
      </c>
      <c r="X64" s="133">
        <v>332488.89291931642</v>
      </c>
      <c r="Y64" s="134">
        <v>163731.13</v>
      </c>
      <c r="Z64" s="134">
        <v>17548.107075024953</v>
      </c>
      <c r="AA64" s="134">
        <v>3319.5671484689542</v>
      </c>
      <c r="AB64" s="134">
        <v>2289.0086958225429</v>
      </c>
      <c r="AC64" s="126">
        <v>0</v>
      </c>
      <c r="AD64" s="126">
        <v>0</v>
      </c>
      <c r="AE64" s="126">
        <v>0</v>
      </c>
      <c r="AF64" s="126">
        <v>0</v>
      </c>
      <c r="AG64" s="126">
        <v>0</v>
      </c>
      <c r="AH64" s="126">
        <v>0</v>
      </c>
      <c r="AI64" s="126">
        <v>0</v>
      </c>
      <c r="AJ64" s="126">
        <v>0</v>
      </c>
      <c r="AK64" s="126">
        <v>145601.07999999999</v>
      </c>
      <c r="AL64" s="126">
        <v>0</v>
      </c>
      <c r="AM64" s="126">
        <v>0</v>
      </c>
      <c r="AN64" s="126">
        <v>0</v>
      </c>
      <c r="AO64" s="126">
        <v>0</v>
      </c>
      <c r="AP64" s="126">
        <v>0</v>
      </c>
      <c r="AQ64" s="126">
        <v>0</v>
      </c>
      <c r="AR64" s="126">
        <v>0</v>
      </c>
      <c r="AS64" s="126">
        <v>0</v>
      </c>
      <c r="AT64" s="126">
        <v>0</v>
      </c>
      <c r="AU64" s="126">
        <v>0</v>
      </c>
      <c r="AV64" s="126">
        <v>0</v>
      </c>
      <c r="AW64" s="135">
        <v>860966.84595355624</v>
      </c>
      <c r="AX64" s="136">
        <v>804015.63335213275</v>
      </c>
      <c r="AY64" s="136">
        <v>33789.595913026569</v>
      </c>
      <c r="AZ64" s="126">
        <v>0</v>
      </c>
      <c r="BA64" s="126">
        <v>10210.992315329697</v>
      </c>
      <c r="BB64" s="126">
        <v>0</v>
      </c>
      <c r="BC64" s="126">
        <v>0</v>
      </c>
      <c r="BD64" s="126">
        <v>2266.2684690475317</v>
      </c>
      <c r="BE64" s="126">
        <v>0</v>
      </c>
      <c r="BF64" s="126">
        <v>2969.5184797650745</v>
      </c>
      <c r="BG64" s="126">
        <v>1486.7690683569583</v>
      </c>
      <c r="BH64" s="126">
        <v>6228.0683558976634</v>
      </c>
      <c r="BI64" s="137">
        <v>787054.34320862184</v>
      </c>
      <c r="BJ64" s="126">
        <v>5574.3274647068738</v>
      </c>
      <c r="BK64" s="126">
        <v>7931.9396416663603</v>
      </c>
      <c r="BL64" s="126">
        <v>8509.0566692976554</v>
      </c>
      <c r="BM64" s="126">
        <v>8432.7011698688402</v>
      </c>
      <c r="BN64" s="126">
        <v>141838.80746524531</v>
      </c>
      <c r="BO64" s="126">
        <v>81430.672347052037</v>
      </c>
      <c r="BP64" s="126">
        <v>66807.539412180093</v>
      </c>
      <c r="BQ64" s="126">
        <v>362468.31440627441</v>
      </c>
      <c r="BR64" s="126">
        <v>13527.070445091393</v>
      </c>
      <c r="BS64" s="126">
        <v>15019.215372395804</v>
      </c>
      <c r="BT64" s="126">
        <v>74930.022051277119</v>
      </c>
      <c r="BU64" s="126">
        <v>0</v>
      </c>
      <c r="BV64" s="126">
        <v>584.67676356599145</v>
      </c>
      <c r="BW64" s="126">
        <v>90452.22722643461</v>
      </c>
      <c r="BX64" s="126">
        <v>320900.96741287468</v>
      </c>
      <c r="BY64" s="126">
        <v>282214.54030289984</v>
      </c>
      <c r="BZ64" s="126">
        <v>53726.300975715843</v>
      </c>
      <c r="CA64" s="137">
        <v>190214.20709583294</v>
      </c>
      <c r="CB64" s="126">
        <v>6559.4879999999994</v>
      </c>
      <c r="CC64" s="126">
        <v>182330.96350862746</v>
      </c>
      <c r="CD64" s="126">
        <v>0</v>
      </c>
      <c r="CE64" s="126">
        <v>0</v>
      </c>
      <c r="CF64" s="126">
        <v>1323.7555872054547</v>
      </c>
      <c r="CG64" s="137">
        <v>0</v>
      </c>
      <c r="CH64" s="126">
        <v>0</v>
      </c>
      <c r="CI64" s="126">
        <v>0</v>
      </c>
      <c r="CJ64" s="120"/>
      <c r="CK64" s="138">
        <v>2918018.3250952521</v>
      </c>
      <c r="CL64" s="139">
        <v>46.094827824660889</v>
      </c>
      <c r="CM64" s="140">
        <v>2313153.7199999997</v>
      </c>
      <c r="CN64" s="125">
        <v>3134.3999999999996</v>
      </c>
      <c r="CO64" s="125">
        <v>3134.3999999999996</v>
      </c>
      <c r="CP64" s="125">
        <v>0</v>
      </c>
      <c r="CQ64" s="125">
        <v>12209.89</v>
      </c>
      <c r="CR64" s="125">
        <v>6627</v>
      </c>
      <c r="CS64" s="125">
        <v>182543.87999999998</v>
      </c>
      <c r="CT64" s="125">
        <v>0</v>
      </c>
      <c r="CU64" s="141">
        <v>886.55421686746979</v>
      </c>
      <c r="CV64" s="142">
        <v>-603978.05087838508</v>
      </c>
      <c r="CW64" s="143">
        <v>0</v>
      </c>
      <c r="CX64" s="140">
        <v>2265190.38</v>
      </c>
      <c r="CY64" s="140">
        <v>282187.65000000002</v>
      </c>
    </row>
    <row r="65" spans="1:103" ht="12" customHeight="1" x14ac:dyDescent="0.25">
      <c r="A65" s="122">
        <v>61</v>
      </c>
      <c r="B65" s="123" t="s">
        <v>109</v>
      </c>
      <c r="C65" s="124">
        <v>4404.8</v>
      </c>
      <c r="D65" s="125">
        <v>4242.8</v>
      </c>
      <c r="E65" s="125">
        <v>162</v>
      </c>
      <c r="F65" s="125">
        <v>1118.2</v>
      </c>
      <c r="G65" s="124">
        <v>4404.8</v>
      </c>
      <c r="H65" s="124">
        <v>4404.8</v>
      </c>
      <c r="I65" s="126">
        <v>1</v>
      </c>
      <c r="J65" s="126">
        <v>1</v>
      </c>
      <c r="K65" s="127">
        <v>4.5682306241727954E-3</v>
      </c>
      <c r="L65" s="127">
        <v>6.5019421344858367E-3</v>
      </c>
      <c r="M65" s="127"/>
      <c r="N65" s="127"/>
      <c r="O65" s="128" t="s">
        <v>1489</v>
      </c>
      <c r="P65" s="129" t="s">
        <v>70</v>
      </c>
      <c r="Q65" s="130">
        <v>6.91</v>
      </c>
      <c r="R65" s="130">
        <v>3.15</v>
      </c>
      <c r="S65" s="130">
        <v>1.81</v>
      </c>
      <c r="T65" s="38">
        <v>0</v>
      </c>
      <c r="U65" s="131">
        <v>44.8</v>
      </c>
      <c r="V65" s="131"/>
      <c r="W65" s="132">
        <v>0</v>
      </c>
      <c r="X65" s="133">
        <v>114100.43040083727</v>
      </c>
      <c r="Y65" s="134">
        <v>29334.84</v>
      </c>
      <c r="Z65" s="134">
        <v>11782.589735685471</v>
      </c>
      <c r="AA65" s="134">
        <v>2771.7437716597369</v>
      </c>
      <c r="AB65" s="134">
        <v>1911.2568934920723</v>
      </c>
      <c r="AC65" s="126">
        <v>0</v>
      </c>
      <c r="AD65" s="126">
        <v>0</v>
      </c>
      <c r="AE65" s="126">
        <v>0</v>
      </c>
      <c r="AF65" s="126">
        <v>0</v>
      </c>
      <c r="AG65" s="126">
        <v>0</v>
      </c>
      <c r="AH65" s="126">
        <v>0</v>
      </c>
      <c r="AI65" s="126">
        <v>0</v>
      </c>
      <c r="AJ65" s="126">
        <v>0</v>
      </c>
      <c r="AK65" s="126">
        <v>0</v>
      </c>
      <c r="AL65" s="126">
        <v>0</v>
      </c>
      <c r="AM65" s="126">
        <v>0</v>
      </c>
      <c r="AN65" s="126">
        <v>0</v>
      </c>
      <c r="AO65" s="126">
        <v>0</v>
      </c>
      <c r="AP65" s="126">
        <v>0</v>
      </c>
      <c r="AQ65" s="126">
        <v>68300</v>
      </c>
      <c r="AR65" s="126">
        <v>0</v>
      </c>
      <c r="AS65" s="126">
        <v>0</v>
      </c>
      <c r="AT65" s="126">
        <v>0</v>
      </c>
      <c r="AU65" s="126">
        <v>0</v>
      </c>
      <c r="AV65" s="126">
        <v>0</v>
      </c>
      <c r="AW65" s="135">
        <v>279400.63304840447</v>
      </c>
      <c r="AX65" s="136">
        <v>240373.8838760806</v>
      </c>
      <c r="AY65" s="136">
        <v>28213.347653481454</v>
      </c>
      <c r="AZ65" s="126">
        <v>0</v>
      </c>
      <c r="BA65" s="126">
        <v>0</v>
      </c>
      <c r="BB65" s="126">
        <v>0</v>
      </c>
      <c r="BC65" s="126">
        <v>0</v>
      </c>
      <c r="BD65" s="126">
        <v>1892.2694535305588</v>
      </c>
      <c r="BE65" s="126">
        <v>0</v>
      </c>
      <c r="BF65" s="126">
        <v>2479.4631296774664</v>
      </c>
      <c r="BG65" s="126">
        <v>1241.409714219941</v>
      </c>
      <c r="BH65" s="126">
        <v>5200.2592214145388</v>
      </c>
      <c r="BI65" s="137">
        <v>1045564.414364101</v>
      </c>
      <c r="BJ65" s="126">
        <v>4654.4042462340894</v>
      </c>
      <c r="BK65" s="126">
        <v>6622.9430873569554</v>
      </c>
      <c r="BL65" s="126">
        <v>7104.8193246228875</v>
      </c>
      <c r="BM65" s="126">
        <v>7041.064663093779</v>
      </c>
      <c r="BN65" s="126">
        <v>118431.35372416314</v>
      </c>
      <c r="BO65" s="126">
        <v>67992.285983461901</v>
      </c>
      <c r="BP65" s="126">
        <v>55782.3875775575</v>
      </c>
      <c r="BQ65" s="126">
        <v>302650.69147432863</v>
      </c>
      <c r="BR65" s="126">
        <v>11294.71752733705</v>
      </c>
      <c r="BS65" s="126">
        <v>12540.615930259011</v>
      </c>
      <c r="BT65" s="126">
        <v>62564.428626407847</v>
      </c>
      <c r="BU65" s="126">
        <v>388396.51379839121</v>
      </c>
      <c r="BV65" s="126">
        <v>488.18840088703979</v>
      </c>
      <c r="BW65" s="126">
        <v>75525.026678027483</v>
      </c>
      <c r="BX65" s="126">
        <v>267943.14377898723</v>
      </c>
      <c r="BY65" s="126">
        <v>235641.08191550086</v>
      </c>
      <c r="BZ65" s="126">
        <v>44859.927045741322</v>
      </c>
      <c r="CA65" s="137">
        <v>202575.27317233582</v>
      </c>
      <c r="CB65" s="126">
        <v>7106.3759999999993</v>
      </c>
      <c r="CC65" s="126">
        <v>194363.59905968016</v>
      </c>
      <c r="CD65" s="126">
        <v>0</v>
      </c>
      <c r="CE65" s="126">
        <v>0</v>
      </c>
      <c r="CF65" s="126">
        <v>1105.2981126556692</v>
      </c>
      <c r="CG65" s="137">
        <v>0</v>
      </c>
      <c r="CH65" s="126">
        <v>0</v>
      </c>
      <c r="CI65" s="126">
        <v>0</v>
      </c>
      <c r="CJ65" s="120"/>
      <c r="CK65" s="138">
        <v>2265609.9304039357</v>
      </c>
      <c r="CL65" s="150">
        <v>42.862519872335021</v>
      </c>
      <c r="CM65" s="140">
        <v>2183134.64</v>
      </c>
      <c r="CN65" s="125">
        <v>3619.45</v>
      </c>
      <c r="CO65" s="125">
        <v>3619.45</v>
      </c>
      <c r="CP65" s="125">
        <v>0</v>
      </c>
      <c r="CQ65" s="125">
        <v>14102.2</v>
      </c>
      <c r="CR65" s="125">
        <v>7653.8000000000011</v>
      </c>
      <c r="CS65" s="125">
        <v>188879.78</v>
      </c>
      <c r="CT65" s="125">
        <v>187380.6173257198</v>
      </c>
      <c r="CU65" s="141">
        <v>0</v>
      </c>
      <c r="CV65" s="142">
        <v>104905.32692178432</v>
      </c>
      <c r="CW65" s="143">
        <v>-3.6403128931038475E-2</v>
      </c>
      <c r="CX65" s="140">
        <v>2096708.23</v>
      </c>
      <c r="CY65" s="140">
        <v>362031.64999999997</v>
      </c>
    </row>
    <row r="66" spans="1:103" ht="12" customHeight="1" x14ac:dyDescent="0.25">
      <c r="A66" s="122">
        <v>62</v>
      </c>
      <c r="B66" s="146" t="s">
        <v>110</v>
      </c>
      <c r="C66" s="124">
        <v>3066.8</v>
      </c>
      <c r="D66" s="125">
        <v>3066.8</v>
      </c>
      <c r="E66" s="125">
        <v>0</v>
      </c>
      <c r="F66" s="125">
        <v>397.54</v>
      </c>
      <c r="G66" s="124">
        <v>3066.8</v>
      </c>
      <c r="H66" s="124">
        <v>3066.8</v>
      </c>
      <c r="I66" s="126">
        <v>1</v>
      </c>
      <c r="J66" s="126">
        <v>0</v>
      </c>
      <c r="K66" s="127">
        <v>1.7781632808809831E-3</v>
      </c>
      <c r="L66" s="127">
        <v>2.5308518131238549E-3</v>
      </c>
      <c r="M66" s="127"/>
      <c r="N66" s="127"/>
      <c r="O66" s="128" t="s">
        <v>1489</v>
      </c>
      <c r="P66" s="129" t="s">
        <v>1493</v>
      </c>
      <c r="Q66" s="130">
        <v>6.91</v>
      </c>
      <c r="R66" s="130">
        <v>3.15</v>
      </c>
      <c r="S66" s="130">
        <v>1.81</v>
      </c>
      <c r="T66" s="38">
        <v>0.26</v>
      </c>
      <c r="U66" s="131">
        <v>45.06</v>
      </c>
      <c r="V66" s="131">
        <v>1</v>
      </c>
      <c r="W66" s="132">
        <v>2.4096385542168672E-3</v>
      </c>
      <c r="X66" s="133">
        <v>1520714.6327724992</v>
      </c>
      <c r="Y66" s="151">
        <v>17121.095136939235</v>
      </c>
      <c r="Z66" s="134">
        <v>6559.2373266484501</v>
      </c>
      <c r="AA66" s="134">
        <v>1929.800172295242</v>
      </c>
      <c r="AB66" s="134">
        <v>1330.6943881587104</v>
      </c>
      <c r="AC66" s="126">
        <v>0</v>
      </c>
      <c r="AD66" s="145">
        <v>12351.679748044891</v>
      </c>
      <c r="AE66" s="126">
        <v>0</v>
      </c>
      <c r="AF66" s="126">
        <v>0</v>
      </c>
      <c r="AG66" s="126">
        <v>0</v>
      </c>
      <c r="AH66" s="126">
        <v>0</v>
      </c>
      <c r="AI66" s="126">
        <v>0</v>
      </c>
      <c r="AJ66" s="126">
        <v>0</v>
      </c>
      <c r="AK66" s="126">
        <v>0</v>
      </c>
      <c r="AL66" s="126">
        <v>0</v>
      </c>
      <c r="AM66" s="126">
        <v>0</v>
      </c>
      <c r="AN66" s="126">
        <v>0</v>
      </c>
      <c r="AO66" s="126">
        <v>0</v>
      </c>
      <c r="AP66" s="145">
        <v>1077489.0263054217</v>
      </c>
      <c r="AQ66" s="126">
        <v>0</v>
      </c>
      <c r="AR66" s="126">
        <v>0</v>
      </c>
      <c r="AS66" s="126">
        <v>0</v>
      </c>
      <c r="AT66" s="145">
        <v>403933.0996949909</v>
      </c>
      <c r="AU66" s="126">
        <v>0</v>
      </c>
      <c r="AV66" s="126">
        <v>0</v>
      </c>
      <c r="AW66" s="135">
        <v>244456.80640340882</v>
      </c>
      <c r="AX66" s="136">
        <v>211348.73689460554</v>
      </c>
      <c r="AY66" s="136">
        <v>19643.274287980596</v>
      </c>
      <c r="AZ66" s="126">
        <v>0</v>
      </c>
      <c r="BA66" s="126">
        <v>5936.0675196816046</v>
      </c>
      <c r="BB66" s="126">
        <v>0</v>
      </c>
      <c r="BC66" s="126">
        <v>0</v>
      </c>
      <c r="BD66" s="126">
        <v>1317.4745641317465</v>
      </c>
      <c r="BE66" s="126">
        <v>0</v>
      </c>
      <c r="BF66" s="126">
        <v>1726.3025622264017</v>
      </c>
      <c r="BG66" s="126">
        <v>864.31967661862393</v>
      </c>
      <c r="BH66" s="126">
        <v>3620.6308981643001</v>
      </c>
      <c r="BI66" s="137">
        <v>457546.88463833061</v>
      </c>
      <c r="BJ66" s="126">
        <v>3240.5845764508504</v>
      </c>
      <c r="BK66" s="126">
        <v>4611.1609744611133</v>
      </c>
      <c r="BL66" s="126">
        <v>4946.6627099422158</v>
      </c>
      <c r="BM66" s="126">
        <v>4902.2741347566298</v>
      </c>
      <c r="BN66" s="126">
        <v>82456.700781253065</v>
      </c>
      <c r="BO66" s="126">
        <v>47338.980805957355</v>
      </c>
      <c r="BP66" s="126">
        <v>38837.955462870814</v>
      </c>
      <c r="BQ66" s="126">
        <v>210717.65814871757</v>
      </c>
      <c r="BR66" s="126">
        <v>7863.8393826819083</v>
      </c>
      <c r="BS66" s="126">
        <v>8731.2842660094302</v>
      </c>
      <c r="BT66" s="126">
        <v>43559.886876014258</v>
      </c>
      <c r="BU66" s="126">
        <v>0</v>
      </c>
      <c r="BV66" s="126">
        <v>339.89651921548625</v>
      </c>
      <c r="BW66" s="126">
        <v>52583.579689469378</v>
      </c>
      <c r="BX66" s="126">
        <v>186552.8590041314</v>
      </c>
      <c r="BY66" s="126">
        <v>164062.85643354026</v>
      </c>
      <c r="BZ66" s="126">
        <v>31233.296463830251</v>
      </c>
      <c r="CA66" s="137">
        <v>80126.764821888326</v>
      </c>
      <c r="CB66" s="145">
        <v>3702.0523820555609</v>
      </c>
      <c r="CC66" s="126">
        <v>75655.159167971986</v>
      </c>
      <c r="CD66" s="126">
        <v>0</v>
      </c>
      <c r="CE66" s="126">
        <v>0</v>
      </c>
      <c r="CF66" s="126">
        <v>769.55327186078978</v>
      </c>
      <c r="CG66" s="137">
        <v>46433.247715346457</v>
      </c>
      <c r="CH66" s="145">
        <v>11690.790920977715</v>
      </c>
      <c r="CI66" s="126">
        <v>34742.456794368743</v>
      </c>
      <c r="CJ66" s="120"/>
      <c r="CK66" s="138">
        <v>2783710.9279424446</v>
      </c>
      <c r="CL66" s="139">
        <v>75.641029953655405</v>
      </c>
      <c r="CM66" s="147">
        <v>1548293.593430843</v>
      </c>
      <c r="CN66" s="148">
        <v>2229.9954065639213</v>
      </c>
      <c r="CO66" s="148">
        <v>2229.9954065639213</v>
      </c>
      <c r="CP66" s="148">
        <v>0</v>
      </c>
      <c r="CQ66" s="148">
        <v>8697.5003939661656</v>
      </c>
      <c r="CR66" s="148">
        <v>4716.3101056902588</v>
      </c>
      <c r="CS66" s="148">
        <v>100931.3975000818</v>
      </c>
      <c r="CT66" s="125">
        <v>0</v>
      </c>
      <c r="CU66" s="141">
        <v>886.55421686746979</v>
      </c>
      <c r="CV66" s="142">
        <v>-1234530.7802947341</v>
      </c>
      <c r="CW66" s="143">
        <v>0</v>
      </c>
      <c r="CX66" s="147">
        <v>1534656.7096331925</v>
      </c>
      <c r="CY66" s="147">
        <v>206054.94632701806</v>
      </c>
    </row>
    <row r="67" spans="1:103" ht="12" customHeight="1" x14ac:dyDescent="0.25">
      <c r="A67" s="122">
        <v>63</v>
      </c>
      <c r="B67" s="146" t="s">
        <v>112</v>
      </c>
      <c r="C67" s="124">
        <v>3045.4</v>
      </c>
      <c r="D67" s="125">
        <v>2884.8</v>
      </c>
      <c r="E67" s="125">
        <v>160.6</v>
      </c>
      <c r="F67" s="125">
        <v>394.76</v>
      </c>
      <c r="G67" s="124">
        <v>3045.4</v>
      </c>
      <c r="H67" s="124">
        <v>3045.4</v>
      </c>
      <c r="I67" s="126">
        <v>1</v>
      </c>
      <c r="J67" s="126">
        <v>0</v>
      </c>
      <c r="K67" s="127">
        <v>1.7781632808809831E-3</v>
      </c>
      <c r="L67" s="127">
        <v>2.5308518131238549E-3</v>
      </c>
      <c r="M67" s="127"/>
      <c r="N67" s="127"/>
      <c r="O67" s="128" t="s">
        <v>1489</v>
      </c>
      <c r="P67" s="129" t="s">
        <v>1493</v>
      </c>
      <c r="Q67" s="130">
        <v>6.91</v>
      </c>
      <c r="R67" s="130">
        <v>3.15</v>
      </c>
      <c r="S67" s="130">
        <v>1.81</v>
      </c>
      <c r="T67" s="38">
        <v>0.26</v>
      </c>
      <c r="U67" s="131">
        <v>45.06</v>
      </c>
      <c r="V67" s="131">
        <v>1</v>
      </c>
      <c r="W67" s="132">
        <v>2.4096385542168672E-3</v>
      </c>
      <c r="X67" s="133">
        <v>1510103.1507256324</v>
      </c>
      <c r="Y67" s="151">
        <v>17001.624863060762</v>
      </c>
      <c r="Z67" s="134">
        <v>6513.4672474811496</v>
      </c>
      <c r="AA67" s="134">
        <v>1916.3341087478575</v>
      </c>
      <c r="AB67" s="134">
        <v>1321.4088592991184</v>
      </c>
      <c r="AC67" s="126">
        <v>0</v>
      </c>
      <c r="AD67" s="145">
        <v>12265.490251955103</v>
      </c>
      <c r="AE67" s="126">
        <v>0</v>
      </c>
      <c r="AF67" s="126">
        <v>0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  <c r="AM67" s="126">
        <v>0</v>
      </c>
      <c r="AN67" s="126">
        <v>0</v>
      </c>
      <c r="AO67" s="126">
        <v>0</v>
      </c>
      <c r="AP67" s="145">
        <v>1069970.3536945779</v>
      </c>
      <c r="AQ67" s="126">
        <v>0</v>
      </c>
      <c r="AR67" s="126">
        <v>0</v>
      </c>
      <c r="AS67" s="126">
        <v>0</v>
      </c>
      <c r="AT67" s="145">
        <v>401114.47170051036</v>
      </c>
      <c r="AU67" s="126">
        <v>0</v>
      </c>
      <c r="AV67" s="126">
        <v>0</v>
      </c>
      <c r="AW67" s="135">
        <v>242750.99720260242</v>
      </c>
      <c r="AX67" s="136">
        <v>209873.9543950801</v>
      </c>
      <c r="AY67" s="136">
        <v>19506.204355228936</v>
      </c>
      <c r="AZ67" s="126">
        <v>0</v>
      </c>
      <c r="BA67" s="126">
        <v>5894.6458929302062</v>
      </c>
      <c r="BB67" s="126">
        <v>0</v>
      </c>
      <c r="BC67" s="126">
        <v>0</v>
      </c>
      <c r="BD67" s="126">
        <v>1308.2812826421093</v>
      </c>
      <c r="BE67" s="126">
        <v>0</v>
      </c>
      <c r="BF67" s="126">
        <v>1714.2564963493817</v>
      </c>
      <c r="BG67" s="126">
        <v>858.28849066595717</v>
      </c>
      <c r="BH67" s="126">
        <v>3595.3662897057388</v>
      </c>
      <c r="BI67" s="137">
        <v>454354.14193216775</v>
      </c>
      <c r="BJ67" s="126">
        <v>3217.9719150656774</v>
      </c>
      <c r="BK67" s="126">
        <v>4578.984489247383</v>
      </c>
      <c r="BL67" s="126">
        <v>4912.1451078837954</v>
      </c>
      <c r="BM67" s="126">
        <v>4868.066274288457</v>
      </c>
      <c r="BN67" s="126">
        <v>81881.321429251373</v>
      </c>
      <c r="BO67" s="126">
        <v>47008.651410741659</v>
      </c>
      <c r="BP67" s="126">
        <v>38566.945861036511</v>
      </c>
      <c r="BQ67" s="126">
        <v>209247.27928984753</v>
      </c>
      <c r="BR67" s="126">
        <v>7808.9658458391423</v>
      </c>
      <c r="BS67" s="126">
        <v>8670.3577356544665</v>
      </c>
      <c r="BT67" s="126">
        <v>43255.927837555042</v>
      </c>
      <c r="BU67" s="126">
        <v>0</v>
      </c>
      <c r="BV67" s="126">
        <v>337.52473575676333</v>
      </c>
      <c r="BW67" s="126">
        <v>52216.653706244302</v>
      </c>
      <c r="BX67" s="126">
        <v>185251.10108620769</v>
      </c>
      <c r="BY67" s="126">
        <v>162918.03279728169</v>
      </c>
      <c r="BZ67" s="126">
        <v>31015.351849141985</v>
      </c>
      <c r="CA67" s="137">
        <v>80095.562147767501</v>
      </c>
      <c r="CB67" s="145">
        <v>3676.2196179444386</v>
      </c>
      <c r="CC67" s="126">
        <v>75655.159167971986</v>
      </c>
      <c r="CD67" s="126">
        <v>0</v>
      </c>
      <c r="CE67" s="126">
        <v>0</v>
      </c>
      <c r="CF67" s="126">
        <v>764.18336185106591</v>
      </c>
      <c r="CG67" s="137">
        <v>46109.238487125374</v>
      </c>
      <c r="CH67" s="145">
        <v>11609.213079022282</v>
      </c>
      <c r="CI67" s="126">
        <v>34500.025408103094</v>
      </c>
      <c r="CJ67" s="120"/>
      <c r="CK67" s="138">
        <v>2764814.2299341708</v>
      </c>
      <c r="CL67" s="139">
        <v>75.655475743037883</v>
      </c>
      <c r="CM67" s="147">
        <v>1537489.6665691566</v>
      </c>
      <c r="CN67" s="148">
        <v>2214.4345934360786</v>
      </c>
      <c r="CO67" s="148">
        <v>2214.4345934360786</v>
      </c>
      <c r="CP67" s="148">
        <v>0</v>
      </c>
      <c r="CQ67" s="148">
        <v>8636.8096060338339</v>
      </c>
      <c r="CR67" s="148">
        <v>4683.3998943097404</v>
      </c>
      <c r="CS67" s="148">
        <v>100227.10249991818</v>
      </c>
      <c r="CT67" s="125">
        <v>129551.6100626015</v>
      </c>
      <c r="CU67" s="141">
        <v>886.55421686746979</v>
      </c>
      <c r="CV67" s="142">
        <v>-1096886.3990855452</v>
      </c>
      <c r="CW67" s="143">
        <v>0</v>
      </c>
      <c r="CX67" s="147">
        <v>1523947.9403668072</v>
      </c>
      <c r="CY67" s="147">
        <v>204617.10367298187</v>
      </c>
    </row>
    <row r="68" spans="1:103" ht="12" customHeight="1" x14ac:dyDescent="0.25">
      <c r="A68" s="122">
        <v>64</v>
      </c>
      <c r="B68" s="123" t="s">
        <v>113</v>
      </c>
      <c r="C68" s="124">
        <v>2826.5</v>
      </c>
      <c r="D68" s="125">
        <v>2826.5</v>
      </c>
      <c r="E68" s="125">
        <v>0</v>
      </c>
      <c r="F68" s="125">
        <v>514.29999999999995</v>
      </c>
      <c r="G68" s="124">
        <v>2826.5</v>
      </c>
      <c r="H68" s="124">
        <v>2826.5</v>
      </c>
      <c r="I68" s="126">
        <v>1</v>
      </c>
      <c r="J68" s="126">
        <v>0</v>
      </c>
      <c r="K68" s="127">
        <v>1.7151947676908054E-3</v>
      </c>
      <c r="L68" s="127">
        <v>2.4412290110501791E-3</v>
      </c>
      <c r="M68" s="127"/>
      <c r="N68" s="127"/>
      <c r="O68" s="128" t="s">
        <v>1489</v>
      </c>
      <c r="P68" s="129" t="s">
        <v>1493</v>
      </c>
      <c r="Q68" s="130">
        <v>6.91</v>
      </c>
      <c r="R68" s="130">
        <v>3.15</v>
      </c>
      <c r="S68" s="130">
        <v>1.81</v>
      </c>
      <c r="T68" s="38">
        <v>0.26</v>
      </c>
      <c r="U68" s="131">
        <v>45.06</v>
      </c>
      <c r="V68" s="144">
        <v>1</v>
      </c>
      <c r="W68" s="132">
        <v>2.4096385542168672E-3</v>
      </c>
      <c r="X68" s="133">
        <v>160213.14362618662</v>
      </c>
      <c r="Y68" s="151">
        <v>137922.57653169104</v>
      </c>
      <c r="Z68" s="134">
        <v>6045.2863909520811</v>
      </c>
      <c r="AA68" s="134">
        <v>1778.5901222748471</v>
      </c>
      <c r="AB68" s="134">
        <v>1226.4274449362836</v>
      </c>
      <c r="AC68" s="126">
        <v>0</v>
      </c>
      <c r="AD68" s="145">
        <v>13240.263136332398</v>
      </c>
      <c r="AE68" s="126">
        <v>0</v>
      </c>
      <c r="AF68" s="126">
        <v>0</v>
      </c>
      <c r="AG68" s="126">
        <v>0</v>
      </c>
      <c r="AH68" s="126">
        <v>0</v>
      </c>
      <c r="AI68" s="126">
        <v>0</v>
      </c>
      <c r="AJ68" s="126">
        <v>0</v>
      </c>
      <c r="AK68" s="126">
        <v>0</v>
      </c>
      <c r="AL68" s="126">
        <v>0</v>
      </c>
      <c r="AM68" s="126">
        <v>0</v>
      </c>
      <c r="AN68" s="126">
        <v>0</v>
      </c>
      <c r="AO68" s="126">
        <v>0</v>
      </c>
      <c r="AP68" s="126">
        <v>0</v>
      </c>
      <c r="AQ68" s="126">
        <v>0</v>
      </c>
      <c r="AR68" s="126">
        <v>0</v>
      </c>
      <c r="AS68" s="126">
        <v>0</v>
      </c>
      <c r="AT68" s="126">
        <v>0</v>
      </c>
      <c r="AU68" s="126">
        <v>0</v>
      </c>
      <c r="AV68" s="126">
        <v>0</v>
      </c>
      <c r="AW68" s="135">
        <v>225302.32271398036</v>
      </c>
      <c r="AX68" s="136">
        <v>194788.44555647662</v>
      </c>
      <c r="AY68" s="136">
        <v>18104.119856194451</v>
      </c>
      <c r="AZ68" s="126">
        <v>0</v>
      </c>
      <c r="BA68" s="126">
        <v>5470.9452342441809</v>
      </c>
      <c r="BB68" s="126">
        <v>0</v>
      </c>
      <c r="BC68" s="126">
        <v>0</v>
      </c>
      <c r="BD68" s="126">
        <v>1214.2434640401661</v>
      </c>
      <c r="BE68" s="126">
        <v>0</v>
      </c>
      <c r="BF68" s="126">
        <v>1591.0376262335085</v>
      </c>
      <c r="BG68" s="126">
        <v>796.59565865479999</v>
      </c>
      <c r="BH68" s="126">
        <v>3336.9353181366223</v>
      </c>
      <c r="BI68" s="137">
        <v>421695.6663069785</v>
      </c>
      <c r="BJ68" s="126">
        <v>2986.6676357565957</v>
      </c>
      <c r="BK68" s="126">
        <v>4249.8521241405815</v>
      </c>
      <c r="BL68" s="126">
        <v>4559.065524211449</v>
      </c>
      <c r="BM68" s="126">
        <v>4518.1550286584106</v>
      </c>
      <c r="BN68" s="126">
        <v>75995.782169757338</v>
      </c>
      <c r="BO68" s="126">
        <v>43629.721288652159</v>
      </c>
      <c r="BP68" s="126">
        <v>35794.796242273493</v>
      </c>
      <c r="BQ68" s="126">
        <v>194206.81516804165</v>
      </c>
      <c r="BR68" s="126">
        <v>7247.6659759848744</v>
      </c>
      <c r="BS68" s="126">
        <v>8047.1419648740221</v>
      </c>
      <c r="BT68" s="126">
        <v>40146.739355371814</v>
      </c>
      <c r="BU68" s="126">
        <v>0</v>
      </c>
      <c r="BV68" s="126">
        <v>313.26382925608834</v>
      </c>
      <c r="BW68" s="126">
        <v>48463.378111479455</v>
      </c>
      <c r="BX68" s="126">
        <v>171935.45584165168</v>
      </c>
      <c r="BY68" s="126">
        <v>151207.6639198518</v>
      </c>
      <c r="BZ68" s="126">
        <v>28786.002496092409</v>
      </c>
      <c r="CA68" s="137">
        <v>76135.151574055024</v>
      </c>
      <c r="CB68" s="145">
        <v>2449.8464999735684</v>
      </c>
      <c r="CC68" s="126">
        <v>72976.050371161618</v>
      </c>
      <c r="CD68" s="126">
        <v>0</v>
      </c>
      <c r="CE68" s="126">
        <v>0</v>
      </c>
      <c r="CF68" s="126">
        <v>709.25470291982595</v>
      </c>
      <c r="CG68" s="137">
        <v>44142.81307070145</v>
      </c>
      <c r="CH68" s="145">
        <v>12122.611515568007</v>
      </c>
      <c r="CI68" s="126">
        <v>32020.201555133444</v>
      </c>
      <c r="CJ68" s="120"/>
      <c r="CK68" s="138">
        <v>1327881.5976609772</v>
      </c>
      <c r="CL68" s="139">
        <v>39.149761119788231</v>
      </c>
      <c r="CM68" s="140">
        <v>1462736.69</v>
      </c>
      <c r="CN68" s="125">
        <v>2957.8499999999995</v>
      </c>
      <c r="CO68" s="125">
        <v>2957.8499999999995</v>
      </c>
      <c r="CP68" s="125">
        <v>0</v>
      </c>
      <c r="CQ68" s="125">
        <v>11542.689999999999</v>
      </c>
      <c r="CR68" s="125">
        <v>6250.59</v>
      </c>
      <c r="CS68" s="125">
        <v>134024.12</v>
      </c>
      <c r="CT68" s="125">
        <v>0</v>
      </c>
      <c r="CU68" s="141">
        <v>886.55421686746979</v>
      </c>
      <c r="CV68" s="142">
        <v>135741.64655589033</v>
      </c>
      <c r="CW68" s="143">
        <v>0.10155656391094348</v>
      </c>
      <c r="CX68" s="140">
        <v>1403300.46</v>
      </c>
      <c r="CY68" s="140">
        <v>335625.28</v>
      </c>
    </row>
    <row r="69" spans="1:103" ht="12" customHeight="1" x14ac:dyDescent="0.25">
      <c r="A69" s="122">
        <v>65</v>
      </c>
      <c r="B69" s="123" t="s">
        <v>115</v>
      </c>
      <c r="C69" s="124">
        <v>2848.6</v>
      </c>
      <c r="D69" s="125">
        <v>2848.6</v>
      </c>
      <c r="E69" s="125">
        <v>0</v>
      </c>
      <c r="F69" s="125">
        <v>471.5</v>
      </c>
      <c r="G69" s="124">
        <v>2848.6</v>
      </c>
      <c r="H69" s="124">
        <v>2848.6</v>
      </c>
      <c r="I69" s="126">
        <v>1</v>
      </c>
      <c r="J69" s="126">
        <v>0</v>
      </c>
      <c r="K69" s="127">
        <v>1.7151947676908054E-3</v>
      </c>
      <c r="L69" s="127">
        <v>2.4412290110501791E-3</v>
      </c>
      <c r="M69" s="127"/>
      <c r="N69" s="127"/>
      <c r="O69" s="128" t="s">
        <v>1489</v>
      </c>
      <c r="P69" s="129" t="s">
        <v>1493</v>
      </c>
      <c r="Q69" s="130">
        <v>6.91</v>
      </c>
      <c r="R69" s="130">
        <v>3.15</v>
      </c>
      <c r="S69" s="130">
        <v>1.81</v>
      </c>
      <c r="T69" s="38">
        <v>0.26</v>
      </c>
      <c r="U69" s="131">
        <v>45.06</v>
      </c>
      <c r="V69" s="144">
        <v>1</v>
      </c>
      <c r="W69" s="132">
        <v>2.4096385542168672E-3</v>
      </c>
      <c r="X69" s="133">
        <v>161465.82732480284</v>
      </c>
      <c r="Y69" s="151">
        <v>139000.97346830889</v>
      </c>
      <c r="Z69" s="134">
        <v>6092.5536222416758</v>
      </c>
      <c r="AA69" s="134">
        <v>1792.4966645363982</v>
      </c>
      <c r="AB69" s="134">
        <v>1236.016706048292</v>
      </c>
      <c r="AC69" s="126">
        <v>0</v>
      </c>
      <c r="AD69" s="145">
        <v>13343.786863667599</v>
      </c>
      <c r="AE69" s="126">
        <v>0</v>
      </c>
      <c r="AF69" s="126">
        <v>0</v>
      </c>
      <c r="AG69" s="126">
        <v>0</v>
      </c>
      <c r="AH69" s="126">
        <v>0</v>
      </c>
      <c r="AI69" s="126">
        <v>0</v>
      </c>
      <c r="AJ69" s="126">
        <v>0</v>
      </c>
      <c r="AK69" s="126">
        <v>0</v>
      </c>
      <c r="AL69" s="126">
        <v>0</v>
      </c>
      <c r="AM69" s="126">
        <v>0</v>
      </c>
      <c r="AN69" s="126">
        <v>0</v>
      </c>
      <c r="AO69" s="126">
        <v>0</v>
      </c>
      <c r="AP69" s="126">
        <v>0</v>
      </c>
      <c r="AQ69" s="126">
        <v>0</v>
      </c>
      <c r="AR69" s="126">
        <v>0</v>
      </c>
      <c r="AS69" s="126">
        <v>0</v>
      </c>
      <c r="AT69" s="126">
        <v>0</v>
      </c>
      <c r="AU69" s="126">
        <v>0</v>
      </c>
      <c r="AV69" s="126">
        <v>0</v>
      </c>
      <c r="AW69" s="135">
        <v>227063.92941200934</v>
      </c>
      <c r="AX69" s="136">
        <v>196311.46860505192</v>
      </c>
      <c r="AY69" s="136">
        <v>18245.673384877238</v>
      </c>
      <c r="AZ69" s="126">
        <v>0</v>
      </c>
      <c r="BA69" s="126">
        <v>5513.7217740201568</v>
      </c>
      <c r="BB69" s="126">
        <v>0</v>
      </c>
      <c r="BC69" s="126">
        <v>0</v>
      </c>
      <c r="BD69" s="126">
        <v>1223.737460344885</v>
      </c>
      <c r="BE69" s="126">
        <v>0</v>
      </c>
      <c r="BF69" s="126">
        <v>1603.4777223027675</v>
      </c>
      <c r="BG69" s="126">
        <v>802.82412639096515</v>
      </c>
      <c r="BH69" s="126">
        <v>3363.0263390213981</v>
      </c>
      <c r="BI69" s="137">
        <v>424992.84452222142</v>
      </c>
      <c r="BJ69" s="126">
        <v>3010.019963635676</v>
      </c>
      <c r="BK69" s="126">
        <v>4283.0811112070969</v>
      </c>
      <c r="BL69" s="126">
        <v>4594.7122067110322</v>
      </c>
      <c r="BM69" s="126">
        <v>4553.4818378334858</v>
      </c>
      <c r="BN69" s="126">
        <v>76589.982341684328</v>
      </c>
      <c r="BO69" s="126">
        <v>43970.855851001077</v>
      </c>
      <c r="BP69" s="126">
        <v>36074.670644167789</v>
      </c>
      <c r="BQ69" s="126">
        <v>195725.29053164105</v>
      </c>
      <c r="BR69" s="126">
        <v>7304.3344416028704</v>
      </c>
      <c r="BS69" s="126">
        <v>8110.0614191191007</v>
      </c>
      <c r="BT69" s="126">
        <v>40460.640979201184</v>
      </c>
      <c r="BU69" s="126">
        <v>0</v>
      </c>
      <c r="BV69" s="126">
        <v>315.71319441673211</v>
      </c>
      <c r="BW69" s="126">
        <v>48842.306346492252</v>
      </c>
      <c r="BX69" s="126">
        <v>173279.79462604952</v>
      </c>
      <c r="BY69" s="126">
        <v>152389.93505823097</v>
      </c>
      <c r="BZ69" s="126">
        <v>29011.076140233094</v>
      </c>
      <c r="CA69" s="137">
        <v>76159.852135379595</v>
      </c>
      <c r="CB69" s="145">
        <v>2469.0015000264311</v>
      </c>
      <c r="CC69" s="126">
        <v>72976.050371161618</v>
      </c>
      <c r="CD69" s="126">
        <v>0</v>
      </c>
      <c r="CE69" s="126">
        <v>0</v>
      </c>
      <c r="CF69" s="126">
        <v>714.80026419155001</v>
      </c>
      <c r="CG69" s="137">
        <v>44487.959424447246</v>
      </c>
      <c r="CH69" s="145">
        <v>12217.396484431991</v>
      </c>
      <c r="CI69" s="126">
        <v>32270.562940015257</v>
      </c>
      <c r="CJ69" s="120"/>
      <c r="CK69" s="138">
        <v>1337693.5249898664</v>
      </c>
      <c r="CL69" s="139">
        <v>39.133069021913293</v>
      </c>
      <c r="CM69" s="140">
        <v>1476558.71</v>
      </c>
      <c r="CN69" s="125">
        <v>2715.7200000000003</v>
      </c>
      <c r="CO69" s="125">
        <v>2715.7200000000003</v>
      </c>
      <c r="CP69" s="125">
        <v>0</v>
      </c>
      <c r="CQ69" s="125">
        <v>10593.119999999999</v>
      </c>
      <c r="CR69" s="125">
        <v>5744.16</v>
      </c>
      <c r="CS69" s="125">
        <v>122992.32000000001</v>
      </c>
      <c r="CT69" s="125">
        <v>0</v>
      </c>
      <c r="CU69" s="141">
        <v>886.55421686746979</v>
      </c>
      <c r="CV69" s="142">
        <v>139751.73922700109</v>
      </c>
      <c r="CW69" s="143">
        <v>0.10380941704205782</v>
      </c>
      <c r="CX69" s="140">
        <v>1398777.98</v>
      </c>
      <c r="CY69" s="140">
        <v>264472.14999999997</v>
      </c>
    </row>
    <row r="70" spans="1:103" ht="12" customHeight="1" x14ac:dyDescent="0.25">
      <c r="A70" s="122">
        <v>66</v>
      </c>
      <c r="B70" s="123" t="s">
        <v>116</v>
      </c>
      <c r="C70" s="124">
        <v>9513.2000000000044</v>
      </c>
      <c r="D70" s="125">
        <v>9513.2000000000044</v>
      </c>
      <c r="E70" s="125">
        <v>0</v>
      </c>
      <c r="F70" s="125">
        <v>2004.8</v>
      </c>
      <c r="G70" s="124">
        <v>9513.2000000000044</v>
      </c>
      <c r="H70" s="124">
        <v>9513.2000000000044</v>
      </c>
      <c r="I70" s="126">
        <v>5</v>
      </c>
      <c r="J70" s="126">
        <v>0</v>
      </c>
      <c r="K70" s="127">
        <v>8.8908164044049151E-3</v>
      </c>
      <c r="L70" s="127">
        <v>1.2654259065619275E-2</v>
      </c>
      <c r="M70" s="127"/>
      <c r="N70" s="127"/>
      <c r="O70" s="128" t="s">
        <v>1489</v>
      </c>
      <c r="P70" s="129" t="s">
        <v>1493</v>
      </c>
      <c r="Q70" s="130">
        <v>6.91</v>
      </c>
      <c r="R70" s="130">
        <v>3.15</v>
      </c>
      <c r="S70" s="130">
        <v>1.81</v>
      </c>
      <c r="T70" s="38">
        <v>0.26</v>
      </c>
      <c r="U70" s="131">
        <v>45.06</v>
      </c>
      <c r="V70" s="144">
        <v>5</v>
      </c>
      <c r="W70" s="132">
        <v>1.2048192771084338E-2</v>
      </c>
      <c r="X70" s="133">
        <v>330801.36476730881</v>
      </c>
      <c r="Y70" s="134">
        <v>95219.199999999997</v>
      </c>
      <c r="Z70" s="134">
        <v>20346.725099736552</v>
      </c>
      <c r="AA70" s="134">
        <v>5986.231576587682</v>
      </c>
      <c r="AB70" s="134">
        <v>4127.8080909845603</v>
      </c>
      <c r="AC70" s="126">
        <v>0</v>
      </c>
      <c r="AD70" s="126">
        <v>0</v>
      </c>
      <c r="AE70" s="126">
        <v>0</v>
      </c>
      <c r="AF70" s="126">
        <v>0</v>
      </c>
      <c r="AG70" s="126">
        <v>0</v>
      </c>
      <c r="AH70" s="126">
        <v>0</v>
      </c>
      <c r="AI70" s="126">
        <v>0</v>
      </c>
      <c r="AJ70" s="126">
        <v>0</v>
      </c>
      <c r="AK70" s="126">
        <v>76096.160000000003</v>
      </c>
      <c r="AL70" s="126">
        <v>0</v>
      </c>
      <c r="AM70" s="126">
        <v>0</v>
      </c>
      <c r="AN70" s="126">
        <v>78493.3</v>
      </c>
      <c r="AO70" s="126">
        <v>0</v>
      </c>
      <c r="AP70" s="126">
        <v>43931.94</v>
      </c>
      <c r="AQ70" s="126">
        <v>0</v>
      </c>
      <c r="AR70" s="126">
        <v>0</v>
      </c>
      <c r="AS70" s="126">
        <v>6600</v>
      </c>
      <c r="AT70" s="126">
        <v>0</v>
      </c>
      <c r="AU70" s="126">
        <v>0</v>
      </c>
      <c r="AV70" s="126">
        <v>0</v>
      </c>
      <c r="AW70" s="135">
        <v>758303.92939771398</v>
      </c>
      <c r="AX70" s="136">
        <v>655602.84460211359</v>
      </c>
      <c r="AY70" s="136">
        <v>60933.349731452021</v>
      </c>
      <c r="AZ70" s="126">
        <v>0</v>
      </c>
      <c r="BA70" s="126">
        <v>18413.655122027867</v>
      </c>
      <c r="BB70" s="126">
        <v>0</v>
      </c>
      <c r="BC70" s="126">
        <v>0</v>
      </c>
      <c r="BD70" s="126">
        <v>4086.8002554774152</v>
      </c>
      <c r="BE70" s="126">
        <v>0</v>
      </c>
      <c r="BF70" s="126">
        <v>5354.982892582565</v>
      </c>
      <c r="BG70" s="126">
        <v>2681.1158039677503</v>
      </c>
      <c r="BH70" s="126">
        <v>11231.180990092811</v>
      </c>
      <c r="BI70" s="137">
        <v>1419308.4071153547</v>
      </c>
      <c r="BJ70" s="126">
        <v>10052.278985487232</v>
      </c>
      <c r="BK70" s="126">
        <v>14303.800894170952</v>
      </c>
      <c r="BL70" s="126">
        <v>15344.52578982076</v>
      </c>
      <c r="BM70" s="126">
        <v>15206.832626440195</v>
      </c>
      <c r="BN70" s="126">
        <v>255780.32016180287</v>
      </c>
      <c r="BO70" s="126">
        <v>146845.30853111832</v>
      </c>
      <c r="BP70" s="126">
        <v>120475.16561542414</v>
      </c>
      <c r="BQ70" s="126">
        <v>653645.24113094457</v>
      </c>
      <c r="BR70" s="126">
        <v>24393.594892177371</v>
      </c>
      <c r="BS70" s="126">
        <v>27084.40507349711</v>
      </c>
      <c r="BT70" s="126">
        <v>135122.57591916621</v>
      </c>
      <c r="BU70" s="126">
        <v>0</v>
      </c>
      <c r="BV70" s="126">
        <v>1054.3574953048014</v>
      </c>
      <c r="BW70" s="126">
        <v>163114.03101012792</v>
      </c>
      <c r="BX70" s="126">
        <v>578686.14134541014</v>
      </c>
      <c r="BY70" s="126">
        <v>508922.25310537231</v>
      </c>
      <c r="BZ70" s="126">
        <v>96885.547123943543</v>
      </c>
      <c r="CA70" s="137">
        <v>393643.64667651907</v>
      </c>
      <c r="CB70" s="126">
        <v>12980.699999999999</v>
      </c>
      <c r="CC70" s="126">
        <v>378275.79583985999</v>
      </c>
      <c r="CD70" s="126">
        <v>0</v>
      </c>
      <c r="CE70" s="126">
        <v>0</v>
      </c>
      <c r="CF70" s="126">
        <v>2387.1508366590806</v>
      </c>
      <c r="CG70" s="137">
        <v>137470.94690758735</v>
      </c>
      <c r="CH70" s="126">
        <v>29700</v>
      </c>
      <c r="CI70" s="126">
        <v>107770.94690758733</v>
      </c>
      <c r="CJ70" s="120"/>
      <c r="CK70" s="138">
        <v>4387136.267449338</v>
      </c>
      <c r="CL70" s="139">
        <v>38.4302536427397</v>
      </c>
      <c r="CM70" s="140">
        <v>4917512.5299999993</v>
      </c>
      <c r="CN70" s="125">
        <v>11482.79</v>
      </c>
      <c r="CO70" s="125">
        <v>11482.79</v>
      </c>
      <c r="CP70" s="125">
        <v>0</v>
      </c>
      <c r="CQ70" s="125">
        <v>44801.07</v>
      </c>
      <c r="CR70" s="125">
        <v>24293.59</v>
      </c>
      <c r="CS70" s="125">
        <v>519643.95000000007</v>
      </c>
      <c r="CT70" s="125">
        <v>0</v>
      </c>
      <c r="CU70" s="141">
        <v>4432.7710843373497</v>
      </c>
      <c r="CV70" s="142">
        <v>534809.03363499884</v>
      </c>
      <c r="CW70" s="143">
        <v>0.12089350095774898</v>
      </c>
      <c r="CX70" s="140">
        <v>4778322.21</v>
      </c>
      <c r="CY70" s="140">
        <v>1228252.28</v>
      </c>
    </row>
    <row r="71" spans="1:103" ht="12" customHeight="1" x14ac:dyDescent="0.25">
      <c r="A71" s="122">
        <v>67</v>
      </c>
      <c r="B71" s="123" t="s">
        <v>117</v>
      </c>
      <c r="C71" s="124">
        <v>2869.6</v>
      </c>
      <c r="D71" s="125">
        <v>2869.6</v>
      </c>
      <c r="E71" s="125">
        <v>0</v>
      </c>
      <c r="F71" s="125">
        <v>487.4</v>
      </c>
      <c r="G71" s="124">
        <v>2869.6</v>
      </c>
      <c r="H71" s="124">
        <v>2869.6</v>
      </c>
      <c r="I71" s="126">
        <v>1</v>
      </c>
      <c r="J71" s="126">
        <v>0</v>
      </c>
      <c r="K71" s="127">
        <v>1.7151947676908054E-3</v>
      </c>
      <c r="L71" s="127">
        <v>2.4412290110501791E-3</v>
      </c>
      <c r="M71" s="127"/>
      <c r="N71" s="127"/>
      <c r="O71" s="128" t="s">
        <v>1489</v>
      </c>
      <c r="P71" s="129" t="s">
        <v>1493</v>
      </c>
      <c r="Q71" s="130">
        <v>6.91</v>
      </c>
      <c r="R71" s="130">
        <v>3.15</v>
      </c>
      <c r="S71" s="130">
        <v>1.81</v>
      </c>
      <c r="T71" s="38">
        <v>0.26</v>
      </c>
      <c r="U71" s="131">
        <v>45.06</v>
      </c>
      <c r="V71" s="144">
        <v>1</v>
      </c>
      <c r="W71" s="132">
        <v>2.4096385542168672E-3</v>
      </c>
      <c r="X71" s="133">
        <v>533779.17455787165</v>
      </c>
      <c r="Y71" s="151">
        <v>59806.671592347811</v>
      </c>
      <c r="Z71" s="134">
        <v>6137.4681859105222</v>
      </c>
      <c r="AA71" s="134">
        <v>1805.7110259614014</v>
      </c>
      <c r="AB71" s="134">
        <v>1245.1286736207887</v>
      </c>
      <c r="AC71" s="126">
        <v>0</v>
      </c>
      <c r="AD71" s="145">
        <v>10887.055123031583</v>
      </c>
      <c r="AE71" s="126">
        <v>0</v>
      </c>
      <c r="AF71" s="126">
        <v>0</v>
      </c>
      <c r="AG71" s="126">
        <v>0</v>
      </c>
      <c r="AH71" s="126">
        <v>0</v>
      </c>
      <c r="AI71" s="126">
        <v>0</v>
      </c>
      <c r="AJ71" s="126">
        <v>0</v>
      </c>
      <c r="AK71" s="126">
        <v>0</v>
      </c>
      <c r="AL71" s="126">
        <v>0</v>
      </c>
      <c r="AM71" s="126">
        <v>0</v>
      </c>
      <c r="AN71" s="126">
        <v>0</v>
      </c>
      <c r="AO71" s="126">
        <v>0</v>
      </c>
      <c r="AP71" s="145">
        <v>54735.19668102471</v>
      </c>
      <c r="AQ71" s="126">
        <v>0</v>
      </c>
      <c r="AR71" s="126">
        <v>0</v>
      </c>
      <c r="AS71" s="126">
        <v>0</v>
      </c>
      <c r="AT71" s="145">
        <v>399161.94327597483</v>
      </c>
      <c r="AU71" s="126">
        <v>0</v>
      </c>
      <c r="AV71" s="126">
        <v>0</v>
      </c>
      <c r="AW71" s="135">
        <v>228737.8543286885</v>
      </c>
      <c r="AX71" s="136">
        <v>197758.68507654883</v>
      </c>
      <c r="AY71" s="136">
        <v>18380.181262811107</v>
      </c>
      <c r="AZ71" s="126">
        <v>0</v>
      </c>
      <c r="BA71" s="126">
        <v>5554.3691647575097</v>
      </c>
      <c r="BB71" s="126">
        <v>0</v>
      </c>
      <c r="BC71" s="126">
        <v>0</v>
      </c>
      <c r="BD71" s="126">
        <v>1232.7589047973327</v>
      </c>
      <c r="BE71" s="126">
        <v>0</v>
      </c>
      <c r="BF71" s="126">
        <v>1615.2986280699367</v>
      </c>
      <c r="BG71" s="126">
        <v>808.74257989591854</v>
      </c>
      <c r="BH71" s="126">
        <v>3387.8187118078372</v>
      </c>
      <c r="BI71" s="137">
        <v>428125.90979462425</v>
      </c>
      <c r="BJ71" s="126">
        <v>3032.2099584529019</v>
      </c>
      <c r="BK71" s="126">
        <v>4314.6561667906644</v>
      </c>
      <c r="BL71" s="126">
        <v>4628.5846199459311</v>
      </c>
      <c r="BM71" s="126">
        <v>4587.0502990405712</v>
      </c>
      <c r="BN71" s="126">
        <v>77154.606939442994</v>
      </c>
      <c r="BO71" s="126">
        <v>44295.010864997785</v>
      </c>
      <c r="BP71" s="126">
        <v>36340.614645967806</v>
      </c>
      <c r="BQ71" s="126">
        <v>197168.18567352285</v>
      </c>
      <c r="BR71" s="126">
        <v>7358.1823048597889</v>
      </c>
      <c r="BS71" s="126">
        <v>8169.8491358225701</v>
      </c>
      <c r="BT71" s="126">
        <v>40758.918540306018</v>
      </c>
      <c r="BU71" s="126">
        <v>0</v>
      </c>
      <c r="BV71" s="126">
        <v>318.04064547435735</v>
      </c>
      <c r="BW71" s="126">
        <v>49202.37390012433</v>
      </c>
      <c r="BX71" s="126">
        <v>174557.22062027373</v>
      </c>
      <c r="BY71" s="126">
        <v>153513.36012184917</v>
      </c>
      <c r="BZ71" s="126">
        <v>29224.947023805689</v>
      </c>
      <c r="CA71" s="137">
        <v>76157.645768455841</v>
      </c>
      <c r="CB71" s="145">
        <v>2461.5255952426628</v>
      </c>
      <c r="CC71" s="126">
        <v>72976.050371161618</v>
      </c>
      <c r="CD71" s="126">
        <v>0</v>
      </c>
      <c r="CE71" s="126">
        <v>0</v>
      </c>
      <c r="CF71" s="126">
        <v>720.06980205155924</v>
      </c>
      <c r="CG71" s="137">
        <v>44688.866253190434</v>
      </c>
      <c r="CH71" s="145">
        <v>12180.403354690197</v>
      </c>
      <c r="CI71" s="126">
        <v>32508.462898500238</v>
      </c>
      <c r="CJ71" s="120"/>
      <c r="CK71" s="138">
        <v>1717987.3523688836</v>
      </c>
      <c r="CL71" s="139">
        <v>49.890442116464648</v>
      </c>
      <c r="CM71" s="140">
        <v>1487602.31</v>
      </c>
      <c r="CN71" s="125">
        <v>2807.04</v>
      </c>
      <c r="CO71" s="125">
        <v>2807.04</v>
      </c>
      <c r="CP71" s="125">
        <v>0</v>
      </c>
      <c r="CQ71" s="125">
        <v>10950.249999999998</v>
      </c>
      <c r="CR71" s="125">
        <v>5937.7300000000005</v>
      </c>
      <c r="CS71" s="125">
        <v>127075.07999999999</v>
      </c>
      <c r="CT71" s="125">
        <v>0</v>
      </c>
      <c r="CU71" s="141">
        <v>886.55421686746979</v>
      </c>
      <c r="CV71" s="142">
        <v>-229498.48815201595</v>
      </c>
      <c r="CW71" s="143">
        <v>0</v>
      </c>
      <c r="CX71" s="140">
        <v>1448238.72</v>
      </c>
      <c r="CY71" s="140">
        <v>263778.07</v>
      </c>
    </row>
    <row r="72" spans="1:103" ht="12" customHeight="1" x14ac:dyDescent="0.25">
      <c r="A72" s="122">
        <v>68</v>
      </c>
      <c r="B72" s="123" t="s">
        <v>118</v>
      </c>
      <c r="C72" s="124">
        <v>2864.7</v>
      </c>
      <c r="D72" s="125">
        <v>2864.7</v>
      </c>
      <c r="E72" s="125">
        <v>0</v>
      </c>
      <c r="F72" s="125">
        <v>487.4</v>
      </c>
      <c r="G72" s="124">
        <v>2864.7</v>
      </c>
      <c r="H72" s="124">
        <v>2864.7</v>
      </c>
      <c r="I72" s="126">
        <v>1</v>
      </c>
      <c r="J72" s="126">
        <v>0</v>
      </c>
      <c r="K72" s="127">
        <v>1.7151947676908054E-3</v>
      </c>
      <c r="L72" s="127">
        <v>2.4412290110501791E-3</v>
      </c>
      <c r="M72" s="127"/>
      <c r="N72" s="127"/>
      <c r="O72" s="128" t="s">
        <v>1489</v>
      </c>
      <c r="P72" s="129" t="s">
        <v>1493</v>
      </c>
      <c r="Q72" s="130">
        <v>6.91</v>
      </c>
      <c r="R72" s="130">
        <v>3.15</v>
      </c>
      <c r="S72" s="130">
        <v>1.81</v>
      </c>
      <c r="T72" s="38">
        <v>0.26</v>
      </c>
      <c r="U72" s="131">
        <v>45.06</v>
      </c>
      <c r="V72" s="144">
        <v>1</v>
      </c>
      <c r="W72" s="132">
        <v>2.4096385542168672E-3</v>
      </c>
      <c r="X72" s="133">
        <v>532867.71722746547</v>
      </c>
      <c r="Y72" s="151">
        <v>59704.548407652204</v>
      </c>
      <c r="Z72" s="134">
        <v>6126.9881210544581</v>
      </c>
      <c r="AA72" s="134">
        <v>1802.6276749622339</v>
      </c>
      <c r="AB72" s="134">
        <v>1243.0025478538728</v>
      </c>
      <c r="AC72" s="126">
        <v>0</v>
      </c>
      <c r="AD72" s="145">
        <v>10868.464876968419</v>
      </c>
      <c r="AE72" s="126">
        <v>0</v>
      </c>
      <c r="AF72" s="126">
        <v>0</v>
      </c>
      <c r="AG72" s="126">
        <v>0</v>
      </c>
      <c r="AH72" s="126">
        <v>0</v>
      </c>
      <c r="AI72" s="126">
        <v>0</v>
      </c>
      <c r="AJ72" s="126">
        <v>0</v>
      </c>
      <c r="AK72" s="126">
        <v>0</v>
      </c>
      <c r="AL72" s="126">
        <v>0</v>
      </c>
      <c r="AM72" s="126">
        <v>0</v>
      </c>
      <c r="AN72" s="126">
        <v>0</v>
      </c>
      <c r="AO72" s="126">
        <v>0</v>
      </c>
      <c r="AP72" s="145">
        <v>54641.733318975283</v>
      </c>
      <c r="AQ72" s="126">
        <v>0</v>
      </c>
      <c r="AR72" s="126">
        <v>0</v>
      </c>
      <c r="AS72" s="126">
        <v>0</v>
      </c>
      <c r="AT72" s="145">
        <v>398480.35227999906</v>
      </c>
      <c r="AU72" s="126">
        <v>0</v>
      </c>
      <c r="AV72" s="126">
        <v>0</v>
      </c>
      <c r="AW72" s="135">
        <v>228347.27184812998</v>
      </c>
      <c r="AX72" s="136">
        <v>197421.00123319955</v>
      </c>
      <c r="AY72" s="136">
        <v>18348.796091293207</v>
      </c>
      <c r="AZ72" s="126">
        <v>0</v>
      </c>
      <c r="BA72" s="126">
        <v>5544.8847735854606</v>
      </c>
      <c r="BB72" s="126">
        <v>0</v>
      </c>
      <c r="BC72" s="126">
        <v>0</v>
      </c>
      <c r="BD72" s="126">
        <v>1230.6539010917616</v>
      </c>
      <c r="BE72" s="126">
        <v>0</v>
      </c>
      <c r="BF72" s="126">
        <v>1612.5404167242639</v>
      </c>
      <c r="BG72" s="126">
        <v>807.36160741142942</v>
      </c>
      <c r="BH72" s="126">
        <v>3382.0338248243347</v>
      </c>
      <c r="BI72" s="137">
        <v>427394.86123106355</v>
      </c>
      <c r="BJ72" s="126">
        <v>3027.0322929955491</v>
      </c>
      <c r="BK72" s="126">
        <v>4307.2886538211651</v>
      </c>
      <c r="BL72" s="126">
        <v>4620.6810568577876</v>
      </c>
      <c r="BM72" s="126">
        <v>4579.2176580922514</v>
      </c>
      <c r="BN72" s="126">
        <v>77022.861199965977</v>
      </c>
      <c r="BO72" s="126">
        <v>44219.37469506522</v>
      </c>
      <c r="BP72" s="126">
        <v>36278.561045547802</v>
      </c>
      <c r="BQ72" s="126">
        <v>196831.51014041709</v>
      </c>
      <c r="BR72" s="126">
        <v>7345.6178034331742</v>
      </c>
      <c r="BS72" s="126">
        <v>8155.8986685917598</v>
      </c>
      <c r="BT72" s="126">
        <v>40689.320442714888</v>
      </c>
      <c r="BU72" s="126">
        <v>0</v>
      </c>
      <c r="BV72" s="126">
        <v>317.49757356091146</v>
      </c>
      <c r="BW72" s="126">
        <v>49118.358137610179</v>
      </c>
      <c r="BX72" s="126">
        <v>174259.15455495476</v>
      </c>
      <c r="BY72" s="126">
        <v>153251.22760700493</v>
      </c>
      <c r="BZ72" s="126">
        <v>29175.043817638747</v>
      </c>
      <c r="CA72" s="137">
        <v>76152.213019136514</v>
      </c>
      <c r="CB72" s="145">
        <v>2457.3224047573376</v>
      </c>
      <c r="CC72" s="126">
        <v>72976.050371161618</v>
      </c>
      <c r="CD72" s="126">
        <v>0</v>
      </c>
      <c r="CE72" s="126">
        <v>0</v>
      </c>
      <c r="CF72" s="126">
        <v>718.84024321755714</v>
      </c>
      <c r="CG72" s="137">
        <v>44612.557553496881</v>
      </c>
      <c r="CH72" s="145">
        <v>12159.604645309804</v>
      </c>
      <c r="CI72" s="126">
        <v>32452.952908187075</v>
      </c>
      <c r="CJ72" s="120"/>
      <c r="CK72" s="138">
        <v>1715178.404996501</v>
      </c>
      <c r="CL72" s="139">
        <v>49.894067005169283</v>
      </c>
      <c r="CM72" s="140">
        <v>1488782.91</v>
      </c>
      <c r="CN72" s="125">
        <v>2807.2799999999997</v>
      </c>
      <c r="CO72" s="125">
        <v>2807.2799999999997</v>
      </c>
      <c r="CP72" s="125">
        <v>0</v>
      </c>
      <c r="CQ72" s="125">
        <v>10950.24</v>
      </c>
      <c r="CR72" s="125">
        <v>5937.96</v>
      </c>
      <c r="CS72" s="125">
        <v>129700.23999999999</v>
      </c>
      <c r="CT72" s="125">
        <v>0</v>
      </c>
      <c r="CU72" s="141">
        <v>886.55421686746979</v>
      </c>
      <c r="CV72" s="142">
        <v>-225508.94077963359</v>
      </c>
      <c r="CW72" s="143">
        <v>0</v>
      </c>
      <c r="CX72" s="140">
        <v>1526985.3900000001</v>
      </c>
      <c r="CY72" s="140">
        <v>148213.92000000001</v>
      </c>
    </row>
    <row r="73" spans="1:103" ht="12" customHeight="1" x14ac:dyDescent="0.25">
      <c r="A73" s="122">
        <v>69</v>
      </c>
      <c r="B73" s="123" t="s">
        <v>119</v>
      </c>
      <c r="C73" s="124">
        <v>6521.800000000002</v>
      </c>
      <c r="D73" s="125">
        <v>6015.2000000000016</v>
      </c>
      <c r="E73" s="125">
        <v>506.6</v>
      </c>
      <c r="F73" s="125">
        <v>1729.2</v>
      </c>
      <c r="G73" s="124">
        <v>6521.800000000002</v>
      </c>
      <c r="H73" s="124">
        <v>6521.800000000002</v>
      </c>
      <c r="I73" s="126">
        <v>2</v>
      </c>
      <c r="J73" s="126">
        <v>2</v>
      </c>
      <c r="K73" s="127">
        <v>8.0928539228880565E-3</v>
      </c>
      <c r="L73" s="127">
        <v>1.1518522648797536E-2</v>
      </c>
      <c r="M73" s="127"/>
      <c r="N73" s="127"/>
      <c r="O73" s="128" t="s">
        <v>1489</v>
      </c>
      <c r="P73" s="129" t="s">
        <v>1493</v>
      </c>
      <c r="Q73" s="130">
        <v>6.91</v>
      </c>
      <c r="R73" s="130">
        <v>3.15</v>
      </c>
      <c r="S73" s="130">
        <v>1.81</v>
      </c>
      <c r="T73" s="38">
        <v>0</v>
      </c>
      <c r="U73" s="131">
        <v>44.8</v>
      </c>
      <c r="V73" s="144">
        <v>2</v>
      </c>
      <c r="W73" s="132">
        <v>4.8192771084337345E-3</v>
      </c>
      <c r="X73" s="133">
        <v>197838.39970435126</v>
      </c>
      <c r="Y73" s="134">
        <v>176955.94</v>
      </c>
      <c r="Z73" s="134">
        <v>13948.752444546717</v>
      </c>
      <c r="AA73" s="134">
        <v>4103.8772543612595</v>
      </c>
      <c r="AB73" s="134">
        <v>2829.8300054432893</v>
      </c>
      <c r="AC73" s="126">
        <v>0</v>
      </c>
      <c r="AD73" s="126">
        <v>0</v>
      </c>
      <c r="AE73" s="126">
        <v>0</v>
      </c>
      <c r="AF73" s="126">
        <v>0</v>
      </c>
      <c r="AG73" s="126">
        <v>0</v>
      </c>
      <c r="AH73" s="126">
        <v>0</v>
      </c>
      <c r="AI73" s="126">
        <v>0</v>
      </c>
      <c r="AJ73" s="126">
        <v>0</v>
      </c>
      <c r="AK73" s="126">
        <v>0</v>
      </c>
      <c r="AL73" s="126">
        <v>0</v>
      </c>
      <c r="AM73" s="126">
        <v>0</v>
      </c>
      <c r="AN73" s="126">
        <v>0</v>
      </c>
      <c r="AO73" s="126">
        <v>0</v>
      </c>
      <c r="AP73" s="126">
        <v>0</v>
      </c>
      <c r="AQ73" s="126">
        <v>0</v>
      </c>
      <c r="AR73" s="126">
        <v>0</v>
      </c>
      <c r="AS73" s="126">
        <v>0</v>
      </c>
      <c r="AT73" s="126">
        <v>0</v>
      </c>
      <c r="AU73" s="126">
        <v>0</v>
      </c>
      <c r="AV73" s="126">
        <v>0</v>
      </c>
      <c r="AW73" s="135">
        <v>519857.31055228645</v>
      </c>
      <c r="AX73" s="136">
        <v>449450.30399088259</v>
      </c>
      <c r="AY73" s="136">
        <v>41773.02277662445</v>
      </c>
      <c r="AZ73" s="126">
        <v>0</v>
      </c>
      <c r="BA73" s="126">
        <v>12623.531090993705</v>
      </c>
      <c r="BB73" s="126">
        <v>0</v>
      </c>
      <c r="BC73" s="126">
        <v>0</v>
      </c>
      <c r="BD73" s="126">
        <v>2801.7169728558847</v>
      </c>
      <c r="BE73" s="126">
        <v>0</v>
      </c>
      <c r="BF73" s="126">
        <v>3671.1230110630459</v>
      </c>
      <c r="BG73" s="126">
        <v>1838.0461937431014</v>
      </c>
      <c r="BH73" s="126">
        <v>7699.5665161236266</v>
      </c>
      <c r="BI73" s="137">
        <v>973010.71874079353</v>
      </c>
      <c r="BJ73" s="126">
        <v>6891.3670570944178</v>
      </c>
      <c r="BK73" s="126">
        <v>9806.0094049955969</v>
      </c>
      <c r="BL73" s="126">
        <v>10519.481173112414</v>
      </c>
      <c r="BM73" s="126">
        <v>10425.085252398525</v>
      </c>
      <c r="BN73" s="126">
        <v>175350.89055535948</v>
      </c>
      <c r="BO73" s="126">
        <v>100670.19858493959</v>
      </c>
      <c r="BP73" s="126">
        <v>82592.07575901621</v>
      </c>
      <c r="BQ73" s="126">
        <v>448108.26363450714</v>
      </c>
      <c r="BR73" s="126">
        <v>16723.094980427442</v>
      </c>
      <c r="BS73" s="126">
        <v>18567.787180794414</v>
      </c>
      <c r="BT73" s="126">
        <v>92633.647524452143</v>
      </c>
      <c r="BU73" s="126">
        <v>0</v>
      </c>
      <c r="BV73" s="126">
        <v>722.81763369621706</v>
      </c>
      <c r="BW73" s="126">
        <v>111823.26529893748</v>
      </c>
      <c r="BX73" s="126">
        <v>396719.84995863587</v>
      </c>
      <c r="BY73" s="126">
        <v>348893.02761453734</v>
      </c>
      <c r="BZ73" s="126">
        <v>66420.148975416785</v>
      </c>
      <c r="CA73" s="137">
        <v>359080.53868833481</v>
      </c>
      <c r="CB73" s="126">
        <v>13118.975999999999</v>
      </c>
      <c r="CC73" s="126">
        <v>344325.04497331532</v>
      </c>
      <c r="CD73" s="126">
        <v>0</v>
      </c>
      <c r="CE73" s="126">
        <v>0</v>
      </c>
      <c r="CF73" s="126">
        <v>1636.5177150194666</v>
      </c>
      <c r="CG73" s="137">
        <v>0</v>
      </c>
      <c r="CH73" s="126">
        <v>0</v>
      </c>
      <c r="CI73" s="126">
        <v>0</v>
      </c>
      <c r="CJ73" s="120"/>
      <c r="CK73" s="138">
        <v>2973643.2595332935</v>
      </c>
      <c r="CL73" s="139">
        <v>37.996198129520643</v>
      </c>
      <c r="CM73" s="140">
        <v>3097773.7300000004</v>
      </c>
      <c r="CN73" s="125">
        <v>9231.15</v>
      </c>
      <c r="CO73" s="125">
        <v>9231.23</v>
      </c>
      <c r="CP73" s="125">
        <v>0</v>
      </c>
      <c r="CQ73" s="125">
        <v>36013.79</v>
      </c>
      <c r="CR73" s="125">
        <v>19513.46</v>
      </c>
      <c r="CS73" s="125">
        <v>313748.89999999997</v>
      </c>
      <c r="CT73" s="125">
        <v>277438.00174239004</v>
      </c>
      <c r="CU73" s="141">
        <v>1773.1084337349396</v>
      </c>
      <c r="CV73" s="142">
        <v>403341.58064283198</v>
      </c>
      <c r="CW73" s="143">
        <v>4.1743564924525911E-2</v>
      </c>
      <c r="CX73" s="140">
        <v>2954250.84</v>
      </c>
      <c r="CY73" s="140">
        <v>650621.91</v>
      </c>
    </row>
    <row r="74" spans="1:103" ht="12" customHeight="1" x14ac:dyDescent="0.25">
      <c r="A74" s="122">
        <v>70</v>
      </c>
      <c r="B74" s="123" t="s">
        <v>120</v>
      </c>
      <c r="C74" s="124">
        <v>3038</v>
      </c>
      <c r="D74" s="125">
        <v>3038</v>
      </c>
      <c r="E74" s="125">
        <v>0</v>
      </c>
      <c r="F74" s="125">
        <v>359.49</v>
      </c>
      <c r="G74" s="124">
        <v>3038</v>
      </c>
      <c r="H74" s="124">
        <v>3038</v>
      </c>
      <c r="I74" s="126">
        <v>1</v>
      </c>
      <c r="J74" s="126">
        <v>0</v>
      </c>
      <c r="K74" s="127">
        <v>1.7151947676908054E-3</v>
      </c>
      <c r="L74" s="127">
        <v>2.4412290110501791E-3</v>
      </c>
      <c r="M74" s="127"/>
      <c r="N74" s="127"/>
      <c r="O74" s="128" t="s">
        <v>1489</v>
      </c>
      <c r="P74" s="129" t="s">
        <v>1493</v>
      </c>
      <c r="Q74" s="130">
        <v>6.91</v>
      </c>
      <c r="R74" s="130">
        <v>3.15</v>
      </c>
      <c r="S74" s="130">
        <v>1.81</v>
      </c>
      <c r="T74" s="38">
        <v>0.26</v>
      </c>
      <c r="U74" s="131">
        <v>45.06</v>
      </c>
      <c r="V74" s="144">
        <v>1</v>
      </c>
      <c r="W74" s="132">
        <v>2.4096385542168672E-3</v>
      </c>
      <c r="X74" s="133">
        <v>61087.388630622641</v>
      </c>
      <c r="Y74" s="151">
        <v>51359.87282489123</v>
      </c>
      <c r="Z74" s="134">
        <v>6497.640210759746</v>
      </c>
      <c r="AA74" s="134">
        <v>1911.6776194838087</v>
      </c>
      <c r="AB74" s="134">
        <v>1318.1979754878575</v>
      </c>
      <c r="AC74" s="126">
        <v>0</v>
      </c>
      <c r="AD74" s="126">
        <v>0</v>
      </c>
      <c r="AE74" s="126">
        <v>0</v>
      </c>
      <c r="AF74" s="126">
        <v>0</v>
      </c>
      <c r="AG74" s="126">
        <v>0</v>
      </c>
      <c r="AH74" s="126">
        <v>0</v>
      </c>
      <c r="AI74" s="126">
        <v>0</v>
      </c>
      <c r="AJ74" s="126">
        <v>0</v>
      </c>
      <c r="AK74" s="126">
        <v>0</v>
      </c>
      <c r="AL74" s="126">
        <v>0</v>
      </c>
      <c r="AM74" s="126">
        <v>0</v>
      </c>
      <c r="AN74" s="126">
        <v>0</v>
      </c>
      <c r="AO74" s="126">
        <v>0</v>
      </c>
      <c r="AP74" s="126">
        <v>0</v>
      </c>
      <c r="AQ74" s="126">
        <v>0</v>
      </c>
      <c r="AR74" s="126">
        <v>0</v>
      </c>
      <c r="AS74" s="126">
        <v>0</v>
      </c>
      <c r="AT74" s="126">
        <v>0</v>
      </c>
      <c r="AU74" s="126">
        <v>0</v>
      </c>
      <c r="AV74" s="126">
        <v>0</v>
      </c>
      <c r="AW74" s="135">
        <v>242161.13794624881</v>
      </c>
      <c r="AX74" s="136">
        <v>209363.98287655262</v>
      </c>
      <c r="AY74" s="136">
        <v>19458.806341099858</v>
      </c>
      <c r="AZ74" s="126">
        <v>0</v>
      </c>
      <c r="BA74" s="126">
        <v>5880.3225266703776</v>
      </c>
      <c r="BB74" s="126">
        <v>0</v>
      </c>
      <c r="BC74" s="126">
        <v>0</v>
      </c>
      <c r="BD74" s="126">
        <v>1305.102297454104</v>
      </c>
      <c r="BE74" s="126">
        <v>0</v>
      </c>
      <c r="BF74" s="126">
        <v>1710.0910343171411</v>
      </c>
      <c r="BG74" s="126">
        <v>856.20294038325926</v>
      </c>
      <c r="BH74" s="126">
        <v>3586.6299297714695</v>
      </c>
      <c r="BI74" s="137">
        <v>453250.10940760677</v>
      </c>
      <c r="BJ74" s="126">
        <v>3210.1525835586549</v>
      </c>
      <c r="BK74" s="126">
        <v>4567.8580410893637</v>
      </c>
      <c r="BL74" s="126">
        <v>4900.20911464864</v>
      </c>
      <c r="BM74" s="126">
        <v>4856.2373879583411</v>
      </c>
      <c r="BN74" s="126">
        <v>81682.358475755449</v>
      </c>
      <c r="BO74" s="126">
        <v>46894.425358190434</v>
      </c>
      <c r="BP74" s="126">
        <v>38473.232260402219</v>
      </c>
      <c r="BQ74" s="126">
        <v>208738.8305255654</v>
      </c>
      <c r="BR74" s="126">
        <v>7789.9908845009895</v>
      </c>
      <c r="BS74" s="126">
        <v>8649.2896831018152</v>
      </c>
      <c r="BT74" s="126">
        <v>43150.820506499054</v>
      </c>
      <c r="BU74" s="126">
        <v>0</v>
      </c>
      <c r="BV74" s="126">
        <v>336.70458633645723</v>
      </c>
      <c r="BW74" s="126">
        <v>52089.77275877395</v>
      </c>
      <c r="BX74" s="126">
        <v>184800.96049776679</v>
      </c>
      <c r="BY74" s="126">
        <v>162522.15920343527</v>
      </c>
      <c r="BZ74" s="126">
        <v>30939.987823502121</v>
      </c>
      <c r="CA74" s="137">
        <v>76191.945557544343</v>
      </c>
      <c r="CB74" s="145">
        <v>2453.5687093013707</v>
      </c>
      <c r="CC74" s="126">
        <v>72976.050371161618</v>
      </c>
      <c r="CD74" s="126">
        <v>0</v>
      </c>
      <c r="CE74" s="126">
        <v>0</v>
      </c>
      <c r="CF74" s="126">
        <v>762.32647708134834</v>
      </c>
      <c r="CG74" s="137">
        <v>46557.224172963819</v>
      </c>
      <c r="CH74" s="145">
        <v>12141.030178803052</v>
      </c>
      <c r="CI74" s="126">
        <v>34416.193994160763</v>
      </c>
      <c r="CJ74" s="120"/>
      <c r="CK74" s="138">
        <v>1309600.6859984645</v>
      </c>
      <c r="CL74" s="139">
        <v>35.922775016416075</v>
      </c>
      <c r="CM74" s="140">
        <v>1574899.2</v>
      </c>
      <c r="CN74" s="125">
        <v>2070.6000000000004</v>
      </c>
      <c r="CO74" s="125">
        <v>2070.6000000000004</v>
      </c>
      <c r="CP74" s="125">
        <v>0</v>
      </c>
      <c r="CQ74" s="125">
        <v>8077.09</v>
      </c>
      <c r="CR74" s="125">
        <v>4379.16</v>
      </c>
      <c r="CS74" s="125">
        <v>93776.200000000012</v>
      </c>
      <c r="CT74" s="125">
        <v>0</v>
      </c>
      <c r="CU74" s="141">
        <v>886.55421686746979</v>
      </c>
      <c r="CV74" s="142">
        <v>266185.06821840303</v>
      </c>
      <c r="CW74" s="143">
        <v>0.20257969993293545</v>
      </c>
      <c r="CX74" s="140">
        <v>1452274.3800000001</v>
      </c>
      <c r="CY74" s="140">
        <v>427588.38</v>
      </c>
    </row>
    <row r="75" spans="1:103" ht="12" customHeight="1" x14ac:dyDescent="0.25">
      <c r="A75" s="122">
        <v>71</v>
      </c>
      <c r="B75" s="123" t="s">
        <v>121</v>
      </c>
      <c r="C75" s="124">
        <v>3052.5</v>
      </c>
      <c r="D75" s="125">
        <v>3052.5</v>
      </c>
      <c r="E75" s="125">
        <v>0</v>
      </c>
      <c r="F75" s="125">
        <v>361.21</v>
      </c>
      <c r="G75" s="124">
        <v>3052.5</v>
      </c>
      <c r="H75" s="124">
        <v>3052.5</v>
      </c>
      <c r="I75" s="126">
        <v>1</v>
      </c>
      <c r="J75" s="126">
        <v>0</v>
      </c>
      <c r="K75" s="127">
        <v>1.7151947676908054E-3</v>
      </c>
      <c r="L75" s="127">
        <v>2.4412290110501791E-3</v>
      </c>
      <c r="M75" s="127"/>
      <c r="N75" s="127"/>
      <c r="O75" s="128" t="s">
        <v>1489</v>
      </c>
      <c r="P75" s="129" t="s">
        <v>1493</v>
      </c>
      <c r="Q75" s="130">
        <v>6.91</v>
      </c>
      <c r="R75" s="130">
        <v>3.15</v>
      </c>
      <c r="S75" s="130">
        <v>1.81</v>
      </c>
      <c r="T75" s="38">
        <v>0.26</v>
      </c>
      <c r="U75" s="131">
        <v>45.06</v>
      </c>
      <c r="V75" s="144">
        <v>1</v>
      </c>
      <c r="W75" s="132">
        <v>2.4096385542168672E-3</v>
      </c>
      <c r="X75" s="133">
        <v>61378.951216252673</v>
      </c>
      <c r="Y75" s="151">
        <v>51605.007175108782</v>
      </c>
      <c r="Z75" s="134">
        <v>6528.6526475787114</v>
      </c>
      <c r="AA75" s="134">
        <v>1920.8018214201204</v>
      </c>
      <c r="AB75" s="134">
        <v>1324.4895721450578</v>
      </c>
      <c r="AC75" s="126">
        <v>0</v>
      </c>
      <c r="AD75" s="126">
        <v>0</v>
      </c>
      <c r="AE75" s="126">
        <v>0</v>
      </c>
      <c r="AF75" s="126">
        <v>0</v>
      </c>
      <c r="AG75" s="126">
        <v>0</v>
      </c>
      <c r="AH75" s="126">
        <v>0</v>
      </c>
      <c r="AI75" s="126">
        <v>0</v>
      </c>
      <c r="AJ75" s="126">
        <v>0</v>
      </c>
      <c r="AK75" s="126">
        <v>0</v>
      </c>
      <c r="AL75" s="126">
        <v>0</v>
      </c>
      <c r="AM75" s="126">
        <v>0</v>
      </c>
      <c r="AN75" s="126">
        <v>0</v>
      </c>
      <c r="AO75" s="126">
        <v>0</v>
      </c>
      <c r="AP75" s="126">
        <v>0</v>
      </c>
      <c r="AQ75" s="126">
        <v>0</v>
      </c>
      <c r="AR75" s="126">
        <v>0</v>
      </c>
      <c r="AS75" s="126">
        <v>0</v>
      </c>
      <c r="AT75" s="126">
        <v>0</v>
      </c>
      <c r="AU75" s="126">
        <v>0</v>
      </c>
      <c r="AV75" s="126">
        <v>0</v>
      </c>
      <c r="AW75" s="135">
        <v>243316.94324586063</v>
      </c>
      <c r="AX75" s="136">
        <v>210363.25139258619</v>
      </c>
      <c r="AY75" s="136">
        <v>19551.680828244673</v>
      </c>
      <c r="AZ75" s="126">
        <v>0</v>
      </c>
      <c r="BA75" s="126">
        <v>5908.388582179502</v>
      </c>
      <c r="BB75" s="126">
        <v>0</v>
      </c>
      <c r="BC75" s="126">
        <v>0</v>
      </c>
      <c r="BD75" s="126">
        <v>1311.3313900522226</v>
      </c>
      <c r="BE75" s="126">
        <v>0</v>
      </c>
      <c r="BF75" s="126">
        <v>1718.2530882992339</v>
      </c>
      <c r="BG75" s="126">
        <v>860.28949161286994</v>
      </c>
      <c r="BH75" s="126">
        <v>3603.7484728859154</v>
      </c>
      <c r="BI75" s="137">
        <v>455413.41638140875</v>
      </c>
      <c r="BJ75" s="126">
        <v>3225.4742466467392</v>
      </c>
      <c r="BK75" s="126">
        <v>4589.659865182779</v>
      </c>
      <c r="BL75" s="126">
        <v>4923.5972095013085</v>
      </c>
      <c r="BM75" s="126">
        <v>4879.4156111727571</v>
      </c>
      <c r="BN75" s="126">
        <v>82072.21831706501</v>
      </c>
      <c r="BO75" s="126">
        <v>47118.246677378636</v>
      </c>
      <c r="BP75" s="126">
        <v>38656.860261645081</v>
      </c>
      <c r="BQ75" s="126">
        <v>209735.11526638852</v>
      </c>
      <c r="BR75" s="126">
        <v>7827.1715519879099</v>
      </c>
      <c r="BS75" s="126">
        <v>8690.5716779684954</v>
      </c>
      <c r="BT75" s="126">
        <v>43356.774060595249</v>
      </c>
      <c r="BU75" s="126">
        <v>0</v>
      </c>
      <c r="BV75" s="126">
        <v>338.31163587624616</v>
      </c>
      <c r="BW75" s="126">
        <v>52338.390831519908</v>
      </c>
      <c r="BX75" s="126">
        <v>185682.99273187396</v>
      </c>
      <c r="BY75" s="126">
        <v>163297.85746164783</v>
      </c>
      <c r="BZ75" s="126">
        <v>31087.660576445101</v>
      </c>
      <c r="CA75" s="137">
        <v>76207.294629368742</v>
      </c>
      <c r="CB75" s="145">
        <v>2465.2792906986288</v>
      </c>
      <c r="CC75" s="126">
        <v>72976.050371161618</v>
      </c>
      <c r="CD75" s="126">
        <v>0</v>
      </c>
      <c r="CE75" s="126">
        <v>0</v>
      </c>
      <c r="CF75" s="126">
        <v>765.96496750849758</v>
      </c>
      <c r="CG75" s="137">
        <v>46779.436072406868</v>
      </c>
      <c r="CH75" s="145">
        <v>12198.977821196944</v>
      </c>
      <c r="CI75" s="126">
        <v>34580.458251209922</v>
      </c>
      <c r="CJ75" s="120"/>
      <c r="CK75" s="138">
        <v>1315502.9431467846</v>
      </c>
      <c r="CL75" s="139">
        <v>35.913266261173483</v>
      </c>
      <c r="CM75" s="140">
        <v>1582993.0699999998</v>
      </c>
      <c r="CN75" s="125">
        <v>2081.4</v>
      </c>
      <c r="CO75" s="125">
        <v>2081.4</v>
      </c>
      <c r="CP75" s="125">
        <v>0</v>
      </c>
      <c r="CQ75" s="125">
        <v>8117.06</v>
      </c>
      <c r="CR75" s="125">
        <v>4401.3</v>
      </c>
      <c r="CS75" s="125">
        <v>94321.07</v>
      </c>
      <c r="CT75" s="125">
        <v>0</v>
      </c>
      <c r="CU75" s="141">
        <v>886.55421686746979</v>
      </c>
      <c r="CV75" s="142">
        <v>268376.68107008282</v>
      </c>
      <c r="CW75" s="143">
        <v>0.20333677567710962</v>
      </c>
      <c r="CX75" s="140">
        <v>1512789.1</v>
      </c>
      <c r="CY75" s="140">
        <v>238397.36</v>
      </c>
    </row>
    <row r="76" spans="1:103" ht="12" customHeight="1" x14ac:dyDescent="0.25">
      <c r="A76" s="122">
        <v>72</v>
      </c>
      <c r="B76" s="123" t="s">
        <v>124</v>
      </c>
      <c r="C76" s="124">
        <v>3103.7</v>
      </c>
      <c r="D76" s="125">
        <v>3103.7</v>
      </c>
      <c r="E76" s="125">
        <v>0</v>
      </c>
      <c r="F76" s="125">
        <v>798.9</v>
      </c>
      <c r="G76" s="124">
        <v>3103.7</v>
      </c>
      <c r="H76" s="124">
        <v>3103.7</v>
      </c>
      <c r="I76" s="126">
        <v>2</v>
      </c>
      <c r="J76" s="126">
        <v>0</v>
      </c>
      <c r="K76" s="127">
        <v>3.5563265617619662E-3</v>
      </c>
      <c r="L76" s="127">
        <v>2.4412290110501791E-3</v>
      </c>
      <c r="M76" s="127"/>
      <c r="N76" s="127"/>
      <c r="O76" s="128" t="s">
        <v>1488</v>
      </c>
      <c r="P76" s="129" t="s">
        <v>1493</v>
      </c>
      <c r="Q76" s="130">
        <v>6.91</v>
      </c>
      <c r="R76" s="130">
        <v>3.15</v>
      </c>
      <c r="S76" s="130">
        <v>1.81</v>
      </c>
      <c r="T76" s="38">
        <v>0.26</v>
      </c>
      <c r="U76" s="131">
        <v>45.06</v>
      </c>
      <c r="V76" s="152">
        <v>2</v>
      </c>
      <c r="W76" s="132">
        <v>4.8192771084337345E-3</v>
      </c>
      <c r="X76" s="133">
        <v>169118.91374135896</v>
      </c>
      <c r="Y76" s="134">
        <v>151077.03</v>
      </c>
      <c r="Z76" s="134">
        <v>6638.1586313808502</v>
      </c>
      <c r="AA76" s="134">
        <v>1953.0196930848904</v>
      </c>
      <c r="AB76" s="134">
        <v>1346.7054168932402</v>
      </c>
      <c r="AC76" s="126">
        <v>0</v>
      </c>
      <c r="AD76" s="126">
        <v>0</v>
      </c>
      <c r="AE76" s="126">
        <v>0</v>
      </c>
      <c r="AF76" s="126">
        <v>0</v>
      </c>
      <c r="AG76" s="126">
        <v>0</v>
      </c>
      <c r="AH76" s="126">
        <v>0</v>
      </c>
      <c r="AI76" s="126">
        <v>0</v>
      </c>
      <c r="AJ76" s="126">
        <v>0</v>
      </c>
      <c r="AK76" s="126">
        <v>0</v>
      </c>
      <c r="AL76" s="126">
        <v>0</v>
      </c>
      <c r="AM76" s="126">
        <v>0</v>
      </c>
      <c r="AN76" s="126">
        <v>0</v>
      </c>
      <c r="AO76" s="126">
        <v>0</v>
      </c>
      <c r="AP76" s="126">
        <v>0</v>
      </c>
      <c r="AQ76" s="126">
        <v>0</v>
      </c>
      <c r="AR76" s="126">
        <v>0</v>
      </c>
      <c r="AS76" s="126">
        <v>8104</v>
      </c>
      <c r="AT76" s="126">
        <v>0</v>
      </c>
      <c r="AU76" s="126">
        <v>0</v>
      </c>
      <c r="AV76" s="126">
        <v>0</v>
      </c>
      <c r="AW76" s="135">
        <v>241390.64082216771</v>
      </c>
      <c r="AX76" s="136">
        <v>213891.70298023577</v>
      </c>
      <c r="AY76" s="136">
        <v>19879.623844921534</v>
      </c>
      <c r="AZ76" s="126">
        <v>0</v>
      </c>
      <c r="BA76" s="126">
        <v>0</v>
      </c>
      <c r="BB76" s="126">
        <v>0</v>
      </c>
      <c r="BC76" s="126">
        <v>0</v>
      </c>
      <c r="BD76" s="126">
        <v>1333.326530812476</v>
      </c>
      <c r="BE76" s="126">
        <v>0</v>
      </c>
      <c r="BF76" s="126">
        <v>1747.0735823601417</v>
      </c>
      <c r="BG76" s="126">
        <v>874.71924492018479</v>
      </c>
      <c r="BH76" s="126">
        <v>3664.1946389176132</v>
      </c>
      <c r="BI76" s="137">
        <v>463052.12790269562</v>
      </c>
      <c r="BJ76" s="126">
        <v>3279.5755673439753</v>
      </c>
      <c r="BK76" s="126">
        <v>4666.6428578436662</v>
      </c>
      <c r="BL76" s="126">
        <v>5006.1813789121079</v>
      </c>
      <c r="BM76" s="126">
        <v>4961.2587165919358</v>
      </c>
      <c r="BN76" s="126">
        <v>83448.826860171888</v>
      </c>
      <c r="BO76" s="126">
        <v>47908.567473408708</v>
      </c>
      <c r="BP76" s="126">
        <v>39305.257066033693</v>
      </c>
      <c r="BQ76" s="126">
        <v>213253.03104088127</v>
      </c>
      <c r="BR76" s="126">
        <v>7958.4577709762079</v>
      </c>
      <c r="BS76" s="126">
        <v>8836.3398253598098</v>
      </c>
      <c r="BT76" s="126">
        <v>44084.003161955596</v>
      </c>
      <c r="BU76" s="126">
        <v>0</v>
      </c>
      <c r="BV76" s="126">
        <v>343.98618321674206</v>
      </c>
      <c r="BW76" s="126">
        <v>53216.26981942288</v>
      </c>
      <c r="BX76" s="126">
        <v>188797.47896541105</v>
      </c>
      <c r="BY76" s="126">
        <v>166036.87475961223</v>
      </c>
      <c r="BZ76" s="126">
        <v>31609.098159250665</v>
      </c>
      <c r="CA76" s="137">
        <v>78947.142973833572</v>
      </c>
      <c r="CB76" s="126">
        <v>5192.28</v>
      </c>
      <c r="CC76" s="126">
        <v>72976.050371161618</v>
      </c>
      <c r="CD76" s="126">
        <v>0</v>
      </c>
      <c r="CE76" s="126">
        <v>0</v>
      </c>
      <c r="CF76" s="126">
        <v>778.81260267194887</v>
      </c>
      <c r="CG76" s="137">
        <v>46650.481007135204</v>
      </c>
      <c r="CH76" s="126">
        <v>11490</v>
      </c>
      <c r="CI76" s="126">
        <v>35160.481007135204</v>
      </c>
      <c r="CJ76" s="120"/>
      <c r="CK76" s="138">
        <v>1438819.0281508875</v>
      </c>
      <c r="CL76" s="139">
        <v>38.631821915533273</v>
      </c>
      <c r="CM76" s="140">
        <v>1606130.51</v>
      </c>
      <c r="CN76" s="125">
        <v>4601.04</v>
      </c>
      <c r="CO76" s="125">
        <v>4601.04</v>
      </c>
      <c r="CP76" s="125">
        <v>0</v>
      </c>
      <c r="CQ76" s="125">
        <v>17948.760000000002</v>
      </c>
      <c r="CR76" s="125">
        <v>9732.9600000000009</v>
      </c>
      <c r="CS76" s="125">
        <v>208270.07</v>
      </c>
      <c r="CT76" s="125">
        <v>0</v>
      </c>
      <c r="CU76" s="141">
        <v>1773.1084337349396</v>
      </c>
      <c r="CV76" s="142">
        <v>169084.59028284741</v>
      </c>
      <c r="CW76" s="143">
        <v>0.11628389573366604</v>
      </c>
      <c r="CX76" s="140">
        <v>1518961.43</v>
      </c>
      <c r="CY76" s="140">
        <v>823835.42</v>
      </c>
    </row>
    <row r="77" spans="1:103" ht="12" customHeight="1" x14ac:dyDescent="0.25">
      <c r="A77" s="122">
        <v>73</v>
      </c>
      <c r="B77" s="123" t="s">
        <v>122</v>
      </c>
      <c r="C77" s="124">
        <v>2889</v>
      </c>
      <c r="D77" s="125">
        <v>2889</v>
      </c>
      <c r="E77" s="125">
        <v>0</v>
      </c>
      <c r="F77" s="125">
        <v>457.14</v>
      </c>
      <c r="G77" s="124">
        <v>2889</v>
      </c>
      <c r="H77" s="124">
        <v>2889</v>
      </c>
      <c r="I77" s="126">
        <v>1</v>
      </c>
      <c r="J77" s="126">
        <v>0</v>
      </c>
      <c r="K77" s="127">
        <v>1.7151947676908054E-3</v>
      </c>
      <c r="L77" s="127">
        <v>2.4412290110501791E-3</v>
      </c>
      <c r="M77" s="127"/>
      <c r="N77" s="127"/>
      <c r="O77" s="128" t="s">
        <v>1494</v>
      </c>
      <c r="P77" s="129" t="s">
        <v>1493</v>
      </c>
      <c r="Q77" s="130">
        <v>6.91</v>
      </c>
      <c r="R77" s="130">
        <v>3.15</v>
      </c>
      <c r="S77" s="130">
        <v>1.81</v>
      </c>
      <c r="T77" s="38">
        <v>0.26</v>
      </c>
      <c r="U77" s="131">
        <v>45.06</v>
      </c>
      <c r="V77" s="144">
        <v>1</v>
      </c>
      <c r="W77" s="132">
        <v>2.4096385542168672E-3</v>
      </c>
      <c r="X77" s="133">
        <v>145437.67661898551</v>
      </c>
      <c r="Y77" s="134">
        <v>78046.69</v>
      </c>
      <c r="Z77" s="134">
        <v>6178.9606875855516</v>
      </c>
      <c r="AA77" s="134">
        <v>1817.9185788968807</v>
      </c>
      <c r="AB77" s="134">
        <v>1253.5463960449049</v>
      </c>
      <c r="AC77" s="126">
        <v>42507.99</v>
      </c>
      <c r="AD77" s="126">
        <v>0</v>
      </c>
      <c r="AE77" s="126">
        <v>0</v>
      </c>
      <c r="AF77" s="126">
        <v>0</v>
      </c>
      <c r="AG77" s="126">
        <v>0</v>
      </c>
      <c r="AH77" s="126">
        <v>0</v>
      </c>
      <c r="AI77" s="126">
        <v>0</v>
      </c>
      <c r="AJ77" s="126">
        <v>0</v>
      </c>
      <c r="AK77" s="126">
        <v>0</v>
      </c>
      <c r="AL77" s="126">
        <v>0</v>
      </c>
      <c r="AM77" s="126">
        <v>0</v>
      </c>
      <c r="AN77" s="126">
        <v>0</v>
      </c>
      <c r="AO77" s="126">
        <v>0</v>
      </c>
      <c r="AP77" s="145">
        <v>15632.570956458181</v>
      </c>
      <c r="AQ77" s="126">
        <v>0</v>
      </c>
      <c r="AR77" s="126">
        <v>0</v>
      </c>
      <c r="AS77" s="126">
        <v>0</v>
      </c>
      <c r="AT77" s="126">
        <v>0</v>
      </c>
      <c r="AU77" s="126">
        <v>0</v>
      </c>
      <c r="AV77" s="126">
        <v>0</v>
      </c>
      <c r="AW77" s="135">
        <v>224692.32249742001</v>
      </c>
      <c r="AX77" s="136">
        <v>199095.63743593168</v>
      </c>
      <c r="AY77" s="136">
        <v>18504.440921473826</v>
      </c>
      <c r="AZ77" s="126">
        <v>0</v>
      </c>
      <c r="BA77" s="126">
        <v>0</v>
      </c>
      <c r="BB77" s="126">
        <v>0</v>
      </c>
      <c r="BC77" s="126">
        <v>0</v>
      </c>
      <c r="BD77" s="126">
        <v>1241.0930011010225</v>
      </c>
      <c r="BE77" s="126">
        <v>0</v>
      </c>
      <c r="BF77" s="126">
        <v>1626.2188933977025</v>
      </c>
      <c r="BG77" s="126">
        <v>814.21010361001845</v>
      </c>
      <c r="BH77" s="126">
        <v>3410.7221419057855</v>
      </c>
      <c r="BI77" s="137">
        <v>431020.26533198677</v>
      </c>
      <c r="BJ77" s="126">
        <v>3052.7092869983389</v>
      </c>
      <c r="BK77" s="126">
        <v>4343.825503853579</v>
      </c>
      <c r="BL77" s="126">
        <v>4659.8762778867422</v>
      </c>
      <c r="BM77" s="126">
        <v>4618.0611632033069</v>
      </c>
      <c r="BN77" s="126">
        <v>77676.212520229587</v>
      </c>
      <c r="BO77" s="126">
        <v>44594.468354118551</v>
      </c>
      <c r="BP77" s="126">
        <v>36586.296247630678</v>
      </c>
      <c r="BQ77" s="126">
        <v>198501.14594745173</v>
      </c>
      <c r="BR77" s="126">
        <v>7407.9274737733249</v>
      </c>
      <c r="BS77" s="126">
        <v>8225.0815979200597</v>
      </c>
      <c r="BT77" s="126">
        <v>41034.470191993336</v>
      </c>
      <c r="BU77" s="126">
        <v>0</v>
      </c>
      <c r="BV77" s="126">
        <v>320.19076692759216</v>
      </c>
      <c r="BW77" s="126">
        <v>49535.007735384446</v>
      </c>
      <c r="BX77" s="126">
        <v>175737.31891969987</v>
      </c>
      <c r="BY77" s="126">
        <v>154551.190894906</v>
      </c>
      <c r="BZ77" s="126">
        <v>29422.522982915609</v>
      </c>
      <c r="CA77" s="137">
        <v>76160.412222474333</v>
      </c>
      <c r="CB77" s="126">
        <v>2459.424</v>
      </c>
      <c r="CC77" s="126">
        <v>72976.050371161618</v>
      </c>
      <c r="CD77" s="126">
        <v>0</v>
      </c>
      <c r="CE77" s="126">
        <v>0</v>
      </c>
      <c r="CF77" s="126">
        <v>724.93785131271079</v>
      </c>
      <c r="CG77" s="137">
        <v>44898.241145862557</v>
      </c>
      <c r="CH77" s="126">
        <v>12170.003999999999</v>
      </c>
      <c r="CI77" s="126">
        <v>32728.237145862557</v>
      </c>
      <c r="CJ77" s="120"/>
      <c r="CK77" s="138">
        <v>1331454.9583496349</v>
      </c>
      <c r="CL77" s="139">
        <v>38.405877418646448</v>
      </c>
      <c r="CM77" s="140">
        <v>1499027.6</v>
      </c>
      <c r="CN77" s="125">
        <v>1682.6799999999998</v>
      </c>
      <c r="CO77" s="125">
        <v>1653.79</v>
      </c>
      <c r="CP77" s="125">
        <v>0</v>
      </c>
      <c r="CQ77" s="125">
        <v>6450.04</v>
      </c>
      <c r="CR77" s="125">
        <v>3558.67</v>
      </c>
      <c r="CS77" s="125">
        <v>119621.69</v>
      </c>
      <c r="CT77" s="125">
        <v>0</v>
      </c>
      <c r="CU77" s="141">
        <v>886.55421686746979</v>
      </c>
      <c r="CV77" s="142">
        <v>168459.19586723275</v>
      </c>
      <c r="CW77" s="143">
        <v>0.12585678591641947</v>
      </c>
      <c r="CX77" s="140">
        <v>1451570.7100000002</v>
      </c>
      <c r="CY77" s="140">
        <v>178690.71000000002</v>
      </c>
    </row>
    <row r="78" spans="1:103" ht="12" customHeight="1" x14ac:dyDescent="0.25">
      <c r="A78" s="122">
        <v>74</v>
      </c>
      <c r="B78" s="123" t="s">
        <v>123</v>
      </c>
      <c r="C78" s="124">
        <v>2857.2</v>
      </c>
      <c r="D78" s="125">
        <v>2857.2</v>
      </c>
      <c r="E78" s="125">
        <v>0</v>
      </c>
      <c r="F78" s="125">
        <v>452.56</v>
      </c>
      <c r="G78" s="124">
        <v>2857.2</v>
      </c>
      <c r="H78" s="124">
        <v>2857.2</v>
      </c>
      <c r="I78" s="126">
        <v>1</v>
      </c>
      <c r="J78" s="126">
        <v>0</v>
      </c>
      <c r="K78" s="127">
        <v>1.7151947676908054E-3</v>
      </c>
      <c r="L78" s="127">
        <v>5.0617036262477098E-3</v>
      </c>
      <c r="M78" s="127"/>
      <c r="N78" s="127"/>
      <c r="O78" s="128" t="s">
        <v>1494</v>
      </c>
      <c r="P78" s="129" t="s">
        <v>1493</v>
      </c>
      <c r="Q78" s="130">
        <v>6.91</v>
      </c>
      <c r="R78" s="130">
        <v>3.15</v>
      </c>
      <c r="S78" s="130">
        <v>1.81</v>
      </c>
      <c r="T78" s="38">
        <v>0.26</v>
      </c>
      <c r="U78" s="131">
        <v>45.06</v>
      </c>
      <c r="V78" s="144">
        <v>1</v>
      </c>
      <c r="W78" s="132">
        <v>2.4096385542168672E-3</v>
      </c>
      <c r="X78" s="133">
        <v>182347.41278288868</v>
      </c>
      <c r="Y78" s="134">
        <v>121883.24</v>
      </c>
      <c r="Z78" s="134">
        <v>6110.9472054584412</v>
      </c>
      <c r="AA78" s="134">
        <v>1797.9082601675898</v>
      </c>
      <c r="AB78" s="134">
        <v>1239.7482737208384</v>
      </c>
      <c r="AC78" s="126">
        <v>35855.07</v>
      </c>
      <c r="AD78" s="126">
        <v>0</v>
      </c>
      <c r="AE78" s="126">
        <v>0</v>
      </c>
      <c r="AF78" s="126">
        <v>0</v>
      </c>
      <c r="AG78" s="126">
        <v>0</v>
      </c>
      <c r="AH78" s="126">
        <v>0</v>
      </c>
      <c r="AI78" s="126">
        <v>0</v>
      </c>
      <c r="AJ78" s="126">
        <v>0</v>
      </c>
      <c r="AK78" s="126">
        <v>0</v>
      </c>
      <c r="AL78" s="126">
        <v>0</v>
      </c>
      <c r="AM78" s="126">
        <v>0</v>
      </c>
      <c r="AN78" s="126">
        <v>0</v>
      </c>
      <c r="AO78" s="126">
        <v>0</v>
      </c>
      <c r="AP78" s="145">
        <v>15460.499043541819</v>
      </c>
      <c r="AQ78" s="126">
        <v>0</v>
      </c>
      <c r="AR78" s="126">
        <v>0</v>
      </c>
      <c r="AS78" s="126">
        <v>0</v>
      </c>
      <c r="AT78" s="126">
        <v>0</v>
      </c>
      <c r="AU78" s="126">
        <v>0</v>
      </c>
      <c r="AV78" s="126">
        <v>0</v>
      </c>
      <c r="AW78" s="135">
        <v>222219.0736724225</v>
      </c>
      <c r="AX78" s="136">
        <v>196904.13820766495</v>
      </c>
      <c r="AY78" s="136">
        <v>18300.75756345968</v>
      </c>
      <c r="AZ78" s="126">
        <v>0</v>
      </c>
      <c r="BA78" s="126">
        <v>0</v>
      </c>
      <c r="BB78" s="126">
        <v>0</v>
      </c>
      <c r="BC78" s="126">
        <v>0</v>
      </c>
      <c r="BD78" s="126">
        <v>1227.4319566444588</v>
      </c>
      <c r="BE78" s="126">
        <v>0</v>
      </c>
      <c r="BF78" s="126">
        <v>1608.3186646645606</v>
      </c>
      <c r="BG78" s="126">
        <v>805.24787401680317</v>
      </c>
      <c r="BH78" s="126">
        <v>3373.1794059720351</v>
      </c>
      <c r="BI78" s="137">
        <v>426275.90934806265</v>
      </c>
      <c r="BJ78" s="126">
        <v>3019.1072948465398</v>
      </c>
      <c r="BK78" s="126">
        <v>4296.0118482556054</v>
      </c>
      <c r="BL78" s="126">
        <v>4608.583766416753</v>
      </c>
      <c r="BM78" s="126">
        <v>4567.228921946863</v>
      </c>
      <c r="BN78" s="126">
        <v>76821.2095579093</v>
      </c>
      <c r="BO78" s="126">
        <v>44103.605047209254</v>
      </c>
      <c r="BP78" s="126">
        <v>36183.581044904939</v>
      </c>
      <c r="BQ78" s="126">
        <v>196316.19044688789</v>
      </c>
      <c r="BR78" s="126">
        <v>7326.3864236985601</v>
      </c>
      <c r="BS78" s="126">
        <v>8134.5459126262358</v>
      </c>
      <c r="BT78" s="126">
        <v>40582.792742320307</v>
      </c>
      <c r="BU78" s="126">
        <v>0</v>
      </c>
      <c r="BV78" s="126">
        <v>316.66634104033102</v>
      </c>
      <c r="BW78" s="126">
        <v>48989.762582741583</v>
      </c>
      <c r="BX78" s="126">
        <v>173802.93098558896</v>
      </c>
      <c r="BY78" s="126">
        <v>152850.00436999841</v>
      </c>
      <c r="BZ78" s="126">
        <v>29098.661359219965</v>
      </c>
      <c r="CA78" s="137">
        <v>154486.70060135439</v>
      </c>
      <c r="CB78" s="126">
        <v>2459.424</v>
      </c>
      <c r="CC78" s="126">
        <v>151310.31833594397</v>
      </c>
      <c r="CD78" s="126">
        <v>0</v>
      </c>
      <c r="CE78" s="126">
        <v>0</v>
      </c>
      <c r="CF78" s="126">
        <v>716.95826541041095</v>
      </c>
      <c r="CG78" s="137">
        <v>44537.992637299583</v>
      </c>
      <c r="CH78" s="126">
        <v>12170.003999999999</v>
      </c>
      <c r="CI78" s="126">
        <v>32367.988637299582</v>
      </c>
      <c r="CJ78" s="120"/>
      <c r="CK78" s="138">
        <v>1434608.4483395768</v>
      </c>
      <c r="CL78" s="139">
        <v>41.841909571712897</v>
      </c>
      <c r="CM78" s="140">
        <v>1482256.12</v>
      </c>
      <c r="CN78" s="125">
        <v>1803.7199999999998</v>
      </c>
      <c r="CO78" s="125">
        <v>1781.13</v>
      </c>
      <c r="CP78" s="125">
        <v>0</v>
      </c>
      <c r="CQ78" s="125">
        <v>6948.02</v>
      </c>
      <c r="CR78" s="125">
        <v>3814.9500000000003</v>
      </c>
      <c r="CS78" s="125">
        <v>118067.35</v>
      </c>
      <c r="CT78" s="125">
        <v>0</v>
      </c>
      <c r="CU78" s="141">
        <v>886.55421686746979</v>
      </c>
      <c r="CV78" s="142">
        <v>48534.225877290824</v>
      </c>
      <c r="CW78" s="143">
        <v>3.3213014823362474E-2</v>
      </c>
      <c r="CX78" s="140">
        <v>1474569.95</v>
      </c>
      <c r="CY78" s="140">
        <v>322043.65000000002</v>
      </c>
    </row>
    <row r="79" spans="1:103" ht="12" customHeight="1" x14ac:dyDescent="0.25">
      <c r="A79" s="122">
        <v>75</v>
      </c>
      <c r="B79" s="123" t="s">
        <v>125</v>
      </c>
      <c r="C79" s="124">
        <v>3039</v>
      </c>
      <c r="D79" s="125">
        <v>3039</v>
      </c>
      <c r="E79" s="125">
        <v>0</v>
      </c>
      <c r="F79" s="125">
        <v>338.66</v>
      </c>
      <c r="G79" s="124">
        <v>3039</v>
      </c>
      <c r="H79" s="124">
        <v>3039</v>
      </c>
      <c r="I79" s="126">
        <v>1</v>
      </c>
      <c r="J79" s="126">
        <v>0</v>
      </c>
      <c r="K79" s="127">
        <v>1.7151947676908054E-3</v>
      </c>
      <c r="L79" s="127">
        <v>2.4412290110501791E-3</v>
      </c>
      <c r="M79" s="127"/>
      <c r="N79" s="127"/>
      <c r="O79" s="128" t="s">
        <v>1489</v>
      </c>
      <c r="P79" s="129" t="s">
        <v>1493</v>
      </c>
      <c r="Q79" s="130">
        <v>6.91</v>
      </c>
      <c r="R79" s="130">
        <v>3.15</v>
      </c>
      <c r="S79" s="130">
        <v>1.81</v>
      </c>
      <c r="T79" s="38">
        <v>0.26</v>
      </c>
      <c r="U79" s="131">
        <v>45.06</v>
      </c>
      <c r="V79" s="144">
        <v>1</v>
      </c>
      <c r="W79" s="132">
        <v>2.4096385542168672E-3</v>
      </c>
      <c r="X79" s="133">
        <v>9730.7177530012377</v>
      </c>
      <c r="Y79" s="134">
        <v>0</v>
      </c>
      <c r="Z79" s="134">
        <v>6499.778999505882</v>
      </c>
      <c r="AA79" s="134">
        <v>1912.3068747897612</v>
      </c>
      <c r="AB79" s="134">
        <v>1318.6318787055957</v>
      </c>
      <c r="AC79" s="126">
        <v>0</v>
      </c>
      <c r="AD79" s="126">
        <v>0</v>
      </c>
      <c r="AE79" s="126">
        <v>0</v>
      </c>
      <c r="AF79" s="126">
        <v>0</v>
      </c>
      <c r="AG79" s="126">
        <v>0</v>
      </c>
      <c r="AH79" s="126">
        <v>0</v>
      </c>
      <c r="AI79" s="126">
        <v>0</v>
      </c>
      <c r="AJ79" s="126">
        <v>0</v>
      </c>
      <c r="AK79" s="126">
        <v>0</v>
      </c>
      <c r="AL79" s="126">
        <v>0</v>
      </c>
      <c r="AM79" s="126">
        <v>0</v>
      </c>
      <c r="AN79" s="126">
        <v>0</v>
      </c>
      <c r="AO79" s="126">
        <v>0</v>
      </c>
      <c r="AP79" s="126">
        <v>0</v>
      </c>
      <c r="AQ79" s="126">
        <v>0</v>
      </c>
      <c r="AR79" s="126">
        <v>0</v>
      </c>
      <c r="AS79" s="126">
        <v>0</v>
      </c>
      <c r="AT79" s="126">
        <v>0</v>
      </c>
      <c r="AU79" s="126">
        <v>0</v>
      </c>
      <c r="AV79" s="126">
        <v>0</v>
      </c>
      <c r="AW79" s="135">
        <v>242240.84865656687</v>
      </c>
      <c r="AX79" s="136">
        <v>209432.89794662388</v>
      </c>
      <c r="AY79" s="136">
        <v>19465.211478144327</v>
      </c>
      <c r="AZ79" s="126">
        <v>0</v>
      </c>
      <c r="BA79" s="126">
        <v>5882.2581167054896</v>
      </c>
      <c r="BB79" s="126">
        <v>0</v>
      </c>
      <c r="BC79" s="126">
        <v>0</v>
      </c>
      <c r="BD79" s="126">
        <v>1305.5318900470777</v>
      </c>
      <c r="BE79" s="126">
        <v>0</v>
      </c>
      <c r="BF79" s="126">
        <v>1710.6539345917681</v>
      </c>
      <c r="BG79" s="126">
        <v>856.48477150254269</v>
      </c>
      <c r="BH79" s="126">
        <v>3587.8105189517764</v>
      </c>
      <c r="BI79" s="137">
        <v>453399.30299200688</v>
      </c>
      <c r="BJ79" s="126">
        <v>3211.2092499785226</v>
      </c>
      <c r="BK79" s="126">
        <v>4569.361615164772</v>
      </c>
      <c r="BL79" s="126">
        <v>4901.8220867074451</v>
      </c>
      <c r="BM79" s="126">
        <v>4857.8358861110592</v>
      </c>
      <c r="BN79" s="126">
        <v>81709.245361363006</v>
      </c>
      <c r="BO79" s="126">
        <v>46909.861311237895</v>
      </c>
      <c r="BP79" s="126">
        <v>38485.896260487934</v>
      </c>
      <c r="BQ79" s="126">
        <v>208807.53981803593</v>
      </c>
      <c r="BR79" s="126">
        <v>7792.5550684656055</v>
      </c>
      <c r="BS79" s="126">
        <v>8652.1367172305509</v>
      </c>
      <c r="BT79" s="126">
        <v>43165.024199884996</v>
      </c>
      <c r="BU79" s="126">
        <v>0</v>
      </c>
      <c r="BV79" s="126">
        <v>336.8154173392013</v>
      </c>
      <c r="BW79" s="126">
        <v>52106.918832756433</v>
      </c>
      <c r="BX79" s="126">
        <v>184861.79030701556</v>
      </c>
      <c r="BY79" s="126">
        <v>162575.65563503612</v>
      </c>
      <c r="BZ79" s="126">
        <v>30950.172151291292</v>
      </c>
      <c r="CA79" s="137">
        <v>74974.766561364013</v>
      </c>
      <c r="CB79" s="145">
        <v>1236.1387827467586</v>
      </c>
      <c r="CC79" s="126">
        <v>72976.050371161618</v>
      </c>
      <c r="CD79" s="126">
        <v>0</v>
      </c>
      <c r="CE79" s="126">
        <v>0</v>
      </c>
      <c r="CF79" s="126">
        <v>762.57740745563444</v>
      </c>
      <c r="CG79" s="137">
        <v>46661.130051042965</v>
      </c>
      <c r="CH79" s="145">
        <v>12233.607487430536</v>
      </c>
      <c r="CI79" s="126">
        <v>34427.522563612431</v>
      </c>
      <c r="CJ79" s="120"/>
      <c r="CK79" s="138">
        <v>1257501.3029400813</v>
      </c>
      <c r="CL79" s="139">
        <v>34.482321567952212</v>
      </c>
      <c r="CM79" s="140">
        <v>1569673.05</v>
      </c>
      <c r="CN79" s="125">
        <v>1950.0500000000002</v>
      </c>
      <c r="CO79" s="125">
        <v>1950.0500000000002</v>
      </c>
      <c r="CP79" s="125">
        <v>0</v>
      </c>
      <c r="CQ79" s="125">
        <v>7605.45</v>
      </c>
      <c r="CR79" s="125">
        <v>4124.49</v>
      </c>
      <c r="CS79" s="125">
        <v>88001.35</v>
      </c>
      <c r="CT79" s="125">
        <v>0</v>
      </c>
      <c r="CU79" s="141">
        <v>886.55421686746979</v>
      </c>
      <c r="CV79" s="142">
        <v>313058.30127678625</v>
      </c>
      <c r="CW79" s="143">
        <v>0.24824765296866924</v>
      </c>
      <c r="CX79" s="140">
        <v>1555882.7200000002</v>
      </c>
      <c r="CY79" s="140">
        <v>152245.79999999999</v>
      </c>
    </row>
    <row r="80" spans="1:103" ht="12" customHeight="1" x14ac:dyDescent="0.25">
      <c r="A80" s="122">
        <v>76</v>
      </c>
      <c r="B80" s="123" t="s">
        <v>126</v>
      </c>
      <c r="C80" s="124">
        <v>3007.4</v>
      </c>
      <c r="D80" s="125">
        <v>3007.4</v>
      </c>
      <c r="E80" s="125">
        <v>0</v>
      </c>
      <c r="F80" s="125">
        <v>335.14</v>
      </c>
      <c r="G80" s="124">
        <v>3007.4</v>
      </c>
      <c r="H80" s="124">
        <v>3007.4</v>
      </c>
      <c r="I80" s="126">
        <v>1</v>
      </c>
      <c r="J80" s="126">
        <v>0</v>
      </c>
      <c r="K80" s="127">
        <v>1.7151947676908054E-3</v>
      </c>
      <c r="L80" s="127">
        <v>2.4412290110501791E-3</v>
      </c>
      <c r="M80" s="127"/>
      <c r="N80" s="127"/>
      <c r="O80" s="128" t="s">
        <v>1489</v>
      </c>
      <c r="P80" s="129" t="s">
        <v>1493</v>
      </c>
      <c r="Q80" s="130">
        <v>6.91</v>
      </c>
      <c r="R80" s="130">
        <v>3.15</v>
      </c>
      <c r="S80" s="130">
        <v>1.81</v>
      </c>
      <c r="T80" s="38">
        <v>0.26</v>
      </c>
      <c r="U80" s="131">
        <v>45.06</v>
      </c>
      <c r="V80" s="144">
        <v>1</v>
      </c>
      <c r="W80" s="132">
        <v>2.4096385542168672E-3</v>
      </c>
      <c r="X80" s="133">
        <v>9629.5362192747361</v>
      </c>
      <c r="Y80" s="134">
        <v>0</v>
      </c>
      <c r="Z80" s="134">
        <v>6432.1932751279992</v>
      </c>
      <c r="AA80" s="134">
        <v>1892.4224071216611</v>
      </c>
      <c r="AB80" s="134">
        <v>1304.9205370250768</v>
      </c>
      <c r="AC80" s="126">
        <v>0</v>
      </c>
      <c r="AD80" s="126">
        <v>0</v>
      </c>
      <c r="AE80" s="126">
        <v>0</v>
      </c>
      <c r="AF80" s="126">
        <v>0</v>
      </c>
      <c r="AG80" s="126">
        <v>0</v>
      </c>
      <c r="AH80" s="126">
        <v>0</v>
      </c>
      <c r="AI80" s="126">
        <v>0</v>
      </c>
      <c r="AJ80" s="126">
        <v>0</v>
      </c>
      <c r="AK80" s="126">
        <v>0</v>
      </c>
      <c r="AL80" s="126">
        <v>0</v>
      </c>
      <c r="AM80" s="126">
        <v>0</v>
      </c>
      <c r="AN80" s="126">
        <v>0</v>
      </c>
      <c r="AO80" s="126">
        <v>0</v>
      </c>
      <c r="AP80" s="126">
        <v>0</v>
      </c>
      <c r="AQ80" s="126">
        <v>0</v>
      </c>
      <c r="AR80" s="126">
        <v>0</v>
      </c>
      <c r="AS80" s="126">
        <v>0</v>
      </c>
      <c r="AT80" s="126">
        <v>0</v>
      </c>
      <c r="AU80" s="126">
        <v>0</v>
      </c>
      <c r="AV80" s="126">
        <v>0</v>
      </c>
      <c r="AW80" s="135">
        <v>239721.99021051641</v>
      </c>
      <c r="AX80" s="136">
        <v>207255.18173237142</v>
      </c>
      <c r="AY80" s="136">
        <v>19262.809147539076</v>
      </c>
      <c r="AZ80" s="126">
        <v>0</v>
      </c>
      <c r="BA80" s="126">
        <v>5821.0934715959493</v>
      </c>
      <c r="BB80" s="126">
        <v>0</v>
      </c>
      <c r="BC80" s="126">
        <v>0</v>
      </c>
      <c r="BD80" s="126">
        <v>1291.9567641091087</v>
      </c>
      <c r="BE80" s="126">
        <v>0</v>
      </c>
      <c r="BF80" s="126">
        <v>1692.8662859135516</v>
      </c>
      <c r="BG80" s="126">
        <v>847.57890813318431</v>
      </c>
      <c r="BH80" s="126">
        <v>3550.5039008540875</v>
      </c>
      <c r="BI80" s="137">
        <v>448684.78572496271</v>
      </c>
      <c r="BJ80" s="126">
        <v>3177.8185911106975</v>
      </c>
      <c r="BK80" s="126">
        <v>4521.8486743818803</v>
      </c>
      <c r="BL80" s="126">
        <v>4850.8521696492171</v>
      </c>
      <c r="BM80" s="126">
        <v>4807.3233444851594</v>
      </c>
      <c r="BN80" s="126">
        <v>80859.61977616424</v>
      </c>
      <c r="BO80" s="126">
        <v>46422.085194938089</v>
      </c>
      <c r="BP80" s="126">
        <v>38085.713857779338</v>
      </c>
      <c r="BQ80" s="126">
        <v>206636.32617596621</v>
      </c>
      <c r="BR80" s="126">
        <v>7711.5268551837653</v>
      </c>
      <c r="BS80" s="126">
        <v>8562.1704387624741</v>
      </c>
      <c r="BT80" s="126">
        <v>42716.187488889154</v>
      </c>
      <c r="BU80" s="126">
        <v>0</v>
      </c>
      <c r="BV80" s="126">
        <v>333.313157652489</v>
      </c>
      <c r="BW80" s="126">
        <v>51565.102894910066</v>
      </c>
      <c r="BX80" s="126">
        <v>182939.56833475438</v>
      </c>
      <c r="BY80" s="126">
        <v>160885.16839644872</v>
      </c>
      <c r="BZ80" s="126">
        <v>30628.347393153483</v>
      </c>
      <c r="CA80" s="137">
        <v>74953.98359604305</v>
      </c>
      <c r="CB80" s="145">
        <v>1223.2852172532416</v>
      </c>
      <c r="CC80" s="126">
        <v>72976.050371161618</v>
      </c>
      <c r="CD80" s="126">
        <v>0</v>
      </c>
      <c r="CE80" s="126">
        <v>0</v>
      </c>
      <c r="CF80" s="126">
        <v>754.64800762819186</v>
      </c>
      <c r="CG80" s="137">
        <v>46175.940281509254</v>
      </c>
      <c r="CH80" s="145">
        <v>12106.400512569462</v>
      </c>
      <c r="CI80" s="126">
        <v>34069.539768939794</v>
      </c>
      <c r="CJ80" s="120"/>
      <c r="CK80" s="138">
        <v>1245184.4230515726</v>
      </c>
      <c r="CL80" s="139">
        <v>34.503347937630856</v>
      </c>
      <c r="CM80" s="140">
        <v>1560111.33</v>
      </c>
      <c r="CN80" s="125">
        <v>1930.92</v>
      </c>
      <c r="CO80" s="125">
        <v>1930.92</v>
      </c>
      <c r="CP80" s="125">
        <v>0</v>
      </c>
      <c r="CQ80" s="125">
        <v>7532.16</v>
      </c>
      <c r="CR80" s="125">
        <v>4083.7400000000002</v>
      </c>
      <c r="CS80" s="125">
        <v>87377.91</v>
      </c>
      <c r="CT80" s="125">
        <v>0</v>
      </c>
      <c r="CU80" s="141">
        <v>886.55421686746979</v>
      </c>
      <c r="CV80" s="142">
        <v>315813.46116529498</v>
      </c>
      <c r="CW80" s="143">
        <v>0.25291587424185424</v>
      </c>
      <c r="CX80" s="140">
        <v>1518120.81</v>
      </c>
      <c r="CY80" s="140">
        <v>200331.35</v>
      </c>
    </row>
    <row r="81" spans="1:103" ht="12" customHeight="1" x14ac:dyDescent="0.25">
      <c r="A81" s="122">
        <v>77</v>
      </c>
      <c r="B81" s="123" t="s">
        <v>127</v>
      </c>
      <c r="C81" s="124">
        <v>6944.01</v>
      </c>
      <c r="D81" s="125">
        <v>6944.01</v>
      </c>
      <c r="E81" s="125">
        <v>0</v>
      </c>
      <c r="F81" s="125">
        <v>706.4</v>
      </c>
      <c r="G81" s="124">
        <v>6944.01</v>
      </c>
      <c r="H81" s="124"/>
      <c r="I81" s="126">
        <v>0</v>
      </c>
      <c r="J81" s="126">
        <v>0</v>
      </c>
      <c r="K81" s="127">
        <v>0</v>
      </c>
      <c r="L81" s="127">
        <v>0</v>
      </c>
      <c r="M81" s="127"/>
      <c r="N81" s="127"/>
      <c r="O81" s="128" t="s">
        <v>1489</v>
      </c>
      <c r="P81" s="129" t="s">
        <v>1493</v>
      </c>
      <c r="Q81" s="130">
        <v>6.92</v>
      </c>
      <c r="R81" s="130">
        <v>3.15</v>
      </c>
      <c r="S81" s="130">
        <v>0</v>
      </c>
      <c r="T81" s="38">
        <v>0.26</v>
      </c>
      <c r="U81" s="131">
        <v>31</v>
      </c>
      <c r="V81" s="131"/>
      <c r="W81" s="132">
        <v>0</v>
      </c>
      <c r="X81" s="133">
        <v>175443.12386114447</v>
      </c>
      <c r="Y81" s="134">
        <v>55292.25</v>
      </c>
      <c r="Z81" s="134">
        <v>14851.770441052595</v>
      </c>
      <c r="AA81" s="134">
        <v>4369.5551370874791</v>
      </c>
      <c r="AB81" s="134">
        <v>3013.0282830044234</v>
      </c>
      <c r="AC81" s="126">
        <v>0</v>
      </c>
      <c r="AD81" s="126">
        <v>0</v>
      </c>
      <c r="AE81" s="126">
        <v>0</v>
      </c>
      <c r="AF81" s="126">
        <v>0</v>
      </c>
      <c r="AG81" s="126">
        <v>0</v>
      </c>
      <c r="AH81" s="126">
        <v>0</v>
      </c>
      <c r="AI81" s="126">
        <v>4707.38</v>
      </c>
      <c r="AJ81" s="126">
        <v>0</v>
      </c>
      <c r="AK81" s="126">
        <v>7263.64</v>
      </c>
      <c r="AL81" s="126">
        <v>0</v>
      </c>
      <c r="AM81" s="126">
        <v>0</v>
      </c>
      <c r="AN81" s="126">
        <v>0</v>
      </c>
      <c r="AO81" s="126">
        <v>85945.5</v>
      </c>
      <c r="AP81" s="126">
        <v>0</v>
      </c>
      <c r="AQ81" s="126">
        <v>0</v>
      </c>
      <c r="AR81" s="126">
        <v>0</v>
      </c>
      <c r="AS81" s="126">
        <v>0</v>
      </c>
      <c r="AT81" s="126">
        <v>0</v>
      </c>
      <c r="AU81" s="126">
        <v>0</v>
      </c>
      <c r="AV81" s="126">
        <v>0</v>
      </c>
      <c r="AW81" s="135">
        <v>661178.68155567185</v>
      </c>
      <c r="AX81" s="136">
        <v>478546.93572567811</v>
      </c>
      <c r="AY81" s="136">
        <v>44477.335688170118</v>
      </c>
      <c r="AZ81" s="126">
        <v>0</v>
      </c>
      <c r="BA81" s="126">
        <v>13440.756559718357</v>
      </c>
      <c r="BB81" s="126">
        <v>0</v>
      </c>
      <c r="BC81" s="126">
        <v>107666.71199999998</v>
      </c>
      <c r="BD81" s="126">
        <v>2983.0952615353103</v>
      </c>
      <c r="BE81" s="126">
        <v>0</v>
      </c>
      <c r="BF81" s="126">
        <v>3908.7851360133545</v>
      </c>
      <c r="BG81" s="126">
        <v>1957.0381106157854</v>
      </c>
      <c r="BH81" s="126">
        <v>8198.0230739408762</v>
      </c>
      <c r="BI81" s="137">
        <v>1036001.7420103739</v>
      </c>
      <c r="BJ81" s="126">
        <v>7337.5021862268386</v>
      </c>
      <c r="BK81" s="126">
        <v>10440.833415373587</v>
      </c>
      <c r="BL81" s="126">
        <v>11200.494106060338</v>
      </c>
      <c r="BM81" s="126">
        <v>11099.987157457736</v>
      </c>
      <c r="BN81" s="126">
        <v>186702.8025277257</v>
      </c>
      <c r="BO81" s="126">
        <v>107187.41232110861</v>
      </c>
      <c r="BP81" s="126">
        <v>87938.943235205923</v>
      </c>
      <c r="BQ81" s="126">
        <v>477118.01400850277</v>
      </c>
      <c r="BR81" s="126">
        <v>17805.719092127623</v>
      </c>
      <c r="BS81" s="126">
        <v>19769.833460288293</v>
      </c>
      <c r="BT81" s="126">
        <v>98630.588908931692</v>
      </c>
      <c r="BU81" s="126">
        <v>0</v>
      </c>
      <c r="BV81" s="126">
        <v>769.61159136478693</v>
      </c>
      <c r="BW81" s="126">
        <v>119062.50919508029</v>
      </c>
      <c r="BX81" s="126">
        <v>422402.80372155947</v>
      </c>
      <c r="BY81" s="126">
        <v>371479.75600073946</v>
      </c>
      <c r="BZ81" s="126">
        <v>0</v>
      </c>
      <c r="CA81" s="137">
        <v>0</v>
      </c>
      <c r="CB81" s="126">
        <v>0</v>
      </c>
      <c r="CC81" s="126">
        <v>0</v>
      </c>
      <c r="CD81" s="126">
        <v>0</v>
      </c>
      <c r="CE81" s="126">
        <v>0</v>
      </c>
      <c r="CF81" s="126">
        <v>0</v>
      </c>
      <c r="CG81" s="137">
        <v>105705.69555806198</v>
      </c>
      <c r="CH81" s="126">
        <v>27039.996000000003</v>
      </c>
      <c r="CI81" s="126">
        <v>78665.699558061984</v>
      </c>
      <c r="CJ81" s="120"/>
      <c r="CK81" s="138">
        <v>2891274.3119026311</v>
      </c>
      <c r="CL81" s="139">
        <v>34.69746241608032</v>
      </c>
      <c r="CM81" s="140">
        <v>2476769.84</v>
      </c>
      <c r="CN81" s="125">
        <v>4412.5</v>
      </c>
      <c r="CO81" s="125">
        <v>4412.5</v>
      </c>
      <c r="CP81" s="125">
        <v>0</v>
      </c>
      <c r="CQ81" s="125">
        <v>17211.21</v>
      </c>
      <c r="CR81" s="125">
        <v>9324.2999999999993</v>
      </c>
      <c r="CS81" s="125">
        <v>38934.1</v>
      </c>
      <c r="CT81" s="125">
        <v>0</v>
      </c>
      <c r="CU81" s="141">
        <v>0</v>
      </c>
      <c r="CV81" s="142">
        <v>-414504.47190263122</v>
      </c>
      <c r="CW81" s="143">
        <v>0</v>
      </c>
      <c r="CX81" s="140">
        <v>2533262.77</v>
      </c>
      <c r="CY81" s="140">
        <v>681073.72</v>
      </c>
    </row>
    <row r="82" spans="1:103" ht="12" customHeight="1" x14ac:dyDescent="0.25">
      <c r="A82" s="122">
        <v>78</v>
      </c>
      <c r="B82" s="123" t="s">
        <v>128</v>
      </c>
      <c r="C82" s="124">
        <v>6622.8</v>
      </c>
      <c r="D82" s="125">
        <v>5469.6</v>
      </c>
      <c r="E82" s="125">
        <v>1153.2</v>
      </c>
      <c r="F82" s="125">
        <v>1385.2</v>
      </c>
      <c r="G82" s="124">
        <v>6622.8</v>
      </c>
      <c r="H82" s="124">
        <v>6622.8</v>
      </c>
      <c r="I82" s="126">
        <v>1</v>
      </c>
      <c r="J82" s="126">
        <v>1</v>
      </c>
      <c r="K82" s="127">
        <v>4.8311243053534665E-3</v>
      </c>
      <c r="L82" s="127">
        <v>6.8761175304288148E-3</v>
      </c>
      <c r="M82" s="127"/>
      <c r="N82" s="127"/>
      <c r="O82" s="128" t="s">
        <v>1495</v>
      </c>
      <c r="P82" s="129" t="s">
        <v>1493</v>
      </c>
      <c r="Q82" s="130">
        <v>5.4</v>
      </c>
      <c r="R82" s="130">
        <v>2.67</v>
      </c>
      <c r="S82" s="130">
        <v>1.54</v>
      </c>
      <c r="T82" s="38">
        <v>0</v>
      </c>
      <c r="U82" s="131">
        <v>36.54</v>
      </c>
      <c r="V82" s="131"/>
      <c r="W82" s="132">
        <v>0</v>
      </c>
      <c r="X82" s="133">
        <v>251863.58637860371</v>
      </c>
      <c r="Y82" s="134">
        <v>211294.82</v>
      </c>
      <c r="Z82" s="134">
        <v>14164.770107906401</v>
      </c>
      <c r="AA82" s="134">
        <v>4167.4320402624653</v>
      </c>
      <c r="AB82" s="134">
        <v>2873.6542304348204</v>
      </c>
      <c r="AC82" s="126">
        <v>0</v>
      </c>
      <c r="AD82" s="126">
        <v>0</v>
      </c>
      <c r="AE82" s="126">
        <v>0</v>
      </c>
      <c r="AF82" s="126">
        <v>0</v>
      </c>
      <c r="AG82" s="126">
        <v>0</v>
      </c>
      <c r="AH82" s="126">
        <v>0</v>
      </c>
      <c r="AI82" s="126">
        <v>0</v>
      </c>
      <c r="AJ82" s="126">
        <v>0</v>
      </c>
      <c r="AK82" s="126">
        <v>19362.91</v>
      </c>
      <c r="AL82" s="126">
        <v>0</v>
      </c>
      <c r="AM82" s="126">
        <v>0</v>
      </c>
      <c r="AN82" s="126">
        <v>0</v>
      </c>
      <c r="AO82" s="126">
        <v>0</v>
      </c>
      <c r="AP82" s="126">
        <v>0</v>
      </c>
      <c r="AQ82" s="126">
        <v>0</v>
      </c>
      <c r="AR82" s="126">
        <v>0</v>
      </c>
      <c r="AS82" s="126">
        <v>0</v>
      </c>
      <c r="AT82" s="126">
        <v>0</v>
      </c>
      <c r="AU82" s="126">
        <v>0</v>
      </c>
      <c r="AV82" s="126">
        <v>0</v>
      </c>
      <c r="AW82" s="135">
        <v>515089.06660986977</v>
      </c>
      <c r="AX82" s="136">
        <v>456410.72606808186</v>
      </c>
      <c r="AY82" s="136">
        <v>42419.94161811591</v>
      </c>
      <c r="AZ82" s="126">
        <v>0</v>
      </c>
      <c r="BA82" s="126">
        <v>0</v>
      </c>
      <c r="BB82" s="126">
        <v>0</v>
      </c>
      <c r="BC82" s="126">
        <v>0</v>
      </c>
      <c r="BD82" s="126">
        <v>2845.1058247462279</v>
      </c>
      <c r="BE82" s="126">
        <v>0</v>
      </c>
      <c r="BF82" s="126">
        <v>3727.9759388003822</v>
      </c>
      <c r="BG82" s="126">
        <v>1866.5111367907339</v>
      </c>
      <c r="BH82" s="126">
        <v>7818.8060233345914</v>
      </c>
      <c r="BI82" s="137">
        <v>1572049.5830572485</v>
      </c>
      <c r="BJ82" s="126">
        <v>6998.0903655010734</v>
      </c>
      <c r="BK82" s="126">
        <v>9957.8703866117976</v>
      </c>
      <c r="BL82" s="126">
        <v>10682.391351051685</v>
      </c>
      <c r="BM82" s="126">
        <v>10586.533565823074</v>
      </c>
      <c r="BN82" s="126">
        <v>178066.46600172258</v>
      </c>
      <c r="BO82" s="126">
        <v>102229.22984273326</v>
      </c>
      <c r="BP82" s="126">
        <v>83871.139767673405</v>
      </c>
      <c r="BQ82" s="126">
        <v>455047.90217403375</v>
      </c>
      <c r="BR82" s="126">
        <v>16982.077560853573</v>
      </c>
      <c r="BS82" s="126">
        <v>18855.337627796805</v>
      </c>
      <c r="BT82" s="126">
        <v>94068.220556432498</v>
      </c>
      <c r="BU82" s="126">
        <v>583970.31229204172</v>
      </c>
      <c r="BV82" s="126">
        <v>734.01156497336706</v>
      </c>
      <c r="BW82" s="126">
        <v>113555.01877116792</v>
      </c>
      <c r="BX82" s="126">
        <v>402863.66069276165</v>
      </c>
      <c r="BY82" s="126">
        <v>354296.16720622481</v>
      </c>
      <c r="BZ82" s="126">
        <v>67448.766082123053</v>
      </c>
      <c r="CA82" s="137">
        <v>214590.55386666936</v>
      </c>
      <c r="CB82" s="126">
        <v>7379.808</v>
      </c>
      <c r="CC82" s="126">
        <v>205548.884183847</v>
      </c>
      <c r="CD82" s="126">
        <v>0</v>
      </c>
      <c r="CE82" s="126">
        <v>0</v>
      </c>
      <c r="CF82" s="126">
        <v>1661.861682822368</v>
      </c>
      <c r="CG82" s="137">
        <v>0</v>
      </c>
      <c r="CH82" s="126">
        <v>0</v>
      </c>
      <c r="CI82" s="126">
        <v>0</v>
      </c>
      <c r="CJ82" s="120"/>
      <c r="CK82" s="138">
        <v>3491756.4026646689</v>
      </c>
      <c r="CL82" s="150">
        <v>43.936054270407645</v>
      </c>
      <c r="CM82" s="140">
        <v>2399507.4</v>
      </c>
      <c r="CN82" s="125">
        <v>3150.14</v>
      </c>
      <c r="CO82" s="125">
        <v>3150.14</v>
      </c>
      <c r="CP82" s="125">
        <v>0</v>
      </c>
      <c r="CQ82" s="125">
        <v>12271.3</v>
      </c>
      <c r="CR82" s="125">
        <v>6664.9900000000016</v>
      </c>
      <c r="CS82" s="125">
        <v>223995.99</v>
      </c>
      <c r="CT82" s="125">
        <v>281734.55149490945</v>
      </c>
      <c r="CU82" s="141">
        <v>0</v>
      </c>
      <c r="CV82" s="142">
        <v>-810514.4511697595</v>
      </c>
      <c r="CW82" s="143">
        <v>0</v>
      </c>
      <c r="CX82" s="140">
        <v>2611042.1999999997</v>
      </c>
      <c r="CY82" s="140">
        <v>280755.7</v>
      </c>
    </row>
    <row r="83" spans="1:103" ht="12" customHeight="1" x14ac:dyDescent="0.25">
      <c r="A83" s="122">
        <v>79</v>
      </c>
      <c r="B83" s="123" t="s">
        <v>129</v>
      </c>
      <c r="C83" s="124">
        <v>3447.6</v>
      </c>
      <c r="D83" s="125">
        <v>2670.2</v>
      </c>
      <c r="E83" s="125">
        <v>777.4</v>
      </c>
      <c r="F83" s="125">
        <v>329.4</v>
      </c>
      <c r="G83" s="124">
        <v>3447.6</v>
      </c>
      <c r="H83" s="124"/>
      <c r="I83" s="126">
        <v>0</v>
      </c>
      <c r="J83" s="126">
        <v>0</v>
      </c>
      <c r="K83" s="127">
        <v>0</v>
      </c>
      <c r="L83" s="127">
        <v>0</v>
      </c>
      <c r="M83" s="127"/>
      <c r="N83" s="127"/>
      <c r="O83" s="128" t="s">
        <v>1489</v>
      </c>
      <c r="P83" s="129" t="s">
        <v>1493</v>
      </c>
      <c r="Q83" s="130">
        <v>6.92</v>
      </c>
      <c r="R83" s="130">
        <v>3.15</v>
      </c>
      <c r="S83" s="130">
        <v>0</v>
      </c>
      <c r="T83" s="38">
        <v>0.26</v>
      </c>
      <c r="U83" s="131">
        <v>31</v>
      </c>
      <c r="V83" s="144">
        <v>4</v>
      </c>
      <c r="W83" s="132">
        <v>9.638554216867469E-3</v>
      </c>
      <c r="X83" s="133">
        <v>319084.36893101659</v>
      </c>
      <c r="Y83" s="134">
        <v>3660.53</v>
      </c>
      <c r="Z83" s="134">
        <v>7373.6880811768597</v>
      </c>
      <c r="AA83" s="134">
        <v>2169.4205928019678</v>
      </c>
      <c r="AB83" s="134">
        <v>1495.9247334733172</v>
      </c>
      <c r="AC83" s="126">
        <v>0</v>
      </c>
      <c r="AD83" s="126">
        <v>0</v>
      </c>
      <c r="AE83" s="126">
        <v>0</v>
      </c>
      <c r="AF83" s="126">
        <v>0</v>
      </c>
      <c r="AG83" s="126">
        <v>0</v>
      </c>
      <c r="AH83" s="126">
        <v>0</v>
      </c>
      <c r="AI83" s="126">
        <v>0</v>
      </c>
      <c r="AJ83" s="126">
        <v>0</v>
      </c>
      <c r="AK83" s="126">
        <v>0</v>
      </c>
      <c r="AL83" s="126">
        <v>0</v>
      </c>
      <c r="AM83" s="126">
        <v>0</v>
      </c>
      <c r="AN83" s="126">
        <v>0</v>
      </c>
      <c r="AO83" s="126">
        <v>0</v>
      </c>
      <c r="AP83" s="126">
        <v>0</v>
      </c>
      <c r="AQ83" s="126">
        <v>0</v>
      </c>
      <c r="AR83" s="126">
        <v>0</v>
      </c>
      <c r="AS83" s="126">
        <v>0</v>
      </c>
      <c r="AT83" s="126">
        <v>304384.80552356446</v>
      </c>
      <c r="AU83" s="126">
        <v>0</v>
      </c>
      <c r="AV83" s="126">
        <v>0</v>
      </c>
      <c r="AW83" s="135">
        <v>388361.25689252384</v>
      </c>
      <c r="AX83" s="136">
        <v>237591.59557774942</v>
      </c>
      <c r="AY83" s="136">
        <v>22082.350474514769</v>
      </c>
      <c r="AZ83" s="126">
        <v>0</v>
      </c>
      <c r="BA83" s="126">
        <v>6673.1402050522684</v>
      </c>
      <c r="BB83" s="126">
        <v>0</v>
      </c>
      <c r="BC83" s="126">
        <v>113550.61199999999</v>
      </c>
      <c r="BD83" s="126">
        <v>1481.0634235361319</v>
      </c>
      <c r="BE83" s="126">
        <v>0</v>
      </c>
      <c r="BF83" s="126">
        <v>1940.6549868044026</v>
      </c>
      <c r="BG83" s="126">
        <v>971.640966841779</v>
      </c>
      <c r="BH83" s="126">
        <v>4070.1992580250553</v>
      </c>
      <c r="BI83" s="137">
        <v>514359.80157790158</v>
      </c>
      <c r="BJ83" s="126">
        <v>3642.9631491365431</v>
      </c>
      <c r="BK83" s="126">
        <v>5183.7219823764617</v>
      </c>
      <c r="BL83" s="126">
        <v>5560.8824699350398</v>
      </c>
      <c r="BM83" s="126">
        <v>5510.9822313117766</v>
      </c>
      <c r="BN83" s="126">
        <v>92695.226820610435</v>
      </c>
      <c r="BO83" s="126">
        <v>53216.991726430992</v>
      </c>
      <c r="BP83" s="126">
        <v>43660.406695511083</v>
      </c>
      <c r="BQ83" s="126">
        <v>236882.15672150732</v>
      </c>
      <c r="BR83" s="126">
        <v>8840.2806364073767</v>
      </c>
      <c r="BS83" s="126">
        <v>9815.4348622323287</v>
      </c>
      <c r="BT83" s="126">
        <v>48968.653317381875</v>
      </c>
      <c r="BU83" s="126">
        <v>0</v>
      </c>
      <c r="BV83" s="126">
        <v>382.10096506042464</v>
      </c>
      <c r="BW83" s="126">
        <v>59112.804661997718</v>
      </c>
      <c r="BX83" s="126">
        <v>209716.85036606345</v>
      </c>
      <c r="BY83" s="126">
        <v>184434.29758715056</v>
      </c>
      <c r="BZ83" s="126">
        <v>0</v>
      </c>
      <c r="CA83" s="137">
        <v>0</v>
      </c>
      <c r="CB83" s="126">
        <v>0</v>
      </c>
      <c r="CC83" s="126">
        <v>0</v>
      </c>
      <c r="CD83" s="126">
        <v>0</v>
      </c>
      <c r="CE83" s="126">
        <v>0</v>
      </c>
      <c r="CF83" s="126">
        <v>0</v>
      </c>
      <c r="CG83" s="137">
        <v>48516.372041563081</v>
      </c>
      <c r="CH83" s="126">
        <v>9459.9959999999992</v>
      </c>
      <c r="CI83" s="126">
        <v>39056.376041563082</v>
      </c>
      <c r="CJ83" s="120"/>
      <c r="CK83" s="138">
        <v>1723585.7520582168</v>
      </c>
      <c r="CL83" s="139">
        <v>41.661487993053548</v>
      </c>
      <c r="CM83" s="140">
        <v>952300.14</v>
      </c>
      <c r="CN83" s="125">
        <v>1294.68</v>
      </c>
      <c r="CO83" s="125">
        <v>1294.68</v>
      </c>
      <c r="CP83" s="125">
        <v>0</v>
      </c>
      <c r="CQ83" s="125">
        <v>5049.96</v>
      </c>
      <c r="CR83" s="125">
        <v>2738.16</v>
      </c>
      <c r="CS83" s="125">
        <v>11443.92</v>
      </c>
      <c r="CT83" s="125">
        <v>146661.23689887204</v>
      </c>
      <c r="CU83" s="141">
        <v>3546.2168674698792</v>
      </c>
      <c r="CV83" s="142">
        <v>-621078.15829187492</v>
      </c>
      <c r="CW83" s="143">
        <v>0</v>
      </c>
      <c r="CX83" s="140">
        <v>682798.51</v>
      </c>
      <c r="CY83" s="140">
        <v>254227.52000000002</v>
      </c>
    </row>
    <row r="84" spans="1:103" ht="12" customHeight="1" x14ac:dyDescent="0.25">
      <c r="A84" s="122">
        <v>80</v>
      </c>
      <c r="B84" s="123" t="s">
        <v>130</v>
      </c>
      <c r="C84" s="124">
        <v>3176.2</v>
      </c>
      <c r="D84" s="125">
        <v>3176.2</v>
      </c>
      <c r="E84" s="125">
        <v>0</v>
      </c>
      <c r="F84" s="125">
        <v>326.8</v>
      </c>
      <c r="G84" s="124">
        <v>3176.2</v>
      </c>
      <c r="H84" s="124"/>
      <c r="I84" s="126">
        <v>0</v>
      </c>
      <c r="J84" s="126">
        <v>0</v>
      </c>
      <c r="K84" s="127">
        <v>0</v>
      </c>
      <c r="L84" s="127">
        <v>0</v>
      </c>
      <c r="M84" s="127"/>
      <c r="N84" s="127"/>
      <c r="O84" s="128" t="s">
        <v>1489</v>
      </c>
      <c r="P84" s="129" t="s">
        <v>1493</v>
      </c>
      <c r="Q84" s="130">
        <v>6.92</v>
      </c>
      <c r="R84" s="130">
        <v>3.15</v>
      </c>
      <c r="S84" s="130">
        <v>0</v>
      </c>
      <c r="T84" s="38">
        <v>0.26</v>
      </c>
      <c r="U84" s="131">
        <v>31</v>
      </c>
      <c r="V84" s="144">
        <v>4</v>
      </c>
      <c r="W84" s="132">
        <v>9.638554216867469E-3</v>
      </c>
      <c r="X84" s="133">
        <v>108994.79491842138</v>
      </c>
      <c r="Y84" s="134">
        <v>98824.77</v>
      </c>
      <c r="Z84" s="134">
        <v>6793.2208154756763</v>
      </c>
      <c r="AA84" s="134">
        <v>1998.6407027664493</v>
      </c>
      <c r="AB84" s="134">
        <v>1378.1634001792406</v>
      </c>
      <c r="AC84" s="126">
        <v>0</v>
      </c>
      <c r="AD84" s="126">
        <v>0</v>
      </c>
      <c r="AE84" s="126">
        <v>0</v>
      </c>
      <c r="AF84" s="126">
        <v>0</v>
      </c>
      <c r="AG84" s="126">
        <v>0</v>
      </c>
      <c r="AH84" s="126">
        <v>0</v>
      </c>
      <c r="AI84" s="126">
        <v>0</v>
      </c>
      <c r="AJ84" s="126">
        <v>0</v>
      </c>
      <c r="AK84" s="126">
        <v>0</v>
      </c>
      <c r="AL84" s="126">
        <v>0</v>
      </c>
      <c r="AM84" s="126">
        <v>0</v>
      </c>
      <c r="AN84" s="126">
        <v>0</v>
      </c>
      <c r="AO84" s="126">
        <v>0</v>
      </c>
      <c r="AP84" s="126">
        <v>0</v>
      </c>
      <c r="AQ84" s="126">
        <v>0</v>
      </c>
      <c r="AR84" s="126">
        <v>0</v>
      </c>
      <c r="AS84" s="126">
        <v>0</v>
      </c>
      <c r="AT84" s="126">
        <v>0</v>
      </c>
      <c r="AU84" s="126">
        <v>0</v>
      </c>
      <c r="AV84" s="126">
        <v>0</v>
      </c>
      <c r="AW84" s="135">
        <v>311515.29011220386</v>
      </c>
      <c r="AX84" s="136">
        <v>218888.04556040367</v>
      </c>
      <c r="AY84" s="136">
        <v>20343.99628064561</v>
      </c>
      <c r="AZ84" s="126">
        <v>0</v>
      </c>
      <c r="BA84" s="126">
        <v>6147.8210695228609</v>
      </c>
      <c r="BB84" s="126">
        <v>0</v>
      </c>
      <c r="BC84" s="126">
        <v>58338.131999999998</v>
      </c>
      <c r="BD84" s="126">
        <v>1364.4719938030694</v>
      </c>
      <c r="BE84" s="126">
        <v>0</v>
      </c>
      <c r="BF84" s="126">
        <v>1787.8838522706067</v>
      </c>
      <c r="BG84" s="126">
        <v>895.15200106823829</v>
      </c>
      <c r="BH84" s="126">
        <v>3749.7873544898425</v>
      </c>
      <c r="BI84" s="137">
        <v>473868.66277170525</v>
      </c>
      <c r="BJ84" s="126">
        <v>3356.1838827843972</v>
      </c>
      <c r="BK84" s="126">
        <v>4775.6519783107424</v>
      </c>
      <c r="BL84" s="126">
        <v>5123.1218531754475</v>
      </c>
      <c r="BM84" s="126">
        <v>5077.1498326640167</v>
      </c>
      <c r="BN84" s="126">
        <v>85398.126066719706</v>
      </c>
      <c r="BO84" s="126">
        <v>49027.67406934972</v>
      </c>
      <c r="BP84" s="126">
        <v>40223.39707224803</v>
      </c>
      <c r="BQ84" s="126">
        <v>218234.45474499694</v>
      </c>
      <c r="BR84" s="126">
        <v>8144.3611084108106</v>
      </c>
      <c r="BS84" s="126">
        <v>9042.7497996932143</v>
      </c>
      <c r="BT84" s="126">
        <v>45113.770932436564</v>
      </c>
      <c r="BU84" s="126">
        <v>0</v>
      </c>
      <c r="BV84" s="126">
        <v>352.02143091568644</v>
      </c>
      <c r="BW84" s="126">
        <v>54459.360183152668</v>
      </c>
      <c r="BX84" s="126">
        <v>193207.64013594695</v>
      </c>
      <c r="BY84" s="126">
        <v>169915.36605067513</v>
      </c>
      <c r="BZ84" s="126">
        <v>0</v>
      </c>
      <c r="CA84" s="137">
        <v>0</v>
      </c>
      <c r="CB84" s="126">
        <v>0</v>
      </c>
      <c r="CC84" s="126">
        <v>0</v>
      </c>
      <c r="CD84" s="126">
        <v>0</v>
      </c>
      <c r="CE84" s="126">
        <v>0</v>
      </c>
      <c r="CF84" s="126">
        <v>0</v>
      </c>
      <c r="CG84" s="137">
        <v>47811.798292380976</v>
      </c>
      <c r="CH84" s="126">
        <v>11829.995999999999</v>
      </c>
      <c r="CI84" s="126">
        <v>35981.802292380977</v>
      </c>
      <c r="CJ84" s="120"/>
      <c r="CK84" s="138">
        <v>1359772.9124644862</v>
      </c>
      <c r="CL84" s="139">
        <v>35.676093876972651</v>
      </c>
      <c r="CM84" s="140">
        <v>1118708.5899999999</v>
      </c>
      <c r="CN84" s="125">
        <v>2039.46</v>
      </c>
      <c r="CO84" s="125">
        <v>2039.46</v>
      </c>
      <c r="CP84" s="125">
        <v>0</v>
      </c>
      <c r="CQ84" s="125">
        <v>7955.59</v>
      </c>
      <c r="CR84" s="125">
        <v>4313.55</v>
      </c>
      <c r="CS84" s="125">
        <v>18495.630000000005</v>
      </c>
      <c r="CT84" s="125">
        <v>0</v>
      </c>
      <c r="CU84" s="141">
        <v>3546.2168674698792</v>
      </c>
      <c r="CV84" s="142">
        <v>-237518.1055970164</v>
      </c>
      <c r="CW84" s="143">
        <v>0</v>
      </c>
      <c r="CX84" s="140">
        <v>982958.42999999993</v>
      </c>
      <c r="CY84" s="140">
        <v>549084.04</v>
      </c>
    </row>
    <row r="85" spans="1:103" ht="12" customHeight="1" x14ac:dyDescent="0.25">
      <c r="A85" s="122">
        <v>81</v>
      </c>
      <c r="B85" s="123" t="s">
        <v>131</v>
      </c>
      <c r="C85" s="124">
        <v>10284.4</v>
      </c>
      <c r="D85" s="125">
        <v>10284.4</v>
      </c>
      <c r="E85" s="125">
        <v>0</v>
      </c>
      <c r="F85" s="125">
        <v>1304.9000000000001</v>
      </c>
      <c r="G85" s="124">
        <v>10284.4</v>
      </c>
      <c r="H85" s="124">
        <v>10284.4</v>
      </c>
      <c r="I85" s="126">
        <v>5</v>
      </c>
      <c r="J85" s="126">
        <v>0</v>
      </c>
      <c r="K85" s="127">
        <v>8.6999980236746911E-3</v>
      </c>
      <c r="L85" s="127">
        <v>1.2382668121164961E-2</v>
      </c>
      <c r="M85" s="127"/>
      <c r="N85" s="127"/>
      <c r="O85" s="128" t="s">
        <v>1489</v>
      </c>
      <c r="P85" s="129" t="s">
        <v>1493</v>
      </c>
      <c r="Q85" s="130">
        <v>6.91</v>
      </c>
      <c r="R85" s="130">
        <v>3.15</v>
      </c>
      <c r="S85" s="130">
        <v>1.81</v>
      </c>
      <c r="T85" s="38">
        <v>0.26</v>
      </c>
      <c r="U85" s="131">
        <v>45.06</v>
      </c>
      <c r="V85" s="144">
        <v>5</v>
      </c>
      <c r="W85" s="132">
        <v>1.2048192771084338E-2</v>
      </c>
      <c r="X85" s="133">
        <v>347707.7165017986</v>
      </c>
      <c r="Y85" s="134">
        <v>63596.04</v>
      </c>
      <c r="Z85" s="134">
        <v>21996.158980756263</v>
      </c>
      <c r="AA85" s="134">
        <v>6471.513268538276</v>
      </c>
      <c r="AB85" s="134">
        <v>4462.4342525040565</v>
      </c>
      <c r="AC85" s="126">
        <v>65870.710000000006</v>
      </c>
      <c r="AD85" s="126">
        <v>0</v>
      </c>
      <c r="AE85" s="126">
        <v>5414.26</v>
      </c>
      <c r="AF85" s="126">
        <v>0</v>
      </c>
      <c r="AG85" s="126">
        <v>0</v>
      </c>
      <c r="AH85" s="126">
        <v>0</v>
      </c>
      <c r="AI85" s="126">
        <v>0</v>
      </c>
      <c r="AJ85" s="126">
        <v>0</v>
      </c>
      <c r="AK85" s="126">
        <v>0</v>
      </c>
      <c r="AL85" s="126">
        <v>0</v>
      </c>
      <c r="AM85" s="126">
        <v>15000</v>
      </c>
      <c r="AN85" s="126">
        <v>0</v>
      </c>
      <c r="AO85" s="126">
        <v>0</v>
      </c>
      <c r="AP85" s="126">
        <v>164896.6</v>
      </c>
      <c r="AQ85" s="126">
        <v>0</v>
      </c>
      <c r="AR85" s="126">
        <v>0</v>
      </c>
      <c r="AS85" s="126">
        <v>0</v>
      </c>
      <c r="AT85" s="126">
        <v>0</v>
      </c>
      <c r="AU85" s="126">
        <v>0</v>
      </c>
      <c r="AV85" s="126">
        <v>0</v>
      </c>
      <c r="AW85" s="135">
        <v>819776.82919499709</v>
      </c>
      <c r="AX85" s="136">
        <v>708750.14664108539</v>
      </c>
      <c r="AY85" s="136">
        <v>65872.991420147257</v>
      </c>
      <c r="AZ85" s="126">
        <v>0</v>
      </c>
      <c r="BA85" s="126">
        <v>19906.382157106262</v>
      </c>
      <c r="BB85" s="126">
        <v>0</v>
      </c>
      <c r="BC85" s="126">
        <v>0</v>
      </c>
      <c r="BD85" s="126">
        <v>4418.1020631787314</v>
      </c>
      <c r="BE85" s="126">
        <v>0</v>
      </c>
      <c r="BF85" s="126">
        <v>5789.0915843749844</v>
      </c>
      <c r="BG85" s="126">
        <v>2898.4639631591808</v>
      </c>
      <c r="BH85" s="126">
        <v>12141.651365945261</v>
      </c>
      <c r="BI85" s="137">
        <v>1534366.4994047373</v>
      </c>
      <c r="BJ85" s="126">
        <v>10867.180128489344</v>
      </c>
      <c r="BK85" s="126">
        <v>15463.35722112556</v>
      </c>
      <c r="BL85" s="126">
        <v>16588.449841570928</v>
      </c>
      <c r="BM85" s="126">
        <v>16439.594401816576</v>
      </c>
      <c r="BN85" s="126">
        <v>276515.48634235002</v>
      </c>
      <c r="BO85" s="126">
        <v>158749.51552132115</v>
      </c>
      <c r="BP85" s="126">
        <v>130241.64248152749</v>
      </c>
      <c r="BQ85" s="126">
        <v>706633.84748424112</v>
      </c>
      <c r="BR85" s="126">
        <v>26371.093565688603</v>
      </c>
      <c r="BS85" s="126">
        <v>29280.037793578769</v>
      </c>
      <c r="BT85" s="126">
        <v>146076.46425840646</v>
      </c>
      <c r="BU85" s="126">
        <v>0</v>
      </c>
      <c r="BV85" s="126">
        <v>1139.8303646210206</v>
      </c>
      <c r="BW85" s="126">
        <v>176337.08326541632</v>
      </c>
      <c r="BX85" s="126">
        <v>625598.09023806208</v>
      </c>
      <c r="BY85" s="126">
        <v>550178.70115596103</v>
      </c>
      <c r="BZ85" s="126">
        <v>104739.70071495233</v>
      </c>
      <c r="CA85" s="137">
        <v>385718.45251866733</v>
      </c>
      <c r="CB85" s="126">
        <v>12980.699999999999</v>
      </c>
      <c r="CC85" s="126">
        <v>370157.08417735877</v>
      </c>
      <c r="CD85" s="126">
        <v>0</v>
      </c>
      <c r="CE85" s="126">
        <v>0</v>
      </c>
      <c r="CF85" s="126">
        <v>2580.6683413085643</v>
      </c>
      <c r="CG85" s="137">
        <v>146007.53566871196</v>
      </c>
      <c r="CH85" s="126">
        <v>29499.995999999999</v>
      </c>
      <c r="CI85" s="126">
        <v>116507.53966871196</v>
      </c>
      <c r="CJ85" s="120"/>
      <c r="CK85" s="138">
        <v>4690430.6086633038</v>
      </c>
      <c r="CL85" s="139">
        <v>38.006030238867474</v>
      </c>
      <c r="CM85" s="140">
        <v>5324401.16</v>
      </c>
      <c r="CN85" s="125">
        <v>4289.3100000000004</v>
      </c>
      <c r="CO85" s="125">
        <v>7518.7500000000009</v>
      </c>
      <c r="CP85" s="125">
        <v>0</v>
      </c>
      <c r="CQ85" s="125">
        <v>29324.98</v>
      </c>
      <c r="CR85" s="125">
        <v>15896.12</v>
      </c>
      <c r="CS85" s="125">
        <v>340428.2</v>
      </c>
      <c r="CT85" s="125">
        <v>0</v>
      </c>
      <c r="CU85" s="141">
        <v>4432.7710843373497</v>
      </c>
      <c r="CV85" s="142">
        <v>638403.32242103387</v>
      </c>
      <c r="CW85" s="143">
        <v>0.13516254779800851</v>
      </c>
      <c r="CX85" s="140">
        <v>5094025.1400000006</v>
      </c>
      <c r="CY85" s="140">
        <v>1407287.58</v>
      </c>
    </row>
    <row r="86" spans="1:103" ht="12" customHeight="1" x14ac:dyDescent="0.25">
      <c r="A86" s="122">
        <v>82</v>
      </c>
      <c r="B86" s="123" t="s">
        <v>132</v>
      </c>
      <c r="C86" s="124">
        <v>22940.107170224412</v>
      </c>
      <c r="D86" s="125">
        <v>22219.20717022441</v>
      </c>
      <c r="E86" s="125">
        <v>720.9</v>
      </c>
      <c r="F86" s="125">
        <v>5560</v>
      </c>
      <c r="G86" s="124">
        <v>22940.107170224412</v>
      </c>
      <c r="H86" s="124">
        <v>22940.107170224412</v>
      </c>
      <c r="I86" s="126">
        <v>4</v>
      </c>
      <c r="J86" s="126">
        <v>6</v>
      </c>
      <c r="K86" s="127">
        <v>2.834187163251764E-2</v>
      </c>
      <c r="L86" s="127">
        <v>4.0338858629980802E-2</v>
      </c>
      <c r="M86" s="127"/>
      <c r="N86" s="127"/>
      <c r="O86" s="128" t="s">
        <v>1495</v>
      </c>
      <c r="P86" s="129" t="s">
        <v>1493</v>
      </c>
      <c r="Q86" s="130">
        <v>5.4</v>
      </c>
      <c r="R86" s="130">
        <v>2.67</v>
      </c>
      <c r="S86" s="130">
        <v>1.54</v>
      </c>
      <c r="T86" s="38">
        <v>0</v>
      </c>
      <c r="U86" s="131">
        <v>36.54</v>
      </c>
      <c r="V86" s="144">
        <v>3</v>
      </c>
      <c r="W86" s="132">
        <v>7.2289156626506026E-3</v>
      </c>
      <c r="X86" s="133">
        <v>839253.27352321602</v>
      </c>
      <c r="Y86" s="134">
        <v>524184.51</v>
      </c>
      <c r="Z86" s="134">
        <v>49064.043050818997</v>
      </c>
      <c r="AA86" s="134">
        <v>14435.184155983559</v>
      </c>
      <c r="AB86" s="134">
        <v>9953.7863164135306</v>
      </c>
      <c r="AC86" s="126">
        <v>38683.160000000003</v>
      </c>
      <c r="AD86" s="126">
        <v>0</v>
      </c>
      <c r="AE86" s="126">
        <v>0</v>
      </c>
      <c r="AF86" s="126">
        <v>0</v>
      </c>
      <c r="AG86" s="126">
        <v>0</v>
      </c>
      <c r="AH86" s="126">
        <v>0</v>
      </c>
      <c r="AI86" s="126">
        <v>194391.98</v>
      </c>
      <c r="AJ86" s="126">
        <v>8540.61</v>
      </c>
      <c r="AK86" s="126">
        <v>0</v>
      </c>
      <c r="AL86" s="126">
        <v>0</v>
      </c>
      <c r="AM86" s="126">
        <v>0</v>
      </c>
      <c r="AN86" s="126">
        <v>0</v>
      </c>
      <c r="AO86" s="126">
        <v>0</v>
      </c>
      <c r="AP86" s="126">
        <v>0</v>
      </c>
      <c r="AQ86" s="126">
        <v>0</v>
      </c>
      <c r="AR86" s="126">
        <v>0</v>
      </c>
      <c r="AS86" s="126">
        <v>0</v>
      </c>
      <c r="AT86" s="126">
        <v>0</v>
      </c>
      <c r="AU86" s="126">
        <v>0</v>
      </c>
      <c r="AV86" s="126">
        <v>0</v>
      </c>
      <c r="AW86" s="135">
        <v>1948547.7218416943</v>
      </c>
      <c r="AX86" s="136">
        <v>1580919.0930787181</v>
      </c>
      <c r="AY86" s="136">
        <v>146934.53024011623</v>
      </c>
      <c r="AZ86" s="126">
        <v>0</v>
      </c>
      <c r="BA86" s="126">
        <v>0</v>
      </c>
      <c r="BB86" s="126">
        <v>117291.12000000001</v>
      </c>
      <c r="BC86" s="126">
        <v>0</v>
      </c>
      <c r="BD86" s="126">
        <v>9854.9001223512987</v>
      </c>
      <c r="BE86" s="126">
        <v>0</v>
      </c>
      <c r="BF86" s="153">
        <v>60000</v>
      </c>
      <c r="BG86" s="126">
        <v>6465.2360802676858</v>
      </c>
      <c r="BH86" s="126">
        <v>27082.842320240939</v>
      </c>
      <c r="BI86" s="137">
        <v>5445277.8148577455</v>
      </c>
      <c r="BJ86" s="126">
        <v>24240.040914946781</v>
      </c>
      <c r="BK86" s="126">
        <v>34492.150428229543</v>
      </c>
      <c r="BL86" s="126">
        <v>37001.75189155704</v>
      </c>
      <c r="BM86" s="126">
        <v>36669.718934764649</v>
      </c>
      <c r="BN86" s="126">
        <v>616788.03731090133</v>
      </c>
      <c r="BO86" s="126">
        <v>354102.41718333703</v>
      </c>
      <c r="BP86" s="126">
        <v>290513.51917003357</v>
      </c>
      <c r="BQ86" s="126">
        <v>1576198.5328649706</v>
      </c>
      <c r="BR86" s="126">
        <v>58822.6549524437</v>
      </c>
      <c r="BS86" s="126">
        <v>65311.268030504267</v>
      </c>
      <c r="BT86" s="126">
        <v>325834.24848657195</v>
      </c>
      <c r="BU86" s="126">
        <v>2022760.9996087537</v>
      </c>
      <c r="BV86" s="126">
        <v>2542.4750807321948</v>
      </c>
      <c r="BW86" s="126">
        <v>393332.77470668551</v>
      </c>
      <c r="BX86" s="126">
        <v>1395442.3433111187</v>
      </c>
      <c r="BY86" s="126">
        <v>1227213.8741484787</v>
      </c>
      <c r="BZ86" s="126">
        <v>233629.57094028208</v>
      </c>
      <c r="CA86" s="137">
        <v>1258218.5405732628</v>
      </c>
      <c r="CB86" s="126">
        <v>46606.2</v>
      </c>
      <c r="CC86" s="126">
        <v>1205855.9708948738</v>
      </c>
      <c r="CD86" s="126">
        <v>0</v>
      </c>
      <c r="CE86" s="126">
        <v>0</v>
      </c>
      <c r="CF86" s="126">
        <v>5756.3696783889909</v>
      </c>
      <c r="CG86" s="137">
        <v>0</v>
      </c>
      <c r="CH86" s="126">
        <v>0</v>
      </c>
      <c r="CI86" s="126">
        <v>0</v>
      </c>
      <c r="CJ86" s="120"/>
      <c r="CK86" s="138">
        <v>12740915.913902484</v>
      </c>
      <c r="CL86" s="150">
        <v>46.283262102773364</v>
      </c>
      <c r="CM86" s="140">
        <v>9594776.6199999992</v>
      </c>
      <c r="CN86" s="125">
        <v>758.24</v>
      </c>
      <c r="CO86" s="125">
        <v>590.25</v>
      </c>
      <c r="CP86" s="125">
        <v>0</v>
      </c>
      <c r="CQ86" s="125">
        <v>8999.7999999999993</v>
      </c>
      <c r="CR86" s="125">
        <v>4451.5200000000004</v>
      </c>
      <c r="CS86" s="125">
        <v>198589.90999999997</v>
      </c>
      <c r="CT86" s="125">
        <v>975874.37410888611</v>
      </c>
      <c r="CU86" s="141">
        <v>2659.6626506024099</v>
      </c>
      <c r="CV86" s="142">
        <v>-2167605.2571429964</v>
      </c>
      <c r="CW86" s="143">
        <v>0</v>
      </c>
      <c r="CX86" s="140">
        <v>9786808.2899999991</v>
      </c>
      <c r="CY86" s="140">
        <v>2149267.02</v>
      </c>
    </row>
    <row r="87" spans="1:103" ht="12" customHeight="1" x14ac:dyDescent="0.25">
      <c r="A87" s="122">
        <v>83</v>
      </c>
      <c r="B87" s="123" t="s">
        <v>133</v>
      </c>
      <c r="C87" s="124">
        <v>3520.6</v>
      </c>
      <c r="D87" s="125">
        <v>3520.6</v>
      </c>
      <c r="E87" s="125">
        <v>0</v>
      </c>
      <c r="F87" s="125">
        <v>328.2</v>
      </c>
      <c r="G87" s="124">
        <v>3520.6</v>
      </c>
      <c r="H87" s="124"/>
      <c r="I87" s="126">
        <v>0</v>
      </c>
      <c r="J87" s="126">
        <v>0</v>
      </c>
      <c r="K87" s="127">
        <v>0</v>
      </c>
      <c r="L87" s="127">
        <v>0</v>
      </c>
      <c r="M87" s="127"/>
      <c r="N87" s="127"/>
      <c r="O87" s="128" t="s">
        <v>1489</v>
      </c>
      <c r="P87" s="129" t="s">
        <v>1493</v>
      </c>
      <c r="Q87" s="130">
        <v>6.92</v>
      </c>
      <c r="R87" s="130">
        <v>3.15</v>
      </c>
      <c r="S87" s="130">
        <v>0</v>
      </c>
      <c r="T87" s="38">
        <v>0.26</v>
      </c>
      <c r="U87" s="131">
        <v>31</v>
      </c>
      <c r="V87" s="144">
        <v>4</v>
      </c>
      <c r="W87" s="132">
        <v>9.638554216867469E-3</v>
      </c>
      <c r="X87" s="133">
        <v>176456.48555814943</v>
      </c>
      <c r="Y87" s="134">
        <v>98365.51</v>
      </c>
      <c r="Z87" s="134">
        <v>7529.8196596447533</v>
      </c>
      <c r="AA87" s="134">
        <v>2215.3562301365032</v>
      </c>
      <c r="AB87" s="134">
        <v>1527.5996683681867</v>
      </c>
      <c r="AC87" s="126">
        <v>66818.2</v>
      </c>
      <c r="AD87" s="126">
        <v>0</v>
      </c>
      <c r="AE87" s="126">
        <v>0</v>
      </c>
      <c r="AF87" s="126">
        <v>0</v>
      </c>
      <c r="AG87" s="126">
        <v>0</v>
      </c>
      <c r="AH87" s="126">
        <v>0</v>
      </c>
      <c r="AI87" s="126">
        <v>0</v>
      </c>
      <c r="AJ87" s="126">
        <v>0</v>
      </c>
      <c r="AK87" s="126">
        <v>0</v>
      </c>
      <c r="AL87" s="126">
        <v>0</v>
      </c>
      <c r="AM87" s="126">
        <v>0</v>
      </c>
      <c r="AN87" s="126">
        <v>0</v>
      </c>
      <c r="AO87" s="126">
        <v>0</v>
      </c>
      <c r="AP87" s="126">
        <v>0</v>
      </c>
      <c r="AQ87" s="126">
        <v>0</v>
      </c>
      <c r="AR87" s="126">
        <v>0</v>
      </c>
      <c r="AS87" s="126">
        <v>0</v>
      </c>
      <c r="AT87" s="126">
        <v>0</v>
      </c>
      <c r="AU87" s="126">
        <v>0</v>
      </c>
      <c r="AV87" s="126">
        <v>0</v>
      </c>
      <c r="AW87" s="135">
        <v>423736.11474574183</v>
      </c>
      <c r="AX87" s="136">
        <v>242622.39569295297</v>
      </c>
      <c r="AY87" s="136">
        <v>22549.925478761077</v>
      </c>
      <c r="AZ87" s="126">
        <v>0</v>
      </c>
      <c r="BA87" s="126">
        <v>6814.4382776154471</v>
      </c>
      <c r="BB87" s="126">
        <v>0</v>
      </c>
      <c r="BC87" s="126">
        <v>74774.292000000001</v>
      </c>
      <c r="BD87" s="126">
        <v>1512.4236828232122</v>
      </c>
      <c r="BE87" s="126">
        <v>68332.296000000002</v>
      </c>
      <c r="BF87" s="126">
        <v>1981.7467068521812</v>
      </c>
      <c r="BG87" s="126">
        <v>992.2146385494741</v>
      </c>
      <c r="BH87" s="126">
        <v>4156.3822681874381</v>
      </c>
      <c r="BI87" s="137">
        <v>525250.93323911144</v>
      </c>
      <c r="BJ87" s="126">
        <v>3720.0997977868992</v>
      </c>
      <c r="BK87" s="126">
        <v>5293.482889881242</v>
      </c>
      <c r="BL87" s="126">
        <v>5678.629430227782</v>
      </c>
      <c r="BM87" s="126">
        <v>5627.6725964602156</v>
      </c>
      <c r="BN87" s="126">
        <v>94657.96946996203</v>
      </c>
      <c r="BO87" s="126">
        <v>54343.816298895734</v>
      </c>
      <c r="BP87" s="126">
        <v>44584.878701768284</v>
      </c>
      <c r="BQ87" s="126">
        <v>241897.93507185829</v>
      </c>
      <c r="BR87" s="126">
        <v>9027.4660658242865</v>
      </c>
      <c r="BS87" s="126">
        <v>10023.268353630101</v>
      </c>
      <c r="BT87" s="126">
        <v>50005.522934555811</v>
      </c>
      <c r="BU87" s="126">
        <v>0</v>
      </c>
      <c r="BV87" s="126">
        <v>390.19162826074108</v>
      </c>
      <c r="BW87" s="126">
        <v>60364.468062718748</v>
      </c>
      <c r="BX87" s="126">
        <v>214157.42644122374</v>
      </c>
      <c r="BY87" s="126">
        <v>188339.53709401388</v>
      </c>
      <c r="BZ87" s="126">
        <v>0</v>
      </c>
      <c r="CA87" s="137">
        <v>0</v>
      </c>
      <c r="CB87" s="126">
        <v>0</v>
      </c>
      <c r="CC87" s="126">
        <v>0</v>
      </c>
      <c r="CD87" s="126">
        <v>0</v>
      </c>
      <c r="CE87" s="126">
        <v>0</v>
      </c>
      <c r="CF87" s="126">
        <v>0</v>
      </c>
      <c r="CG87" s="137">
        <v>53403.365611534689</v>
      </c>
      <c r="CH87" s="126">
        <v>13520.003999999999</v>
      </c>
      <c r="CI87" s="126">
        <v>39883.361611534689</v>
      </c>
      <c r="CJ87" s="120"/>
      <c r="CK87" s="138">
        <v>1641708.330752494</v>
      </c>
      <c r="CL87" s="139">
        <v>38.859577220561221</v>
      </c>
      <c r="CM87" s="140">
        <v>1255622.6400000001</v>
      </c>
      <c r="CN87" s="125">
        <v>2048.64</v>
      </c>
      <c r="CO87" s="125">
        <v>2048.64</v>
      </c>
      <c r="CP87" s="125">
        <v>0</v>
      </c>
      <c r="CQ87" s="125">
        <v>7989.7199999999993</v>
      </c>
      <c r="CR87" s="125">
        <v>4330.2000000000007</v>
      </c>
      <c r="CS87" s="125">
        <v>18103.199999999997</v>
      </c>
      <c r="CT87" s="125">
        <v>0</v>
      </c>
      <c r="CU87" s="141">
        <v>3546.2168674698792</v>
      </c>
      <c r="CV87" s="142">
        <v>-382539.47388502397</v>
      </c>
      <c r="CW87" s="143">
        <v>0</v>
      </c>
      <c r="CX87" s="140">
        <v>1218167.6000000001</v>
      </c>
      <c r="CY87" s="140">
        <v>390630.43</v>
      </c>
    </row>
    <row r="88" spans="1:103" ht="12" customHeight="1" x14ac:dyDescent="0.25">
      <c r="A88" s="122">
        <v>84</v>
      </c>
      <c r="B88" s="123" t="s">
        <v>134</v>
      </c>
      <c r="C88" s="124">
        <v>3523.58</v>
      </c>
      <c r="D88" s="125">
        <v>3523.58</v>
      </c>
      <c r="E88" s="125">
        <v>0</v>
      </c>
      <c r="F88" s="125">
        <v>313.8</v>
      </c>
      <c r="G88" s="124">
        <v>3523.58</v>
      </c>
      <c r="H88" s="124"/>
      <c r="I88" s="126">
        <v>0</v>
      </c>
      <c r="J88" s="126">
        <v>0</v>
      </c>
      <c r="K88" s="127">
        <v>0</v>
      </c>
      <c r="L88" s="127">
        <v>0</v>
      </c>
      <c r="M88" s="127"/>
      <c r="N88" s="127"/>
      <c r="O88" s="128" t="s">
        <v>1489</v>
      </c>
      <c r="P88" s="129" t="s">
        <v>1493</v>
      </c>
      <c r="Q88" s="130">
        <v>6.92</v>
      </c>
      <c r="R88" s="130">
        <v>3.15</v>
      </c>
      <c r="S88" s="130">
        <v>0</v>
      </c>
      <c r="T88" s="38">
        <v>0.26</v>
      </c>
      <c r="U88" s="131">
        <v>31</v>
      </c>
      <c r="V88" s="144">
        <v>4</v>
      </c>
      <c r="W88" s="132">
        <v>9.638554216867469E-3</v>
      </c>
      <c r="X88" s="133">
        <v>60159.497361013528</v>
      </c>
      <c r="Y88" s="134">
        <v>48877.18</v>
      </c>
      <c r="Z88" s="134">
        <v>7536.1932501082374</v>
      </c>
      <c r="AA88" s="134">
        <v>2217.2314109482418</v>
      </c>
      <c r="AB88" s="134">
        <v>1528.8926999570458</v>
      </c>
      <c r="AC88" s="126">
        <v>0</v>
      </c>
      <c r="AD88" s="126">
        <v>0</v>
      </c>
      <c r="AE88" s="126">
        <v>0</v>
      </c>
      <c r="AF88" s="126">
        <v>0</v>
      </c>
      <c r="AG88" s="126">
        <v>0</v>
      </c>
      <c r="AH88" s="126">
        <v>0</v>
      </c>
      <c r="AI88" s="126">
        <v>0</v>
      </c>
      <c r="AJ88" s="126">
        <v>0</v>
      </c>
      <c r="AK88" s="126">
        <v>0</v>
      </c>
      <c r="AL88" s="126">
        <v>0</v>
      </c>
      <c r="AM88" s="126">
        <v>0</v>
      </c>
      <c r="AN88" s="126">
        <v>0</v>
      </c>
      <c r="AO88" s="126">
        <v>0</v>
      </c>
      <c r="AP88" s="126">
        <v>0</v>
      </c>
      <c r="AQ88" s="126">
        <v>0</v>
      </c>
      <c r="AR88" s="126">
        <v>0</v>
      </c>
      <c r="AS88" s="126">
        <v>0</v>
      </c>
      <c r="AT88" s="126">
        <v>0</v>
      </c>
      <c r="AU88" s="126">
        <v>0</v>
      </c>
      <c r="AV88" s="126">
        <v>0</v>
      </c>
      <c r="AW88" s="135">
        <v>361252.82066248957</v>
      </c>
      <c r="AX88" s="136">
        <v>242827.76260176537</v>
      </c>
      <c r="AY88" s="136">
        <v>22569.012787153599</v>
      </c>
      <c r="AZ88" s="126">
        <v>0</v>
      </c>
      <c r="BA88" s="126">
        <v>6820.2063359200811</v>
      </c>
      <c r="BB88" s="126">
        <v>0</v>
      </c>
      <c r="BC88" s="126">
        <v>80385.756000000008</v>
      </c>
      <c r="BD88" s="126">
        <v>1513.7038687502738</v>
      </c>
      <c r="BE88" s="126">
        <v>0</v>
      </c>
      <c r="BF88" s="126">
        <v>1983.4241496705699</v>
      </c>
      <c r="BG88" s="126">
        <v>993.05449528493898</v>
      </c>
      <c r="BH88" s="126">
        <v>4159.9004239447513</v>
      </c>
      <c r="BI88" s="137">
        <v>525695.53012062376</v>
      </c>
      <c r="BJ88" s="126">
        <v>3723.2486637181055</v>
      </c>
      <c r="BK88" s="126">
        <v>5297.9635406259576</v>
      </c>
      <c r="BL88" s="126">
        <v>5683.43608696302</v>
      </c>
      <c r="BM88" s="126">
        <v>5632.4361209553163</v>
      </c>
      <c r="BN88" s="126">
        <v>94738.092389072539</v>
      </c>
      <c r="BO88" s="126">
        <v>54389.815438977173</v>
      </c>
      <c r="BP88" s="126">
        <v>44622.617422023715</v>
      </c>
      <c r="BQ88" s="126">
        <v>242102.68876342056</v>
      </c>
      <c r="BR88" s="126">
        <v>9035.1073340388411</v>
      </c>
      <c r="BS88" s="126">
        <v>10031.752515333737</v>
      </c>
      <c r="BT88" s="126">
        <v>50047.849940845932</v>
      </c>
      <c r="BU88" s="126">
        <v>0</v>
      </c>
      <c r="BV88" s="126">
        <v>390.52190464891839</v>
      </c>
      <c r="BW88" s="126">
        <v>60415.563363186542</v>
      </c>
      <c r="BX88" s="126">
        <v>214338.69927278507</v>
      </c>
      <c r="BY88" s="126">
        <v>188498.95646018445</v>
      </c>
      <c r="BZ88" s="126">
        <v>0</v>
      </c>
      <c r="CA88" s="137">
        <v>0</v>
      </c>
      <c r="CB88" s="126">
        <v>0</v>
      </c>
      <c r="CC88" s="126">
        <v>0</v>
      </c>
      <c r="CD88" s="126">
        <v>0</v>
      </c>
      <c r="CE88" s="126">
        <v>0</v>
      </c>
      <c r="CF88" s="126">
        <v>0</v>
      </c>
      <c r="CG88" s="137">
        <v>53437.124748500653</v>
      </c>
      <c r="CH88" s="126">
        <v>13520.003999999999</v>
      </c>
      <c r="CI88" s="126">
        <v>39917.120748500653</v>
      </c>
      <c r="CJ88" s="120"/>
      <c r="CK88" s="138">
        <v>1463798.1919887837</v>
      </c>
      <c r="CL88" s="139">
        <v>34.619104054890755</v>
      </c>
      <c r="CM88" s="140">
        <v>1243372.56</v>
      </c>
      <c r="CN88" s="125">
        <v>1958.88</v>
      </c>
      <c r="CO88" s="125">
        <v>1958.88</v>
      </c>
      <c r="CP88" s="125">
        <v>0</v>
      </c>
      <c r="CQ88" s="125">
        <v>7639.32</v>
      </c>
      <c r="CR88" s="125">
        <v>4139.76</v>
      </c>
      <c r="CS88" s="125">
        <v>17456.810000000001</v>
      </c>
      <c r="CT88" s="125">
        <v>0</v>
      </c>
      <c r="CU88" s="141">
        <v>3546.2168674698792</v>
      </c>
      <c r="CV88" s="142">
        <v>-216879.41512131365</v>
      </c>
      <c r="CW88" s="143">
        <v>0</v>
      </c>
      <c r="CX88" s="140">
        <v>1342668.24</v>
      </c>
      <c r="CY88" s="140">
        <v>786661.85</v>
      </c>
    </row>
    <row r="89" spans="1:103" ht="12" customHeight="1" x14ac:dyDescent="0.25">
      <c r="A89" s="122">
        <v>85</v>
      </c>
      <c r="B89" s="123" t="s">
        <v>135</v>
      </c>
      <c r="C89" s="124">
        <v>3477.26</v>
      </c>
      <c r="D89" s="125">
        <v>3477.26</v>
      </c>
      <c r="E89" s="125">
        <v>0</v>
      </c>
      <c r="F89" s="125">
        <v>363.6</v>
      </c>
      <c r="G89" s="124">
        <v>3477.26</v>
      </c>
      <c r="H89" s="124"/>
      <c r="I89" s="126">
        <v>0</v>
      </c>
      <c r="J89" s="126">
        <v>0</v>
      </c>
      <c r="K89" s="127">
        <v>0</v>
      </c>
      <c r="L89" s="127">
        <v>0</v>
      </c>
      <c r="M89" s="127"/>
      <c r="N89" s="127"/>
      <c r="O89" s="128" t="s">
        <v>1489</v>
      </c>
      <c r="P89" s="129" t="s">
        <v>1493</v>
      </c>
      <c r="Q89" s="130">
        <v>6.92</v>
      </c>
      <c r="R89" s="130">
        <v>3.15</v>
      </c>
      <c r="S89" s="130">
        <v>0</v>
      </c>
      <c r="T89" s="38">
        <v>0.26</v>
      </c>
      <c r="U89" s="131">
        <v>31</v>
      </c>
      <c r="V89" s="144">
        <v>4</v>
      </c>
      <c r="W89" s="132">
        <v>9.638554216867469E-3</v>
      </c>
      <c r="X89" s="133">
        <v>291012.59316347516</v>
      </c>
      <c r="Y89" s="134">
        <v>33116.36</v>
      </c>
      <c r="Z89" s="134">
        <v>7437.1245553872404</v>
      </c>
      <c r="AA89" s="134">
        <v>2188.0843051765205</v>
      </c>
      <c r="AB89" s="134">
        <v>1508.7943029114247</v>
      </c>
      <c r="AC89" s="126">
        <v>215769.84</v>
      </c>
      <c r="AD89" s="126">
        <v>0</v>
      </c>
      <c r="AE89" s="126">
        <v>0</v>
      </c>
      <c r="AF89" s="126">
        <v>0</v>
      </c>
      <c r="AG89" s="126">
        <v>0</v>
      </c>
      <c r="AH89" s="126">
        <v>0</v>
      </c>
      <c r="AI89" s="126">
        <v>9972.08</v>
      </c>
      <c r="AJ89" s="126">
        <v>0</v>
      </c>
      <c r="AK89" s="126">
        <v>21020.31</v>
      </c>
      <c r="AL89" s="126">
        <v>0</v>
      </c>
      <c r="AM89" s="126">
        <v>0</v>
      </c>
      <c r="AN89" s="126">
        <v>0</v>
      </c>
      <c r="AO89" s="126">
        <v>0</v>
      </c>
      <c r="AP89" s="126">
        <v>0</v>
      </c>
      <c r="AQ89" s="126">
        <v>0</v>
      </c>
      <c r="AR89" s="126">
        <v>0</v>
      </c>
      <c r="AS89" s="126">
        <v>0</v>
      </c>
      <c r="AT89" s="126">
        <v>0</v>
      </c>
      <c r="AU89" s="126">
        <v>0</v>
      </c>
      <c r="AV89" s="126">
        <v>0</v>
      </c>
      <c r="AW89" s="135">
        <v>361445.53656055732</v>
      </c>
      <c r="AX89" s="136">
        <v>239635.61655606364</v>
      </c>
      <c r="AY89" s="136">
        <v>22272.32683925375</v>
      </c>
      <c r="AZ89" s="126">
        <v>0</v>
      </c>
      <c r="BA89" s="126">
        <v>6730.5498054936925</v>
      </c>
      <c r="BB89" s="126">
        <v>0</v>
      </c>
      <c r="BC89" s="126">
        <v>84270.671999999991</v>
      </c>
      <c r="BD89" s="126">
        <v>1493.8051398437319</v>
      </c>
      <c r="BE89" s="126">
        <v>0</v>
      </c>
      <c r="BF89" s="126">
        <v>1957.3506089498426</v>
      </c>
      <c r="BG89" s="126">
        <v>980.00007783972751</v>
      </c>
      <c r="BH89" s="126">
        <v>4105.2155331129497</v>
      </c>
      <c r="BI89" s="137">
        <v>518784.8832912097</v>
      </c>
      <c r="BJ89" s="126">
        <v>3674.3038751498252</v>
      </c>
      <c r="BK89" s="126">
        <v>5228.3179894530622</v>
      </c>
      <c r="BL89" s="126">
        <v>5608.7232211991877</v>
      </c>
      <c r="BM89" s="126">
        <v>5558.3936865214027</v>
      </c>
      <c r="BN89" s="126">
        <v>93492.691847730559</v>
      </c>
      <c r="BO89" s="126">
        <v>53674.822093818722</v>
      </c>
      <c r="BP89" s="126">
        <v>44036.0209380534</v>
      </c>
      <c r="BQ89" s="126">
        <v>238920.07433618419</v>
      </c>
      <c r="BR89" s="126">
        <v>8916.3343327978655</v>
      </c>
      <c r="BS89" s="126">
        <v>9899.8778944906571</v>
      </c>
      <c r="BT89" s="126">
        <v>49389.93486320899</v>
      </c>
      <c r="BU89" s="126">
        <v>0</v>
      </c>
      <c r="BV89" s="126">
        <v>385.38821260181351</v>
      </c>
      <c r="BW89" s="126">
        <v>59621.35721631808</v>
      </c>
      <c r="BX89" s="126">
        <v>211521.06250838202</v>
      </c>
      <c r="BY89" s="126">
        <v>186021.00174843229</v>
      </c>
      <c r="BZ89" s="126">
        <v>0</v>
      </c>
      <c r="CA89" s="137">
        <v>0</v>
      </c>
      <c r="CB89" s="126">
        <v>0</v>
      </c>
      <c r="CC89" s="126">
        <v>0</v>
      </c>
      <c r="CD89" s="126">
        <v>0</v>
      </c>
      <c r="CE89" s="126">
        <v>0</v>
      </c>
      <c r="CF89" s="126">
        <v>0</v>
      </c>
      <c r="CG89" s="137">
        <v>52912.385411499497</v>
      </c>
      <c r="CH89" s="126">
        <v>13520.003999999999</v>
      </c>
      <c r="CI89" s="126">
        <v>39392.381411499497</v>
      </c>
      <c r="CJ89" s="120"/>
      <c r="CK89" s="138">
        <v>1681318.8198998743</v>
      </c>
      <c r="CL89" s="139">
        <v>40.293191092504685</v>
      </c>
      <c r="CM89" s="140">
        <v>1232012.92</v>
      </c>
      <c r="CN89" s="125">
        <v>2268.79</v>
      </c>
      <c r="CO89" s="125">
        <v>2268.79</v>
      </c>
      <c r="CP89" s="125">
        <v>0</v>
      </c>
      <c r="CQ89" s="125">
        <v>8850.77</v>
      </c>
      <c r="CR89" s="125">
        <v>4798.68</v>
      </c>
      <c r="CS89" s="125">
        <v>19947.349999999999</v>
      </c>
      <c r="CT89" s="125">
        <v>0</v>
      </c>
      <c r="CU89" s="141">
        <v>3546.2168674698792</v>
      </c>
      <c r="CV89" s="142">
        <v>-445759.6830324044</v>
      </c>
      <c r="CW89" s="143">
        <v>0</v>
      </c>
      <c r="CX89" s="140">
        <v>1260911.33</v>
      </c>
      <c r="CY89" s="140">
        <v>438091.05</v>
      </c>
    </row>
    <row r="90" spans="1:103" ht="12" customHeight="1" x14ac:dyDescent="0.25">
      <c r="A90" s="122">
        <v>86</v>
      </c>
      <c r="B90" s="123" t="s">
        <v>136</v>
      </c>
      <c r="C90" s="124">
        <v>3071.9</v>
      </c>
      <c r="D90" s="125">
        <v>3071.9</v>
      </c>
      <c r="E90" s="125">
        <v>0</v>
      </c>
      <c r="F90" s="125">
        <v>340.85</v>
      </c>
      <c r="G90" s="124">
        <v>3071.9</v>
      </c>
      <c r="H90" s="124">
        <v>3071.9</v>
      </c>
      <c r="I90" s="126">
        <v>1</v>
      </c>
      <c r="J90" s="126">
        <v>0</v>
      </c>
      <c r="K90" s="127">
        <v>1.7151947676908054E-3</v>
      </c>
      <c r="L90" s="127">
        <v>2.4412290110501791E-3</v>
      </c>
      <c r="M90" s="127"/>
      <c r="N90" s="127"/>
      <c r="O90" s="128" t="s">
        <v>1489</v>
      </c>
      <c r="P90" s="129" t="s">
        <v>1493</v>
      </c>
      <c r="Q90" s="130">
        <v>6.91</v>
      </c>
      <c r="R90" s="130">
        <v>3.15</v>
      </c>
      <c r="S90" s="130">
        <v>1.81</v>
      </c>
      <c r="T90" s="38">
        <v>0.26</v>
      </c>
      <c r="U90" s="131">
        <v>45.06</v>
      </c>
      <c r="V90" s="144">
        <v>1</v>
      </c>
      <c r="W90" s="132">
        <v>2.4096385542168672E-3</v>
      </c>
      <c r="X90" s="133">
        <v>137405.9770936518</v>
      </c>
      <c r="Y90" s="151">
        <v>41760.935577536693</v>
      </c>
      <c r="Z90" s="134">
        <v>6570.1451492537408</v>
      </c>
      <c r="AA90" s="134">
        <v>1933.0093743555997</v>
      </c>
      <c r="AB90" s="134">
        <v>1332.9072945691739</v>
      </c>
      <c r="AC90" s="126">
        <v>0</v>
      </c>
      <c r="AD90" s="145">
        <v>4903.9915549883008</v>
      </c>
      <c r="AE90" s="126">
        <v>0</v>
      </c>
      <c r="AF90" s="126">
        <v>0</v>
      </c>
      <c r="AG90" s="126">
        <v>0</v>
      </c>
      <c r="AH90" s="126">
        <v>0</v>
      </c>
      <c r="AI90" s="126">
        <v>0</v>
      </c>
      <c r="AJ90" s="126">
        <v>0</v>
      </c>
      <c r="AK90" s="126">
        <v>0</v>
      </c>
      <c r="AL90" s="126">
        <v>0</v>
      </c>
      <c r="AM90" s="126">
        <v>0</v>
      </c>
      <c r="AN90" s="145">
        <v>80904.988142948307</v>
      </c>
      <c r="AO90" s="126">
        <v>0</v>
      </c>
      <c r="AP90" s="126">
        <v>0</v>
      </c>
      <c r="AQ90" s="126">
        <v>0</v>
      </c>
      <c r="AR90" s="126">
        <v>0</v>
      </c>
      <c r="AS90" s="126">
        <v>0</v>
      </c>
      <c r="AT90" s="126">
        <v>0</v>
      </c>
      <c r="AU90" s="126">
        <v>0</v>
      </c>
      <c r="AV90" s="126">
        <v>0</v>
      </c>
      <c r="AW90" s="135">
        <v>244863.33102603091</v>
      </c>
      <c r="AX90" s="136">
        <v>211700.20375196906</v>
      </c>
      <c r="AY90" s="136">
        <v>19675.940486907391</v>
      </c>
      <c r="AZ90" s="126">
        <v>0</v>
      </c>
      <c r="BA90" s="126">
        <v>5945.9390288606755</v>
      </c>
      <c r="BB90" s="126">
        <v>0</v>
      </c>
      <c r="BC90" s="126">
        <v>0</v>
      </c>
      <c r="BD90" s="126">
        <v>1319.6654863559124</v>
      </c>
      <c r="BE90" s="126">
        <v>0</v>
      </c>
      <c r="BF90" s="126">
        <v>1729.1733536269999</v>
      </c>
      <c r="BG90" s="126">
        <v>865.75701532696974</v>
      </c>
      <c r="BH90" s="126">
        <v>3626.6519029838637</v>
      </c>
      <c r="BI90" s="137">
        <v>458307.77191877126</v>
      </c>
      <c r="BJ90" s="126">
        <v>3245.9735751921767</v>
      </c>
      <c r="BK90" s="126">
        <v>4618.8292022456935</v>
      </c>
      <c r="BL90" s="126">
        <v>4954.8888674421196</v>
      </c>
      <c r="BM90" s="126">
        <v>4910.4264753354928</v>
      </c>
      <c r="BN90" s="126">
        <v>82593.823897851602</v>
      </c>
      <c r="BO90" s="126">
        <v>47417.70416649941</v>
      </c>
      <c r="BP90" s="126">
        <v>38902.541863307953</v>
      </c>
      <c r="BQ90" s="126">
        <v>211068.07554031743</v>
      </c>
      <c r="BR90" s="126">
        <v>7876.9167209014458</v>
      </c>
      <c r="BS90" s="126">
        <v>8745.8041400659858</v>
      </c>
      <c r="BT90" s="126">
        <v>43632.325712282567</v>
      </c>
      <c r="BU90" s="126">
        <v>0</v>
      </c>
      <c r="BV90" s="126">
        <v>340.46175732948092</v>
      </c>
      <c r="BW90" s="126">
        <v>52671.024666780024</v>
      </c>
      <c r="BX90" s="126">
        <v>186863.09103130014</v>
      </c>
      <c r="BY90" s="126">
        <v>164335.68823470466</v>
      </c>
      <c r="BZ90" s="126">
        <v>31285.236535555025</v>
      </c>
      <c r="CA90" s="137">
        <v>76356.829705735989</v>
      </c>
      <c r="CB90" s="145">
        <v>2609.9463178047222</v>
      </c>
      <c r="CC90" s="126">
        <v>72976.050371161618</v>
      </c>
      <c r="CD90" s="126">
        <v>0</v>
      </c>
      <c r="CE90" s="126">
        <v>0</v>
      </c>
      <c r="CF90" s="126">
        <v>770.83301676964913</v>
      </c>
      <c r="CG90" s="137">
        <v>47034.956792126803</v>
      </c>
      <c r="CH90" s="145">
        <v>12234.724293554564</v>
      </c>
      <c r="CI90" s="126">
        <v>34800.232498572237</v>
      </c>
      <c r="CJ90" s="120"/>
      <c r="CK90" s="138">
        <v>1399123.9070046563</v>
      </c>
      <c r="CL90" s="139">
        <v>37.954900523146812</v>
      </c>
      <c r="CM90" s="140">
        <v>1569314.0799999998</v>
      </c>
      <c r="CN90" s="125">
        <v>1937.69</v>
      </c>
      <c r="CO90" s="125">
        <v>1937.69</v>
      </c>
      <c r="CP90" s="125">
        <v>0</v>
      </c>
      <c r="CQ90" s="125">
        <v>7579.98</v>
      </c>
      <c r="CR90" s="125">
        <v>4098.17</v>
      </c>
      <c r="CS90" s="125">
        <v>87872.36</v>
      </c>
      <c r="CT90" s="125">
        <v>0</v>
      </c>
      <c r="CU90" s="141">
        <v>886.55421686746979</v>
      </c>
      <c r="CV90" s="142">
        <v>171076.72721221112</v>
      </c>
      <c r="CW90" s="143">
        <v>0.12164052957947002</v>
      </c>
      <c r="CX90" s="140">
        <v>1551180.9800000002</v>
      </c>
      <c r="CY90" s="140">
        <v>284708.62</v>
      </c>
    </row>
    <row r="91" spans="1:103" ht="12" customHeight="1" x14ac:dyDescent="0.25">
      <c r="A91" s="122">
        <v>87</v>
      </c>
      <c r="B91" s="123" t="s">
        <v>137</v>
      </c>
      <c r="C91" s="124">
        <v>3039.4</v>
      </c>
      <c r="D91" s="125">
        <v>3039.4</v>
      </c>
      <c r="E91" s="125">
        <v>0</v>
      </c>
      <c r="F91" s="125">
        <v>337.25</v>
      </c>
      <c r="G91" s="124">
        <v>3039.4</v>
      </c>
      <c r="H91" s="124">
        <v>3039.4</v>
      </c>
      <c r="I91" s="126">
        <v>1</v>
      </c>
      <c r="J91" s="126">
        <v>0</v>
      </c>
      <c r="K91" s="127">
        <v>1.7151947676908054E-3</v>
      </c>
      <c r="L91" s="127">
        <v>2.4412290110501791E-3</v>
      </c>
      <c r="M91" s="127"/>
      <c r="N91" s="127"/>
      <c r="O91" s="128" t="s">
        <v>1489</v>
      </c>
      <c r="P91" s="129" t="s">
        <v>1493</v>
      </c>
      <c r="Q91" s="130">
        <v>6.91</v>
      </c>
      <c r="R91" s="130">
        <v>3.15</v>
      </c>
      <c r="S91" s="130">
        <v>1.81</v>
      </c>
      <c r="T91" s="38">
        <v>0.26</v>
      </c>
      <c r="U91" s="131">
        <v>45.06</v>
      </c>
      <c r="V91" s="144">
        <v>1</v>
      </c>
      <c r="W91" s="132">
        <v>2.4096385542168672E-3</v>
      </c>
      <c r="X91" s="133">
        <v>135952.25325643586</v>
      </c>
      <c r="Y91" s="151">
        <v>41319.114422463303</v>
      </c>
      <c r="Z91" s="134">
        <v>6500.6345150043362</v>
      </c>
      <c r="AA91" s="134">
        <v>1912.5585769121424</v>
      </c>
      <c r="AB91" s="134">
        <v>1318.8054399926907</v>
      </c>
      <c r="AC91" s="126">
        <v>0</v>
      </c>
      <c r="AD91" s="145">
        <v>4852.1084450116996</v>
      </c>
      <c r="AE91" s="126">
        <v>0</v>
      </c>
      <c r="AF91" s="126">
        <v>0</v>
      </c>
      <c r="AG91" s="126">
        <v>0</v>
      </c>
      <c r="AH91" s="126">
        <v>0</v>
      </c>
      <c r="AI91" s="126">
        <v>0</v>
      </c>
      <c r="AJ91" s="126">
        <v>0</v>
      </c>
      <c r="AK91" s="126">
        <v>0</v>
      </c>
      <c r="AL91" s="126">
        <v>0</v>
      </c>
      <c r="AM91" s="126">
        <v>0</v>
      </c>
      <c r="AN91" s="145">
        <v>80049.031857051683</v>
      </c>
      <c r="AO91" s="126">
        <v>0</v>
      </c>
      <c r="AP91" s="126">
        <v>0</v>
      </c>
      <c r="AQ91" s="126">
        <v>0</v>
      </c>
      <c r="AR91" s="126">
        <v>0</v>
      </c>
      <c r="AS91" s="126">
        <v>0</v>
      </c>
      <c r="AT91" s="126">
        <v>0</v>
      </c>
      <c r="AU91" s="126">
        <v>0</v>
      </c>
      <c r="AV91" s="126">
        <v>0</v>
      </c>
      <c r="AW91" s="135">
        <v>242272.73294069411</v>
      </c>
      <c r="AX91" s="136">
        <v>209460.4639746524</v>
      </c>
      <c r="AY91" s="136">
        <v>19467.773532962117</v>
      </c>
      <c r="AZ91" s="126">
        <v>0</v>
      </c>
      <c r="BA91" s="126">
        <v>5883.0323527195342</v>
      </c>
      <c r="BB91" s="126">
        <v>0</v>
      </c>
      <c r="BC91" s="126">
        <v>0</v>
      </c>
      <c r="BD91" s="126">
        <v>1305.7037270842673</v>
      </c>
      <c r="BE91" s="126">
        <v>0</v>
      </c>
      <c r="BF91" s="126">
        <v>1710.8790947016189</v>
      </c>
      <c r="BG91" s="126">
        <v>856.59750395025617</v>
      </c>
      <c r="BH91" s="126">
        <v>3588.2827546238991</v>
      </c>
      <c r="BI91" s="137">
        <v>453458.98042576702</v>
      </c>
      <c r="BJ91" s="126">
        <v>3211.6319165464702</v>
      </c>
      <c r="BK91" s="126">
        <v>4569.9630447949348</v>
      </c>
      <c r="BL91" s="126">
        <v>4902.4672755309675</v>
      </c>
      <c r="BM91" s="126">
        <v>4858.4752853721466</v>
      </c>
      <c r="BN91" s="126">
        <v>81720.000115606032</v>
      </c>
      <c r="BO91" s="126">
        <v>46916.035692456884</v>
      </c>
      <c r="BP91" s="126">
        <v>38490.96186052222</v>
      </c>
      <c r="BQ91" s="126">
        <v>208835.02353502417</v>
      </c>
      <c r="BR91" s="126">
        <v>7793.5807420514511</v>
      </c>
      <c r="BS91" s="126">
        <v>8653.275530882047</v>
      </c>
      <c r="BT91" s="126">
        <v>43170.705677239377</v>
      </c>
      <c r="BU91" s="126">
        <v>0</v>
      </c>
      <c r="BV91" s="126">
        <v>336.85974974029892</v>
      </c>
      <c r="BW91" s="126">
        <v>52113.777262349424</v>
      </c>
      <c r="BX91" s="126">
        <v>184886.12223071509</v>
      </c>
      <c r="BY91" s="126">
        <v>162597.05420767647</v>
      </c>
      <c r="BZ91" s="126">
        <v>30954.245882406958</v>
      </c>
      <c r="CA91" s="137">
        <v>76321.061832962252</v>
      </c>
      <c r="CB91" s="145">
        <v>2582.3336821952776</v>
      </c>
      <c r="CC91" s="126">
        <v>72976.050371161618</v>
      </c>
      <c r="CD91" s="126">
        <v>0</v>
      </c>
      <c r="CE91" s="126">
        <v>0</v>
      </c>
      <c r="CF91" s="126">
        <v>762.67777960534897</v>
      </c>
      <c r="CG91" s="137">
        <v>46537.337697838535</v>
      </c>
      <c r="CH91" s="145">
        <v>12105.283706445436</v>
      </c>
      <c r="CI91" s="126">
        <v>34432.053991393099</v>
      </c>
      <c r="CJ91" s="120"/>
      <c r="CK91" s="138">
        <v>1385093.5657368458</v>
      </c>
      <c r="CL91" s="139">
        <v>37.976068898928673</v>
      </c>
      <c r="CM91" s="140">
        <v>1574867.02</v>
      </c>
      <c r="CN91" s="125">
        <v>1942.3200000000002</v>
      </c>
      <c r="CO91" s="125">
        <v>1942.3200000000002</v>
      </c>
      <c r="CP91" s="125">
        <v>0</v>
      </c>
      <c r="CQ91" s="125">
        <v>7577.52</v>
      </c>
      <c r="CR91" s="125">
        <v>4108.5499999999993</v>
      </c>
      <c r="CS91" s="125">
        <v>87953.46</v>
      </c>
      <c r="CT91" s="125">
        <v>0</v>
      </c>
      <c r="CU91" s="141">
        <v>886.55421686746979</v>
      </c>
      <c r="CV91" s="142">
        <v>190660.00848002173</v>
      </c>
      <c r="CW91" s="143">
        <v>0.1370112885927659</v>
      </c>
      <c r="CX91" s="140">
        <v>1516065.3900000001</v>
      </c>
      <c r="CY91" s="140">
        <v>412239.48000000004</v>
      </c>
    </row>
    <row r="92" spans="1:103" ht="12" customHeight="1" x14ac:dyDescent="0.25">
      <c r="A92" s="122">
        <v>88</v>
      </c>
      <c r="B92" s="123" t="s">
        <v>138</v>
      </c>
      <c r="C92" s="124">
        <v>8990.7000000000007</v>
      </c>
      <c r="D92" s="125">
        <v>8990.7000000000007</v>
      </c>
      <c r="E92" s="125">
        <v>0</v>
      </c>
      <c r="F92" s="125">
        <v>835.8</v>
      </c>
      <c r="G92" s="124">
        <v>8990.7000000000007</v>
      </c>
      <c r="H92" s="124">
        <v>8990.7000000000007</v>
      </c>
      <c r="I92" s="126">
        <v>6</v>
      </c>
      <c r="J92" s="126">
        <v>0</v>
      </c>
      <c r="K92" s="127">
        <v>1.06689796852859E-2</v>
      </c>
      <c r="L92" s="127">
        <v>1.518511087874313E-2</v>
      </c>
      <c r="M92" s="127"/>
      <c r="N92" s="127"/>
      <c r="O92" s="128" t="s">
        <v>1489</v>
      </c>
      <c r="P92" s="129" t="s">
        <v>1493</v>
      </c>
      <c r="Q92" s="130">
        <v>6.91</v>
      </c>
      <c r="R92" s="130">
        <v>3.15</v>
      </c>
      <c r="S92" s="130">
        <v>1.81</v>
      </c>
      <c r="T92" s="38">
        <v>0.26</v>
      </c>
      <c r="U92" s="131">
        <v>45.06</v>
      </c>
      <c r="V92" s="144">
        <v>6</v>
      </c>
      <c r="W92" s="132">
        <v>1.4457831325301205E-2</v>
      </c>
      <c r="X92" s="133">
        <v>149066.04731882468</v>
      </c>
      <c r="Y92" s="134">
        <v>40834.46</v>
      </c>
      <c r="Z92" s="134">
        <v>19229.207979880728</v>
      </c>
      <c r="AA92" s="134">
        <v>5657.4456792274786</v>
      </c>
      <c r="AB92" s="134">
        <v>3901.0936597164855</v>
      </c>
      <c r="AC92" s="126">
        <v>0</v>
      </c>
      <c r="AD92" s="126">
        <v>79443.839999999997</v>
      </c>
      <c r="AE92" s="126">
        <v>0</v>
      </c>
      <c r="AF92" s="126">
        <v>0</v>
      </c>
      <c r="AG92" s="126">
        <v>0</v>
      </c>
      <c r="AH92" s="126">
        <v>0</v>
      </c>
      <c r="AI92" s="126">
        <v>0</v>
      </c>
      <c r="AJ92" s="126">
        <v>0</v>
      </c>
      <c r="AK92" s="126">
        <v>0</v>
      </c>
      <c r="AL92" s="126">
        <v>0</v>
      </c>
      <c r="AM92" s="126">
        <v>0</v>
      </c>
      <c r="AN92" s="126">
        <v>0</v>
      </c>
      <c r="AO92" s="126">
        <v>0</v>
      </c>
      <c r="AP92" s="126">
        <v>0</v>
      </c>
      <c r="AQ92" s="126">
        <v>0</v>
      </c>
      <c r="AR92" s="126">
        <v>0</v>
      </c>
      <c r="AS92" s="126">
        <v>0</v>
      </c>
      <c r="AT92" s="126">
        <v>0</v>
      </c>
      <c r="AU92" s="126">
        <v>0</v>
      </c>
      <c r="AV92" s="126">
        <v>0</v>
      </c>
      <c r="AW92" s="135">
        <v>862016.51925653033</v>
      </c>
      <c r="AX92" s="136">
        <v>619594.72048986889</v>
      </c>
      <c r="AY92" s="136">
        <v>57586.665625716429</v>
      </c>
      <c r="AZ92" s="126">
        <v>0</v>
      </c>
      <c r="BA92" s="126">
        <v>17402.309328681818</v>
      </c>
      <c r="BB92" s="126">
        <v>0</v>
      </c>
      <c r="BC92" s="126">
        <v>0</v>
      </c>
      <c r="BD92" s="126">
        <v>3862.338125648655</v>
      </c>
      <c r="BE92" s="126">
        <v>145361.43599999999</v>
      </c>
      <c r="BF92" s="126">
        <v>5060.8674990899017</v>
      </c>
      <c r="BG92" s="126">
        <v>2533.8590441421229</v>
      </c>
      <c r="BH92" s="126">
        <v>10614.323143382606</v>
      </c>
      <c r="BI92" s="137">
        <v>1341354.7592662841</v>
      </c>
      <c r="BJ92" s="126">
        <v>9500.1707811062552</v>
      </c>
      <c r="BK92" s="126">
        <v>13518.183439770291</v>
      </c>
      <c r="BL92" s="126">
        <v>14501.747889095304</v>
      </c>
      <c r="BM92" s="126">
        <v>14371.617341644853</v>
      </c>
      <c r="BN92" s="126">
        <v>241731.92243185471</v>
      </c>
      <c r="BO92" s="126">
        <v>138780.02306381922</v>
      </c>
      <c r="BP92" s="126">
        <v>113858.22557063799</v>
      </c>
      <c r="BQ92" s="126">
        <v>617744.63581507595</v>
      </c>
      <c r="BR92" s="126">
        <v>23053.808770665917</v>
      </c>
      <c r="BS92" s="126">
        <v>25596.829741232221</v>
      </c>
      <c r="BT92" s="126">
        <v>127701.14612501023</v>
      </c>
      <c r="BU92" s="126">
        <v>0</v>
      </c>
      <c r="BV92" s="126">
        <v>996.44829637102907</v>
      </c>
      <c r="BW92" s="126">
        <v>154155.20735428209</v>
      </c>
      <c r="BX92" s="126">
        <v>546902.56601292687</v>
      </c>
      <c r="BY92" s="126">
        <v>480970.36759391887</v>
      </c>
      <c r="BZ92" s="126">
        <v>91564.235854101556</v>
      </c>
      <c r="CA92" s="137">
        <v>471763.83472392656</v>
      </c>
      <c r="CB92" s="126">
        <v>15576.84</v>
      </c>
      <c r="CC92" s="126">
        <v>453930.95500783197</v>
      </c>
      <c r="CD92" s="126">
        <v>0</v>
      </c>
      <c r="CE92" s="126">
        <v>0</v>
      </c>
      <c r="CF92" s="126">
        <v>2256.0397160945618</v>
      </c>
      <c r="CG92" s="137">
        <v>135311.76536909191</v>
      </c>
      <c r="CH92" s="126">
        <v>33459.995999999999</v>
      </c>
      <c r="CI92" s="126">
        <v>101851.76936909191</v>
      </c>
      <c r="CJ92" s="120"/>
      <c r="CK92" s="138">
        <v>4233105.3027498871</v>
      </c>
      <c r="CL92" s="139">
        <v>39.235963298648294</v>
      </c>
      <c r="CM92" s="140">
        <v>4589927.41</v>
      </c>
      <c r="CN92" s="125">
        <v>4771.3200000000006</v>
      </c>
      <c r="CO92" s="125">
        <v>4778.2400000000007</v>
      </c>
      <c r="CP92" s="125">
        <v>0</v>
      </c>
      <c r="CQ92" s="125">
        <v>18672.78</v>
      </c>
      <c r="CR92" s="125">
        <v>10148.540000000001</v>
      </c>
      <c r="CS92" s="125">
        <v>216092.13</v>
      </c>
      <c r="CT92" s="125">
        <v>0</v>
      </c>
      <c r="CU92" s="141">
        <v>5319.3253012048199</v>
      </c>
      <c r="CV92" s="142">
        <v>362141.43255131785</v>
      </c>
      <c r="CW92" s="143">
        <v>8.4293227248166014E-2</v>
      </c>
      <c r="CX92" s="140">
        <v>4766878.84</v>
      </c>
      <c r="CY92" s="140">
        <v>1213180.23</v>
      </c>
    </row>
    <row r="93" spans="1:103" ht="12" customHeight="1" x14ac:dyDescent="0.25">
      <c r="A93" s="122">
        <v>89</v>
      </c>
      <c r="B93" s="123" t="s">
        <v>139</v>
      </c>
      <c r="C93" s="124">
        <v>3242.2</v>
      </c>
      <c r="D93" s="125">
        <v>2712.7</v>
      </c>
      <c r="E93" s="125">
        <v>529.5</v>
      </c>
      <c r="F93" s="125">
        <v>305.5</v>
      </c>
      <c r="G93" s="124">
        <v>3242.2</v>
      </c>
      <c r="H93" s="124"/>
      <c r="I93" s="126">
        <v>0</v>
      </c>
      <c r="J93" s="126">
        <v>0</v>
      </c>
      <c r="K93" s="127">
        <v>0</v>
      </c>
      <c r="L93" s="127">
        <v>0</v>
      </c>
      <c r="M93" s="127"/>
      <c r="N93" s="127"/>
      <c r="O93" s="128" t="s">
        <v>1489</v>
      </c>
      <c r="P93" s="129" t="s">
        <v>1493</v>
      </c>
      <c r="Q93" s="130">
        <v>6.92</v>
      </c>
      <c r="R93" s="130">
        <v>3.15</v>
      </c>
      <c r="S93" s="130">
        <v>0</v>
      </c>
      <c r="T93" s="38">
        <v>0.26</v>
      </c>
      <c r="U93" s="131">
        <v>31</v>
      </c>
      <c r="V93" s="144">
        <v>4</v>
      </c>
      <c r="W93" s="132">
        <v>9.638554216867469E-3</v>
      </c>
      <c r="X93" s="133">
        <v>73714.29343822987</v>
      </c>
      <c r="Y93" s="134">
        <v>34248.74</v>
      </c>
      <c r="Z93" s="134">
        <v>6934.3808727206215</v>
      </c>
      <c r="AA93" s="134">
        <v>2040.1715529593166</v>
      </c>
      <c r="AB93" s="134">
        <v>1406.8010125499447</v>
      </c>
      <c r="AC93" s="126">
        <v>0</v>
      </c>
      <c r="AD93" s="126">
        <v>29084.2</v>
      </c>
      <c r="AE93" s="126">
        <v>0</v>
      </c>
      <c r="AF93" s="126">
        <v>0</v>
      </c>
      <c r="AG93" s="126">
        <v>0</v>
      </c>
      <c r="AH93" s="126">
        <v>0</v>
      </c>
      <c r="AI93" s="126">
        <v>0</v>
      </c>
      <c r="AJ93" s="126">
        <v>0</v>
      </c>
      <c r="AK93" s="126">
        <v>0</v>
      </c>
      <c r="AL93" s="126">
        <v>0</v>
      </c>
      <c r="AM93" s="126">
        <v>0</v>
      </c>
      <c r="AN93" s="126">
        <v>0</v>
      </c>
      <c r="AO93" s="126">
        <v>0</v>
      </c>
      <c r="AP93" s="126">
        <v>0</v>
      </c>
      <c r="AQ93" s="126">
        <v>0</v>
      </c>
      <c r="AR93" s="126">
        <v>0</v>
      </c>
      <c r="AS93" s="126">
        <v>0</v>
      </c>
      <c r="AT93" s="126">
        <v>0</v>
      </c>
      <c r="AU93" s="126">
        <v>0</v>
      </c>
      <c r="AV93" s="126">
        <v>0</v>
      </c>
      <c r="AW93" s="135">
        <v>458651.99299319548</v>
      </c>
      <c r="AX93" s="136">
        <v>223436.44018510825</v>
      </c>
      <c r="AY93" s="136">
        <v>20766.73532558063</v>
      </c>
      <c r="AZ93" s="126">
        <v>0</v>
      </c>
      <c r="BA93" s="126">
        <v>6275.5700118402556</v>
      </c>
      <c r="BB93" s="126">
        <v>0</v>
      </c>
      <c r="BC93" s="126">
        <v>200213.92799999999</v>
      </c>
      <c r="BD93" s="126">
        <v>1392.8251049393336</v>
      </c>
      <c r="BE93" s="126">
        <v>0</v>
      </c>
      <c r="BF93" s="126">
        <v>1825.0352703959954</v>
      </c>
      <c r="BG93" s="126">
        <v>913.75285494094896</v>
      </c>
      <c r="BH93" s="126">
        <v>3827.7062403900786</v>
      </c>
      <c r="BI93" s="137">
        <v>483715.4393421142</v>
      </c>
      <c r="BJ93" s="126">
        <v>3425.9238664956783</v>
      </c>
      <c r="BK93" s="126">
        <v>4874.8878672876681</v>
      </c>
      <c r="BL93" s="126">
        <v>5229.5780090565577</v>
      </c>
      <c r="BM93" s="126">
        <v>5182.6507107434272</v>
      </c>
      <c r="BN93" s="126">
        <v>87172.660516818403</v>
      </c>
      <c r="BO93" s="126">
        <v>50046.446970482233</v>
      </c>
      <c r="BP93" s="126">
        <v>41059.221077905218</v>
      </c>
      <c r="BQ93" s="126">
        <v>222769.26804805401</v>
      </c>
      <c r="BR93" s="126">
        <v>8313.5972500754142</v>
      </c>
      <c r="BS93" s="126">
        <v>9230.6540521898296</v>
      </c>
      <c r="BT93" s="126">
        <v>46051.214695908893</v>
      </c>
      <c r="BU93" s="126">
        <v>0</v>
      </c>
      <c r="BV93" s="126">
        <v>359.3362770967945</v>
      </c>
      <c r="BW93" s="126">
        <v>55591.001065996345</v>
      </c>
      <c r="BX93" s="126">
        <v>197222.40754636584</v>
      </c>
      <c r="BY93" s="126">
        <v>173446.13053633238</v>
      </c>
      <c r="BZ93" s="126">
        <v>0</v>
      </c>
      <c r="CA93" s="137">
        <v>0</v>
      </c>
      <c r="CB93" s="126">
        <v>0</v>
      </c>
      <c r="CC93" s="126">
        <v>0</v>
      </c>
      <c r="CD93" s="126">
        <v>0</v>
      </c>
      <c r="CE93" s="126">
        <v>0</v>
      </c>
      <c r="CF93" s="126">
        <v>0</v>
      </c>
      <c r="CG93" s="137">
        <v>47879.491876190921</v>
      </c>
      <c r="CH93" s="126">
        <v>11150.003999999999</v>
      </c>
      <c r="CI93" s="126">
        <v>36729.48787619092</v>
      </c>
      <c r="CJ93" s="120"/>
      <c r="CK93" s="138">
        <v>1490220.7567984252</v>
      </c>
      <c r="CL93" s="139">
        <v>38.302715152222397</v>
      </c>
      <c r="CM93" s="140">
        <v>967568.64</v>
      </c>
      <c r="CN93" s="125">
        <v>1594.6799999999998</v>
      </c>
      <c r="CO93" s="125">
        <v>1594.6799999999998</v>
      </c>
      <c r="CP93" s="125">
        <v>0</v>
      </c>
      <c r="CQ93" s="125">
        <v>6222.48</v>
      </c>
      <c r="CR93" s="125">
        <v>3373.2599999999998</v>
      </c>
      <c r="CS93" s="125">
        <v>14098.800000000001</v>
      </c>
      <c r="CT93" s="125">
        <v>137923.50106553049</v>
      </c>
      <c r="CU93" s="141">
        <v>3546.2168674698792</v>
      </c>
      <c r="CV93" s="142">
        <v>-381182.3988654248</v>
      </c>
      <c r="CW93" s="143">
        <v>0</v>
      </c>
      <c r="CX93" s="140">
        <v>980338.21</v>
      </c>
      <c r="CY93" s="140">
        <v>279033.83999999997</v>
      </c>
    </row>
    <row r="94" spans="1:103" ht="12" customHeight="1" x14ac:dyDescent="0.25">
      <c r="A94" s="122">
        <v>90</v>
      </c>
      <c r="B94" s="123" t="s">
        <v>140</v>
      </c>
      <c r="C94" s="124">
        <v>3473.5</v>
      </c>
      <c r="D94" s="125">
        <v>3473.5</v>
      </c>
      <c r="E94" s="125">
        <v>0</v>
      </c>
      <c r="F94" s="125">
        <v>325.60000000000002</v>
      </c>
      <c r="G94" s="124">
        <v>3473.5</v>
      </c>
      <c r="H94" s="124"/>
      <c r="I94" s="126">
        <v>0</v>
      </c>
      <c r="J94" s="126">
        <v>0</v>
      </c>
      <c r="K94" s="127">
        <v>0</v>
      </c>
      <c r="L94" s="127">
        <v>0</v>
      </c>
      <c r="M94" s="127"/>
      <c r="N94" s="127"/>
      <c r="O94" s="128" t="s">
        <v>1489</v>
      </c>
      <c r="P94" s="129" t="s">
        <v>1493</v>
      </c>
      <c r="Q94" s="130">
        <v>6.92</v>
      </c>
      <c r="R94" s="130">
        <v>3.15</v>
      </c>
      <c r="S94" s="130">
        <v>0</v>
      </c>
      <c r="T94" s="38">
        <v>0.26</v>
      </c>
      <c r="U94" s="131">
        <v>31</v>
      </c>
      <c r="V94" s="144">
        <v>4</v>
      </c>
      <c r="W94" s="132">
        <v>9.638554216867469E-3</v>
      </c>
      <c r="X94" s="133">
        <v>102935.98384174064</v>
      </c>
      <c r="Y94" s="134">
        <v>91814.02</v>
      </c>
      <c r="Z94" s="134">
        <v>7429.08270970177</v>
      </c>
      <c r="AA94" s="134">
        <v>2185.7183052261389</v>
      </c>
      <c r="AB94" s="134">
        <v>1507.1628268127299</v>
      </c>
      <c r="AC94" s="126">
        <v>0</v>
      </c>
      <c r="AD94" s="126">
        <v>0</v>
      </c>
      <c r="AE94" s="126">
        <v>0</v>
      </c>
      <c r="AF94" s="126">
        <v>0</v>
      </c>
      <c r="AG94" s="126">
        <v>0</v>
      </c>
      <c r="AH94" s="126">
        <v>0</v>
      </c>
      <c r="AI94" s="126">
        <v>0</v>
      </c>
      <c r="AJ94" s="126">
        <v>0</v>
      </c>
      <c r="AK94" s="126">
        <v>0</v>
      </c>
      <c r="AL94" s="126">
        <v>0</v>
      </c>
      <c r="AM94" s="126">
        <v>0</v>
      </c>
      <c r="AN94" s="126">
        <v>0</v>
      </c>
      <c r="AO94" s="126">
        <v>0</v>
      </c>
      <c r="AP94" s="126">
        <v>0</v>
      </c>
      <c r="AQ94" s="126">
        <v>0</v>
      </c>
      <c r="AR94" s="126">
        <v>0</v>
      </c>
      <c r="AS94" s="126">
        <v>0</v>
      </c>
      <c r="AT94" s="126">
        <v>0</v>
      </c>
      <c r="AU94" s="126">
        <v>0</v>
      </c>
      <c r="AV94" s="126">
        <v>0</v>
      </c>
      <c r="AW94" s="135">
        <v>356786.94428976148</v>
      </c>
      <c r="AX94" s="136">
        <v>239376.49589259562</v>
      </c>
      <c r="AY94" s="136">
        <v>22248.243523966543</v>
      </c>
      <c r="AZ94" s="126">
        <v>0</v>
      </c>
      <c r="BA94" s="126">
        <v>6723.2719869616703</v>
      </c>
      <c r="BB94" s="126">
        <v>0</v>
      </c>
      <c r="BC94" s="126">
        <v>79911.792000000001</v>
      </c>
      <c r="BD94" s="126">
        <v>1492.1898716941507</v>
      </c>
      <c r="BE94" s="126">
        <v>0</v>
      </c>
      <c r="BF94" s="126">
        <v>1955.2341039172447</v>
      </c>
      <c r="BG94" s="126">
        <v>978.94039283122152</v>
      </c>
      <c r="BH94" s="126">
        <v>4100.7765177949968</v>
      </c>
      <c r="BI94" s="137">
        <v>518223.91541386506</v>
      </c>
      <c r="BJ94" s="126">
        <v>3670.3308094111217</v>
      </c>
      <c r="BK94" s="126">
        <v>5222.6645509295276</v>
      </c>
      <c r="BL94" s="126">
        <v>5602.6584462580813</v>
      </c>
      <c r="BM94" s="126">
        <v>5552.3833334671817</v>
      </c>
      <c r="BN94" s="126">
        <v>93391.597157846132</v>
      </c>
      <c r="BO94" s="126">
        <v>53616.782910360263</v>
      </c>
      <c r="BP94" s="126">
        <v>43988.404297731104</v>
      </c>
      <c r="BQ94" s="126">
        <v>238661.72739649485</v>
      </c>
      <c r="BR94" s="126">
        <v>8906.6930010909109</v>
      </c>
      <c r="BS94" s="126">
        <v>9889.1730461666066</v>
      </c>
      <c r="BT94" s="126">
        <v>49336.528976077832</v>
      </c>
      <c r="BU94" s="126">
        <v>0</v>
      </c>
      <c r="BV94" s="126">
        <v>384.97148803149582</v>
      </c>
      <c r="BW94" s="126">
        <v>59556.887978143946</v>
      </c>
      <c r="BX94" s="126">
        <v>211292.34242560662</v>
      </c>
      <c r="BY94" s="126">
        <v>185819.85516561303</v>
      </c>
      <c r="BZ94" s="126">
        <v>0</v>
      </c>
      <c r="CA94" s="137">
        <v>0</v>
      </c>
      <c r="CB94" s="126">
        <v>0</v>
      </c>
      <c r="CC94" s="126">
        <v>0</v>
      </c>
      <c r="CD94" s="126">
        <v>0</v>
      </c>
      <c r="CE94" s="126">
        <v>0</v>
      </c>
      <c r="CF94" s="126">
        <v>0</v>
      </c>
      <c r="CG94" s="137">
        <v>52869.789990361227</v>
      </c>
      <c r="CH94" s="126">
        <v>13520.003999999999</v>
      </c>
      <c r="CI94" s="126">
        <v>39349.785990361226</v>
      </c>
      <c r="CJ94" s="120"/>
      <c r="CK94" s="138">
        <v>1487485.7191050923</v>
      </c>
      <c r="CL94" s="139">
        <v>35.686524617462986</v>
      </c>
      <c r="CM94" s="140">
        <v>1239586.72</v>
      </c>
      <c r="CN94" s="125">
        <v>2031.4399999999998</v>
      </c>
      <c r="CO94" s="125">
        <v>2031.4399999999998</v>
      </c>
      <c r="CP94" s="125">
        <v>0</v>
      </c>
      <c r="CQ94" s="125">
        <v>7927.7099999999991</v>
      </c>
      <c r="CR94" s="125">
        <v>4300.3900000000003</v>
      </c>
      <c r="CS94" s="125">
        <v>17971.080000000002</v>
      </c>
      <c r="CT94" s="125">
        <v>0</v>
      </c>
      <c r="CU94" s="141">
        <v>3546.2168674698792</v>
      </c>
      <c r="CV94" s="142">
        <v>-244352.78223762242</v>
      </c>
      <c r="CW94" s="143">
        <v>0</v>
      </c>
      <c r="CX94" s="140">
        <v>1333604.6099999999</v>
      </c>
      <c r="CY94" s="140">
        <v>336584.01</v>
      </c>
    </row>
    <row r="95" spans="1:103" ht="12" customHeight="1" x14ac:dyDescent="0.25">
      <c r="A95" s="122">
        <v>91</v>
      </c>
      <c r="B95" s="123" t="s">
        <v>141</v>
      </c>
      <c r="C95" s="124">
        <v>3480.2</v>
      </c>
      <c r="D95" s="125">
        <v>3480.2</v>
      </c>
      <c r="E95" s="125">
        <v>0</v>
      </c>
      <c r="F95" s="125">
        <v>307.7</v>
      </c>
      <c r="G95" s="124">
        <v>3480.2</v>
      </c>
      <c r="H95" s="124"/>
      <c r="I95" s="126">
        <v>0</v>
      </c>
      <c r="J95" s="126">
        <v>0</v>
      </c>
      <c r="K95" s="127">
        <v>0</v>
      </c>
      <c r="L95" s="127">
        <v>0</v>
      </c>
      <c r="M95" s="127"/>
      <c r="N95" s="127"/>
      <c r="O95" s="128" t="s">
        <v>1489</v>
      </c>
      <c r="P95" s="129" t="s">
        <v>1493</v>
      </c>
      <c r="Q95" s="130">
        <v>6.92</v>
      </c>
      <c r="R95" s="130">
        <v>3.15</v>
      </c>
      <c r="S95" s="130">
        <v>0</v>
      </c>
      <c r="T95" s="38">
        <v>0.26</v>
      </c>
      <c r="U95" s="131">
        <v>31</v>
      </c>
      <c r="V95" s="144">
        <v>4</v>
      </c>
      <c r="W95" s="132">
        <v>9.638554216867469E-3</v>
      </c>
      <c r="X95" s="133">
        <v>66058.936888448472</v>
      </c>
      <c r="Y95" s="134">
        <v>29318.71</v>
      </c>
      <c r="Z95" s="134">
        <v>7443.4125943008776</v>
      </c>
      <c r="AA95" s="134">
        <v>2189.9343157760204</v>
      </c>
      <c r="AB95" s="134">
        <v>1510.0699783715741</v>
      </c>
      <c r="AC95" s="126">
        <v>19253</v>
      </c>
      <c r="AD95" s="126">
        <v>0</v>
      </c>
      <c r="AE95" s="126">
        <v>0</v>
      </c>
      <c r="AF95" s="126">
        <v>0</v>
      </c>
      <c r="AG95" s="126">
        <v>0</v>
      </c>
      <c r="AH95" s="126">
        <v>0</v>
      </c>
      <c r="AI95" s="126">
        <v>6343.81</v>
      </c>
      <c r="AJ95" s="126">
        <v>0</v>
      </c>
      <c r="AK95" s="126">
        <v>0</v>
      </c>
      <c r="AL95" s="126">
        <v>0</v>
      </c>
      <c r="AM95" s="126">
        <v>0</v>
      </c>
      <c r="AN95" s="126">
        <v>0</v>
      </c>
      <c r="AO95" s="126">
        <v>0</v>
      </c>
      <c r="AP95" s="126">
        <v>0</v>
      </c>
      <c r="AQ95" s="126">
        <v>0</v>
      </c>
      <c r="AR95" s="126">
        <v>0</v>
      </c>
      <c r="AS95" s="126">
        <v>0</v>
      </c>
      <c r="AT95" s="126">
        <v>0</v>
      </c>
      <c r="AU95" s="126">
        <v>0</v>
      </c>
      <c r="AV95" s="126">
        <v>0</v>
      </c>
      <c r="AW95" s="135">
        <v>338519.31004889234</v>
      </c>
      <c r="AX95" s="136">
        <v>239838.22686207318</v>
      </c>
      <c r="AY95" s="136">
        <v>22291.157942164489</v>
      </c>
      <c r="AZ95" s="126">
        <v>0</v>
      </c>
      <c r="BA95" s="126">
        <v>6736.2404401969206</v>
      </c>
      <c r="BB95" s="126">
        <v>0</v>
      </c>
      <c r="BC95" s="126">
        <v>61110.095999999998</v>
      </c>
      <c r="BD95" s="126">
        <v>1495.0681420670746</v>
      </c>
      <c r="BE95" s="126">
        <v>0</v>
      </c>
      <c r="BF95" s="126">
        <v>1959.0055357572462</v>
      </c>
      <c r="BG95" s="126">
        <v>980.82866133042091</v>
      </c>
      <c r="BH95" s="126">
        <v>4108.6864653030507</v>
      </c>
      <c r="BI95" s="137">
        <v>519223.51242934598</v>
      </c>
      <c r="BJ95" s="126">
        <v>3677.4104744242363</v>
      </c>
      <c r="BK95" s="126">
        <v>5232.7384972347609</v>
      </c>
      <c r="BL95" s="126">
        <v>5613.4653590520729</v>
      </c>
      <c r="BM95" s="126">
        <v>5563.0932710903944</v>
      </c>
      <c r="BN95" s="126">
        <v>93571.739291416758</v>
      </c>
      <c r="BO95" s="126">
        <v>53720.20379577826</v>
      </c>
      <c r="BP95" s="126">
        <v>44073.253098305395</v>
      </c>
      <c r="BQ95" s="126">
        <v>239122.0796560476</v>
      </c>
      <c r="BR95" s="126">
        <v>8923.873033653832</v>
      </c>
      <c r="BS95" s="126">
        <v>9908.248174829143</v>
      </c>
      <c r="BT95" s="126">
        <v>49431.693721763659</v>
      </c>
      <c r="BU95" s="126">
        <v>0</v>
      </c>
      <c r="BV95" s="126">
        <v>385.71405574988097</v>
      </c>
      <c r="BW95" s="126">
        <v>59671.766673826562</v>
      </c>
      <c r="BX95" s="126">
        <v>211699.90214757339</v>
      </c>
      <c r="BY95" s="126">
        <v>186178.28125733882</v>
      </c>
      <c r="BZ95" s="126">
        <v>0</v>
      </c>
      <c r="CA95" s="137">
        <v>0</v>
      </c>
      <c r="CB95" s="126">
        <v>0</v>
      </c>
      <c r="CC95" s="126">
        <v>0</v>
      </c>
      <c r="CD95" s="126">
        <v>0</v>
      </c>
      <c r="CE95" s="126">
        <v>0</v>
      </c>
      <c r="CF95" s="126">
        <v>0</v>
      </c>
      <c r="CG95" s="137">
        <v>52945.691405687387</v>
      </c>
      <c r="CH95" s="126">
        <v>13520.003999999999</v>
      </c>
      <c r="CI95" s="126">
        <v>39425.687405687386</v>
      </c>
      <c r="CJ95" s="120"/>
      <c r="CK95" s="138">
        <v>1434297.400851113</v>
      </c>
      <c r="CL95" s="139">
        <v>34.344228321435388</v>
      </c>
      <c r="CM95" s="140">
        <v>1236261.17</v>
      </c>
      <c r="CN95" s="125">
        <v>1920.3700000000003</v>
      </c>
      <c r="CO95" s="125">
        <v>1920.3700000000003</v>
      </c>
      <c r="CP95" s="125">
        <v>0</v>
      </c>
      <c r="CQ95" s="125">
        <v>7489.32</v>
      </c>
      <c r="CR95" s="125">
        <v>4062.6000000000004</v>
      </c>
      <c r="CS95" s="125">
        <v>16857.55</v>
      </c>
      <c r="CT95" s="125">
        <v>0</v>
      </c>
      <c r="CU95" s="141">
        <v>3546.2168674698792</v>
      </c>
      <c r="CV95" s="142">
        <v>-194490.01398364315</v>
      </c>
      <c r="CW95" s="143">
        <v>0</v>
      </c>
      <c r="CX95" s="140">
        <v>1230869.9400000002</v>
      </c>
      <c r="CY95" s="140">
        <v>260222.93</v>
      </c>
    </row>
    <row r="96" spans="1:103" ht="12" customHeight="1" x14ac:dyDescent="0.25">
      <c r="A96" s="122">
        <v>92</v>
      </c>
      <c r="B96" s="123" t="s">
        <v>142</v>
      </c>
      <c r="C96" s="124">
        <v>3501.57</v>
      </c>
      <c r="D96" s="125">
        <v>3501.57</v>
      </c>
      <c r="E96" s="125">
        <v>0</v>
      </c>
      <c r="F96" s="125">
        <v>302.8</v>
      </c>
      <c r="G96" s="124">
        <v>3501.57</v>
      </c>
      <c r="H96" s="124"/>
      <c r="I96" s="126">
        <v>0</v>
      </c>
      <c r="J96" s="126">
        <v>0</v>
      </c>
      <c r="K96" s="127">
        <v>0</v>
      </c>
      <c r="L96" s="127">
        <v>0</v>
      </c>
      <c r="M96" s="127"/>
      <c r="N96" s="127"/>
      <c r="O96" s="128" t="s">
        <v>1489</v>
      </c>
      <c r="P96" s="129" t="s">
        <v>1493</v>
      </c>
      <c r="Q96" s="130">
        <v>6.92</v>
      </c>
      <c r="R96" s="130">
        <v>3.15</v>
      </c>
      <c r="S96" s="130">
        <v>0</v>
      </c>
      <c r="T96" s="38">
        <v>0.26</v>
      </c>
      <c r="U96" s="131">
        <v>31</v>
      </c>
      <c r="V96" s="144">
        <v>4</v>
      </c>
      <c r="W96" s="132">
        <v>9.638554216867469E-3</v>
      </c>
      <c r="X96" s="133">
        <v>294339.37250160467</v>
      </c>
      <c r="Y96" s="134">
        <v>32548.93</v>
      </c>
      <c r="Z96" s="134">
        <v>7489.1185098057949</v>
      </c>
      <c r="AA96" s="134">
        <v>2203.3815016642266</v>
      </c>
      <c r="AB96" s="134">
        <v>1519.3424901346339</v>
      </c>
      <c r="AC96" s="126">
        <v>208489.02</v>
      </c>
      <c r="AD96" s="126">
        <v>36546.99</v>
      </c>
      <c r="AE96" s="126">
        <v>0</v>
      </c>
      <c r="AF96" s="126">
        <v>0</v>
      </c>
      <c r="AG96" s="126">
        <v>0</v>
      </c>
      <c r="AH96" s="126">
        <v>0</v>
      </c>
      <c r="AI96" s="126">
        <v>5542.59</v>
      </c>
      <c r="AJ96" s="126">
        <v>0</v>
      </c>
      <c r="AK96" s="126">
        <v>0</v>
      </c>
      <c r="AL96" s="126">
        <v>0</v>
      </c>
      <c r="AM96" s="126">
        <v>0</v>
      </c>
      <c r="AN96" s="126">
        <v>0</v>
      </c>
      <c r="AO96" s="126">
        <v>0</v>
      </c>
      <c r="AP96" s="126">
        <v>0</v>
      </c>
      <c r="AQ96" s="126">
        <v>0</v>
      </c>
      <c r="AR96" s="126">
        <v>0</v>
      </c>
      <c r="AS96" s="126">
        <v>0</v>
      </c>
      <c r="AT96" s="126">
        <v>0</v>
      </c>
      <c r="AU96" s="126">
        <v>0</v>
      </c>
      <c r="AV96" s="126">
        <v>0</v>
      </c>
      <c r="AW96" s="135">
        <v>409596.41992838925</v>
      </c>
      <c r="AX96" s="136">
        <v>241310.9419094965</v>
      </c>
      <c r="AY96" s="136">
        <v>22428.035720804815</v>
      </c>
      <c r="AZ96" s="126">
        <v>0</v>
      </c>
      <c r="BA96" s="126">
        <v>6777.6039992472661</v>
      </c>
      <c r="BB96" s="126">
        <v>0</v>
      </c>
      <c r="BC96" s="126">
        <v>55628.867999999995</v>
      </c>
      <c r="BD96" s="126">
        <v>1504.2485357789226</v>
      </c>
      <c r="BE96" s="126">
        <v>74854.92</v>
      </c>
      <c r="BF96" s="126">
        <v>1971.0347146260276</v>
      </c>
      <c r="BG96" s="126">
        <v>986.8513923495093</v>
      </c>
      <c r="BH96" s="126">
        <v>4133.9156560862029</v>
      </c>
      <c r="BI96" s="137">
        <v>522411.77932797692</v>
      </c>
      <c r="BJ96" s="126">
        <v>3699.9914358168135</v>
      </c>
      <c r="BK96" s="126">
        <v>5264.8698752262289</v>
      </c>
      <c r="BL96" s="126">
        <v>5647.9345719487292</v>
      </c>
      <c r="BM96" s="126">
        <v>5597.2531766139855</v>
      </c>
      <c r="BN96" s="126">
        <v>94146.312036850242</v>
      </c>
      <c r="BO96" s="126">
        <v>54050.070112402529</v>
      </c>
      <c r="BP96" s="126">
        <v>44343.88278013713</v>
      </c>
      <c r="BQ96" s="126">
        <v>240590.39723614353</v>
      </c>
      <c r="BR96" s="126">
        <v>8978.6696449776609</v>
      </c>
      <c r="BS96" s="126">
        <v>9969.0892941602451</v>
      </c>
      <c r="BT96" s="126">
        <v>49735.226649421296</v>
      </c>
      <c r="BU96" s="126">
        <v>0</v>
      </c>
      <c r="BV96" s="126">
        <v>388.08251427852161</v>
      </c>
      <c r="BW96" s="126">
        <v>60038.178274832164</v>
      </c>
      <c r="BX96" s="126">
        <v>212999.83517121963</v>
      </c>
      <c r="BY96" s="126">
        <v>187321.50000064939</v>
      </c>
      <c r="BZ96" s="126">
        <v>0</v>
      </c>
      <c r="CA96" s="137">
        <v>0</v>
      </c>
      <c r="CB96" s="126">
        <v>0</v>
      </c>
      <c r="CC96" s="126">
        <v>0</v>
      </c>
      <c r="CD96" s="126">
        <v>0</v>
      </c>
      <c r="CE96" s="126">
        <v>0</v>
      </c>
      <c r="CF96" s="126">
        <v>0</v>
      </c>
      <c r="CG96" s="137">
        <v>53017.778934869493</v>
      </c>
      <c r="CH96" s="126">
        <v>13350</v>
      </c>
      <c r="CI96" s="126">
        <v>39667.778934869493</v>
      </c>
      <c r="CJ96" s="120"/>
      <c r="CK96" s="138">
        <v>1739724.8641395415</v>
      </c>
      <c r="CL96" s="139">
        <v>41.403448170857203</v>
      </c>
      <c r="CM96" s="140">
        <v>1248799.8</v>
      </c>
      <c r="CN96" s="125">
        <v>1889.52</v>
      </c>
      <c r="CO96" s="125">
        <v>1889.52</v>
      </c>
      <c r="CP96" s="125">
        <v>0</v>
      </c>
      <c r="CQ96" s="125">
        <v>7370.88</v>
      </c>
      <c r="CR96" s="125">
        <v>3995.87</v>
      </c>
      <c r="CS96" s="125">
        <v>16714.580000000002</v>
      </c>
      <c r="CT96" s="125">
        <v>0</v>
      </c>
      <c r="CU96" s="141">
        <v>3546.2168674698792</v>
      </c>
      <c r="CV96" s="142">
        <v>-487378.84727207152</v>
      </c>
      <c r="CW96" s="143">
        <v>0</v>
      </c>
      <c r="CX96" s="140">
        <v>1195978.4100000001</v>
      </c>
      <c r="CY96" s="140">
        <v>156725.14000000001</v>
      </c>
    </row>
    <row r="97" spans="1:103" ht="12" customHeight="1" x14ac:dyDescent="0.25">
      <c r="A97" s="122">
        <v>93</v>
      </c>
      <c r="B97" s="123" t="s">
        <v>143</v>
      </c>
      <c r="C97" s="124">
        <v>3661.5</v>
      </c>
      <c r="D97" s="125">
        <v>3513.8</v>
      </c>
      <c r="E97" s="125">
        <v>147.69999999999999</v>
      </c>
      <c r="F97" s="125">
        <v>431</v>
      </c>
      <c r="G97" s="124">
        <v>3661.5</v>
      </c>
      <c r="H97" s="124">
        <v>3661.5</v>
      </c>
      <c r="I97" s="126">
        <v>2</v>
      </c>
      <c r="J97" s="126">
        <v>0</v>
      </c>
      <c r="K97" s="127">
        <v>3.708982375239572E-3</v>
      </c>
      <c r="L97" s="127">
        <v>5.2789779600941949E-3</v>
      </c>
      <c r="M97" s="127"/>
      <c r="N97" s="127"/>
      <c r="O97" s="128" t="s">
        <v>1488</v>
      </c>
      <c r="P97" s="129" t="s">
        <v>1493</v>
      </c>
      <c r="Q97" s="130">
        <v>6.91</v>
      </c>
      <c r="R97" s="130">
        <v>3.15</v>
      </c>
      <c r="S97" s="130">
        <v>1.81</v>
      </c>
      <c r="T97" s="38">
        <v>0.26</v>
      </c>
      <c r="U97" s="131">
        <v>45.06</v>
      </c>
      <c r="V97" s="144">
        <v>1</v>
      </c>
      <c r="W97" s="132">
        <v>2.4096385542168672E-3</v>
      </c>
      <c r="X97" s="133">
        <v>43234.44419939963</v>
      </c>
      <c r="Y97" s="151">
        <v>22921.534270931712</v>
      </c>
      <c r="Z97" s="134">
        <v>7831.1749939752499</v>
      </c>
      <c r="AA97" s="134">
        <v>2304.0183027452158</v>
      </c>
      <c r="AB97" s="134">
        <v>1588.7366317474625</v>
      </c>
      <c r="AC97" s="126">
        <v>0</v>
      </c>
      <c r="AD97" s="126">
        <v>0</v>
      </c>
      <c r="AE97" s="126">
        <v>0</v>
      </c>
      <c r="AF97" s="126">
        <v>0</v>
      </c>
      <c r="AG97" s="126">
        <v>0</v>
      </c>
      <c r="AH97" s="126">
        <v>0</v>
      </c>
      <c r="AI97" s="126">
        <v>0</v>
      </c>
      <c r="AJ97" s="126">
        <v>0</v>
      </c>
      <c r="AK97" s="126">
        <v>8588.98</v>
      </c>
      <c r="AL97" s="126">
        <v>0</v>
      </c>
      <c r="AM97" s="126">
        <v>0</v>
      </c>
      <c r="AN97" s="126">
        <v>0</v>
      </c>
      <c r="AO97" s="126">
        <v>0</v>
      </c>
      <c r="AP97" s="126">
        <v>0</v>
      </c>
      <c r="AQ97" s="126">
        <v>0</v>
      </c>
      <c r="AR97" s="126">
        <v>0</v>
      </c>
      <c r="AS97" s="126">
        <v>0</v>
      </c>
      <c r="AT97" s="126">
        <v>0</v>
      </c>
      <c r="AU97" s="126">
        <v>0</v>
      </c>
      <c r="AV97" s="126">
        <v>0</v>
      </c>
      <c r="AW97" s="135">
        <v>284773.6029159929</v>
      </c>
      <c r="AX97" s="136">
        <v>252332.5290659965</v>
      </c>
      <c r="AY97" s="136">
        <v>23452.4092883269</v>
      </c>
      <c r="AZ97" s="126">
        <v>0</v>
      </c>
      <c r="BA97" s="126">
        <v>0</v>
      </c>
      <c r="BB97" s="126">
        <v>0</v>
      </c>
      <c r="BC97" s="126">
        <v>0</v>
      </c>
      <c r="BD97" s="126">
        <v>1572.9532791732067</v>
      </c>
      <c r="BE97" s="126">
        <v>0</v>
      </c>
      <c r="BF97" s="126">
        <v>2061.0593555471401</v>
      </c>
      <c r="BG97" s="126">
        <v>1031.9246432565187</v>
      </c>
      <c r="BH97" s="126">
        <v>4322.7272836926386</v>
      </c>
      <c r="BI97" s="137">
        <v>546272.30928109027</v>
      </c>
      <c r="BJ97" s="126">
        <v>3868.9840963462852</v>
      </c>
      <c r="BK97" s="126">
        <v>5505.3364771062234</v>
      </c>
      <c r="BL97" s="126">
        <v>5905.8971933133625</v>
      </c>
      <c r="BM97" s="126">
        <v>5852.9009861782306</v>
      </c>
      <c r="BN97" s="126">
        <v>98446.331652066685</v>
      </c>
      <c r="BO97" s="126">
        <v>56518.74208328317</v>
      </c>
      <c r="BP97" s="126">
        <v>46369.236313845526</v>
      </c>
      <c r="BQ97" s="126">
        <v>251579.07438096037</v>
      </c>
      <c r="BR97" s="126">
        <v>9388.7595864385694</v>
      </c>
      <c r="BS97" s="126">
        <v>10424.41546236909</v>
      </c>
      <c r="BT97" s="126">
        <v>52006.82333263538</v>
      </c>
      <c r="BU97" s="126">
        <v>0</v>
      </c>
      <c r="BV97" s="126">
        <v>405.80771654737924</v>
      </c>
      <c r="BW97" s="126">
        <v>62780.34988685017</v>
      </c>
      <c r="BX97" s="126">
        <v>222728.34656437562</v>
      </c>
      <c r="BY97" s="126">
        <v>195877.18430657609</v>
      </c>
      <c r="BZ97" s="126">
        <v>37289.916200050364</v>
      </c>
      <c r="CA97" s="137">
        <v>164736.71641126159</v>
      </c>
      <c r="CB97" s="126">
        <v>6012.5999999999995</v>
      </c>
      <c r="CC97" s="126">
        <v>157805.33484581282</v>
      </c>
      <c r="CD97" s="126">
        <v>0</v>
      </c>
      <c r="CE97" s="126">
        <v>0</v>
      </c>
      <c r="CF97" s="126">
        <v>918.78156544876788</v>
      </c>
      <c r="CG97" s="137">
        <v>55669.5570472744</v>
      </c>
      <c r="CH97" s="126">
        <v>14190</v>
      </c>
      <c r="CI97" s="126">
        <v>41479.5570472744</v>
      </c>
      <c r="CJ97" s="120"/>
      <c r="CK97" s="138">
        <v>1613362.4268128711</v>
      </c>
      <c r="CL97" s="139">
        <v>36.719068387565912</v>
      </c>
      <c r="CM97" s="140">
        <v>1854962.91</v>
      </c>
      <c r="CN97" s="125">
        <v>1390.6499999999999</v>
      </c>
      <c r="CO97" s="125">
        <v>1390.6499999999999</v>
      </c>
      <c r="CP97" s="125">
        <v>0</v>
      </c>
      <c r="CQ97" s="125">
        <v>5420.7999999999993</v>
      </c>
      <c r="CR97" s="125">
        <v>2941.77</v>
      </c>
      <c r="CS97" s="125">
        <v>107993.60999999999</v>
      </c>
      <c r="CT97" s="125">
        <v>155760.56355297018</v>
      </c>
      <c r="CU97" s="141">
        <v>886.55421686746979</v>
      </c>
      <c r="CV97" s="142">
        <v>398247.60095696663</v>
      </c>
      <c r="CW97" s="143">
        <v>0.14974966515391097</v>
      </c>
      <c r="CX97" s="140">
        <v>1859078.49</v>
      </c>
      <c r="CY97" s="140">
        <v>274764.2</v>
      </c>
    </row>
    <row r="98" spans="1:103" ht="12" customHeight="1" x14ac:dyDescent="0.25">
      <c r="A98" s="122">
        <v>94</v>
      </c>
      <c r="B98" s="123" t="s">
        <v>144</v>
      </c>
      <c r="C98" s="124">
        <v>3644.4</v>
      </c>
      <c r="D98" s="125">
        <v>3644.4</v>
      </c>
      <c r="E98" s="125">
        <v>0</v>
      </c>
      <c r="F98" s="125">
        <v>441.1</v>
      </c>
      <c r="G98" s="124">
        <v>3644.4</v>
      </c>
      <c r="H98" s="124">
        <v>3644.4</v>
      </c>
      <c r="I98" s="126">
        <v>2</v>
      </c>
      <c r="J98" s="126">
        <v>0</v>
      </c>
      <c r="K98" s="127">
        <v>3.708982375239572E-3</v>
      </c>
      <c r="L98" s="127">
        <v>5.2789779600941949E-3</v>
      </c>
      <c r="M98" s="127"/>
      <c r="N98" s="127"/>
      <c r="O98" s="128" t="s">
        <v>1488</v>
      </c>
      <c r="P98" s="129" t="s">
        <v>1493</v>
      </c>
      <c r="Q98" s="130">
        <v>6.91</v>
      </c>
      <c r="R98" s="130">
        <v>3.15</v>
      </c>
      <c r="S98" s="130">
        <v>1.81</v>
      </c>
      <c r="T98" s="38">
        <v>0.26</v>
      </c>
      <c r="U98" s="131">
        <v>45.06</v>
      </c>
      <c r="V98" s="144">
        <v>1</v>
      </c>
      <c r="W98" s="132">
        <v>2.4096385542168672E-3</v>
      </c>
      <c r="X98" s="133">
        <v>74666.412359222188</v>
      </c>
      <c r="Y98" s="151">
        <v>22814.485729068288</v>
      </c>
      <c r="Z98" s="134">
        <v>7794.6017064163325</v>
      </c>
      <c r="AA98" s="134">
        <v>2293.2580370134274</v>
      </c>
      <c r="AB98" s="134">
        <v>1581.3168867241436</v>
      </c>
      <c r="AC98" s="126">
        <v>0</v>
      </c>
      <c r="AD98" s="126">
        <v>0</v>
      </c>
      <c r="AE98" s="126">
        <v>0</v>
      </c>
      <c r="AF98" s="126">
        <v>0</v>
      </c>
      <c r="AG98" s="126">
        <v>0</v>
      </c>
      <c r="AH98" s="126">
        <v>0</v>
      </c>
      <c r="AI98" s="126">
        <v>0</v>
      </c>
      <c r="AJ98" s="126">
        <v>0</v>
      </c>
      <c r="AK98" s="126">
        <v>40182.75</v>
      </c>
      <c r="AL98" s="126">
        <v>0</v>
      </c>
      <c r="AM98" s="126">
        <v>0</v>
      </c>
      <c r="AN98" s="126">
        <v>0</v>
      </c>
      <c r="AO98" s="126">
        <v>0</v>
      </c>
      <c r="AP98" s="126">
        <v>0</v>
      </c>
      <c r="AQ98" s="126">
        <v>0</v>
      </c>
      <c r="AR98" s="126">
        <v>0</v>
      </c>
      <c r="AS98" s="126">
        <v>0</v>
      </c>
      <c r="AT98" s="126">
        <v>0</v>
      </c>
      <c r="AU98" s="126">
        <v>0</v>
      </c>
      <c r="AV98" s="126">
        <v>0</v>
      </c>
      <c r="AW98" s="135">
        <v>283443.64835915464</v>
      </c>
      <c r="AX98" s="136">
        <v>251154.0813677776</v>
      </c>
      <c r="AY98" s="136">
        <v>23342.881444866467</v>
      </c>
      <c r="AZ98" s="126">
        <v>0</v>
      </c>
      <c r="BA98" s="126">
        <v>0</v>
      </c>
      <c r="BB98" s="126">
        <v>0</v>
      </c>
      <c r="BC98" s="126">
        <v>0</v>
      </c>
      <c r="BD98" s="126">
        <v>1565.6072458333563</v>
      </c>
      <c r="BE98" s="126">
        <v>0</v>
      </c>
      <c r="BF98" s="126">
        <v>2051.4337608510168</v>
      </c>
      <c r="BG98" s="126">
        <v>1027.1053311167709</v>
      </c>
      <c r="BH98" s="126">
        <v>4302.539208709396</v>
      </c>
      <c r="BI98" s="137">
        <v>543721.09898784803</v>
      </c>
      <c r="BJ98" s="126">
        <v>3850.9151005665444</v>
      </c>
      <c r="BK98" s="126">
        <v>5479.6253604167468</v>
      </c>
      <c r="BL98" s="126">
        <v>5878.315371107803</v>
      </c>
      <c r="BM98" s="126">
        <v>5825.5666677667477</v>
      </c>
      <c r="BN98" s="126">
        <v>97986.565908177479</v>
      </c>
      <c r="BO98" s="126">
        <v>56254.787286171573</v>
      </c>
      <c r="BP98" s="126">
        <v>46152.681912379805</v>
      </c>
      <c r="BQ98" s="126">
        <v>250404.1454797138</v>
      </c>
      <c r="BR98" s="126">
        <v>9344.9120406436505</v>
      </c>
      <c r="BS98" s="126">
        <v>10375.731178767694</v>
      </c>
      <c r="BT98" s="126">
        <v>51763.940175735734</v>
      </c>
      <c r="BU98" s="126">
        <v>0</v>
      </c>
      <c r="BV98" s="126">
        <v>403.91250640045581</v>
      </c>
      <c r="BW98" s="126">
        <v>62487.152021749767</v>
      </c>
      <c r="BX98" s="126">
        <v>221688.15682622165</v>
      </c>
      <c r="BY98" s="126">
        <v>194962.39532620128</v>
      </c>
      <c r="BZ98" s="126">
        <v>37115.764194855539</v>
      </c>
      <c r="CA98" s="137">
        <v>164732.42550186129</v>
      </c>
      <c r="CB98" s="126">
        <v>6012.5999999999995</v>
      </c>
      <c r="CC98" s="126">
        <v>157805.33484581282</v>
      </c>
      <c r="CD98" s="126">
        <v>0</v>
      </c>
      <c r="CE98" s="126">
        <v>0</v>
      </c>
      <c r="CF98" s="126">
        <v>914.49065604847465</v>
      </c>
      <c r="CG98" s="137">
        <v>55475.838509650923</v>
      </c>
      <c r="CH98" s="126">
        <v>14190</v>
      </c>
      <c r="CI98" s="126">
        <v>41285.838509650923</v>
      </c>
      <c r="CJ98" s="120"/>
      <c r="CK98" s="138">
        <v>1638292.8920867655</v>
      </c>
      <c r="CL98" s="139">
        <v>37.461422366890879</v>
      </c>
      <c r="CM98" s="140">
        <v>1888580.89</v>
      </c>
      <c r="CN98" s="125">
        <v>1481.3400000000001</v>
      </c>
      <c r="CO98" s="125">
        <v>1481.3400000000001</v>
      </c>
      <c r="CP98" s="125">
        <v>0</v>
      </c>
      <c r="CQ98" s="125">
        <v>5774.09</v>
      </c>
      <c r="CR98" s="125">
        <v>3133.34</v>
      </c>
      <c r="CS98" s="125">
        <v>114952.51</v>
      </c>
      <c r="CT98" s="125">
        <v>0</v>
      </c>
      <c r="CU98" s="141">
        <v>886.55421686746979</v>
      </c>
      <c r="CV98" s="142">
        <v>251174.55213010195</v>
      </c>
      <c r="CW98" s="143">
        <v>0.15277365794734754</v>
      </c>
      <c r="CX98" s="140">
        <v>1905281.13</v>
      </c>
      <c r="CY98" s="140">
        <v>193274.52</v>
      </c>
    </row>
    <row r="99" spans="1:103" ht="12" customHeight="1" x14ac:dyDescent="0.25">
      <c r="A99" s="122">
        <v>95</v>
      </c>
      <c r="B99" s="123" t="s">
        <v>145</v>
      </c>
      <c r="C99" s="124">
        <v>8981.23</v>
      </c>
      <c r="D99" s="125">
        <v>8981.23</v>
      </c>
      <c r="E99" s="125">
        <v>0</v>
      </c>
      <c r="F99" s="125">
        <v>907.9</v>
      </c>
      <c r="G99" s="124">
        <v>8981.23</v>
      </c>
      <c r="H99" s="124">
        <v>8981.23</v>
      </c>
      <c r="I99" s="126">
        <v>6</v>
      </c>
      <c r="J99" s="126">
        <v>0</v>
      </c>
      <c r="K99" s="127">
        <v>1.028734292382545E-2</v>
      </c>
      <c r="L99" s="127">
        <v>1.4641928989834505E-2</v>
      </c>
      <c r="M99" s="127"/>
      <c r="N99" s="127"/>
      <c r="O99" s="128" t="s">
        <v>1488</v>
      </c>
      <c r="P99" s="129" t="s">
        <v>1493</v>
      </c>
      <c r="Q99" s="130">
        <v>6.91</v>
      </c>
      <c r="R99" s="130">
        <v>3.15</v>
      </c>
      <c r="S99" s="130">
        <v>1.81</v>
      </c>
      <c r="T99" s="38">
        <v>0.26</v>
      </c>
      <c r="U99" s="131">
        <v>45.06</v>
      </c>
      <c r="V99" s="144">
        <v>6</v>
      </c>
      <c r="W99" s="132">
        <v>1.4457831325301205E-2</v>
      </c>
      <c r="X99" s="133">
        <v>175021.06487817943</v>
      </c>
      <c r="Y99" s="134">
        <v>63715.75</v>
      </c>
      <c r="Z99" s="134">
        <v>19208.953650454823</v>
      </c>
      <c r="AA99" s="134">
        <v>5651.4866314801075</v>
      </c>
      <c r="AB99" s="134">
        <v>3896.9845962445065</v>
      </c>
      <c r="AC99" s="126">
        <v>0</v>
      </c>
      <c r="AD99" s="126">
        <v>82547.89</v>
      </c>
      <c r="AE99" s="126">
        <v>0</v>
      </c>
      <c r="AF99" s="126">
        <v>0</v>
      </c>
      <c r="AG99" s="126">
        <v>0</v>
      </c>
      <c r="AH99" s="126">
        <v>0</v>
      </c>
      <c r="AI99" s="126">
        <v>0</v>
      </c>
      <c r="AJ99" s="126">
        <v>0</v>
      </c>
      <c r="AK99" s="126">
        <v>0</v>
      </c>
      <c r="AL99" s="126">
        <v>0</v>
      </c>
      <c r="AM99" s="126">
        <v>0</v>
      </c>
      <c r="AN99" s="126">
        <v>0</v>
      </c>
      <c r="AO99" s="126">
        <v>0</v>
      </c>
      <c r="AP99" s="126">
        <v>0</v>
      </c>
      <c r="AQ99" s="126">
        <v>0</v>
      </c>
      <c r="AR99" s="126">
        <v>0</v>
      </c>
      <c r="AS99" s="126">
        <v>0</v>
      </c>
      <c r="AT99" s="126">
        <v>0</v>
      </c>
      <c r="AU99" s="126">
        <v>0</v>
      </c>
      <c r="AV99" s="126">
        <v>0</v>
      </c>
      <c r="AW99" s="135">
        <v>698516.24353876896</v>
      </c>
      <c r="AX99" s="136">
        <v>618942.09477629373</v>
      </c>
      <c r="AY99" s="136">
        <v>57526.008977905287</v>
      </c>
      <c r="AZ99" s="126">
        <v>0</v>
      </c>
      <c r="BA99" s="126">
        <v>0</v>
      </c>
      <c r="BB99" s="126">
        <v>0</v>
      </c>
      <c r="BC99" s="126">
        <v>0</v>
      </c>
      <c r="BD99" s="126">
        <v>3858.2698837931935</v>
      </c>
      <c r="BE99" s="126">
        <v>0</v>
      </c>
      <c r="BF99" s="126">
        <v>5055.5368334891818</v>
      </c>
      <c r="BG99" s="126">
        <v>2531.1901034425077</v>
      </c>
      <c r="BH99" s="126">
        <v>10603.142963845101</v>
      </c>
      <c r="BI99" s="137">
        <v>1339941.8960220143</v>
      </c>
      <c r="BJ99" s="126">
        <v>9490.1641501101039</v>
      </c>
      <c r="BK99" s="126">
        <v>13503.944593276177</v>
      </c>
      <c r="BL99" s="126">
        <v>14486.473043698423</v>
      </c>
      <c r="BM99" s="126">
        <v>14356.479564138608</v>
      </c>
      <c r="BN99" s="126">
        <v>241477.30362515111</v>
      </c>
      <c r="BO99" s="126">
        <v>138633.84458845973</v>
      </c>
      <c r="BP99" s="126">
        <v>113738.29748982626</v>
      </c>
      <c r="BQ99" s="126">
        <v>617093.95881537965</v>
      </c>
      <c r="BR99" s="126">
        <v>23029.525948521008</v>
      </c>
      <c r="BS99" s="126">
        <v>25569.868328033084</v>
      </c>
      <c r="BT99" s="126">
        <v>127566.63714864531</v>
      </c>
      <c r="BU99" s="126">
        <v>0</v>
      </c>
      <c r="BV99" s="126">
        <v>995.39872677504275</v>
      </c>
      <c r="BW99" s="126">
        <v>153992.83403366798</v>
      </c>
      <c r="BX99" s="126">
        <v>546326.50771934108</v>
      </c>
      <c r="BY99" s="126">
        <v>480463.75638665858</v>
      </c>
      <c r="BZ99" s="126">
        <v>91467.790269938094</v>
      </c>
      <c r="CA99" s="137">
        <v>455524.03508827969</v>
      </c>
      <c r="CB99" s="126">
        <v>15576.84</v>
      </c>
      <c r="CC99" s="126">
        <v>437693.53168282961</v>
      </c>
      <c r="CD99" s="126">
        <v>0</v>
      </c>
      <c r="CE99" s="126">
        <v>0</v>
      </c>
      <c r="CF99" s="126">
        <v>2253.6634054500719</v>
      </c>
      <c r="CG99" s="137">
        <v>135204.48381638463</v>
      </c>
      <c r="CH99" s="126">
        <v>33459.995999999999</v>
      </c>
      <c r="CI99" s="126">
        <v>101744.48781638462</v>
      </c>
      <c r="CJ99" s="120"/>
      <c r="CK99" s="138">
        <v>4076458.6117532337</v>
      </c>
      <c r="CL99" s="139">
        <v>37.823870930013982</v>
      </c>
      <c r="CM99" s="140">
        <v>4656612.6700000009</v>
      </c>
      <c r="CN99" s="125">
        <v>5230.58</v>
      </c>
      <c r="CO99" s="125">
        <v>5230.58</v>
      </c>
      <c r="CP99" s="125">
        <v>0</v>
      </c>
      <c r="CQ99" s="125">
        <v>20397.96</v>
      </c>
      <c r="CR99" s="125">
        <v>11063.52</v>
      </c>
      <c r="CS99" s="125">
        <v>236849.93</v>
      </c>
      <c r="CT99" s="125">
        <v>0</v>
      </c>
      <c r="CU99" s="141">
        <v>5319.3253012048199</v>
      </c>
      <c r="CV99" s="142">
        <v>585473.38354797196</v>
      </c>
      <c r="CW99" s="143">
        <v>0.14231815247039892</v>
      </c>
      <c r="CX99" s="140">
        <v>4553121.08</v>
      </c>
      <c r="CY99" s="140">
        <v>911255.68</v>
      </c>
    </row>
    <row r="100" spans="1:103" ht="12" customHeight="1" x14ac:dyDescent="0.25">
      <c r="A100" s="122">
        <v>96</v>
      </c>
      <c r="B100" s="123" t="s">
        <v>146</v>
      </c>
      <c r="C100" s="124">
        <v>8840.4</v>
      </c>
      <c r="D100" s="125">
        <v>6805.3</v>
      </c>
      <c r="E100" s="125">
        <v>2035.1</v>
      </c>
      <c r="F100" s="125">
        <v>891.3</v>
      </c>
      <c r="G100" s="124">
        <v>8840.4</v>
      </c>
      <c r="H100" s="124">
        <v>8840.4</v>
      </c>
      <c r="I100" s="126">
        <v>4</v>
      </c>
      <c r="J100" s="126">
        <v>0</v>
      </c>
      <c r="K100" s="127">
        <v>7.8682974596745846E-3</v>
      </c>
      <c r="L100" s="127">
        <v>1.1198912443040211E-2</v>
      </c>
      <c r="M100" s="127"/>
      <c r="N100" s="127"/>
      <c r="O100" s="128" t="s">
        <v>1488</v>
      </c>
      <c r="P100" s="129" t="s">
        <v>1493</v>
      </c>
      <c r="Q100" s="130">
        <v>6.91</v>
      </c>
      <c r="R100" s="130">
        <v>3.15</v>
      </c>
      <c r="S100" s="130">
        <v>1.81</v>
      </c>
      <c r="T100" s="38">
        <v>0.26</v>
      </c>
      <c r="U100" s="131">
        <v>45.06</v>
      </c>
      <c r="V100" s="144">
        <v>2</v>
      </c>
      <c r="W100" s="132">
        <v>4.8192771084337345E-3</v>
      </c>
      <c r="X100" s="133">
        <v>158122.75464416982</v>
      </c>
      <c r="Y100" s="134">
        <v>75744.63</v>
      </c>
      <c r="Z100" s="134">
        <v>18907.748031336556</v>
      </c>
      <c r="AA100" s="134">
        <v>5562.8686067428116</v>
      </c>
      <c r="AB100" s="134">
        <v>3835.8780060904728</v>
      </c>
      <c r="AC100" s="126">
        <v>0</v>
      </c>
      <c r="AD100" s="126">
        <v>0</v>
      </c>
      <c r="AE100" s="126">
        <v>0</v>
      </c>
      <c r="AF100" s="126">
        <v>0</v>
      </c>
      <c r="AG100" s="126">
        <v>0</v>
      </c>
      <c r="AH100" s="126">
        <v>0</v>
      </c>
      <c r="AI100" s="126">
        <v>0</v>
      </c>
      <c r="AJ100" s="126">
        <v>0</v>
      </c>
      <c r="AK100" s="126">
        <v>54071.63</v>
      </c>
      <c r="AL100" s="126">
        <v>0</v>
      </c>
      <c r="AM100" s="126">
        <v>0</v>
      </c>
      <c r="AN100" s="126">
        <v>0</v>
      </c>
      <c r="AO100" s="126">
        <v>0</v>
      </c>
      <c r="AP100" s="126">
        <v>0</v>
      </c>
      <c r="AQ100" s="126">
        <v>0</v>
      </c>
      <c r="AR100" s="126">
        <v>0</v>
      </c>
      <c r="AS100" s="126">
        <v>0</v>
      </c>
      <c r="AT100" s="126">
        <v>0</v>
      </c>
      <c r="AU100" s="126">
        <v>0</v>
      </c>
      <c r="AV100" s="126">
        <v>0</v>
      </c>
      <c r="AW100" s="135">
        <v>687563.17334932229</v>
      </c>
      <c r="AX100" s="136">
        <v>609236.78545815521</v>
      </c>
      <c r="AY100" s="136">
        <v>56623.973527932576</v>
      </c>
      <c r="AZ100" s="126">
        <v>0</v>
      </c>
      <c r="BA100" s="126">
        <v>0</v>
      </c>
      <c r="BB100" s="126">
        <v>0</v>
      </c>
      <c r="BC100" s="126">
        <v>0</v>
      </c>
      <c r="BD100" s="126">
        <v>3797.7703589247071</v>
      </c>
      <c r="BE100" s="126">
        <v>0</v>
      </c>
      <c r="BF100" s="126">
        <v>4976.263587813447</v>
      </c>
      <c r="BG100" s="126">
        <v>2491.4998269138132</v>
      </c>
      <c r="BH100" s="126">
        <v>10436.880589582521</v>
      </c>
      <c r="BI100" s="137">
        <v>1318930.963530944</v>
      </c>
      <c r="BJ100" s="126">
        <v>9341.3538182001084</v>
      </c>
      <c r="BK100" s="126">
        <v>13292.196256236475</v>
      </c>
      <c r="BL100" s="126">
        <v>14259.318188656958</v>
      </c>
      <c r="BM100" s="126">
        <v>14131.363069291283</v>
      </c>
      <c r="BN100" s="126">
        <v>237690.82352503898</v>
      </c>
      <c r="BO100" s="126">
        <v>136459.99932078563</v>
      </c>
      <c r="BP100" s="126">
        <v>111954.82635775501</v>
      </c>
      <c r="BQ100" s="126">
        <v>607417.62915675051</v>
      </c>
      <c r="BR100" s="126">
        <v>22668.411920784249</v>
      </c>
      <c r="BS100" s="126">
        <v>25168.920511683107</v>
      </c>
      <c r="BT100" s="126">
        <v>125566.33100910277</v>
      </c>
      <c r="BU100" s="126">
        <v>0</v>
      </c>
      <c r="BV100" s="126">
        <v>979.79039665859659</v>
      </c>
      <c r="BW100" s="126">
        <v>151578.15243471533</v>
      </c>
      <c r="BX100" s="126">
        <v>537759.8456828366</v>
      </c>
      <c r="BY100" s="126">
        <v>472929.85392430844</v>
      </c>
      <c r="BZ100" s="126">
        <v>90033.531387389114</v>
      </c>
      <c r="CA100" s="137">
        <v>349014.41071180924</v>
      </c>
      <c r="CB100" s="126">
        <v>12025.199999999999</v>
      </c>
      <c r="CC100" s="126">
        <v>334770.8858309699</v>
      </c>
      <c r="CD100" s="126">
        <v>0</v>
      </c>
      <c r="CE100" s="126">
        <v>0</v>
      </c>
      <c r="CF100" s="126">
        <v>2218.3248808393519</v>
      </c>
      <c r="CG100" s="137">
        <v>127189.08138050653</v>
      </c>
      <c r="CH100" s="126">
        <v>27039.996000000003</v>
      </c>
      <c r="CI100" s="126">
        <v>100149.08538050653</v>
      </c>
      <c r="CJ100" s="120"/>
      <c r="CK100" s="138">
        <v>3893121.7670460013</v>
      </c>
      <c r="CL100" s="139">
        <v>36.698205275835953</v>
      </c>
      <c r="CM100" s="140">
        <v>3539020.36</v>
      </c>
      <c r="CN100" s="125">
        <v>2304.9</v>
      </c>
      <c r="CO100" s="125">
        <v>2304.9</v>
      </c>
      <c r="CP100" s="125">
        <v>0</v>
      </c>
      <c r="CQ100" s="125">
        <v>8983.2100000000009</v>
      </c>
      <c r="CR100" s="125">
        <v>4876.3500000000004</v>
      </c>
      <c r="CS100" s="125">
        <v>178930.59999999998</v>
      </c>
      <c r="CT100" s="125">
        <v>376071.46962547523</v>
      </c>
      <c r="CU100" s="141">
        <v>1773.1084337349396</v>
      </c>
      <c r="CV100" s="142">
        <v>23743.171013209037</v>
      </c>
      <c r="CW100" s="143">
        <v>-9.0955646454049743E-2</v>
      </c>
      <c r="CX100" s="140">
        <v>3386308.2</v>
      </c>
      <c r="CY100" s="140">
        <v>786207.30999999994</v>
      </c>
    </row>
    <row r="101" spans="1:103" ht="12" customHeight="1" x14ac:dyDescent="0.25">
      <c r="A101" s="122">
        <v>97</v>
      </c>
      <c r="B101" s="123" t="s">
        <v>147</v>
      </c>
      <c r="C101" s="124">
        <v>6129.1</v>
      </c>
      <c r="D101" s="125">
        <v>5037.1000000000004</v>
      </c>
      <c r="E101" s="125">
        <v>1092</v>
      </c>
      <c r="F101" s="125">
        <v>913.65</v>
      </c>
      <c r="G101" s="124">
        <v>6129.1</v>
      </c>
      <c r="H101" s="124">
        <v>6129.1</v>
      </c>
      <c r="I101" s="126">
        <v>1</v>
      </c>
      <c r="J101" s="126">
        <v>1</v>
      </c>
      <c r="K101" s="127">
        <v>4.0464269614440282E-3</v>
      </c>
      <c r="L101" s="127">
        <v>5.7592613243987682E-3</v>
      </c>
      <c r="M101" s="127"/>
      <c r="N101" s="127"/>
      <c r="O101" s="128" t="s">
        <v>1489</v>
      </c>
      <c r="P101" s="129" t="s">
        <v>1493</v>
      </c>
      <c r="Q101" s="130">
        <v>6.91</v>
      </c>
      <c r="R101" s="130">
        <v>3.15</v>
      </c>
      <c r="S101" s="130">
        <v>1.81</v>
      </c>
      <c r="T101" s="38">
        <v>0.26</v>
      </c>
      <c r="U101" s="131">
        <v>45.06</v>
      </c>
      <c r="V101" s="144">
        <v>1</v>
      </c>
      <c r="W101" s="132">
        <v>2.4096385542168672E-3</v>
      </c>
      <c r="X101" s="133">
        <v>249871.1776069529</v>
      </c>
      <c r="Y101" s="134">
        <v>36607.83</v>
      </c>
      <c r="Z101" s="134">
        <v>13108.85010393929</v>
      </c>
      <c r="AA101" s="134">
        <v>3856.7686957136975</v>
      </c>
      <c r="AB101" s="134">
        <v>2659.4362118376002</v>
      </c>
      <c r="AC101" s="126">
        <v>0</v>
      </c>
      <c r="AD101" s="126">
        <v>0</v>
      </c>
      <c r="AE101" s="145">
        <v>60074.166708366967</v>
      </c>
      <c r="AF101" s="126">
        <v>0</v>
      </c>
      <c r="AG101" s="126">
        <v>0</v>
      </c>
      <c r="AH101" s="126">
        <v>0</v>
      </c>
      <c r="AI101" s="126">
        <v>0</v>
      </c>
      <c r="AJ101" s="126">
        <v>0</v>
      </c>
      <c r="AK101" s="126">
        <v>0</v>
      </c>
      <c r="AL101" s="126">
        <v>0</v>
      </c>
      <c r="AM101" s="126">
        <v>0</v>
      </c>
      <c r="AN101" s="126">
        <v>0</v>
      </c>
      <c r="AO101" s="126">
        <v>0</v>
      </c>
      <c r="AP101" s="145">
        <v>132349.09543359341</v>
      </c>
      <c r="AQ101" s="126">
        <v>0</v>
      </c>
      <c r="AR101" s="126">
        <v>0</v>
      </c>
      <c r="AS101" s="126">
        <v>0</v>
      </c>
      <c r="AT101" s="126">
        <v>0</v>
      </c>
      <c r="AU101" s="145">
        <v>1215.0304535019282</v>
      </c>
      <c r="AV101" s="126">
        <v>0</v>
      </c>
      <c r="AW101" s="135">
        <v>488554.91461038636</v>
      </c>
      <c r="AX101" s="136">
        <v>422387.35597389028</v>
      </c>
      <c r="AY101" s="136">
        <v>39257.725459261077</v>
      </c>
      <c r="AZ101" s="126">
        <v>0</v>
      </c>
      <c r="BA101" s="126">
        <v>11863.424884205204</v>
      </c>
      <c r="BB101" s="126">
        <v>0</v>
      </c>
      <c r="BC101" s="126">
        <v>0</v>
      </c>
      <c r="BD101" s="126">
        <v>2633.0159615951115</v>
      </c>
      <c r="BE101" s="126">
        <v>0</v>
      </c>
      <c r="BF101" s="126">
        <v>3450.0720732169812</v>
      </c>
      <c r="BG101" s="126">
        <v>1727.3711132004721</v>
      </c>
      <c r="BH101" s="126">
        <v>7235.9491450172209</v>
      </c>
      <c r="BI101" s="137">
        <v>914422.39814686065</v>
      </c>
      <c r="BJ101" s="126">
        <v>6476.4141540122955</v>
      </c>
      <c r="BK101" s="126">
        <v>9215.55586558289</v>
      </c>
      <c r="BL101" s="126">
        <v>9886.0670456198095</v>
      </c>
      <c r="BM101" s="126">
        <v>9797.3550278260263</v>
      </c>
      <c r="BN101" s="126">
        <v>164792.41057727215</v>
      </c>
      <c r="BO101" s="126">
        <v>94608.499823201128</v>
      </c>
      <c r="BP101" s="126">
        <v>77618.922925355902</v>
      </c>
      <c r="BQ101" s="126">
        <v>421126.12448131759</v>
      </c>
      <c r="BR101" s="126">
        <v>15716.139937523049</v>
      </c>
      <c r="BS101" s="126">
        <v>17449.756878439544</v>
      </c>
      <c r="BT101" s="126">
        <v>87055.857131791752</v>
      </c>
      <c r="BU101" s="126">
        <v>0</v>
      </c>
      <c r="BV101" s="126">
        <v>679.29429891862412</v>
      </c>
      <c r="BW101" s="126">
        <v>105090.00204601759</v>
      </c>
      <c r="BX101" s="126">
        <v>372831.98386664334</v>
      </c>
      <c r="BY101" s="126">
        <v>327884.9789248766</v>
      </c>
      <c r="BZ101" s="126">
        <v>62420.76345260923</v>
      </c>
      <c r="CA101" s="137">
        <v>180911.28953086201</v>
      </c>
      <c r="CB101" s="145">
        <v>7210.78968716707</v>
      </c>
      <c r="CC101" s="126">
        <v>172162.52248665766</v>
      </c>
      <c r="CD101" s="126">
        <v>0</v>
      </c>
      <c r="CE101" s="126">
        <v>0</v>
      </c>
      <c r="CF101" s="126">
        <v>1537.9773570372918</v>
      </c>
      <c r="CG101" s="137">
        <v>86333.931026204984</v>
      </c>
      <c r="CH101" s="126">
        <v>16899.995999999999</v>
      </c>
      <c r="CI101" s="126">
        <v>69433.935026204985</v>
      </c>
      <c r="CJ101" s="120"/>
      <c r="CK101" s="138">
        <v>2788321.4392114137</v>
      </c>
      <c r="CL101" s="139">
        <v>37.910968973305124</v>
      </c>
      <c r="CM101" s="140">
        <v>2611232.59</v>
      </c>
      <c r="CN101" s="125">
        <v>2768.7599999999998</v>
      </c>
      <c r="CO101" s="125">
        <v>2768.7599999999998</v>
      </c>
      <c r="CP101" s="125">
        <v>0</v>
      </c>
      <c r="CQ101" s="125">
        <v>10791.960000000001</v>
      </c>
      <c r="CR101" s="125">
        <v>5856.97</v>
      </c>
      <c r="CS101" s="125">
        <v>214990.68</v>
      </c>
      <c r="CT101" s="125">
        <v>260732.50582343564</v>
      </c>
      <c r="CU101" s="141">
        <v>886.55421686746979</v>
      </c>
      <c r="CV101" s="142">
        <v>84530.210828889161</v>
      </c>
      <c r="CW101" s="143">
        <v>-6.351091618099014E-2</v>
      </c>
      <c r="CX101" s="140">
        <v>2553336.2599999998</v>
      </c>
      <c r="CY101" s="140">
        <v>366803.47</v>
      </c>
    </row>
    <row r="102" spans="1:103" ht="12" customHeight="1" x14ac:dyDescent="0.25">
      <c r="A102" s="122">
        <v>98</v>
      </c>
      <c r="B102" s="123" t="s">
        <v>148</v>
      </c>
      <c r="C102" s="124">
        <v>5021.8999999999996</v>
      </c>
      <c r="D102" s="125">
        <v>5021.8999999999996</v>
      </c>
      <c r="E102" s="125">
        <v>0</v>
      </c>
      <c r="F102" s="125">
        <v>913.65</v>
      </c>
      <c r="G102" s="124">
        <v>5021.8999999999996</v>
      </c>
      <c r="H102" s="124">
        <v>5021.8999999999996</v>
      </c>
      <c r="I102" s="126">
        <v>1</v>
      </c>
      <c r="J102" s="126">
        <v>1</v>
      </c>
      <c r="K102" s="127">
        <v>4.0464269614440282E-3</v>
      </c>
      <c r="L102" s="127">
        <v>5.7592613243987682E-3</v>
      </c>
      <c r="M102" s="127"/>
      <c r="N102" s="127"/>
      <c r="O102" s="128" t="s">
        <v>1489</v>
      </c>
      <c r="P102" s="129" t="s">
        <v>1493</v>
      </c>
      <c r="Q102" s="130">
        <v>6.91</v>
      </c>
      <c r="R102" s="130">
        <v>3.15</v>
      </c>
      <c r="S102" s="130">
        <v>1.81</v>
      </c>
      <c r="T102" s="38">
        <v>0.26</v>
      </c>
      <c r="U102" s="131">
        <v>45.06</v>
      </c>
      <c r="V102" s="144">
        <v>1</v>
      </c>
      <c r="W102" s="132">
        <v>2.4096385542168672E-3</v>
      </c>
      <c r="X102" s="133">
        <v>244143.34639887692</v>
      </c>
      <c r="Y102" s="134">
        <v>47195.880000000005</v>
      </c>
      <c r="Z102" s="134">
        <v>10740.783204218027</v>
      </c>
      <c r="AA102" s="134">
        <v>3160.0572209630473</v>
      </c>
      <c r="AB102" s="134">
        <v>2179.0185691581542</v>
      </c>
      <c r="AC102" s="126">
        <v>22209.38</v>
      </c>
      <c r="AD102" s="126">
        <v>0</v>
      </c>
      <c r="AE102" s="145">
        <v>49221.983291633034</v>
      </c>
      <c r="AF102" s="126">
        <v>0</v>
      </c>
      <c r="AG102" s="126">
        <v>0</v>
      </c>
      <c r="AH102" s="126">
        <v>0</v>
      </c>
      <c r="AI102" s="126">
        <v>0</v>
      </c>
      <c r="AJ102" s="126">
        <v>0</v>
      </c>
      <c r="AK102" s="126">
        <v>0</v>
      </c>
      <c r="AL102" s="126">
        <v>0</v>
      </c>
      <c r="AM102" s="126">
        <v>0</v>
      </c>
      <c r="AN102" s="126">
        <v>0</v>
      </c>
      <c r="AO102" s="126">
        <v>0</v>
      </c>
      <c r="AP102" s="145">
        <v>108440.70456640658</v>
      </c>
      <c r="AQ102" s="126">
        <v>0</v>
      </c>
      <c r="AR102" s="126">
        <v>0</v>
      </c>
      <c r="AS102" s="126">
        <v>0</v>
      </c>
      <c r="AT102" s="126">
        <v>0</v>
      </c>
      <c r="AU102" s="145">
        <v>995.5395464980719</v>
      </c>
      <c r="AV102" s="126">
        <v>0</v>
      </c>
      <c r="AW102" s="135">
        <v>400299.21614623658</v>
      </c>
      <c r="AX102" s="136">
        <v>346084.59039096755</v>
      </c>
      <c r="AY102" s="136">
        <v>32165.957723623887</v>
      </c>
      <c r="AZ102" s="126">
        <v>0</v>
      </c>
      <c r="BA102" s="126">
        <v>9720.3395973291517</v>
      </c>
      <c r="BB102" s="126">
        <v>0</v>
      </c>
      <c r="BC102" s="126">
        <v>0</v>
      </c>
      <c r="BD102" s="126">
        <v>2157.3710426546295</v>
      </c>
      <c r="BE102" s="126">
        <v>0</v>
      </c>
      <c r="BF102" s="126">
        <v>2826.8288891498519</v>
      </c>
      <c r="BG102" s="126">
        <v>1415.3276979297857</v>
      </c>
      <c r="BH102" s="126">
        <v>5928.8008045817451</v>
      </c>
      <c r="BI102" s="137">
        <v>749235.26149903226</v>
      </c>
      <c r="BJ102" s="126">
        <v>5306.4730939345645</v>
      </c>
      <c r="BK102" s="126">
        <v>7550.7986492912032</v>
      </c>
      <c r="BL102" s="126">
        <v>8100.1843821112589</v>
      </c>
      <c r="BM102" s="126">
        <v>8027.4978731362708</v>
      </c>
      <c r="BN102" s="126">
        <v>135023.250832586</v>
      </c>
      <c r="BO102" s="126">
        <v>77517.812609050874</v>
      </c>
      <c r="BP102" s="126">
        <v>63597.34203045223</v>
      </c>
      <c r="BQ102" s="126">
        <v>345051.19585791201</v>
      </c>
      <c r="BR102" s="126">
        <v>12877.075451901092</v>
      </c>
      <c r="BS102" s="126">
        <v>14297.520691102371</v>
      </c>
      <c r="BT102" s="126">
        <v>71329.52781487412</v>
      </c>
      <c r="BU102" s="126">
        <v>0</v>
      </c>
      <c r="BV102" s="126">
        <v>556.58221268039983</v>
      </c>
      <c r="BW102" s="126">
        <v>86105.868932615835</v>
      </c>
      <c r="BX102" s="126">
        <v>305481.21906640392</v>
      </c>
      <c r="BY102" s="126">
        <v>268653.72985639615</v>
      </c>
      <c r="BZ102" s="126">
        <v>51144.675724438872</v>
      </c>
      <c r="CA102" s="137">
        <v>179330.85604611825</v>
      </c>
      <c r="CB102" s="145">
        <v>5908.1863128329287</v>
      </c>
      <c r="CC102" s="126">
        <v>172162.52248665766</v>
      </c>
      <c r="CD102" s="126">
        <v>0</v>
      </c>
      <c r="CE102" s="126">
        <v>0</v>
      </c>
      <c r="CF102" s="126">
        <v>1260.1472466276573</v>
      </c>
      <c r="CG102" s="137">
        <v>74460.946929320577</v>
      </c>
      <c r="CH102" s="126">
        <v>17570.004000000001</v>
      </c>
      <c r="CI102" s="126">
        <v>56890.942929320583</v>
      </c>
      <c r="CJ102" s="120"/>
      <c r="CK102" s="138">
        <v>2358855.1205994394</v>
      </c>
      <c r="CL102" s="139">
        <v>39.142806517444249</v>
      </c>
      <c r="CM102" s="140">
        <v>2603497.0700000003</v>
      </c>
      <c r="CN102" s="125">
        <v>2768.2799999999997</v>
      </c>
      <c r="CO102" s="125">
        <v>2768.2799999999997</v>
      </c>
      <c r="CP102" s="125">
        <v>0</v>
      </c>
      <c r="CQ102" s="125">
        <v>10791</v>
      </c>
      <c r="CR102" s="125">
        <v>5857.08</v>
      </c>
      <c r="CS102" s="125">
        <v>215030.81000000003</v>
      </c>
      <c r="CT102" s="125">
        <v>0</v>
      </c>
      <c r="CU102" s="141">
        <v>886.55421686746979</v>
      </c>
      <c r="CV102" s="142">
        <v>245528.50361742824</v>
      </c>
      <c r="CW102" s="143">
        <v>0.103712155640314</v>
      </c>
      <c r="CX102" s="140">
        <v>2612367.37</v>
      </c>
      <c r="CY102" s="140">
        <v>393469.56</v>
      </c>
    </row>
    <row r="103" spans="1:103" ht="12" customHeight="1" x14ac:dyDescent="0.25">
      <c r="A103" s="122">
        <v>99</v>
      </c>
      <c r="B103" s="4" t="s">
        <v>149</v>
      </c>
      <c r="C103" s="124">
        <v>8658.6000000000022</v>
      </c>
      <c r="D103" s="125">
        <v>5980.5000000000018</v>
      </c>
      <c r="E103" s="125">
        <v>2678.1</v>
      </c>
      <c r="F103" s="125">
        <v>2125.5</v>
      </c>
      <c r="G103" s="124">
        <v>8658.6000000000022</v>
      </c>
      <c r="H103" s="124">
        <v>8658.6000000000022</v>
      </c>
      <c r="I103" s="126">
        <v>0</v>
      </c>
      <c r="J103" s="126">
        <v>3</v>
      </c>
      <c r="K103" s="127">
        <v>5.2985616956435352E-3</v>
      </c>
      <c r="L103" s="127">
        <v>7.5414190690768204E-3</v>
      </c>
      <c r="M103" s="127"/>
      <c r="N103" s="127"/>
      <c r="O103" s="128" t="s">
        <v>1495</v>
      </c>
      <c r="P103" s="129" t="s">
        <v>1493</v>
      </c>
      <c r="Q103" s="130">
        <v>5.4</v>
      </c>
      <c r="R103" s="130">
        <v>2.67</v>
      </c>
      <c r="S103" s="130">
        <v>1.54</v>
      </c>
      <c r="T103" s="38">
        <v>0</v>
      </c>
      <c r="U103" s="131">
        <v>36.54</v>
      </c>
      <c r="V103" s="144">
        <v>0</v>
      </c>
      <c r="W103" s="132">
        <v>0</v>
      </c>
      <c r="X103" s="133">
        <v>139341.45063051549</v>
      </c>
      <c r="Y103" s="134">
        <v>106829.07</v>
      </c>
      <c r="Z103" s="134">
        <v>18518.916237289122</v>
      </c>
      <c r="AA103" s="134">
        <v>5448.469992120642</v>
      </c>
      <c r="AB103" s="134">
        <v>3756.9944011057169</v>
      </c>
      <c r="AC103" s="126">
        <v>0</v>
      </c>
      <c r="AD103" s="126">
        <v>0</v>
      </c>
      <c r="AE103" s="126">
        <v>0</v>
      </c>
      <c r="AF103" s="126">
        <v>0</v>
      </c>
      <c r="AG103" s="126">
        <v>0</v>
      </c>
      <c r="AH103" s="126">
        <v>0</v>
      </c>
      <c r="AI103" s="126">
        <v>0</v>
      </c>
      <c r="AJ103" s="126">
        <v>0</v>
      </c>
      <c r="AK103" s="126">
        <v>0</v>
      </c>
      <c r="AL103" s="126">
        <v>0</v>
      </c>
      <c r="AM103" s="126">
        <v>0</v>
      </c>
      <c r="AN103" s="126">
        <v>0</v>
      </c>
      <c r="AO103" s="126">
        <v>0</v>
      </c>
      <c r="AP103" s="126">
        <v>0</v>
      </c>
      <c r="AQ103" s="126">
        <v>0</v>
      </c>
      <c r="AR103" s="126">
        <v>0</v>
      </c>
      <c r="AS103" s="126">
        <v>4788</v>
      </c>
      <c r="AT103" s="126">
        <v>0</v>
      </c>
      <c r="AU103" s="126">
        <v>0</v>
      </c>
      <c r="AV103" s="126">
        <v>0</v>
      </c>
      <c r="AW103" s="135">
        <v>673423.65648188349</v>
      </c>
      <c r="AX103" s="136">
        <v>596708.02571919642</v>
      </c>
      <c r="AY103" s="136">
        <v>55459.519613247947</v>
      </c>
      <c r="AZ103" s="126">
        <v>0</v>
      </c>
      <c r="BA103" s="126">
        <v>0</v>
      </c>
      <c r="BB103" s="126">
        <v>0</v>
      </c>
      <c r="BC103" s="126">
        <v>0</v>
      </c>
      <c r="BD103" s="126">
        <v>3719.6704255220893</v>
      </c>
      <c r="BE103" s="126">
        <v>0</v>
      </c>
      <c r="BF103" s="126">
        <v>4873.9283178862415</v>
      </c>
      <c r="BG103" s="126">
        <v>2440.2629294280746</v>
      </c>
      <c r="BH103" s="126">
        <v>10222.249476602783</v>
      </c>
      <c r="BI103" s="137">
        <v>2055286.060255405</v>
      </c>
      <c r="BJ103" s="126">
        <v>9149.2518630681298</v>
      </c>
      <c r="BK103" s="126">
        <v>13018.846489327312</v>
      </c>
      <c r="BL103" s="126">
        <v>13966.079868366271</v>
      </c>
      <c r="BM103" s="126">
        <v>13840.756105127091</v>
      </c>
      <c r="BN103" s="126">
        <v>232802.78772158537</v>
      </c>
      <c r="BO103" s="126">
        <v>133653.74305675703</v>
      </c>
      <c r="BP103" s="126">
        <v>109652.51114217206</v>
      </c>
      <c r="BQ103" s="126">
        <v>594926.2797856027</v>
      </c>
      <c r="BR103" s="126">
        <v>22202.243276017212</v>
      </c>
      <c r="BS103" s="126">
        <v>24651.329707078799</v>
      </c>
      <c r="BT103" s="126">
        <v>122984.09955153812</v>
      </c>
      <c r="BU103" s="126">
        <v>763478.49036840512</v>
      </c>
      <c r="BV103" s="126">
        <v>959.64132035972659</v>
      </c>
      <c r="BW103" s="126">
        <v>148460.99618470055</v>
      </c>
      <c r="BX103" s="126">
        <v>526700.98636141012</v>
      </c>
      <c r="BY103" s="126">
        <v>463204.20265927084</v>
      </c>
      <c r="BZ103" s="126">
        <v>88182.020595317808</v>
      </c>
      <c r="CA103" s="137">
        <v>235397.97552382914</v>
      </c>
      <c r="CB103" s="126">
        <v>7788.42</v>
      </c>
      <c r="CC103" s="126">
        <v>225436.84978503501</v>
      </c>
      <c r="CD103" s="126">
        <v>0</v>
      </c>
      <c r="CE103" s="126">
        <v>0</v>
      </c>
      <c r="CF103" s="126">
        <v>2172.705738794129</v>
      </c>
      <c r="CG103" s="137">
        <v>0</v>
      </c>
      <c r="CH103" s="126">
        <v>0</v>
      </c>
      <c r="CI103" s="126">
        <v>0</v>
      </c>
      <c r="CJ103" s="120"/>
      <c r="CK103" s="138">
        <v>4329997.3486923324</v>
      </c>
      <c r="CL103" s="150">
        <v>41.67337818943335</v>
      </c>
      <c r="CM103" s="140">
        <v>2622343.6799999997</v>
      </c>
      <c r="CN103" s="125">
        <v>7151.84</v>
      </c>
      <c r="CO103" s="125">
        <v>7151.84</v>
      </c>
      <c r="CP103" s="125">
        <v>0</v>
      </c>
      <c r="CQ103" s="125">
        <v>14580.21</v>
      </c>
      <c r="CR103" s="125">
        <v>15015.07</v>
      </c>
      <c r="CS103" s="125">
        <v>254336.25</v>
      </c>
      <c r="CT103" s="125">
        <v>368337.68007094029</v>
      </c>
      <c r="CU103" s="141">
        <v>0</v>
      </c>
      <c r="CV103" s="142">
        <v>-1339315.9886213923</v>
      </c>
      <c r="CW103" s="143">
        <v>0</v>
      </c>
      <c r="CX103" s="140">
        <v>2553837.59</v>
      </c>
      <c r="CY103" s="140">
        <v>702995.88</v>
      </c>
    </row>
    <row r="104" spans="1:103" ht="12" customHeight="1" x14ac:dyDescent="0.25">
      <c r="A104" s="122">
        <v>100</v>
      </c>
      <c r="B104" s="123" t="s">
        <v>150</v>
      </c>
      <c r="C104" s="124">
        <v>3369.8</v>
      </c>
      <c r="D104" s="125">
        <v>3369.8</v>
      </c>
      <c r="E104" s="125">
        <v>0</v>
      </c>
      <c r="F104" s="125">
        <v>333.8</v>
      </c>
      <c r="G104" s="124">
        <v>3369.8</v>
      </c>
      <c r="H104" s="124"/>
      <c r="I104" s="126">
        <v>0</v>
      </c>
      <c r="J104" s="126">
        <v>0</v>
      </c>
      <c r="K104" s="127">
        <v>0</v>
      </c>
      <c r="L104" s="127">
        <v>0</v>
      </c>
      <c r="M104" s="127"/>
      <c r="N104" s="127"/>
      <c r="O104" s="128" t="s">
        <v>1488</v>
      </c>
      <c r="P104" s="129" t="s">
        <v>1493</v>
      </c>
      <c r="Q104" s="130">
        <v>6.92</v>
      </c>
      <c r="R104" s="130">
        <v>3.15</v>
      </c>
      <c r="S104" s="130">
        <v>0</v>
      </c>
      <c r="T104" s="38">
        <v>0.26</v>
      </c>
      <c r="U104" s="131">
        <v>31</v>
      </c>
      <c r="V104" s="144">
        <v>4</v>
      </c>
      <c r="W104" s="132">
        <v>9.638554216867469E-3</v>
      </c>
      <c r="X104" s="133">
        <v>32844.541909859683</v>
      </c>
      <c r="Y104" s="134">
        <v>22054.62</v>
      </c>
      <c r="Z104" s="134">
        <v>7207.2903167275163</v>
      </c>
      <c r="AA104" s="134">
        <v>2120.4645299988606</v>
      </c>
      <c r="AB104" s="134">
        <v>1462.1670631333059</v>
      </c>
      <c r="AC104" s="126">
        <v>0</v>
      </c>
      <c r="AD104" s="126">
        <v>0</v>
      </c>
      <c r="AE104" s="126">
        <v>0</v>
      </c>
      <c r="AF104" s="126">
        <v>0</v>
      </c>
      <c r="AG104" s="126">
        <v>0</v>
      </c>
      <c r="AH104" s="126">
        <v>0</v>
      </c>
      <c r="AI104" s="126">
        <v>0</v>
      </c>
      <c r="AJ104" s="126">
        <v>0</v>
      </c>
      <c r="AK104" s="126">
        <v>0</v>
      </c>
      <c r="AL104" s="126">
        <v>0</v>
      </c>
      <c r="AM104" s="126">
        <v>0</v>
      </c>
      <c r="AN104" s="126">
        <v>0</v>
      </c>
      <c r="AO104" s="126">
        <v>0</v>
      </c>
      <c r="AP104" s="126">
        <v>0</v>
      </c>
      <c r="AQ104" s="126">
        <v>0</v>
      </c>
      <c r="AR104" s="126">
        <v>0</v>
      </c>
      <c r="AS104" s="126">
        <v>0</v>
      </c>
      <c r="AT104" s="126">
        <v>0</v>
      </c>
      <c r="AU104" s="126">
        <v>0</v>
      </c>
      <c r="AV104" s="126">
        <v>0</v>
      </c>
      <c r="AW104" s="135">
        <v>321632.95232945861</v>
      </c>
      <c r="AX104" s="136">
        <v>232230.00312620375</v>
      </c>
      <c r="AY104" s="136">
        <v>21584.030812455003</v>
      </c>
      <c r="AZ104" s="126">
        <v>0</v>
      </c>
      <c r="BA104" s="126">
        <v>0</v>
      </c>
      <c r="BB104" s="126">
        <v>0</v>
      </c>
      <c r="BC104" s="126">
        <v>59546.351999999999</v>
      </c>
      <c r="BD104" s="126">
        <v>1447.6411198027781</v>
      </c>
      <c r="BE104" s="126">
        <v>0</v>
      </c>
      <c r="BF104" s="126">
        <v>1896.861345438414</v>
      </c>
      <c r="BG104" s="126">
        <v>949.71450576152313</v>
      </c>
      <c r="BH104" s="126">
        <v>3978.3494197972018</v>
      </c>
      <c r="BI104" s="137">
        <v>502752.54071157129</v>
      </c>
      <c r="BJ104" s="126">
        <v>3560.7545016708214</v>
      </c>
      <c r="BK104" s="126">
        <v>5066.7439193097234</v>
      </c>
      <c r="BL104" s="126">
        <v>5435.3932437600361</v>
      </c>
      <c r="BM104" s="126">
        <v>5386.6190750302894</v>
      </c>
      <c r="BN104" s="126">
        <v>90603.427120342574</v>
      </c>
      <c r="BO104" s="126">
        <v>52016.074579338427</v>
      </c>
      <c r="BP104" s="126">
        <v>42675.147488842464</v>
      </c>
      <c r="BQ104" s="126">
        <v>231536.57376729767</v>
      </c>
      <c r="BR104" s="126">
        <v>8640.7871239603155</v>
      </c>
      <c r="BS104" s="126">
        <v>9593.9356070166214</v>
      </c>
      <c r="BT104" s="126">
        <v>47863.605971955403</v>
      </c>
      <c r="BU104" s="126">
        <v>0</v>
      </c>
      <c r="BV104" s="126">
        <v>373.47831304693671</v>
      </c>
      <c r="BW104" s="126">
        <v>57778.840106160787</v>
      </c>
      <c r="BX104" s="126">
        <v>204984.29120650908</v>
      </c>
      <c r="BY104" s="126">
        <v>180272.27520860307</v>
      </c>
      <c r="BZ104" s="126">
        <v>0</v>
      </c>
      <c r="CA104" s="137">
        <v>0</v>
      </c>
      <c r="CB104" s="126">
        <v>0</v>
      </c>
      <c r="CC104" s="126">
        <v>0</v>
      </c>
      <c r="CD104" s="126">
        <v>0</v>
      </c>
      <c r="CE104" s="126">
        <v>0</v>
      </c>
      <c r="CF104" s="126">
        <v>0</v>
      </c>
      <c r="CG104" s="137">
        <v>50005.009338223485</v>
      </c>
      <c r="CH104" s="126">
        <v>11829.995999999999</v>
      </c>
      <c r="CI104" s="126">
        <v>38175.013338223485</v>
      </c>
      <c r="CJ104" s="120"/>
      <c r="CK104" s="138">
        <v>1350270.4508103861</v>
      </c>
      <c r="CL104" s="139">
        <v>33.391458711950911</v>
      </c>
      <c r="CM104" s="140">
        <v>1205383.3199999998</v>
      </c>
      <c r="CN104" s="125">
        <v>2083.0299999999997</v>
      </c>
      <c r="CO104" s="125">
        <v>2083.0500000000002</v>
      </c>
      <c r="CP104" s="125">
        <v>0</v>
      </c>
      <c r="CQ104" s="125">
        <v>8124.880000000001</v>
      </c>
      <c r="CR104" s="125">
        <v>4405.5599999999995</v>
      </c>
      <c r="CS104" s="125">
        <v>18461.329999999998</v>
      </c>
      <c r="CT104" s="125">
        <v>0</v>
      </c>
      <c r="CU104" s="141">
        <v>3546.2168674698792</v>
      </c>
      <c r="CV104" s="142">
        <v>-141340.91394291632</v>
      </c>
      <c r="CW104" s="143">
        <v>0</v>
      </c>
      <c r="CX104" s="140">
        <v>1172817.6300000001</v>
      </c>
      <c r="CY104" s="140">
        <v>588284.56999999995</v>
      </c>
    </row>
    <row r="105" spans="1:103" ht="12" customHeight="1" x14ac:dyDescent="0.25">
      <c r="A105" s="122">
        <v>101</v>
      </c>
      <c r="B105" s="123" t="s">
        <v>151</v>
      </c>
      <c r="C105" s="124">
        <v>3053.6</v>
      </c>
      <c r="D105" s="125">
        <v>3053.6</v>
      </c>
      <c r="E105" s="125">
        <v>0</v>
      </c>
      <c r="F105" s="125">
        <v>550.02</v>
      </c>
      <c r="G105" s="124">
        <v>3053.6</v>
      </c>
      <c r="H105" s="124">
        <v>3053.6</v>
      </c>
      <c r="I105" s="126">
        <v>1</v>
      </c>
      <c r="J105" s="126">
        <v>0</v>
      </c>
      <c r="K105" s="127">
        <v>1.6367655079099074E-3</v>
      </c>
      <c r="L105" s="127">
        <v>2.3296009977779079E-3</v>
      </c>
      <c r="M105" s="127"/>
      <c r="N105" s="127"/>
      <c r="O105" s="128" t="s">
        <v>1489</v>
      </c>
      <c r="P105" s="129" t="s">
        <v>1493</v>
      </c>
      <c r="Q105" s="130">
        <v>6.91</v>
      </c>
      <c r="R105" s="130">
        <v>3.15</v>
      </c>
      <c r="S105" s="130">
        <v>1.81</v>
      </c>
      <c r="T105" s="38">
        <v>0.26</v>
      </c>
      <c r="U105" s="131">
        <v>45.06</v>
      </c>
      <c r="V105" s="144">
        <v>1</v>
      </c>
      <c r="W105" s="132">
        <v>2.4096385542168672E-3</v>
      </c>
      <c r="X105" s="133">
        <v>1290172.5741109415</v>
      </c>
      <c r="Y105" s="151">
        <v>25286.307927800681</v>
      </c>
      <c r="Z105" s="134">
        <v>6531.0053151994598</v>
      </c>
      <c r="AA105" s="134">
        <v>1921.4940022566682</v>
      </c>
      <c r="AB105" s="134">
        <v>1324.9668656845695</v>
      </c>
      <c r="AC105" s="126">
        <v>0</v>
      </c>
      <c r="AD105" s="126">
        <v>0</v>
      </c>
      <c r="AE105" s="126">
        <v>0</v>
      </c>
      <c r="AF105" s="126">
        <v>0</v>
      </c>
      <c r="AG105" s="126">
        <v>0</v>
      </c>
      <c r="AH105" s="126">
        <v>0</v>
      </c>
      <c r="AI105" s="126">
        <v>0</v>
      </c>
      <c r="AJ105" s="126">
        <v>0</v>
      </c>
      <c r="AK105" s="126">
        <v>0</v>
      </c>
      <c r="AL105" s="126">
        <v>0</v>
      </c>
      <c r="AM105" s="126">
        <v>0</v>
      </c>
      <c r="AN105" s="126">
        <v>0</v>
      </c>
      <c r="AO105" s="126">
        <v>0</v>
      </c>
      <c r="AP105" s="126">
        <v>1255108.8</v>
      </c>
      <c r="AQ105" s="126">
        <v>0</v>
      </c>
      <c r="AR105" s="126">
        <v>0</v>
      </c>
      <c r="AS105" s="126">
        <v>0</v>
      </c>
      <c r="AT105" s="126">
        <v>0</v>
      </c>
      <c r="AU105" s="126">
        <v>0</v>
      </c>
      <c r="AV105" s="126">
        <v>0</v>
      </c>
      <c r="AW105" s="135">
        <v>267705.14443818486</v>
      </c>
      <c r="AX105" s="136">
        <v>210439.0579696646</v>
      </c>
      <c r="AY105" s="136">
        <v>19558.726478993587</v>
      </c>
      <c r="AZ105" s="126">
        <v>0</v>
      </c>
      <c r="BA105" s="126">
        <v>5910.5177312181249</v>
      </c>
      <c r="BB105" s="126">
        <v>0</v>
      </c>
      <c r="BC105" s="126">
        <v>0</v>
      </c>
      <c r="BD105" s="126">
        <v>1311.8039419044937</v>
      </c>
      <c r="BE105" s="145">
        <v>24300.51941097443</v>
      </c>
      <c r="BF105" s="126">
        <v>1718.8722786013238</v>
      </c>
      <c r="BG105" s="126">
        <v>860.5995058440817</v>
      </c>
      <c r="BH105" s="126">
        <v>3605.0471209842526</v>
      </c>
      <c r="BI105" s="137">
        <v>455577.52932424884</v>
      </c>
      <c r="BJ105" s="126">
        <v>3226.6365797085941</v>
      </c>
      <c r="BK105" s="126">
        <v>4591.3137966657278</v>
      </c>
      <c r="BL105" s="126">
        <v>4925.3714787659937</v>
      </c>
      <c r="BM105" s="126">
        <v>4881.1739591407468</v>
      </c>
      <c r="BN105" s="126">
        <v>82101.793891233319</v>
      </c>
      <c r="BO105" s="126">
        <v>47135.226225730847</v>
      </c>
      <c r="BP105" s="126">
        <v>38670.790661739367</v>
      </c>
      <c r="BQ105" s="126">
        <v>209810.69548810614</v>
      </c>
      <c r="BR105" s="126">
        <v>7829.9921543489872</v>
      </c>
      <c r="BS105" s="126">
        <v>8693.7034155101064</v>
      </c>
      <c r="BT105" s="126">
        <v>43372.398123319785</v>
      </c>
      <c r="BU105" s="126">
        <v>0</v>
      </c>
      <c r="BV105" s="126">
        <v>338.43354997926457</v>
      </c>
      <c r="BW105" s="126">
        <v>52357.251512900635</v>
      </c>
      <c r="BX105" s="126">
        <v>185749.9055220476</v>
      </c>
      <c r="BY105" s="126">
        <v>163356.70353640878</v>
      </c>
      <c r="BZ105" s="126">
        <v>31098.86333701319</v>
      </c>
      <c r="CA105" s="137">
        <v>72872.274009358982</v>
      </c>
      <c r="CB105" s="145">
        <v>2466.8967518189434</v>
      </c>
      <c r="CC105" s="126">
        <v>69639.136266619826</v>
      </c>
      <c r="CD105" s="126">
        <v>0</v>
      </c>
      <c r="CE105" s="126">
        <v>0</v>
      </c>
      <c r="CF105" s="126">
        <v>766.24099092021243</v>
      </c>
      <c r="CG105" s="137">
        <v>46762.923677606748</v>
      </c>
      <c r="CH105" s="126">
        <v>12170.003999999999</v>
      </c>
      <c r="CI105" s="126">
        <v>34592.919677606747</v>
      </c>
      <c r="CJ105" s="120"/>
      <c r="CK105" s="138">
        <v>2565653.1694687121</v>
      </c>
      <c r="CL105" s="139">
        <v>70.017170156228502</v>
      </c>
      <c r="CM105" s="140">
        <v>1582986.2400000002</v>
      </c>
      <c r="CN105" s="125">
        <v>3168</v>
      </c>
      <c r="CO105" s="125">
        <v>3168</v>
      </c>
      <c r="CP105" s="125">
        <v>0</v>
      </c>
      <c r="CQ105" s="125">
        <v>12357.599999999999</v>
      </c>
      <c r="CR105" s="125">
        <v>6700.7999999999993</v>
      </c>
      <c r="CS105" s="125">
        <v>143485.91</v>
      </c>
      <c r="CT105" s="125">
        <v>0</v>
      </c>
      <c r="CU105" s="141">
        <v>886.55421686746979</v>
      </c>
      <c r="CV105" s="142">
        <v>-981780.37525184429</v>
      </c>
      <c r="CW105" s="143">
        <v>0</v>
      </c>
      <c r="CX105" s="140">
        <v>1522478.27</v>
      </c>
      <c r="CY105" s="140">
        <v>392579.27</v>
      </c>
    </row>
    <row r="106" spans="1:103" ht="12" customHeight="1" x14ac:dyDescent="0.25">
      <c r="A106" s="122">
        <v>102</v>
      </c>
      <c r="B106" s="123" t="s">
        <v>152</v>
      </c>
      <c r="C106" s="124">
        <v>3035.1</v>
      </c>
      <c r="D106" s="125">
        <v>3035.1</v>
      </c>
      <c r="E106" s="125">
        <v>0</v>
      </c>
      <c r="F106" s="125">
        <v>546.67999999999995</v>
      </c>
      <c r="G106" s="124">
        <v>3035.1</v>
      </c>
      <c r="H106" s="124">
        <v>3035.1</v>
      </c>
      <c r="I106" s="126">
        <v>1</v>
      </c>
      <c r="J106" s="126">
        <v>0</v>
      </c>
      <c r="K106" s="127">
        <v>1.6367655079099074E-3</v>
      </c>
      <c r="L106" s="127">
        <v>2.3296009977779079E-3</v>
      </c>
      <c r="M106" s="127"/>
      <c r="N106" s="127"/>
      <c r="O106" s="128" t="s">
        <v>1489</v>
      </c>
      <c r="P106" s="129" t="s">
        <v>1493</v>
      </c>
      <c r="Q106" s="130">
        <v>6.91</v>
      </c>
      <c r="R106" s="130">
        <v>3.15</v>
      </c>
      <c r="S106" s="130">
        <v>1.81</v>
      </c>
      <c r="T106" s="38">
        <v>0.26</v>
      </c>
      <c r="U106" s="131">
        <v>45.06</v>
      </c>
      <c r="V106" s="144">
        <v>1</v>
      </c>
      <c r="W106" s="132">
        <v>2.4096385542168672E-3</v>
      </c>
      <c r="X106" s="133">
        <v>34820.972230848245</v>
      </c>
      <c r="Y106" s="151">
        <v>25102.742072199322</v>
      </c>
      <c r="Z106" s="134">
        <v>6491.4377233959531</v>
      </c>
      <c r="AA106" s="134">
        <v>1909.8527790965463</v>
      </c>
      <c r="AB106" s="134">
        <v>1316.9396561564176</v>
      </c>
      <c r="AC106" s="126">
        <v>0</v>
      </c>
      <c r="AD106" s="126">
        <v>0</v>
      </c>
      <c r="AE106" s="126">
        <v>0</v>
      </c>
      <c r="AF106" s="126">
        <v>0</v>
      </c>
      <c r="AG106" s="126">
        <v>0</v>
      </c>
      <c r="AH106" s="126">
        <v>0</v>
      </c>
      <c r="AI106" s="126">
        <v>0</v>
      </c>
      <c r="AJ106" s="126">
        <v>0</v>
      </c>
      <c r="AK106" s="126">
        <v>0</v>
      </c>
      <c r="AL106" s="126">
        <v>0</v>
      </c>
      <c r="AM106" s="126">
        <v>0</v>
      </c>
      <c r="AN106" s="126">
        <v>0</v>
      </c>
      <c r="AO106" s="126">
        <v>0</v>
      </c>
      <c r="AP106" s="126">
        <v>0</v>
      </c>
      <c r="AQ106" s="126">
        <v>0</v>
      </c>
      <c r="AR106" s="126">
        <v>0</v>
      </c>
      <c r="AS106" s="126">
        <v>0</v>
      </c>
      <c r="AT106" s="126">
        <v>0</v>
      </c>
      <c r="AU106" s="126">
        <v>0</v>
      </c>
      <c r="AV106" s="126">
        <v>0</v>
      </c>
      <c r="AW106" s="135">
        <v>266083.27347535203</v>
      </c>
      <c r="AX106" s="136">
        <v>209164.12917334589</v>
      </c>
      <c r="AY106" s="136">
        <v>19440.231443670895</v>
      </c>
      <c r="AZ106" s="126">
        <v>0</v>
      </c>
      <c r="BA106" s="126">
        <v>5874.7093155685516</v>
      </c>
      <c r="BB106" s="126">
        <v>0</v>
      </c>
      <c r="BC106" s="126">
        <v>0</v>
      </c>
      <c r="BD106" s="126">
        <v>1303.8564789344803</v>
      </c>
      <c r="BE106" s="145">
        <v>24153.296589025576</v>
      </c>
      <c r="BF106" s="126">
        <v>1708.4586235207223</v>
      </c>
      <c r="BG106" s="126">
        <v>855.3856301373371</v>
      </c>
      <c r="BH106" s="126">
        <v>3583.2062211485804</v>
      </c>
      <c r="BI106" s="137">
        <v>452817.44801284641</v>
      </c>
      <c r="BJ106" s="126">
        <v>3207.088250941038</v>
      </c>
      <c r="BK106" s="126">
        <v>4563.4976762706801</v>
      </c>
      <c r="BL106" s="126">
        <v>4895.5314956781067</v>
      </c>
      <c r="BM106" s="126">
        <v>4851.6017433154575</v>
      </c>
      <c r="BN106" s="126">
        <v>81604.386507493531</v>
      </c>
      <c r="BO106" s="126">
        <v>46849.661094352792</v>
      </c>
      <c r="BP106" s="126">
        <v>38436.506660153638</v>
      </c>
      <c r="BQ106" s="126">
        <v>208539.57357740076</v>
      </c>
      <c r="BR106" s="126">
        <v>7782.5547510036058</v>
      </c>
      <c r="BS106" s="126">
        <v>8641.033284128478</v>
      </c>
      <c r="BT106" s="126">
        <v>43109.629795679815</v>
      </c>
      <c r="BU106" s="126">
        <v>0</v>
      </c>
      <c r="BV106" s="126">
        <v>336.38317642849944</v>
      </c>
      <c r="BW106" s="126">
        <v>52040.049144224758</v>
      </c>
      <c r="BX106" s="126">
        <v>184624.55405094536</v>
      </c>
      <c r="BY106" s="126">
        <v>162367.01955179274</v>
      </c>
      <c r="BZ106" s="126">
        <v>30910.453272913521</v>
      </c>
      <c r="CA106" s="137">
        <v>72852.686293796796</v>
      </c>
      <c r="CB106" s="145">
        <v>2451.9512481810566</v>
      </c>
      <c r="CC106" s="126">
        <v>69639.136266619826</v>
      </c>
      <c r="CD106" s="126">
        <v>0</v>
      </c>
      <c r="CE106" s="126">
        <v>0</v>
      </c>
      <c r="CF106" s="126">
        <v>761.59877899591845</v>
      </c>
      <c r="CG106" s="137">
        <v>46553.345142750935</v>
      </c>
      <c r="CH106" s="126">
        <v>12170.003999999999</v>
      </c>
      <c r="CI106" s="126">
        <v>34383.341142750935</v>
      </c>
      <c r="CJ106" s="120"/>
      <c r="CK106" s="138">
        <v>1303069.8011754709</v>
      </c>
      <c r="CL106" s="139">
        <v>35.777783301359399</v>
      </c>
      <c r="CM106" s="140">
        <v>1573395.8399999999</v>
      </c>
      <c r="CN106" s="125">
        <v>3148.08</v>
      </c>
      <c r="CO106" s="125">
        <v>3148.08</v>
      </c>
      <c r="CP106" s="125">
        <v>0</v>
      </c>
      <c r="CQ106" s="125">
        <v>12282.72</v>
      </c>
      <c r="CR106" s="125">
        <v>6660.12</v>
      </c>
      <c r="CS106" s="125">
        <v>142604.51999999999</v>
      </c>
      <c r="CT106" s="125">
        <v>0</v>
      </c>
      <c r="CU106" s="141">
        <v>886.55421686746979</v>
      </c>
      <c r="CV106" s="142">
        <v>271212.59304139647</v>
      </c>
      <c r="CW106" s="143">
        <v>0.20745322973540925</v>
      </c>
      <c r="CX106" s="140">
        <v>1464911.36</v>
      </c>
      <c r="CY106" s="140">
        <v>423043.23</v>
      </c>
    </row>
    <row r="107" spans="1:103" ht="12" customHeight="1" x14ac:dyDescent="0.25">
      <c r="A107" s="122">
        <v>103</v>
      </c>
      <c r="B107" s="123" t="s">
        <v>153</v>
      </c>
      <c r="C107" s="124">
        <v>4505.5999999999995</v>
      </c>
      <c r="D107" s="125">
        <v>4185.3999999999996</v>
      </c>
      <c r="E107" s="125">
        <v>320.2</v>
      </c>
      <c r="F107" s="125">
        <v>571.5</v>
      </c>
      <c r="G107" s="124">
        <v>4505.5999999999995</v>
      </c>
      <c r="H107" s="124"/>
      <c r="I107" s="126">
        <v>0</v>
      </c>
      <c r="J107" s="126">
        <v>0</v>
      </c>
      <c r="K107" s="127">
        <v>0</v>
      </c>
      <c r="L107" s="127">
        <v>0</v>
      </c>
      <c r="M107" s="127"/>
      <c r="N107" s="127"/>
      <c r="O107" s="128" t="s">
        <v>1488</v>
      </c>
      <c r="P107" s="129" t="s">
        <v>1493</v>
      </c>
      <c r="Q107" s="130">
        <v>6.92</v>
      </c>
      <c r="R107" s="130">
        <v>3.15</v>
      </c>
      <c r="S107" s="130">
        <v>0</v>
      </c>
      <c r="T107" s="38">
        <v>0.26</v>
      </c>
      <c r="U107" s="131">
        <v>31</v>
      </c>
      <c r="V107" s="144">
        <v>6</v>
      </c>
      <c r="W107" s="132">
        <v>1.4457831325301205E-2</v>
      </c>
      <c r="X107" s="133">
        <v>217940.23361892806</v>
      </c>
      <c r="Y107" s="134">
        <v>22552.55</v>
      </c>
      <c r="Z107" s="134">
        <v>9636.5265745882516</v>
      </c>
      <c r="AA107" s="134">
        <v>2835.1727064997522</v>
      </c>
      <c r="AB107" s="134">
        <v>1954.9943378400562</v>
      </c>
      <c r="AC107" s="126">
        <v>68838.25</v>
      </c>
      <c r="AD107" s="126">
        <v>0</v>
      </c>
      <c r="AE107" s="126">
        <v>0</v>
      </c>
      <c r="AF107" s="126">
        <v>0</v>
      </c>
      <c r="AG107" s="126">
        <v>0</v>
      </c>
      <c r="AH107" s="126">
        <v>0</v>
      </c>
      <c r="AI107" s="126">
        <v>0</v>
      </c>
      <c r="AJ107" s="126">
        <v>0</v>
      </c>
      <c r="AK107" s="126">
        <v>0</v>
      </c>
      <c r="AL107" s="126">
        <v>0</v>
      </c>
      <c r="AM107" s="126">
        <v>0</v>
      </c>
      <c r="AN107" s="126">
        <v>0</v>
      </c>
      <c r="AO107" s="126">
        <v>0</v>
      </c>
      <c r="AP107" s="126">
        <v>112122.74</v>
      </c>
      <c r="AQ107" s="126">
        <v>0</v>
      </c>
      <c r="AR107" s="126">
        <v>0</v>
      </c>
      <c r="AS107" s="126">
        <v>0</v>
      </c>
      <c r="AT107" s="126">
        <v>0</v>
      </c>
      <c r="AU107" s="126">
        <v>0</v>
      </c>
      <c r="AV107" s="126">
        <v>0</v>
      </c>
      <c r="AW107" s="135">
        <v>632681.01794682432</v>
      </c>
      <c r="AX107" s="136">
        <v>310503.73971316504</v>
      </c>
      <c r="AY107" s="136">
        <v>28858.985467564024</v>
      </c>
      <c r="AZ107" s="126">
        <v>0</v>
      </c>
      <c r="BA107" s="126">
        <v>0</v>
      </c>
      <c r="BB107" s="126">
        <v>0</v>
      </c>
      <c r="BC107" s="126">
        <v>282257.43599999999</v>
      </c>
      <c r="BD107" s="126">
        <v>1935.5723869023075</v>
      </c>
      <c r="BE107" s="126">
        <v>0</v>
      </c>
      <c r="BF107" s="126">
        <v>2536.203477359878</v>
      </c>
      <c r="BG107" s="126">
        <v>1269.818291043717</v>
      </c>
      <c r="BH107" s="126">
        <v>5319.2626107894439</v>
      </c>
      <c r="BI107" s="137">
        <v>672206.61387324333</v>
      </c>
      <c r="BJ107" s="126">
        <v>4760.9162213567724</v>
      </c>
      <c r="BK107" s="126">
        <v>6774.503354158076</v>
      </c>
      <c r="BL107" s="126">
        <v>7267.4069081503985</v>
      </c>
      <c r="BM107" s="126">
        <v>7202.1932768877878</v>
      </c>
      <c r="BN107" s="126">
        <v>121141.55179340478</v>
      </c>
      <c r="BO107" s="126">
        <v>69548.230050646089</v>
      </c>
      <c r="BP107" s="126">
        <v>57058.918786197566</v>
      </c>
      <c r="BQ107" s="126">
        <v>309576.58815536118</v>
      </c>
      <c r="BR107" s="126">
        <v>11553.187270970262</v>
      </c>
      <c r="BS107" s="126">
        <v>12827.596970435659</v>
      </c>
      <c r="BT107" s="126">
        <v>63996.16091971103</v>
      </c>
      <c r="BU107" s="126">
        <v>0</v>
      </c>
      <c r="BV107" s="126">
        <v>499.36016596364107</v>
      </c>
      <c r="BW107" s="126">
        <v>77253.350935461451</v>
      </c>
      <c r="BX107" s="126">
        <v>274074.78855126334</v>
      </c>
      <c r="BY107" s="126">
        <v>241033.52222086827</v>
      </c>
      <c r="BZ107" s="126">
        <v>0</v>
      </c>
      <c r="CA107" s="137">
        <v>0</v>
      </c>
      <c r="CB107" s="126">
        <v>0</v>
      </c>
      <c r="CC107" s="126">
        <v>0</v>
      </c>
      <c r="CD107" s="126">
        <v>0</v>
      </c>
      <c r="CE107" s="126">
        <v>0</v>
      </c>
      <c r="CF107" s="126">
        <v>0</v>
      </c>
      <c r="CG107" s="137">
        <v>51042.002521425515</v>
      </c>
      <c r="CH107" s="126">
        <v>0</v>
      </c>
      <c r="CI107" s="126">
        <v>51042.002521425515</v>
      </c>
      <c r="CJ107" s="120"/>
      <c r="CK107" s="138">
        <v>2166231.529668014</v>
      </c>
      <c r="CL107" s="139">
        <v>40.065539359685992</v>
      </c>
      <c r="CM107" s="140">
        <v>1492680.9</v>
      </c>
      <c r="CN107" s="125">
        <v>3313.08</v>
      </c>
      <c r="CO107" s="125">
        <v>3313.08</v>
      </c>
      <c r="CP107" s="125">
        <v>0</v>
      </c>
      <c r="CQ107" s="125">
        <v>12923.400000000001</v>
      </c>
      <c r="CR107" s="125">
        <v>7006.68</v>
      </c>
      <c r="CS107" s="125">
        <v>29283</v>
      </c>
      <c r="CT107" s="125">
        <v>191668.65905892733</v>
      </c>
      <c r="CU107" s="141">
        <v>5319.3253012048199</v>
      </c>
      <c r="CV107" s="142">
        <v>-476562.64530788199</v>
      </c>
      <c r="CW107" s="143">
        <v>0</v>
      </c>
      <c r="CX107" s="140">
        <v>1499011.0400000003</v>
      </c>
      <c r="CY107" s="140">
        <v>372741.89</v>
      </c>
    </row>
    <row r="108" spans="1:103" ht="12" customHeight="1" x14ac:dyDescent="0.25">
      <c r="A108" s="122">
        <v>104</v>
      </c>
      <c r="B108" s="123" t="s">
        <v>154</v>
      </c>
      <c r="C108" s="124">
        <v>4500.9799999999996</v>
      </c>
      <c r="D108" s="125">
        <v>4500.9799999999996</v>
      </c>
      <c r="E108" s="125">
        <v>0</v>
      </c>
      <c r="F108" s="125">
        <v>571.5</v>
      </c>
      <c r="G108" s="124">
        <v>4500.9799999999996</v>
      </c>
      <c r="H108" s="124"/>
      <c r="I108" s="126">
        <v>0</v>
      </c>
      <c r="J108" s="126">
        <v>0</v>
      </c>
      <c r="K108" s="127">
        <v>0</v>
      </c>
      <c r="L108" s="127">
        <v>0</v>
      </c>
      <c r="M108" s="127"/>
      <c r="N108" s="127"/>
      <c r="O108" s="128" t="s">
        <v>1489</v>
      </c>
      <c r="P108" s="129" t="s">
        <v>1493</v>
      </c>
      <c r="Q108" s="130">
        <v>6.92</v>
      </c>
      <c r="R108" s="130">
        <v>3.15</v>
      </c>
      <c r="S108" s="130">
        <v>0</v>
      </c>
      <c r="T108" s="38">
        <v>0.26</v>
      </c>
      <c r="U108" s="131">
        <v>31</v>
      </c>
      <c r="V108" s="144">
        <v>6</v>
      </c>
      <c r="W108" s="132">
        <v>1.4457831325301205E-2</v>
      </c>
      <c r="X108" s="133">
        <v>97803.780622541468</v>
      </c>
      <c r="Y108" s="134">
        <v>83391.88</v>
      </c>
      <c r="Z108" s="134">
        <v>9626.6453705811055</v>
      </c>
      <c r="AA108" s="134">
        <v>2832.2655469862516</v>
      </c>
      <c r="AB108" s="134">
        <v>1952.9897049741069</v>
      </c>
      <c r="AC108" s="126">
        <v>0</v>
      </c>
      <c r="AD108" s="126">
        <v>0</v>
      </c>
      <c r="AE108" s="126">
        <v>0</v>
      </c>
      <c r="AF108" s="126">
        <v>0</v>
      </c>
      <c r="AG108" s="126">
        <v>0</v>
      </c>
      <c r="AH108" s="126">
        <v>0</v>
      </c>
      <c r="AI108" s="126">
        <v>0</v>
      </c>
      <c r="AJ108" s="126">
        <v>0</v>
      </c>
      <c r="AK108" s="126">
        <v>0</v>
      </c>
      <c r="AL108" s="126">
        <v>0</v>
      </c>
      <c r="AM108" s="126">
        <v>0</v>
      </c>
      <c r="AN108" s="126">
        <v>0</v>
      </c>
      <c r="AO108" s="126">
        <v>0</v>
      </c>
      <c r="AP108" s="126">
        <v>0</v>
      </c>
      <c r="AQ108" s="126">
        <v>0</v>
      </c>
      <c r="AR108" s="126">
        <v>0</v>
      </c>
      <c r="AS108" s="126">
        <v>0</v>
      </c>
      <c r="AT108" s="126">
        <v>0</v>
      </c>
      <c r="AU108" s="126">
        <v>0</v>
      </c>
      <c r="AV108" s="126">
        <v>0</v>
      </c>
      <c r="AW108" s="135">
        <v>435818.00492735574</v>
      </c>
      <c r="AX108" s="136">
        <v>310185.35208943568</v>
      </c>
      <c r="AY108" s="136">
        <v>28829.393734418572</v>
      </c>
      <c r="AZ108" s="126">
        <v>0</v>
      </c>
      <c r="BA108" s="126">
        <v>8712.0520362385887</v>
      </c>
      <c r="BB108" s="126">
        <v>0</v>
      </c>
      <c r="BC108" s="126">
        <v>77041.691999999995</v>
      </c>
      <c r="BD108" s="126">
        <v>1933.5876691227691</v>
      </c>
      <c r="BE108" s="126">
        <v>0</v>
      </c>
      <c r="BF108" s="126">
        <v>2533.602878091101</v>
      </c>
      <c r="BG108" s="126">
        <v>1268.5162312726272</v>
      </c>
      <c r="BH108" s="126">
        <v>5313.8082887764276</v>
      </c>
      <c r="BI108" s="137">
        <v>671517.33951331466</v>
      </c>
      <c r="BJ108" s="126">
        <v>4756.0344224969822</v>
      </c>
      <c r="BK108" s="126">
        <v>6767.5568419296915</v>
      </c>
      <c r="BL108" s="126">
        <v>7259.9549772387209</v>
      </c>
      <c r="BM108" s="126">
        <v>7194.8082154222293</v>
      </c>
      <c r="BN108" s="126">
        <v>121017.33438189788</v>
      </c>
      <c r="BO108" s="126">
        <v>69476.915947566813</v>
      </c>
      <c r="BP108" s="126">
        <v>57000.411105801562</v>
      </c>
      <c r="BQ108" s="126">
        <v>309259.15122414718</v>
      </c>
      <c r="BR108" s="126">
        <v>11541.34074105374</v>
      </c>
      <c r="BS108" s="126">
        <v>12814.443672760895</v>
      </c>
      <c r="BT108" s="126">
        <v>63930.539856267969</v>
      </c>
      <c r="BU108" s="126">
        <v>0</v>
      </c>
      <c r="BV108" s="126">
        <v>498.84812673096354</v>
      </c>
      <c r="BW108" s="126">
        <v>77174.13607366239</v>
      </c>
      <c r="BX108" s="126">
        <v>273793.754832534</v>
      </c>
      <c r="BY108" s="126">
        <v>240786.36870687228</v>
      </c>
      <c r="BZ108" s="126">
        <v>0</v>
      </c>
      <c r="CA108" s="137">
        <v>0</v>
      </c>
      <c r="CB108" s="126">
        <v>0</v>
      </c>
      <c r="CC108" s="126">
        <v>0</v>
      </c>
      <c r="CD108" s="126">
        <v>0</v>
      </c>
      <c r="CE108" s="126">
        <v>0</v>
      </c>
      <c r="CF108" s="126">
        <v>0</v>
      </c>
      <c r="CG108" s="137">
        <v>50989.664530558824</v>
      </c>
      <c r="CH108" s="126">
        <v>0</v>
      </c>
      <c r="CI108" s="126">
        <v>50989.664530558824</v>
      </c>
      <c r="CJ108" s="120"/>
      <c r="CK108" s="138">
        <v>1847883.0492068392</v>
      </c>
      <c r="CL108" s="139">
        <v>34.212605721547298</v>
      </c>
      <c r="CM108" s="140">
        <v>1604517.2800000003</v>
      </c>
      <c r="CN108" s="125">
        <v>3561.49</v>
      </c>
      <c r="CO108" s="125">
        <v>3561.49</v>
      </c>
      <c r="CP108" s="125">
        <v>0</v>
      </c>
      <c r="CQ108" s="125">
        <v>13898.97</v>
      </c>
      <c r="CR108" s="125">
        <v>7539.79</v>
      </c>
      <c r="CS108" s="125">
        <v>31514.28</v>
      </c>
      <c r="CT108" s="125">
        <v>0</v>
      </c>
      <c r="CU108" s="141">
        <v>5319.3253012048199</v>
      </c>
      <c r="CV108" s="142">
        <v>-238046.44390563411</v>
      </c>
      <c r="CW108" s="143">
        <v>0</v>
      </c>
      <c r="CX108" s="140">
        <v>1574208.83</v>
      </c>
      <c r="CY108" s="140">
        <v>356721.91999999998</v>
      </c>
    </row>
    <row r="109" spans="1:103" ht="12" customHeight="1" x14ac:dyDescent="0.25">
      <c r="A109" s="122">
        <v>105</v>
      </c>
      <c r="B109" s="123" t="s">
        <v>155</v>
      </c>
      <c r="C109" s="124">
        <v>6866.78</v>
      </c>
      <c r="D109" s="125">
        <v>6866.78</v>
      </c>
      <c r="E109" s="125">
        <v>0</v>
      </c>
      <c r="F109" s="125">
        <v>706.4</v>
      </c>
      <c r="G109" s="124">
        <v>6866.78</v>
      </c>
      <c r="H109" s="124"/>
      <c r="I109" s="126">
        <v>0</v>
      </c>
      <c r="J109" s="126">
        <v>0</v>
      </c>
      <c r="K109" s="127">
        <v>0</v>
      </c>
      <c r="L109" s="127">
        <v>0</v>
      </c>
      <c r="M109" s="127"/>
      <c r="N109" s="127"/>
      <c r="O109" s="128" t="s">
        <v>1488</v>
      </c>
      <c r="P109" s="129" t="s">
        <v>1493</v>
      </c>
      <c r="Q109" s="130">
        <v>6.92</v>
      </c>
      <c r="R109" s="130">
        <v>3.15</v>
      </c>
      <c r="S109" s="130">
        <v>0</v>
      </c>
      <c r="T109" s="38">
        <v>0.26</v>
      </c>
      <c r="U109" s="131">
        <v>31</v>
      </c>
      <c r="V109" s="144">
        <v>0</v>
      </c>
      <c r="W109" s="132">
        <v>0</v>
      </c>
      <c r="X109" s="133">
        <v>277548.21747349587</v>
      </c>
      <c r="Y109" s="134">
        <v>100267.21</v>
      </c>
      <c r="Z109" s="134">
        <v>14686.591786188548</v>
      </c>
      <c r="AA109" s="134">
        <v>4320.9577498087647</v>
      </c>
      <c r="AB109" s="134">
        <v>2979.5179374985223</v>
      </c>
      <c r="AC109" s="126">
        <v>45079.86</v>
      </c>
      <c r="AD109" s="126">
        <v>0</v>
      </c>
      <c r="AE109" s="126">
        <v>0</v>
      </c>
      <c r="AF109" s="126">
        <v>0</v>
      </c>
      <c r="AG109" s="126">
        <v>0</v>
      </c>
      <c r="AH109" s="126">
        <v>0</v>
      </c>
      <c r="AI109" s="126">
        <v>0</v>
      </c>
      <c r="AJ109" s="126">
        <v>0</v>
      </c>
      <c r="AK109" s="126">
        <v>57643.08</v>
      </c>
      <c r="AL109" s="126">
        <v>0</v>
      </c>
      <c r="AM109" s="126">
        <v>0</v>
      </c>
      <c r="AN109" s="126">
        <v>0</v>
      </c>
      <c r="AO109" s="126">
        <v>0</v>
      </c>
      <c r="AP109" s="126">
        <v>0</v>
      </c>
      <c r="AQ109" s="126">
        <v>52571</v>
      </c>
      <c r="AR109" s="126">
        <v>0</v>
      </c>
      <c r="AS109" s="126">
        <v>0</v>
      </c>
      <c r="AT109" s="126">
        <v>0</v>
      </c>
      <c r="AU109" s="126">
        <v>0</v>
      </c>
      <c r="AV109" s="126">
        <v>0</v>
      </c>
      <c r="AW109" s="135">
        <v>817917.4284565018</v>
      </c>
      <c r="AX109" s="136">
        <v>473224.624864073</v>
      </c>
      <c r="AY109" s="136">
        <v>43982.6669542257</v>
      </c>
      <c r="AZ109" s="126">
        <v>0</v>
      </c>
      <c r="BA109" s="126">
        <v>0</v>
      </c>
      <c r="BB109" s="126">
        <v>0</v>
      </c>
      <c r="BC109" s="126">
        <v>102461.60399999999</v>
      </c>
      <c r="BD109" s="126">
        <v>2949.9178255799511</v>
      </c>
      <c r="BE109" s="126">
        <v>181391.18400000001</v>
      </c>
      <c r="BF109" s="126">
        <v>3865.3123478039029</v>
      </c>
      <c r="BG109" s="126">
        <v>1935.272293273521</v>
      </c>
      <c r="BH109" s="126">
        <v>8106.846171545797</v>
      </c>
      <c r="BI109" s="137">
        <v>1024479.5214871515</v>
      </c>
      <c r="BJ109" s="126">
        <v>7255.8958386204413</v>
      </c>
      <c r="BK109" s="126">
        <v>10324.712389529828</v>
      </c>
      <c r="BL109" s="126">
        <v>11075.924273958852</v>
      </c>
      <c r="BM109" s="126">
        <v>10976.535145123296</v>
      </c>
      <c r="BN109" s="126">
        <v>184626.32835225412</v>
      </c>
      <c r="BO109" s="126">
        <v>105995.29366725309</v>
      </c>
      <c r="BP109" s="126">
        <v>86960.90250858615</v>
      </c>
      <c r="BQ109" s="126">
        <v>471811.59535100125</v>
      </c>
      <c r="BR109" s="126">
        <v>17607.687164540392</v>
      </c>
      <c r="BS109" s="126">
        <v>19549.957014525964</v>
      </c>
      <c r="BT109" s="126">
        <v>97533.637668735202</v>
      </c>
      <c r="BU109" s="126">
        <v>0</v>
      </c>
      <c r="BV109" s="126">
        <v>761.05211302286295</v>
      </c>
      <c r="BW109" s="126">
        <v>117738.31790141336</v>
      </c>
      <c r="BX109" s="126">
        <v>417704.91755327681</v>
      </c>
      <c r="BY109" s="126">
        <v>367348.22658820444</v>
      </c>
      <c r="BZ109" s="126">
        <v>0</v>
      </c>
      <c r="CA109" s="137">
        <v>0</v>
      </c>
      <c r="CB109" s="126">
        <v>0</v>
      </c>
      <c r="CC109" s="126">
        <v>0</v>
      </c>
      <c r="CD109" s="126">
        <v>0</v>
      </c>
      <c r="CE109" s="126">
        <v>0</v>
      </c>
      <c r="CF109" s="126">
        <v>0</v>
      </c>
      <c r="CG109" s="137">
        <v>77790.79413930983</v>
      </c>
      <c r="CH109" s="126">
        <v>0</v>
      </c>
      <c r="CI109" s="126">
        <v>77790.79413930983</v>
      </c>
      <c r="CJ109" s="120"/>
      <c r="CK109" s="138">
        <v>3100527.4235993535</v>
      </c>
      <c r="CL109" s="139">
        <v>37.627138964688854</v>
      </c>
      <c r="CM109" s="140">
        <v>2383756.48</v>
      </c>
      <c r="CN109" s="125">
        <v>4407.8599999999997</v>
      </c>
      <c r="CO109" s="125">
        <v>4407.8600000000006</v>
      </c>
      <c r="CP109" s="125">
        <v>0</v>
      </c>
      <c r="CQ109" s="125">
        <v>17195.09</v>
      </c>
      <c r="CR109" s="125">
        <v>9322.31</v>
      </c>
      <c r="CS109" s="125">
        <v>38194.11</v>
      </c>
      <c r="CT109" s="125">
        <v>0</v>
      </c>
      <c r="CU109" s="141">
        <v>0</v>
      </c>
      <c r="CV109" s="142">
        <v>-716770.94359935354</v>
      </c>
      <c r="CW109" s="143">
        <v>0</v>
      </c>
      <c r="CX109" s="140">
        <v>2431601.34</v>
      </c>
      <c r="CY109" s="140">
        <v>557451.72</v>
      </c>
    </row>
    <row r="110" spans="1:103" ht="12" customHeight="1" x14ac:dyDescent="0.25">
      <c r="A110" s="122">
        <v>106</v>
      </c>
      <c r="B110" s="123" t="s">
        <v>156</v>
      </c>
      <c r="C110" s="124">
        <v>4577.38</v>
      </c>
      <c r="D110" s="125">
        <v>4577.38</v>
      </c>
      <c r="E110" s="125">
        <v>0</v>
      </c>
      <c r="F110" s="125">
        <v>565.79999999999995</v>
      </c>
      <c r="G110" s="124">
        <v>4577.38</v>
      </c>
      <c r="H110" s="124"/>
      <c r="I110" s="126">
        <v>0</v>
      </c>
      <c r="J110" s="126">
        <v>0</v>
      </c>
      <c r="K110" s="127">
        <v>0</v>
      </c>
      <c r="L110" s="127">
        <v>0</v>
      </c>
      <c r="M110" s="127"/>
      <c r="N110" s="127"/>
      <c r="O110" s="128" t="s">
        <v>1489</v>
      </c>
      <c r="P110" s="129" t="s">
        <v>1493</v>
      </c>
      <c r="Q110" s="130">
        <v>6.92</v>
      </c>
      <c r="R110" s="130">
        <v>3.15</v>
      </c>
      <c r="S110" s="130">
        <v>0</v>
      </c>
      <c r="T110" s="38">
        <v>0.26</v>
      </c>
      <c r="U110" s="131">
        <v>31</v>
      </c>
      <c r="V110" s="144">
        <v>6</v>
      </c>
      <c r="W110" s="132">
        <v>1.4457831325301205E-2</v>
      </c>
      <c r="X110" s="133">
        <v>163212.04939395617</v>
      </c>
      <c r="Y110" s="134">
        <v>72005.789999999994</v>
      </c>
      <c r="Z110" s="134">
        <v>9790.0488307858614</v>
      </c>
      <c r="AA110" s="134">
        <v>2880.3406523610256</v>
      </c>
      <c r="AB110" s="134">
        <v>1986.1399108092858</v>
      </c>
      <c r="AC110" s="126">
        <v>76549.73</v>
      </c>
      <c r="AD110" s="126">
        <v>0</v>
      </c>
      <c r="AE110" s="126">
        <v>0</v>
      </c>
      <c r="AF110" s="126">
        <v>0</v>
      </c>
      <c r="AG110" s="126">
        <v>0</v>
      </c>
      <c r="AH110" s="126">
        <v>0</v>
      </c>
      <c r="AI110" s="126">
        <v>0</v>
      </c>
      <c r="AJ110" s="126">
        <v>0</v>
      </c>
      <c r="AK110" s="126">
        <v>0</v>
      </c>
      <c r="AL110" s="126">
        <v>0</v>
      </c>
      <c r="AM110" s="126">
        <v>0</v>
      </c>
      <c r="AN110" s="126">
        <v>0</v>
      </c>
      <c r="AO110" s="126">
        <v>0</v>
      </c>
      <c r="AP110" s="126">
        <v>0</v>
      </c>
      <c r="AQ110" s="126">
        <v>0</v>
      </c>
      <c r="AR110" s="126">
        <v>0</v>
      </c>
      <c r="AS110" s="126">
        <v>0</v>
      </c>
      <c r="AT110" s="126">
        <v>0</v>
      </c>
      <c r="AU110" s="126">
        <v>0</v>
      </c>
      <c r="AV110" s="126">
        <v>0</v>
      </c>
      <c r="AW110" s="135">
        <v>431091.2951956552</v>
      </c>
      <c r="AX110" s="136">
        <v>315450.46344288165</v>
      </c>
      <c r="AY110" s="136">
        <v>29318.746204616084</v>
      </c>
      <c r="AZ110" s="126">
        <v>0</v>
      </c>
      <c r="BA110" s="126">
        <v>8859.9311149211499</v>
      </c>
      <c r="BB110" s="126">
        <v>0</v>
      </c>
      <c r="BC110" s="126">
        <v>66225.084000000003</v>
      </c>
      <c r="BD110" s="126">
        <v>1966.4085432259601</v>
      </c>
      <c r="BE110" s="126">
        <v>0</v>
      </c>
      <c r="BF110" s="126">
        <v>2576.6084590726118</v>
      </c>
      <c r="BG110" s="126">
        <v>1290.0481287858865</v>
      </c>
      <c r="BH110" s="126">
        <v>5404.0053021518534</v>
      </c>
      <c r="BI110" s="137">
        <v>682915.72936148499</v>
      </c>
      <c r="BJ110" s="126">
        <v>4836.76373697489</v>
      </c>
      <c r="BK110" s="126">
        <v>6882.4299012908596</v>
      </c>
      <c r="BL110" s="126">
        <v>7383.1860425313998</v>
      </c>
      <c r="BM110" s="126">
        <v>7316.9334742899118</v>
      </c>
      <c r="BN110" s="126">
        <v>123071.49244231517</v>
      </c>
      <c r="BO110" s="126">
        <v>70656.222760392935</v>
      </c>
      <c r="BP110" s="126">
        <v>57967.940712350195</v>
      </c>
      <c r="BQ110" s="126">
        <v>314508.54116889811</v>
      </c>
      <c r="BR110" s="126">
        <v>11737.244395950343</v>
      </c>
      <c r="BS110" s="126">
        <v>13031.957080196375</v>
      </c>
      <c r="BT110" s="126">
        <v>65015.702030954126</v>
      </c>
      <c r="BU110" s="126">
        <v>0</v>
      </c>
      <c r="BV110" s="126">
        <v>507.31561534060984</v>
      </c>
      <c r="BW110" s="126">
        <v>78484.096125923868</v>
      </c>
      <c r="BX110" s="126">
        <v>278441.1522591401</v>
      </c>
      <c r="BY110" s="126">
        <v>244873.49608117857</v>
      </c>
      <c r="BZ110" s="126">
        <v>0</v>
      </c>
      <c r="CA110" s="137">
        <v>0</v>
      </c>
      <c r="CB110" s="126">
        <v>0</v>
      </c>
      <c r="CC110" s="126">
        <v>0</v>
      </c>
      <c r="CD110" s="126">
        <v>0</v>
      </c>
      <c r="CE110" s="126">
        <v>0</v>
      </c>
      <c r="CF110" s="126">
        <v>0</v>
      </c>
      <c r="CG110" s="137">
        <v>51855.167236666101</v>
      </c>
      <c r="CH110" s="126">
        <v>0</v>
      </c>
      <c r="CI110" s="126">
        <v>51855.167236666101</v>
      </c>
      <c r="CJ110" s="120"/>
      <c r="CK110" s="138">
        <v>1930872.9856540048</v>
      </c>
      <c r="CL110" s="139">
        <v>35.152441383025604</v>
      </c>
      <c r="CM110" s="140">
        <v>1601937.9699999997</v>
      </c>
      <c r="CN110" s="125">
        <v>3445.02</v>
      </c>
      <c r="CO110" s="125">
        <v>3463.17</v>
      </c>
      <c r="CP110" s="125">
        <v>0</v>
      </c>
      <c r="CQ110" s="125">
        <v>13574.93</v>
      </c>
      <c r="CR110" s="125">
        <v>7418.98</v>
      </c>
      <c r="CS110" s="125">
        <v>30717.670000000002</v>
      </c>
      <c r="CT110" s="125">
        <v>0</v>
      </c>
      <c r="CU110" s="141">
        <v>5319.3253012048199</v>
      </c>
      <c r="CV110" s="142">
        <v>-323615.6903528003</v>
      </c>
      <c r="CW110" s="143">
        <v>0</v>
      </c>
      <c r="CX110" s="140">
        <v>1535206.6</v>
      </c>
      <c r="CY110" s="140">
        <v>378647.67</v>
      </c>
    </row>
    <row r="111" spans="1:103" ht="12" customHeight="1" x14ac:dyDescent="0.25">
      <c r="A111" s="122">
        <v>107</v>
      </c>
      <c r="B111" s="123" t="s">
        <v>157</v>
      </c>
      <c r="C111" s="124">
        <v>3516.8</v>
      </c>
      <c r="D111" s="125">
        <v>3516.8</v>
      </c>
      <c r="E111" s="125">
        <v>0</v>
      </c>
      <c r="F111" s="125">
        <v>353.2</v>
      </c>
      <c r="G111" s="124">
        <v>3516.8</v>
      </c>
      <c r="H111" s="124"/>
      <c r="I111" s="126">
        <v>0</v>
      </c>
      <c r="J111" s="126">
        <v>0</v>
      </c>
      <c r="K111" s="127">
        <v>0</v>
      </c>
      <c r="L111" s="127">
        <v>0</v>
      </c>
      <c r="M111" s="127"/>
      <c r="N111" s="127"/>
      <c r="O111" s="128" t="s">
        <v>1489</v>
      </c>
      <c r="P111" s="129" t="s">
        <v>1493</v>
      </c>
      <c r="Q111" s="130">
        <v>6.92</v>
      </c>
      <c r="R111" s="130">
        <v>3.15</v>
      </c>
      <c r="S111" s="130">
        <v>0</v>
      </c>
      <c r="T111" s="38">
        <v>0.26</v>
      </c>
      <c r="U111" s="131">
        <v>31</v>
      </c>
      <c r="V111" s="144">
        <v>3</v>
      </c>
      <c r="W111" s="132">
        <v>7.2289156626506026E-3</v>
      </c>
      <c r="X111" s="133">
        <v>48535.918158524109</v>
      </c>
      <c r="Y111" s="134">
        <v>31052.95</v>
      </c>
      <c r="Z111" s="134">
        <v>7521.6922624094395</v>
      </c>
      <c r="AA111" s="134">
        <v>2212.9650599738839</v>
      </c>
      <c r="AB111" s="134">
        <v>1525.9508361407827</v>
      </c>
      <c r="AC111" s="126">
        <v>0</v>
      </c>
      <c r="AD111" s="126">
        <v>0</v>
      </c>
      <c r="AE111" s="126">
        <v>0</v>
      </c>
      <c r="AF111" s="126">
        <v>0</v>
      </c>
      <c r="AG111" s="126">
        <v>0</v>
      </c>
      <c r="AH111" s="126">
        <v>0</v>
      </c>
      <c r="AI111" s="126">
        <v>6222.36</v>
      </c>
      <c r="AJ111" s="126">
        <v>0</v>
      </c>
      <c r="AK111" s="126">
        <v>0</v>
      </c>
      <c r="AL111" s="126">
        <v>0</v>
      </c>
      <c r="AM111" s="126">
        <v>0</v>
      </c>
      <c r="AN111" s="126">
        <v>0</v>
      </c>
      <c r="AO111" s="126">
        <v>0</v>
      </c>
      <c r="AP111" s="126">
        <v>0</v>
      </c>
      <c r="AQ111" s="126">
        <v>0</v>
      </c>
      <c r="AR111" s="126">
        <v>0</v>
      </c>
      <c r="AS111" s="126">
        <v>0</v>
      </c>
      <c r="AT111" s="126">
        <v>0</v>
      </c>
      <c r="AU111" s="126">
        <v>0</v>
      </c>
      <c r="AV111" s="126">
        <v>0</v>
      </c>
      <c r="AW111" s="135">
        <v>332153.8460465332</v>
      </c>
      <c r="AX111" s="136">
        <v>242360.5184266821</v>
      </c>
      <c r="AY111" s="136">
        <v>22525.585957992094</v>
      </c>
      <c r="AZ111" s="126">
        <v>0</v>
      </c>
      <c r="BA111" s="126">
        <v>6807.0830354820218</v>
      </c>
      <c r="BB111" s="126">
        <v>0</v>
      </c>
      <c r="BC111" s="126">
        <v>51827.219999999994</v>
      </c>
      <c r="BD111" s="126">
        <v>1510.7912309699122</v>
      </c>
      <c r="BE111" s="126">
        <v>0</v>
      </c>
      <c r="BF111" s="126">
        <v>1979.6076858085983</v>
      </c>
      <c r="BG111" s="126">
        <v>991.14368029619686</v>
      </c>
      <c r="BH111" s="126">
        <v>4151.8960293022728</v>
      </c>
      <c r="BI111" s="137">
        <v>524683.99761839095</v>
      </c>
      <c r="BJ111" s="126">
        <v>3716.0844653914014</v>
      </c>
      <c r="BK111" s="126">
        <v>5287.7693083946924</v>
      </c>
      <c r="BL111" s="126">
        <v>5672.5001364043246</v>
      </c>
      <c r="BM111" s="126">
        <v>5621.5983034798865</v>
      </c>
      <c r="BN111" s="126">
        <v>94555.799304653323</v>
      </c>
      <c r="BO111" s="126">
        <v>54285.15967731538</v>
      </c>
      <c r="BP111" s="126">
        <v>44536.755501442567</v>
      </c>
      <c r="BQ111" s="126">
        <v>241636.83976047017</v>
      </c>
      <c r="BR111" s="126">
        <v>9017.7221667587492</v>
      </c>
      <c r="BS111" s="126">
        <v>10012.449623940904</v>
      </c>
      <c r="BT111" s="126">
        <v>49951.548899689231</v>
      </c>
      <c r="BU111" s="126">
        <v>0</v>
      </c>
      <c r="BV111" s="126">
        <v>389.77047045031367</v>
      </c>
      <c r="BW111" s="126">
        <v>60299.312981585332</v>
      </c>
      <c r="BX111" s="126">
        <v>213926.27316607843</v>
      </c>
      <c r="BY111" s="126">
        <v>188136.25065393059</v>
      </c>
      <c r="BZ111" s="126">
        <v>0</v>
      </c>
      <c r="CA111" s="137">
        <v>0</v>
      </c>
      <c r="CB111" s="126">
        <v>0</v>
      </c>
      <c r="CC111" s="126">
        <v>0</v>
      </c>
      <c r="CD111" s="126">
        <v>0</v>
      </c>
      <c r="CE111" s="126">
        <v>0</v>
      </c>
      <c r="CF111" s="126">
        <v>0</v>
      </c>
      <c r="CG111" s="137">
        <v>39840.313047618365</v>
      </c>
      <c r="CH111" s="126">
        <v>0</v>
      </c>
      <c r="CI111" s="126">
        <v>39840.313047618365</v>
      </c>
      <c r="CJ111" s="120"/>
      <c r="CK111" s="138">
        <v>1407575.9116726608</v>
      </c>
      <c r="CL111" s="139">
        <v>33.353614831491242</v>
      </c>
      <c r="CM111" s="140">
        <v>1230657.26</v>
      </c>
      <c r="CN111" s="125">
        <v>2203.91</v>
      </c>
      <c r="CO111" s="125">
        <v>2203.91</v>
      </c>
      <c r="CP111" s="125">
        <v>0</v>
      </c>
      <c r="CQ111" s="125">
        <v>8599.2099999999991</v>
      </c>
      <c r="CR111" s="125">
        <v>4661.76</v>
      </c>
      <c r="CS111" s="125">
        <v>19144.88</v>
      </c>
      <c r="CT111" s="125">
        <v>0</v>
      </c>
      <c r="CU111" s="141">
        <v>2659.6626506024099</v>
      </c>
      <c r="CV111" s="142">
        <v>-174258.98902205843</v>
      </c>
      <c r="CW111" s="143">
        <v>0</v>
      </c>
      <c r="CX111" s="140">
        <v>1211106.8199999998</v>
      </c>
      <c r="CY111" s="140">
        <v>298051.14</v>
      </c>
    </row>
    <row r="112" spans="1:103" ht="12" customHeight="1" x14ac:dyDescent="0.25">
      <c r="A112" s="122">
        <v>108</v>
      </c>
      <c r="B112" s="123" t="s">
        <v>158</v>
      </c>
      <c r="C112" s="124">
        <v>2721.6000000000008</v>
      </c>
      <c r="D112" s="125">
        <v>2721.6000000000008</v>
      </c>
      <c r="E112" s="125">
        <v>0</v>
      </c>
      <c r="F112" s="125">
        <v>355</v>
      </c>
      <c r="G112" s="124">
        <v>2721.6000000000008</v>
      </c>
      <c r="H112" s="124"/>
      <c r="I112" s="126">
        <v>0</v>
      </c>
      <c r="J112" s="126">
        <v>0</v>
      </c>
      <c r="K112" s="127">
        <v>0</v>
      </c>
      <c r="L112" s="127">
        <v>0</v>
      </c>
      <c r="M112" s="127"/>
      <c r="N112" s="127"/>
      <c r="O112" s="128" t="s">
        <v>1488</v>
      </c>
      <c r="P112" s="129" t="s">
        <v>1493</v>
      </c>
      <c r="Q112" s="130">
        <v>6.92</v>
      </c>
      <c r="R112" s="130">
        <v>3.15</v>
      </c>
      <c r="S112" s="130">
        <v>0</v>
      </c>
      <c r="T112" s="38">
        <v>0.26</v>
      </c>
      <c r="U112" s="131">
        <v>31</v>
      </c>
      <c r="V112" s="144">
        <v>4</v>
      </c>
      <c r="W112" s="132">
        <v>9.638554216867469E-3</v>
      </c>
      <c r="X112" s="133">
        <v>57626.229689558459</v>
      </c>
      <c r="Y112" s="134">
        <v>48911.81</v>
      </c>
      <c r="Z112" s="134">
        <v>5820.9274514824656</v>
      </c>
      <c r="AA112" s="134">
        <v>1712.5812406804264</v>
      </c>
      <c r="AB112" s="134">
        <v>1180.9109973955742</v>
      </c>
      <c r="AC112" s="126">
        <v>0</v>
      </c>
      <c r="AD112" s="126">
        <v>0</v>
      </c>
      <c r="AE112" s="126">
        <v>0</v>
      </c>
      <c r="AF112" s="126">
        <v>0</v>
      </c>
      <c r="AG112" s="126">
        <v>0</v>
      </c>
      <c r="AH112" s="126">
        <v>0</v>
      </c>
      <c r="AI112" s="126">
        <v>0</v>
      </c>
      <c r="AJ112" s="126">
        <v>0</v>
      </c>
      <c r="AK112" s="126">
        <v>0</v>
      </c>
      <c r="AL112" s="126">
        <v>0</v>
      </c>
      <c r="AM112" s="126">
        <v>0</v>
      </c>
      <c r="AN112" s="126">
        <v>0</v>
      </c>
      <c r="AO112" s="126">
        <v>0</v>
      </c>
      <c r="AP112" s="126">
        <v>0</v>
      </c>
      <c r="AQ112" s="126">
        <v>0</v>
      </c>
      <c r="AR112" s="126">
        <v>0</v>
      </c>
      <c r="AS112" s="126">
        <v>0</v>
      </c>
      <c r="AT112" s="126">
        <v>0</v>
      </c>
      <c r="AU112" s="126">
        <v>0</v>
      </c>
      <c r="AV112" s="126">
        <v>0</v>
      </c>
      <c r="AW112" s="135">
        <v>261786.54336205559</v>
      </c>
      <c r="AX112" s="136">
        <v>187559.25470599925</v>
      </c>
      <c r="AY112" s="136">
        <v>17432.220980229555</v>
      </c>
      <c r="AZ112" s="126">
        <v>0</v>
      </c>
      <c r="BA112" s="126">
        <v>0</v>
      </c>
      <c r="BB112" s="126">
        <v>0</v>
      </c>
      <c r="BC112" s="126">
        <v>50113.776000000005</v>
      </c>
      <c r="BD112" s="126">
        <v>1169.1792010372253</v>
      </c>
      <c r="BE112" s="126">
        <v>0</v>
      </c>
      <c r="BF112" s="126">
        <v>1531.9893874251259</v>
      </c>
      <c r="BG112" s="126">
        <v>767.03157424196149</v>
      </c>
      <c r="BH112" s="126">
        <v>3213.0915131224606</v>
      </c>
      <c r="BI112" s="137">
        <v>406045.2593034046</v>
      </c>
      <c r="BJ112" s="126">
        <v>2875.823328312455</v>
      </c>
      <c r="BK112" s="126">
        <v>4092.1272036302885</v>
      </c>
      <c r="BL112" s="126">
        <v>4389.8647552428383</v>
      </c>
      <c r="BM112" s="126">
        <v>4350.472572438257</v>
      </c>
      <c r="BN112" s="126">
        <v>73175.347869524718</v>
      </c>
      <c r="BO112" s="126">
        <v>42010.489813973378</v>
      </c>
      <c r="BP112" s="126">
        <v>34466.342633281994</v>
      </c>
      <c r="BQ112" s="126">
        <v>186999.21038787984</v>
      </c>
      <c r="BR112" s="126">
        <v>6978.6830780967412</v>
      </c>
      <c r="BS112" s="126">
        <v>7748.488084769554</v>
      </c>
      <c r="BT112" s="126">
        <v>38656.771919186263</v>
      </c>
      <c r="BU112" s="126">
        <v>0</v>
      </c>
      <c r="BV112" s="126">
        <v>301.63765706823642</v>
      </c>
      <c r="BW112" s="126">
        <v>46664.754950717324</v>
      </c>
      <c r="BX112" s="126">
        <v>165554.40885145564</v>
      </c>
      <c r="BY112" s="126">
        <v>145595.88824492085</v>
      </c>
      <c r="BZ112" s="126">
        <v>0</v>
      </c>
      <c r="CA112" s="137">
        <v>0</v>
      </c>
      <c r="CB112" s="126">
        <v>0</v>
      </c>
      <c r="CC112" s="126">
        <v>0</v>
      </c>
      <c r="CD112" s="126">
        <v>0</v>
      </c>
      <c r="CE112" s="126">
        <v>0</v>
      </c>
      <c r="CF112" s="126">
        <v>0</v>
      </c>
      <c r="CG112" s="137">
        <v>40291.830619653709</v>
      </c>
      <c r="CH112" s="126">
        <v>9459.9959999999992</v>
      </c>
      <c r="CI112" s="126">
        <v>30831.83461965371</v>
      </c>
      <c r="CJ112" s="120"/>
      <c r="CK112" s="138">
        <v>1123564.9150217662</v>
      </c>
      <c r="CL112" s="139">
        <v>34.402707813472645</v>
      </c>
      <c r="CM112" s="140">
        <v>970649.72000000009</v>
      </c>
      <c r="CN112" s="125">
        <v>2215.83</v>
      </c>
      <c r="CO112" s="125">
        <v>2215.83</v>
      </c>
      <c r="CP112" s="125">
        <v>0</v>
      </c>
      <c r="CQ112" s="125">
        <v>8642.26</v>
      </c>
      <c r="CR112" s="125">
        <v>4685.1100000000006</v>
      </c>
      <c r="CS112" s="125">
        <v>19581.739999999998</v>
      </c>
      <c r="CT112" s="125">
        <v>0</v>
      </c>
      <c r="CU112" s="141">
        <v>3546.2168674698792</v>
      </c>
      <c r="CV112" s="142">
        <v>-149368.97815429629</v>
      </c>
      <c r="CW112" s="143">
        <v>0</v>
      </c>
      <c r="CX112" s="140">
        <v>1020960.72</v>
      </c>
      <c r="CY112" s="140">
        <v>157592.74000000002</v>
      </c>
    </row>
    <row r="113" spans="1:103" ht="12" customHeight="1" x14ac:dyDescent="0.25">
      <c r="A113" s="122">
        <v>109</v>
      </c>
      <c r="B113" s="123" t="s">
        <v>159</v>
      </c>
      <c r="C113" s="124">
        <v>3502</v>
      </c>
      <c r="D113" s="125">
        <v>3502</v>
      </c>
      <c r="E113" s="125">
        <v>0</v>
      </c>
      <c r="F113" s="125">
        <v>353.2</v>
      </c>
      <c r="G113" s="124">
        <v>3502</v>
      </c>
      <c r="H113" s="124"/>
      <c r="I113" s="126">
        <v>0</v>
      </c>
      <c r="J113" s="126">
        <v>0</v>
      </c>
      <c r="K113" s="127">
        <v>0</v>
      </c>
      <c r="L113" s="127">
        <v>0</v>
      </c>
      <c r="M113" s="127"/>
      <c r="N113" s="127"/>
      <c r="O113" s="128" t="s">
        <v>1489</v>
      </c>
      <c r="P113" s="129" t="s">
        <v>1493</v>
      </c>
      <c r="Q113" s="130">
        <v>6.92</v>
      </c>
      <c r="R113" s="130">
        <v>3.15</v>
      </c>
      <c r="S113" s="130">
        <v>0</v>
      </c>
      <c r="T113" s="38">
        <v>0.26</v>
      </c>
      <c r="U113" s="131">
        <v>31</v>
      </c>
      <c r="V113" s="144">
        <v>0</v>
      </c>
      <c r="W113" s="132">
        <v>0</v>
      </c>
      <c r="X113" s="133">
        <v>69649.629338930681</v>
      </c>
      <c r="Y113" s="134">
        <v>51433.5</v>
      </c>
      <c r="Z113" s="134">
        <v>7490.0381889666332</v>
      </c>
      <c r="AA113" s="134">
        <v>2203.6520814457863</v>
      </c>
      <c r="AB113" s="134">
        <v>1519.5290685182613</v>
      </c>
      <c r="AC113" s="126">
        <v>0</v>
      </c>
      <c r="AD113" s="126">
        <v>0</v>
      </c>
      <c r="AE113" s="126">
        <v>0</v>
      </c>
      <c r="AF113" s="126">
        <v>0</v>
      </c>
      <c r="AG113" s="126">
        <v>0</v>
      </c>
      <c r="AH113" s="126">
        <v>0</v>
      </c>
      <c r="AI113" s="126">
        <v>0</v>
      </c>
      <c r="AJ113" s="126">
        <v>7002.91</v>
      </c>
      <c r="AK113" s="126">
        <v>0</v>
      </c>
      <c r="AL113" s="126">
        <v>0</v>
      </c>
      <c r="AM113" s="126">
        <v>0</v>
      </c>
      <c r="AN113" s="126">
        <v>0</v>
      </c>
      <c r="AO113" s="126">
        <v>0</v>
      </c>
      <c r="AP113" s="126">
        <v>0</v>
      </c>
      <c r="AQ113" s="126">
        <v>0</v>
      </c>
      <c r="AR113" s="126">
        <v>0</v>
      </c>
      <c r="AS113" s="126">
        <v>0</v>
      </c>
      <c r="AT113" s="126">
        <v>0</v>
      </c>
      <c r="AU113" s="126">
        <v>0</v>
      </c>
      <c r="AV113" s="126">
        <v>0</v>
      </c>
      <c r="AW113" s="135">
        <v>358823.35553382599</v>
      </c>
      <c r="AX113" s="136">
        <v>241340.57538962713</v>
      </c>
      <c r="AY113" s="136">
        <v>22430.789929733935</v>
      </c>
      <c r="AZ113" s="126">
        <v>0</v>
      </c>
      <c r="BA113" s="126">
        <v>6778.4363029623637</v>
      </c>
      <c r="BB113" s="126">
        <v>0</v>
      </c>
      <c r="BC113" s="126">
        <v>79676.447999999989</v>
      </c>
      <c r="BD113" s="126">
        <v>1504.4332605939012</v>
      </c>
      <c r="BE113" s="126">
        <v>0</v>
      </c>
      <c r="BF113" s="126">
        <v>1971.276761744117</v>
      </c>
      <c r="BG113" s="126">
        <v>986.97257973080116</v>
      </c>
      <c r="BH113" s="126">
        <v>4134.4233094337351</v>
      </c>
      <c r="BI113" s="137">
        <v>522475.93256926886</v>
      </c>
      <c r="BJ113" s="126">
        <v>3700.4458023773568</v>
      </c>
      <c r="BK113" s="126">
        <v>5265.516412078654</v>
      </c>
      <c r="BL113" s="126">
        <v>5648.6281499340157</v>
      </c>
      <c r="BM113" s="126">
        <v>5597.9405308196547</v>
      </c>
      <c r="BN113" s="126">
        <v>94157.873397661489</v>
      </c>
      <c r="BO113" s="126">
        <v>54056.707572212938</v>
      </c>
      <c r="BP113" s="126">
        <v>44349.328300173984</v>
      </c>
      <c r="BQ113" s="126">
        <v>240619.94223190585</v>
      </c>
      <c r="BR113" s="126">
        <v>8979.7722440824436</v>
      </c>
      <c r="BS113" s="126">
        <v>9970.3135188356009</v>
      </c>
      <c r="BT113" s="126">
        <v>49741.334237577248</v>
      </c>
      <c r="BU113" s="126">
        <v>0</v>
      </c>
      <c r="BV113" s="126">
        <v>388.13017160970156</v>
      </c>
      <c r="BW113" s="126">
        <v>60045.551086644628</v>
      </c>
      <c r="BX113" s="126">
        <v>213025.99198919663</v>
      </c>
      <c r="BY113" s="126">
        <v>187344.50346623774</v>
      </c>
      <c r="BZ113" s="126">
        <v>0</v>
      </c>
      <c r="CA113" s="137">
        <v>0</v>
      </c>
      <c r="CB113" s="126">
        <v>0</v>
      </c>
      <c r="CC113" s="126">
        <v>0</v>
      </c>
      <c r="CD113" s="126">
        <v>0</v>
      </c>
      <c r="CE113" s="126">
        <v>0</v>
      </c>
      <c r="CF113" s="126">
        <v>0</v>
      </c>
      <c r="CG113" s="137">
        <v>39672.650219733703</v>
      </c>
      <c r="CH113" s="126">
        <v>0</v>
      </c>
      <c r="CI113" s="126">
        <v>39672.650219733703</v>
      </c>
      <c r="CJ113" s="120"/>
      <c r="CK113" s="138">
        <v>1451037.6142038382</v>
      </c>
      <c r="CL113" s="139">
        <v>34.528783890249336</v>
      </c>
      <c r="CM113" s="140">
        <v>1248953.46</v>
      </c>
      <c r="CN113" s="125">
        <v>2203.5699999999997</v>
      </c>
      <c r="CO113" s="125">
        <v>2203.5699999999997</v>
      </c>
      <c r="CP113" s="125">
        <v>0</v>
      </c>
      <c r="CQ113" s="125">
        <v>8597.52</v>
      </c>
      <c r="CR113" s="125">
        <v>4660.92</v>
      </c>
      <c r="CS113" s="125">
        <v>19483.16</v>
      </c>
      <c r="CT113" s="125">
        <v>0</v>
      </c>
      <c r="CU113" s="141">
        <v>0</v>
      </c>
      <c r="CV113" s="142">
        <v>-202084.1542038382</v>
      </c>
      <c r="CW113" s="143">
        <v>0</v>
      </c>
      <c r="CX113" s="140">
        <v>1238689</v>
      </c>
      <c r="CY113" s="140">
        <v>217825.74</v>
      </c>
    </row>
    <row r="114" spans="1:103" ht="12" customHeight="1" x14ac:dyDescent="0.25">
      <c r="A114" s="122">
        <v>110</v>
      </c>
      <c r="B114" s="123" t="s">
        <v>160</v>
      </c>
      <c r="C114" s="124">
        <v>3432.6</v>
      </c>
      <c r="D114" s="125">
        <v>3432.6</v>
      </c>
      <c r="E114" s="125">
        <v>0</v>
      </c>
      <c r="F114" s="125">
        <v>335.3</v>
      </c>
      <c r="G114" s="124">
        <v>3432.6</v>
      </c>
      <c r="H114" s="124"/>
      <c r="I114" s="126">
        <v>0</v>
      </c>
      <c r="J114" s="126">
        <v>0</v>
      </c>
      <c r="K114" s="127">
        <v>0</v>
      </c>
      <c r="L114" s="127">
        <v>0</v>
      </c>
      <c r="M114" s="127"/>
      <c r="N114" s="127"/>
      <c r="O114" s="128" t="s">
        <v>1489</v>
      </c>
      <c r="P114" s="129" t="s">
        <v>1493</v>
      </c>
      <c r="Q114" s="130">
        <v>6.92</v>
      </c>
      <c r="R114" s="130">
        <v>3.15</v>
      </c>
      <c r="S114" s="130">
        <v>0</v>
      </c>
      <c r="T114" s="38">
        <v>0.26</v>
      </c>
      <c r="U114" s="131">
        <v>31</v>
      </c>
      <c r="V114" s="128">
        <v>4</v>
      </c>
      <c r="W114" s="132">
        <v>9.638554216867469E-3</v>
      </c>
      <c r="X114" s="133">
        <v>390574.89811944764</v>
      </c>
      <c r="Y114" s="134">
        <v>49821.030000000006</v>
      </c>
      <c r="Z114" s="134">
        <v>7341.6062499848267</v>
      </c>
      <c r="AA114" s="134">
        <v>2159.9817632126801</v>
      </c>
      <c r="AB114" s="134">
        <v>1489.4161852072482</v>
      </c>
      <c r="AC114" s="126">
        <v>0</v>
      </c>
      <c r="AD114" s="126">
        <v>23629.759999999998</v>
      </c>
      <c r="AE114" s="126">
        <v>0</v>
      </c>
      <c r="AF114" s="126">
        <v>0</v>
      </c>
      <c r="AG114" s="126">
        <v>0</v>
      </c>
      <c r="AH114" s="126">
        <v>0</v>
      </c>
      <c r="AI114" s="126">
        <v>0</v>
      </c>
      <c r="AJ114" s="126">
        <v>0</v>
      </c>
      <c r="AK114" s="126">
        <v>0</v>
      </c>
      <c r="AL114" s="126">
        <v>0</v>
      </c>
      <c r="AM114" s="126">
        <v>0</v>
      </c>
      <c r="AN114" s="126">
        <v>0</v>
      </c>
      <c r="AO114" s="126">
        <v>0</v>
      </c>
      <c r="AP114" s="126">
        <v>0</v>
      </c>
      <c r="AQ114" s="126">
        <v>0</v>
      </c>
      <c r="AR114" s="126">
        <v>0</v>
      </c>
      <c r="AS114" s="126">
        <v>0</v>
      </c>
      <c r="AT114" s="126">
        <v>306133.10392104287</v>
      </c>
      <c r="AU114" s="126">
        <v>0</v>
      </c>
      <c r="AV114" s="126">
        <v>0</v>
      </c>
      <c r="AW114" s="135">
        <v>273614.98423775303</v>
      </c>
      <c r="AX114" s="136">
        <v>236557.86952668021</v>
      </c>
      <c r="AY114" s="136">
        <v>21986.273418847719</v>
      </c>
      <c r="AZ114" s="126">
        <v>0</v>
      </c>
      <c r="BA114" s="126">
        <v>6644.1063545255874</v>
      </c>
      <c r="BB114" s="126">
        <v>0</v>
      </c>
      <c r="BC114" s="126">
        <v>0</v>
      </c>
      <c r="BD114" s="126">
        <v>1474.6195346415263</v>
      </c>
      <c r="BE114" s="126">
        <v>0</v>
      </c>
      <c r="BF114" s="126">
        <v>1932.2114826849961</v>
      </c>
      <c r="BG114" s="126">
        <v>967.4135000525265</v>
      </c>
      <c r="BH114" s="126">
        <v>4052.4904203204565</v>
      </c>
      <c r="BI114" s="137">
        <v>512121.8978118996</v>
      </c>
      <c r="BJ114" s="126">
        <v>3627.1131528385249</v>
      </c>
      <c r="BK114" s="126">
        <v>5161.1683712453423</v>
      </c>
      <c r="BL114" s="126">
        <v>5536.6878890529697</v>
      </c>
      <c r="BM114" s="126">
        <v>5487.0047590210006</v>
      </c>
      <c r="BN114" s="126">
        <v>92291.923536497081</v>
      </c>
      <c r="BO114" s="126">
        <v>52985.452430719051</v>
      </c>
      <c r="BP114" s="126">
        <v>43470.446694225357</v>
      </c>
      <c r="BQ114" s="126">
        <v>235851.5173344489</v>
      </c>
      <c r="BR114" s="126">
        <v>8801.8178769381484</v>
      </c>
      <c r="BS114" s="126">
        <v>9772.7293503012806</v>
      </c>
      <c r="BT114" s="126">
        <v>48755.597916592706</v>
      </c>
      <c r="BU114" s="126">
        <v>0</v>
      </c>
      <c r="BV114" s="126">
        <v>380.4385000192637</v>
      </c>
      <c r="BW114" s="126">
        <v>58855.613552260518</v>
      </c>
      <c r="BX114" s="126">
        <v>208804.40322733187</v>
      </c>
      <c r="BY114" s="126">
        <v>183631.85111313753</v>
      </c>
      <c r="BZ114" s="126">
        <v>0</v>
      </c>
      <c r="CA114" s="137">
        <v>0</v>
      </c>
      <c r="CB114" s="126">
        <v>0</v>
      </c>
      <c r="CC114" s="126">
        <v>0</v>
      </c>
      <c r="CD114" s="126">
        <v>0</v>
      </c>
      <c r="CE114" s="126">
        <v>0</v>
      </c>
      <c r="CF114" s="126">
        <v>0</v>
      </c>
      <c r="CG114" s="137">
        <v>38886.447499788097</v>
      </c>
      <c r="CH114" s="126">
        <v>0</v>
      </c>
      <c r="CI114" s="126">
        <v>38886.447499788097</v>
      </c>
      <c r="CJ114" s="120"/>
      <c r="CK114" s="138">
        <v>1666490.0955616182</v>
      </c>
      <c r="CL114" s="139">
        <v>40.45743012006492</v>
      </c>
      <c r="CM114" s="140">
        <v>1225236.81</v>
      </c>
      <c r="CN114" s="125">
        <v>2093.61</v>
      </c>
      <c r="CO114" s="125">
        <v>2092.5700000000002</v>
      </c>
      <c r="CP114" s="125">
        <v>0</v>
      </c>
      <c r="CQ114" s="125">
        <v>8166.09</v>
      </c>
      <c r="CR114" s="125">
        <v>4423.1400000000003</v>
      </c>
      <c r="CS114" s="125">
        <v>18528.73</v>
      </c>
      <c r="CT114" s="125">
        <v>0</v>
      </c>
      <c r="CU114" s="141">
        <v>3546.2168674698792</v>
      </c>
      <c r="CV114" s="142">
        <v>-437707.06869414821</v>
      </c>
      <c r="CW114" s="143">
        <v>0</v>
      </c>
      <c r="CX114" s="140">
        <v>1156924.49</v>
      </c>
      <c r="CY114" s="140">
        <v>179105.59</v>
      </c>
    </row>
    <row r="115" spans="1:103" ht="12" customHeight="1" x14ac:dyDescent="0.25">
      <c r="A115" s="122">
        <v>111</v>
      </c>
      <c r="B115" s="123" t="s">
        <v>161</v>
      </c>
      <c r="C115" s="124">
        <v>3485.23</v>
      </c>
      <c r="D115" s="125">
        <v>3485.23</v>
      </c>
      <c r="E115" s="125">
        <v>0</v>
      </c>
      <c r="F115" s="125">
        <v>291.60000000000002</v>
      </c>
      <c r="G115" s="124">
        <v>3485.23</v>
      </c>
      <c r="H115" s="124"/>
      <c r="I115" s="126">
        <v>0</v>
      </c>
      <c r="J115" s="126">
        <v>0</v>
      </c>
      <c r="K115" s="127">
        <v>0</v>
      </c>
      <c r="L115" s="127">
        <v>0</v>
      </c>
      <c r="M115" s="127"/>
      <c r="N115" s="127"/>
      <c r="O115" s="128" t="s">
        <v>1489</v>
      </c>
      <c r="P115" s="129" t="s">
        <v>1493</v>
      </c>
      <c r="Q115" s="130">
        <v>6.92</v>
      </c>
      <c r="R115" s="130">
        <v>3.15</v>
      </c>
      <c r="S115" s="130">
        <v>0</v>
      </c>
      <c r="T115" s="38">
        <v>0.26</v>
      </c>
      <c r="U115" s="131">
        <v>31</v>
      </c>
      <c r="V115" s="144">
        <v>4</v>
      </c>
      <c r="W115" s="132">
        <v>9.638554216867469E-3</v>
      </c>
      <c r="X115" s="133">
        <v>356527.72192030604</v>
      </c>
      <c r="Y115" s="134">
        <v>35972.33</v>
      </c>
      <c r="Z115" s="134">
        <v>7454.1707016939399</v>
      </c>
      <c r="AA115" s="134">
        <v>2193.0994699649618</v>
      </c>
      <c r="AB115" s="134">
        <v>1512.252511556796</v>
      </c>
      <c r="AC115" s="126">
        <v>0</v>
      </c>
      <c r="AD115" s="126">
        <v>0</v>
      </c>
      <c r="AE115" s="126">
        <v>0</v>
      </c>
      <c r="AF115" s="126">
        <v>0</v>
      </c>
      <c r="AG115" s="126">
        <v>0</v>
      </c>
      <c r="AH115" s="126">
        <v>0</v>
      </c>
      <c r="AI115" s="126">
        <v>0</v>
      </c>
      <c r="AJ115" s="126">
        <v>0</v>
      </c>
      <c r="AK115" s="126">
        <v>0</v>
      </c>
      <c r="AL115" s="126">
        <v>0</v>
      </c>
      <c r="AM115" s="126">
        <v>0</v>
      </c>
      <c r="AN115" s="126">
        <v>0</v>
      </c>
      <c r="AO115" s="126">
        <v>0</v>
      </c>
      <c r="AP115" s="126">
        <v>0</v>
      </c>
      <c r="AQ115" s="126">
        <v>0</v>
      </c>
      <c r="AR115" s="126">
        <v>0</v>
      </c>
      <c r="AS115" s="126">
        <v>0</v>
      </c>
      <c r="AT115" s="126">
        <v>309395.86923709034</v>
      </c>
      <c r="AU115" s="126">
        <v>0</v>
      </c>
      <c r="AV115" s="126">
        <v>0</v>
      </c>
      <c r="AW115" s="135">
        <v>277810.15892179223</v>
      </c>
      <c r="AX115" s="136">
        <v>240184.86966453175</v>
      </c>
      <c r="AY115" s="136">
        <v>22323.375781498176</v>
      </c>
      <c r="AZ115" s="126">
        <v>0</v>
      </c>
      <c r="BA115" s="126">
        <v>6745.9764580735346</v>
      </c>
      <c r="BB115" s="126">
        <v>0</v>
      </c>
      <c r="BC115" s="126">
        <v>0</v>
      </c>
      <c r="BD115" s="126">
        <v>1497.2289928097323</v>
      </c>
      <c r="BE115" s="126">
        <v>0</v>
      </c>
      <c r="BF115" s="126">
        <v>1961.8369241386206</v>
      </c>
      <c r="BG115" s="126">
        <v>982.24627186041687</v>
      </c>
      <c r="BH115" s="126">
        <v>4114.6248288799934</v>
      </c>
      <c r="BI115" s="137">
        <v>519973.95615887869</v>
      </c>
      <c r="BJ115" s="126">
        <v>3682.7255065161721</v>
      </c>
      <c r="BK115" s="126">
        <v>5240.3014748340629</v>
      </c>
      <c r="BL115" s="126">
        <v>5621.5786085078607</v>
      </c>
      <c r="BM115" s="126">
        <v>5571.1337167985675</v>
      </c>
      <c r="BN115" s="126">
        <v>93706.980326022764</v>
      </c>
      <c r="BO115" s="126">
        <v>53797.846639606993</v>
      </c>
      <c r="BP115" s="126">
        <v>44136.953018736545</v>
      </c>
      <c r="BQ115" s="126">
        <v>239467.68739717454</v>
      </c>
      <c r="BR115" s="126">
        <v>8936.7708789958469</v>
      </c>
      <c r="BS115" s="126">
        <v>9922.5687564966884</v>
      </c>
      <c r="BT115" s="126">
        <v>49503.13829949496</v>
      </c>
      <c r="BU115" s="126">
        <v>0</v>
      </c>
      <c r="BV115" s="126">
        <v>386.27153569368363</v>
      </c>
      <c r="BW115" s="126">
        <v>59758.011425958437</v>
      </c>
      <c r="BX115" s="126">
        <v>212005.87608809472</v>
      </c>
      <c r="BY115" s="126">
        <v>186447.36830829119</v>
      </c>
      <c r="BZ115" s="126">
        <v>0</v>
      </c>
      <c r="CA115" s="137">
        <v>0</v>
      </c>
      <c r="CB115" s="126">
        <v>0</v>
      </c>
      <c r="CC115" s="126">
        <v>0</v>
      </c>
      <c r="CD115" s="126">
        <v>0</v>
      </c>
      <c r="CE115" s="126">
        <v>0</v>
      </c>
      <c r="CF115" s="126">
        <v>0</v>
      </c>
      <c r="CG115" s="137">
        <v>52732.674110029271</v>
      </c>
      <c r="CH115" s="126">
        <v>13250.003999999999</v>
      </c>
      <c r="CI115" s="126">
        <v>39482.67011002927</v>
      </c>
      <c r="CJ115" s="120"/>
      <c r="CK115" s="138">
        <v>1665255.7669333508</v>
      </c>
      <c r="CL115" s="139">
        <v>39.816974463984458</v>
      </c>
      <c r="CM115" s="140">
        <v>1242874.27</v>
      </c>
      <c r="CN115" s="125">
        <v>1819.1999999999998</v>
      </c>
      <c r="CO115" s="125">
        <v>1819.1999999999998</v>
      </c>
      <c r="CP115" s="125">
        <v>0</v>
      </c>
      <c r="CQ115" s="125">
        <v>7098.7199999999993</v>
      </c>
      <c r="CR115" s="125">
        <v>3848.41</v>
      </c>
      <c r="CS115" s="125">
        <v>16185.449999999997</v>
      </c>
      <c r="CT115" s="125">
        <v>0</v>
      </c>
      <c r="CU115" s="141">
        <v>3546.2168674698792</v>
      </c>
      <c r="CV115" s="142">
        <v>-418835.28006588086</v>
      </c>
      <c r="CW115" s="143">
        <v>0</v>
      </c>
      <c r="CX115" s="140">
        <v>1217994.42</v>
      </c>
      <c r="CY115" s="140">
        <v>334103.46000000002</v>
      </c>
    </row>
    <row r="116" spans="1:103" ht="12" customHeight="1" x14ac:dyDescent="0.25">
      <c r="A116" s="122">
        <v>112</v>
      </c>
      <c r="B116" s="123" t="s">
        <v>162</v>
      </c>
      <c r="C116" s="124">
        <v>3012.52</v>
      </c>
      <c r="D116" s="125">
        <v>2702.9</v>
      </c>
      <c r="E116" s="125">
        <v>309.62</v>
      </c>
      <c r="F116" s="125">
        <v>314.25</v>
      </c>
      <c r="G116" s="124">
        <v>3012.52</v>
      </c>
      <c r="H116" s="124">
        <v>3012.52</v>
      </c>
      <c r="I116" s="126">
        <v>1</v>
      </c>
      <c r="J116" s="126">
        <v>0</v>
      </c>
      <c r="K116" s="127">
        <v>1.7151947676908054E-3</v>
      </c>
      <c r="L116" s="127">
        <v>2.4412290110501791E-3</v>
      </c>
      <c r="M116" s="127"/>
      <c r="N116" s="127"/>
      <c r="O116" s="128" t="s">
        <v>1489</v>
      </c>
      <c r="P116" s="129" t="s">
        <v>1493</v>
      </c>
      <c r="Q116" s="130">
        <v>6.91</v>
      </c>
      <c r="R116" s="130">
        <v>3.15</v>
      </c>
      <c r="S116" s="130">
        <v>1.81</v>
      </c>
      <c r="T116" s="38">
        <v>0.26</v>
      </c>
      <c r="U116" s="131">
        <v>45.06</v>
      </c>
      <c r="V116" s="144">
        <v>1</v>
      </c>
      <c r="W116" s="132">
        <v>2.4096385542168672E-3</v>
      </c>
      <c r="X116" s="133">
        <v>1586734.8814431871</v>
      </c>
      <c r="Y116" s="151">
        <v>49003.303948441397</v>
      </c>
      <c r="Z116" s="134">
        <v>6443.1438735082129</v>
      </c>
      <c r="AA116" s="134">
        <v>1895.6441942881381</v>
      </c>
      <c r="AB116" s="134">
        <v>1307.142121499895</v>
      </c>
      <c r="AC116" s="126">
        <v>0</v>
      </c>
      <c r="AD116" s="126">
        <v>0</v>
      </c>
      <c r="AE116" s="126">
        <v>0</v>
      </c>
      <c r="AF116" s="126">
        <v>0</v>
      </c>
      <c r="AG116" s="126">
        <v>0</v>
      </c>
      <c r="AH116" s="126">
        <v>0</v>
      </c>
      <c r="AI116" s="126">
        <v>0</v>
      </c>
      <c r="AJ116" s="126">
        <v>0</v>
      </c>
      <c r="AK116" s="126">
        <v>0</v>
      </c>
      <c r="AL116" s="126">
        <v>0</v>
      </c>
      <c r="AM116" s="126">
        <v>0</v>
      </c>
      <c r="AN116" s="126">
        <v>0</v>
      </c>
      <c r="AO116" s="126">
        <v>0</v>
      </c>
      <c r="AP116" s="145">
        <v>1458922.6688758822</v>
      </c>
      <c r="AQ116" s="126">
        <v>0</v>
      </c>
      <c r="AR116" s="126">
        <v>0</v>
      </c>
      <c r="AS116" s="126">
        <v>0</v>
      </c>
      <c r="AT116" s="126">
        <v>0</v>
      </c>
      <c r="AU116" s="126">
        <v>0</v>
      </c>
      <c r="AV116" s="145">
        <v>69162.978429567273</v>
      </c>
      <c r="AW116" s="135">
        <v>348243.88170426508</v>
      </c>
      <c r="AX116" s="136">
        <v>207608.02689113637</v>
      </c>
      <c r="AY116" s="136">
        <v>19295.603449206763</v>
      </c>
      <c r="AZ116" s="126">
        <v>0</v>
      </c>
      <c r="BA116" s="126">
        <v>5831.0036925757222</v>
      </c>
      <c r="BB116" s="126">
        <v>0</v>
      </c>
      <c r="BC116" s="126">
        <v>0</v>
      </c>
      <c r="BD116" s="126">
        <v>1294.1562781851342</v>
      </c>
      <c r="BE116" s="126">
        <v>0</v>
      </c>
      <c r="BF116" s="145">
        <v>109809.52099223989</v>
      </c>
      <c r="BG116" s="126">
        <v>849.02188346391574</v>
      </c>
      <c r="BH116" s="126">
        <v>3556.5485174572573</v>
      </c>
      <c r="BI116" s="137">
        <v>449448.65687709139</v>
      </c>
      <c r="BJ116" s="126">
        <v>3183.2287231804212</v>
      </c>
      <c r="BK116" s="126">
        <v>4529.546973647969</v>
      </c>
      <c r="BL116" s="126">
        <v>4859.1105865902973</v>
      </c>
      <c r="BM116" s="126">
        <v>4815.5076550270778</v>
      </c>
      <c r="BN116" s="126">
        <v>80997.280630474925</v>
      </c>
      <c r="BO116" s="126">
        <v>46501.117274541095</v>
      </c>
      <c r="BP116" s="126">
        <v>38150.553538218199</v>
      </c>
      <c r="BQ116" s="126">
        <v>206988.11775341548</v>
      </c>
      <c r="BR116" s="126">
        <v>7724.6554770825942</v>
      </c>
      <c r="BS116" s="126">
        <v>8576.7472535016059</v>
      </c>
      <c r="BT116" s="126">
        <v>42788.91039902519</v>
      </c>
      <c r="BU116" s="126">
        <v>0</v>
      </c>
      <c r="BV116" s="126">
        <v>333.88061238653859</v>
      </c>
      <c r="BW116" s="126">
        <v>51652.890793700361</v>
      </c>
      <c r="BX116" s="126">
        <v>183251.01695810811</v>
      </c>
      <c r="BY116" s="126">
        <v>161159.07012624515</v>
      </c>
      <c r="BZ116" s="126">
        <v>30680.491151434038</v>
      </c>
      <c r="CA116" s="137">
        <v>76052.202600940902</v>
      </c>
      <c r="CB116" s="145">
        <v>2320.2194586347496</v>
      </c>
      <c r="CC116" s="126">
        <v>72976.050371161618</v>
      </c>
      <c r="CD116" s="126">
        <v>0</v>
      </c>
      <c r="CE116" s="126">
        <v>0</v>
      </c>
      <c r="CF116" s="126">
        <v>755.93277114453701</v>
      </c>
      <c r="CG116" s="137">
        <v>44962.487593920712</v>
      </c>
      <c r="CH116" s="145">
        <v>10834.945549388398</v>
      </c>
      <c r="CI116" s="126">
        <v>34127.542044532318</v>
      </c>
      <c r="CJ116" s="120"/>
      <c r="CK116" s="138">
        <v>2932185.5792488931</v>
      </c>
      <c r="CL116" s="139">
        <v>81.111095783842458</v>
      </c>
      <c r="CM116" s="140">
        <v>1401183.36</v>
      </c>
      <c r="CN116" s="125">
        <v>1623.84</v>
      </c>
      <c r="CO116" s="125">
        <v>1623.84</v>
      </c>
      <c r="CP116" s="125">
        <v>0</v>
      </c>
      <c r="CQ116" s="125">
        <v>6335.2800000000007</v>
      </c>
      <c r="CR116" s="125">
        <v>3435.12</v>
      </c>
      <c r="CS116" s="125">
        <v>73548.479999999996</v>
      </c>
      <c r="CT116" s="125">
        <v>128152.8916877219</v>
      </c>
      <c r="CU116" s="141">
        <v>886.55421686746979</v>
      </c>
      <c r="CV116" s="142">
        <v>-1401962.7733443035</v>
      </c>
      <c r="CW116" s="143">
        <v>0</v>
      </c>
      <c r="CX116" s="140">
        <v>1353623.42</v>
      </c>
      <c r="CY116" s="140">
        <v>186737.34</v>
      </c>
    </row>
    <row r="117" spans="1:103" ht="12" customHeight="1" x14ac:dyDescent="0.25">
      <c r="A117" s="122">
        <v>113</v>
      </c>
      <c r="B117" s="123" t="s">
        <v>163</v>
      </c>
      <c r="C117" s="124">
        <v>3374</v>
      </c>
      <c r="D117" s="125">
        <v>3027.22</v>
      </c>
      <c r="E117" s="125">
        <v>346.78</v>
      </c>
      <c r="F117" s="125">
        <v>351.95</v>
      </c>
      <c r="G117" s="124">
        <v>3374</v>
      </c>
      <c r="H117" s="124">
        <v>3374</v>
      </c>
      <c r="I117" s="126">
        <v>1</v>
      </c>
      <c r="J117" s="126">
        <v>0</v>
      </c>
      <c r="K117" s="127">
        <v>1.7151947676908054E-3</v>
      </c>
      <c r="L117" s="127">
        <v>2.4412290110501791E-3</v>
      </c>
      <c r="M117" s="127"/>
      <c r="N117" s="127"/>
      <c r="O117" s="128" t="s">
        <v>1489</v>
      </c>
      <c r="P117" s="129" t="s">
        <v>1493</v>
      </c>
      <c r="Q117" s="130">
        <v>6.91</v>
      </c>
      <c r="R117" s="130">
        <v>3.15</v>
      </c>
      <c r="S117" s="130">
        <v>1.81</v>
      </c>
      <c r="T117" s="38">
        <v>0.26</v>
      </c>
      <c r="U117" s="131">
        <v>45.06</v>
      </c>
      <c r="V117" s="144">
        <v>1</v>
      </c>
      <c r="W117" s="132">
        <v>2.4096385542168672E-3</v>
      </c>
      <c r="X117" s="133">
        <v>1777131.2688345017</v>
      </c>
      <c r="Y117" s="151">
        <v>54883.336051558588</v>
      </c>
      <c r="Z117" s="134">
        <v>7216.2732294612852</v>
      </c>
      <c r="AA117" s="134">
        <v>2123.1074022838611</v>
      </c>
      <c r="AB117" s="134">
        <v>1463.9894566478051</v>
      </c>
      <c r="AC117" s="126">
        <v>0</v>
      </c>
      <c r="AD117" s="126">
        <v>0</v>
      </c>
      <c r="AE117" s="126">
        <v>0</v>
      </c>
      <c r="AF117" s="126">
        <v>0</v>
      </c>
      <c r="AG117" s="126">
        <v>0</v>
      </c>
      <c r="AH117" s="126">
        <v>0</v>
      </c>
      <c r="AI117" s="126">
        <v>0</v>
      </c>
      <c r="AJ117" s="126">
        <v>0</v>
      </c>
      <c r="AK117" s="126">
        <v>0</v>
      </c>
      <c r="AL117" s="126">
        <v>0</v>
      </c>
      <c r="AM117" s="126">
        <v>0</v>
      </c>
      <c r="AN117" s="126">
        <v>0</v>
      </c>
      <c r="AO117" s="126">
        <v>0</v>
      </c>
      <c r="AP117" s="145">
        <v>1633982.5411241176</v>
      </c>
      <c r="AQ117" s="126">
        <v>0</v>
      </c>
      <c r="AR117" s="126">
        <v>0</v>
      </c>
      <c r="AS117" s="126">
        <v>0</v>
      </c>
      <c r="AT117" s="126">
        <v>0</v>
      </c>
      <c r="AU117" s="126">
        <v>0</v>
      </c>
      <c r="AV117" s="145">
        <v>77462.021570432713</v>
      </c>
      <c r="AW117" s="135">
        <v>390030.55809428339</v>
      </c>
      <c r="AX117" s="136">
        <v>232519.44642050314</v>
      </c>
      <c r="AY117" s="136">
        <v>21610.932388041776</v>
      </c>
      <c r="AZ117" s="126">
        <v>0</v>
      </c>
      <c r="BA117" s="126">
        <v>6530.6807784680223</v>
      </c>
      <c r="BB117" s="126">
        <v>0</v>
      </c>
      <c r="BC117" s="126">
        <v>0</v>
      </c>
      <c r="BD117" s="126">
        <v>1449.4454086932676</v>
      </c>
      <c r="BE117" s="126">
        <v>0</v>
      </c>
      <c r="BF117" s="145">
        <v>122985.84700776009</v>
      </c>
      <c r="BG117" s="126">
        <v>950.89819646251374</v>
      </c>
      <c r="BH117" s="126">
        <v>3983.3078943544892</v>
      </c>
      <c r="BI117" s="137">
        <v>503379.15376605181</v>
      </c>
      <c r="BJ117" s="126">
        <v>3565.1925006342667</v>
      </c>
      <c r="BK117" s="126">
        <v>5073.0589304264358</v>
      </c>
      <c r="BL117" s="126">
        <v>5442.1677264070149</v>
      </c>
      <c r="BM117" s="126">
        <v>5393.332767271706</v>
      </c>
      <c r="BN117" s="126">
        <v>90716.352039894307</v>
      </c>
      <c r="BO117" s="126">
        <v>52080.905582137762</v>
      </c>
      <c r="BP117" s="126">
        <v>42728.33628920246</v>
      </c>
      <c r="BQ117" s="126">
        <v>231825.15279567399</v>
      </c>
      <c r="BR117" s="126">
        <v>8651.5566966116985</v>
      </c>
      <c r="BS117" s="126">
        <v>9605.8931503573149</v>
      </c>
      <c r="BT117" s="126">
        <v>47923.261484176364</v>
      </c>
      <c r="BU117" s="126">
        <v>0</v>
      </c>
      <c r="BV117" s="126">
        <v>373.94380325846174</v>
      </c>
      <c r="BW117" s="126">
        <v>57850.853616887201</v>
      </c>
      <c r="BX117" s="126">
        <v>205239.77640535388</v>
      </c>
      <c r="BY117" s="126">
        <v>180496.96022132671</v>
      </c>
      <c r="BZ117" s="126">
        <v>34361.921960663647</v>
      </c>
      <c r="CA117" s="137">
        <v>76421.317995368372</v>
      </c>
      <c r="CB117" s="145">
        <v>2598.6285413652508</v>
      </c>
      <c r="CC117" s="126">
        <v>72976.050371161618</v>
      </c>
      <c r="CD117" s="126">
        <v>0</v>
      </c>
      <c r="CE117" s="126">
        <v>0</v>
      </c>
      <c r="CF117" s="126">
        <v>846.6390828414975</v>
      </c>
      <c r="CG117" s="137">
        <v>50357.651780532076</v>
      </c>
      <c r="CH117" s="145">
        <v>12135.058450611597</v>
      </c>
      <c r="CI117" s="126">
        <v>38222.593329920477</v>
      </c>
      <c r="CJ117" s="120"/>
      <c r="CK117" s="138">
        <v>3275269.4626749693</v>
      </c>
      <c r="CL117" s="139">
        <v>80.894819765732294</v>
      </c>
      <c r="CM117" s="140">
        <v>1569310.8599999999</v>
      </c>
      <c r="CN117" s="125">
        <v>906.72</v>
      </c>
      <c r="CO117" s="125">
        <v>906.72</v>
      </c>
      <c r="CP117" s="125">
        <v>0</v>
      </c>
      <c r="CQ117" s="125">
        <v>3537.4800000000005</v>
      </c>
      <c r="CR117" s="125">
        <v>1917.96</v>
      </c>
      <c r="CS117" s="125">
        <v>82371.839999999997</v>
      </c>
      <c r="CT117" s="125">
        <v>143530.28579208557</v>
      </c>
      <c r="CU117" s="141">
        <v>886.55421686746979</v>
      </c>
      <c r="CV117" s="142">
        <v>-1561541.7626660164</v>
      </c>
      <c r="CW117" s="143">
        <v>0</v>
      </c>
      <c r="CX117" s="140">
        <v>1612179.48</v>
      </c>
      <c r="CY117" s="140">
        <v>175284.13</v>
      </c>
    </row>
    <row r="118" spans="1:103" ht="12" customHeight="1" x14ac:dyDescent="0.25">
      <c r="A118" s="122">
        <v>114</v>
      </c>
      <c r="B118" s="123" t="s">
        <v>164</v>
      </c>
      <c r="C118" s="124">
        <v>3025.3999999999996</v>
      </c>
      <c r="D118" s="125">
        <v>2989.7</v>
      </c>
      <c r="E118" s="125">
        <v>35.700000000000003</v>
      </c>
      <c r="F118" s="125">
        <v>325.35000000000002</v>
      </c>
      <c r="G118" s="124">
        <v>3025.3999999999996</v>
      </c>
      <c r="H118" s="124">
        <v>3025.3999999999996</v>
      </c>
      <c r="I118" s="126">
        <v>1</v>
      </c>
      <c r="J118" s="126">
        <v>0</v>
      </c>
      <c r="K118" s="127">
        <v>1.7151947676908054E-3</v>
      </c>
      <c r="L118" s="127">
        <v>2.4412290110501791E-3</v>
      </c>
      <c r="M118" s="127"/>
      <c r="N118" s="127"/>
      <c r="O118" s="128" t="s">
        <v>1489</v>
      </c>
      <c r="P118" s="129" t="s">
        <v>1493</v>
      </c>
      <c r="Q118" s="130">
        <v>6.91</v>
      </c>
      <c r="R118" s="130">
        <v>3.15</v>
      </c>
      <c r="S118" s="130">
        <v>1.81</v>
      </c>
      <c r="T118" s="38">
        <v>0.26</v>
      </c>
      <c r="U118" s="131">
        <v>45.06</v>
      </c>
      <c r="V118" s="144">
        <v>1</v>
      </c>
      <c r="W118" s="132">
        <v>2.4096385542168672E-3</v>
      </c>
      <c r="X118" s="133">
        <v>42552.066041584134</v>
      </c>
      <c r="Y118" s="151">
        <v>32864.894771452535</v>
      </c>
      <c r="Z118" s="134">
        <v>6470.6914725584375</v>
      </c>
      <c r="AA118" s="134">
        <v>1903.7490026288065</v>
      </c>
      <c r="AB118" s="134">
        <v>1312.7307949443596</v>
      </c>
      <c r="AC118" s="126">
        <v>0</v>
      </c>
      <c r="AD118" s="126">
        <v>0</v>
      </c>
      <c r="AE118" s="126">
        <v>0</v>
      </c>
      <c r="AF118" s="126">
        <v>0</v>
      </c>
      <c r="AG118" s="126">
        <v>0</v>
      </c>
      <c r="AH118" s="126">
        <v>0</v>
      </c>
      <c r="AI118" s="126">
        <v>0</v>
      </c>
      <c r="AJ118" s="126">
        <v>0</v>
      </c>
      <c r="AK118" s="126">
        <v>0</v>
      </c>
      <c r="AL118" s="126">
        <v>0</v>
      </c>
      <c r="AM118" s="126">
        <v>0</v>
      </c>
      <c r="AN118" s="126">
        <v>0</v>
      </c>
      <c r="AO118" s="126">
        <v>0</v>
      </c>
      <c r="AP118" s="126">
        <v>0</v>
      </c>
      <c r="AQ118" s="126">
        <v>0</v>
      </c>
      <c r="AR118" s="126">
        <v>0</v>
      </c>
      <c r="AS118" s="126">
        <v>0</v>
      </c>
      <c r="AT118" s="126">
        <v>0</v>
      </c>
      <c r="AU118" s="126">
        <v>0</v>
      </c>
      <c r="AV118" s="126">
        <v>0</v>
      </c>
      <c r="AW118" s="135">
        <v>241156.78299624129</v>
      </c>
      <c r="AX118" s="136">
        <v>208495.65299365442</v>
      </c>
      <c r="AY118" s="136">
        <v>19378.101614339532</v>
      </c>
      <c r="AZ118" s="126">
        <v>0</v>
      </c>
      <c r="BA118" s="126">
        <v>5855.9340922279644</v>
      </c>
      <c r="BB118" s="126">
        <v>0</v>
      </c>
      <c r="BC118" s="126">
        <v>0</v>
      </c>
      <c r="BD118" s="126">
        <v>1299.6894307826351</v>
      </c>
      <c r="BE118" s="126">
        <v>0</v>
      </c>
      <c r="BF118" s="126">
        <v>1702.9984908568392</v>
      </c>
      <c r="BG118" s="126">
        <v>852.65186828028709</v>
      </c>
      <c r="BH118" s="126">
        <v>3571.7545060996058</v>
      </c>
      <c r="BI118" s="137">
        <v>451370.27024416503</v>
      </c>
      <c r="BJ118" s="126">
        <v>3196.8385866683193</v>
      </c>
      <c r="BK118" s="126">
        <v>4548.9130077392228</v>
      </c>
      <c r="BL118" s="126">
        <v>4879.8856667077007</v>
      </c>
      <c r="BM118" s="126">
        <v>4836.0963112340896</v>
      </c>
      <c r="BN118" s="126">
        <v>81343.583717100235</v>
      </c>
      <c r="BO118" s="126">
        <v>46699.932349792405</v>
      </c>
      <c r="BP118" s="126">
        <v>38313.665859322202</v>
      </c>
      <c r="BQ118" s="126">
        <v>207873.09344043629</v>
      </c>
      <c r="BR118" s="126">
        <v>7757.6821665468369</v>
      </c>
      <c r="BS118" s="126">
        <v>8613.4170530797328</v>
      </c>
      <c r="BT118" s="126">
        <v>42971.853969836149</v>
      </c>
      <c r="BU118" s="126">
        <v>0</v>
      </c>
      <c r="BV118" s="126">
        <v>335.30811570188206</v>
      </c>
      <c r="BW118" s="126">
        <v>51873.7322265947</v>
      </c>
      <c r="BX118" s="126">
        <v>184034.50490123226</v>
      </c>
      <c r="BY118" s="126">
        <v>161848.10416526432</v>
      </c>
      <c r="BZ118" s="126">
        <v>30811.665293358557</v>
      </c>
      <c r="CA118" s="137">
        <v>78654.063125526955</v>
      </c>
      <c r="CB118" s="126">
        <v>4918.848</v>
      </c>
      <c r="CC118" s="126">
        <v>72976.050371161618</v>
      </c>
      <c r="CD118" s="126">
        <v>0</v>
      </c>
      <c r="CE118" s="126">
        <v>0</v>
      </c>
      <c r="CF118" s="126">
        <v>759.16475436534267</v>
      </c>
      <c r="CG118" s="137">
        <v>46385.607612701038</v>
      </c>
      <c r="CH118" s="145">
        <v>12112.153593631263</v>
      </c>
      <c r="CI118" s="126">
        <v>34273.454019069773</v>
      </c>
      <c r="CJ118" s="120"/>
      <c r="CK118" s="138">
        <v>1288686.7966066685</v>
      </c>
      <c r="CL118" s="139">
        <v>35.496319952366314</v>
      </c>
      <c r="CM118" s="140">
        <v>1546074.12</v>
      </c>
      <c r="CN118" s="125">
        <v>1851.4</v>
      </c>
      <c r="CO118" s="125">
        <v>1851.4</v>
      </c>
      <c r="CP118" s="125">
        <v>0</v>
      </c>
      <c r="CQ118" s="125">
        <v>7223.83</v>
      </c>
      <c r="CR118" s="125">
        <v>3916.4599999999996</v>
      </c>
      <c r="CS118" s="125">
        <v>83866.67</v>
      </c>
      <c r="CT118" s="125">
        <v>128700.8081314095</v>
      </c>
      <c r="CU118" s="141">
        <v>886.55421686746979</v>
      </c>
      <c r="CV118" s="142">
        <v>386974.68574160873</v>
      </c>
      <c r="CW118" s="143">
        <v>0.19972837781148711</v>
      </c>
      <c r="CX118" s="140">
        <v>1475944.49</v>
      </c>
      <c r="CY118" s="140">
        <v>364843.56</v>
      </c>
    </row>
    <row r="119" spans="1:103" ht="12" customHeight="1" x14ac:dyDescent="0.25">
      <c r="A119" s="122">
        <v>115</v>
      </c>
      <c r="B119" s="123" t="s">
        <v>165</v>
      </c>
      <c r="C119" s="124">
        <v>3054.3</v>
      </c>
      <c r="D119" s="125">
        <v>3054.3</v>
      </c>
      <c r="E119" s="125">
        <v>0</v>
      </c>
      <c r="F119" s="125">
        <v>328.45</v>
      </c>
      <c r="G119" s="124">
        <v>3054.3</v>
      </c>
      <c r="H119" s="124">
        <v>3054.3</v>
      </c>
      <c r="I119" s="126">
        <v>1</v>
      </c>
      <c r="J119" s="126">
        <v>0</v>
      </c>
      <c r="K119" s="127">
        <v>1.7151947676908054E-3</v>
      </c>
      <c r="L119" s="127">
        <v>2.4412290110501791E-3</v>
      </c>
      <c r="M119" s="127"/>
      <c r="N119" s="127"/>
      <c r="O119" s="128" t="s">
        <v>1489</v>
      </c>
      <c r="P119" s="129" t="s">
        <v>1493</v>
      </c>
      <c r="Q119" s="130">
        <v>6.91</v>
      </c>
      <c r="R119" s="130">
        <v>3.15</v>
      </c>
      <c r="S119" s="130">
        <v>1.81</v>
      </c>
      <c r="T119" s="38">
        <v>0.26</v>
      </c>
      <c r="U119" s="131">
        <v>45.06</v>
      </c>
      <c r="V119" s="144">
        <v>1</v>
      </c>
      <c r="W119" s="132">
        <v>2.4096385542168672E-3</v>
      </c>
      <c r="X119" s="133">
        <v>42958.542774777037</v>
      </c>
      <c r="Y119" s="151">
        <v>33178.835228547461</v>
      </c>
      <c r="Z119" s="134">
        <v>6532.5024673217558</v>
      </c>
      <c r="AA119" s="134">
        <v>1921.9344809708352</v>
      </c>
      <c r="AB119" s="134">
        <v>1325.2705979369862</v>
      </c>
      <c r="AC119" s="126">
        <v>0</v>
      </c>
      <c r="AD119" s="126">
        <v>0</v>
      </c>
      <c r="AE119" s="126">
        <v>0</v>
      </c>
      <c r="AF119" s="126">
        <v>0</v>
      </c>
      <c r="AG119" s="126">
        <v>0</v>
      </c>
      <c r="AH119" s="126">
        <v>0</v>
      </c>
      <c r="AI119" s="126">
        <v>0</v>
      </c>
      <c r="AJ119" s="126">
        <v>0</v>
      </c>
      <c r="AK119" s="126">
        <v>0</v>
      </c>
      <c r="AL119" s="126">
        <v>0</v>
      </c>
      <c r="AM119" s="126">
        <v>0</v>
      </c>
      <c r="AN119" s="126">
        <v>0</v>
      </c>
      <c r="AO119" s="126">
        <v>0</v>
      </c>
      <c r="AP119" s="126">
        <v>0</v>
      </c>
      <c r="AQ119" s="126">
        <v>0</v>
      </c>
      <c r="AR119" s="126">
        <v>0</v>
      </c>
      <c r="AS119" s="126">
        <v>0</v>
      </c>
      <c r="AT119" s="126">
        <v>0</v>
      </c>
      <c r="AU119" s="126">
        <v>0</v>
      </c>
      <c r="AV119" s="126">
        <v>0</v>
      </c>
      <c r="AW119" s="135">
        <v>243460.42252443312</v>
      </c>
      <c r="AX119" s="136">
        <v>210487.2985187145</v>
      </c>
      <c r="AY119" s="136">
        <v>19563.210074924718</v>
      </c>
      <c r="AZ119" s="126">
        <v>0</v>
      </c>
      <c r="BA119" s="126">
        <v>5911.8726442427042</v>
      </c>
      <c r="BB119" s="126">
        <v>0</v>
      </c>
      <c r="BC119" s="126">
        <v>0</v>
      </c>
      <c r="BD119" s="126">
        <v>1312.1046567195754</v>
      </c>
      <c r="BE119" s="126">
        <v>0</v>
      </c>
      <c r="BF119" s="126">
        <v>1719.266308793563</v>
      </c>
      <c r="BG119" s="126">
        <v>860.79678762758022</v>
      </c>
      <c r="BH119" s="126">
        <v>3605.8735334104676</v>
      </c>
      <c r="BI119" s="137">
        <v>455681.96483332902</v>
      </c>
      <c r="BJ119" s="126">
        <v>3227.3762462025015</v>
      </c>
      <c r="BK119" s="126">
        <v>4592.3662985185138</v>
      </c>
      <c r="BL119" s="126">
        <v>4926.5005592071575</v>
      </c>
      <c r="BM119" s="126">
        <v>4882.29290784765</v>
      </c>
      <c r="BN119" s="126">
        <v>82120.614711158618</v>
      </c>
      <c r="BO119" s="126">
        <v>47146.031392864075</v>
      </c>
      <c r="BP119" s="126">
        <v>38679.655461799375</v>
      </c>
      <c r="BQ119" s="126">
        <v>209858.79199283555</v>
      </c>
      <c r="BR119" s="126">
        <v>7831.787083124218</v>
      </c>
      <c r="BS119" s="126">
        <v>8695.6963394002214</v>
      </c>
      <c r="BT119" s="126">
        <v>43382.340708689946</v>
      </c>
      <c r="BU119" s="126">
        <v>0</v>
      </c>
      <c r="BV119" s="126">
        <v>338.51113168118547</v>
      </c>
      <c r="BW119" s="126">
        <v>52369.253764688379</v>
      </c>
      <c r="BX119" s="126">
        <v>185792.48638852176</v>
      </c>
      <c r="BY119" s="126">
        <v>163394.15103852941</v>
      </c>
      <c r="BZ119" s="126">
        <v>31105.992366465613</v>
      </c>
      <c r="CA119" s="137">
        <v>73742.467013343834</v>
      </c>
      <c r="CB119" s="126">
        <v>0</v>
      </c>
      <c r="CC119" s="126">
        <v>72976.050371161618</v>
      </c>
      <c r="CD119" s="126">
        <v>0</v>
      </c>
      <c r="CE119" s="126">
        <v>0</v>
      </c>
      <c r="CF119" s="126">
        <v>766.41664218221274</v>
      </c>
      <c r="CG119" s="137">
        <v>46828.704082591656</v>
      </c>
      <c r="CH119" s="145">
        <v>12227.854406368737</v>
      </c>
      <c r="CI119" s="126">
        <v>34600.849676222919</v>
      </c>
      <c r="CJ119" s="120"/>
      <c r="CK119" s="138">
        <v>1295333.98478668</v>
      </c>
      <c r="CL119" s="139">
        <v>35.341812766337078</v>
      </c>
      <c r="CM119" s="140">
        <v>1584048.5499999998</v>
      </c>
      <c r="CN119" s="125">
        <v>1892.16</v>
      </c>
      <c r="CO119" s="125">
        <v>1892.16</v>
      </c>
      <c r="CP119" s="125">
        <v>0</v>
      </c>
      <c r="CQ119" s="125">
        <v>7379.64</v>
      </c>
      <c r="CR119" s="125">
        <v>4002</v>
      </c>
      <c r="CS119" s="125">
        <v>85696.33</v>
      </c>
      <c r="CT119" s="125">
        <v>0</v>
      </c>
      <c r="CU119" s="141">
        <v>886.55421686746979</v>
      </c>
      <c r="CV119" s="142">
        <v>289601.11943018739</v>
      </c>
      <c r="CW119" s="143">
        <v>0.22288812661768187</v>
      </c>
      <c r="CX119" s="140">
        <v>1547880.5</v>
      </c>
      <c r="CY119" s="140">
        <v>341387.99</v>
      </c>
    </row>
    <row r="120" spans="1:103" ht="12" customHeight="1" x14ac:dyDescent="0.25">
      <c r="A120" s="122">
        <v>116</v>
      </c>
      <c r="B120" s="123" t="s">
        <v>166</v>
      </c>
      <c r="C120" s="124">
        <v>7564.7</v>
      </c>
      <c r="D120" s="125">
        <v>6815.8</v>
      </c>
      <c r="E120" s="125">
        <v>748.9</v>
      </c>
      <c r="F120" s="125">
        <v>613.20000000000005</v>
      </c>
      <c r="G120" s="124">
        <v>7564.7</v>
      </c>
      <c r="H120" s="124">
        <v>7564.7</v>
      </c>
      <c r="I120" s="126">
        <v>4</v>
      </c>
      <c r="J120" s="126">
        <v>0</v>
      </c>
      <c r="K120" s="127">
        <v>6.7310163620634836E-3</v>
      </c>
      <c r="L120" s="127">
        <v>9.5802253635867939E-3</v>
      </c>
      <c r="M120" s="127"/>
      <c r="N120" s="127"/>
      <c r="O120" s="128" t="s">
        <v>1489</v>
      </c>
      <c r="P120" s="129" t="s">
        <v>1493</v>
      </c>
      <c r="Q120" s="130">
        <v>6.91</v>
      </c>
      <c r="R120" s="130">
        <v>3.15</v>
      </c>
      <c r="S120" s="130">
        <v>1.81</v>
      </c>
      <c r="T120" s="38">
        <v>0.26</v>
      </c>
      <c r="U120" s="131">
        <v>45.06</v>
      </c>
      <c r="V120" s="144">
        <v>4</v>
      </c>
      <c r="W120" s="132">
        <v>9.638554216867469E-3</v>
      </c>
      <c r="X120" s="133">
        <v>440265.10051205283</v>
      </c>
      <c r="Y120" s="134">
        <v>33571.32</v>
      </c>
      <c r="Z120" s="134">
        <v>16179.295227891458</v>
      </c>
      <c r="AA120" s="134">
        <v>4760.1276129391599</v>
      </c>
      <c r="AB120" s="134">
        <v>3282.3476712221845</v>
      </c>
      <c r="AC120" s="126">
        <v>0</v>
      </c>
      <c r="AD120" s="126">
        <v>0</v>
      </c>
      <c r="AE120" s="126">
        <v>0</v>
      </c>
      <c r="AF120" s="126">
        <v>0</v>
      </c>
      <c r="AG120" s="126">
        <v>0</v>
      </c>
      <c r="AH120" s="126">
        <v>0</v>
      </c>
      <c r="AI120" s="126">
        <v>0</v>
      </c>
      <c r="AJ120" s="126">
        <v>0</v>
      </c>
      <c r="AK120" s="126">
        <v>0</v>
      </c>
      <c r="AL120" s="126">
        <v>0</v>
      </c>
      <c r="AM120" s="126">
        <v>0</v>
      </c>
      <c r="AN120" s="126">
        <v>0</v>
      </c>
      <c r="AO120" s="126">
        <v>0</v>
      </c>
      <c r="AP120" s="126">
        <v>382472.01</v>
      </c>
      <c r="AQ120" s="126">
        <v>0</v>
      </c>
      <c r="AR120" s="126">
        <v>0</v>
      </c>
      <c r="AS120" s="126">
        <v>0</v>
      </c>
      <c r="AT120" s="126">
        <v>0</v>
      </c>
      <c r="AU120" s="126">
        <v>0</v>
      </c>
      <c r="AV120" s="126">
        <v>0</v>
      </c>
      <c r="AW120" s="135">
        <v>602987.6103429849</v>
      </c>
      <c r="AX120" s="136">
        <v>521321.83056822169</v>
      </c>
      <c r="AY120" s="136">
        <v>48452.940200302204</v>
      </c>
      <c r="AZ120" s="126">
        <v>0</v>
      </c>
      <c r="BA120" s="126">
        <v>14642.157938612048</v>
      </c>
      <c r="BB120" s="126">
        <v>0</v>
      </c>
      <c r="BC120" s="126">
        <v>0</v>
      </c>
      <c r="BD120" s="126">
        <v>3249.7390880681569</v>
      </c>
      <c r="BE120" s="126">
        <v>0</v>
      </c>
      <c r="BF120" s="126">
        <v>4258.1717074716507</v>
      </c>
      <c r="BG120" s="126">
        <v>2131.9678680438583</v>
      </c>
      <c r="BH120" s="126">
        <v>8930.8029722653846</v>
      </c>
      <c r="BI120" s="137">
        <v>1128604.7079116928</v>
      </c>
      <c r="BJ120" s="126">
        <v>7993.36446637464</v>
      </c>
      <c r="BK120" s="126">
        <v>11374.086808238548</v>
      </c>
      <c r="BL120" s="126">
        <v>12201.649733239819</v>
      </c>
      <c r="BM120" s="126">
        <v>12092.158975868486</v>
      </c>
      <c r="BN120" s="126">
        <v>203391.22355547966</v>
      </c>
      <c r="BO120" s="126">
        <v>116768.35401813798</v>
      </c>
      <c r="BP120" s="126">
        <v>95799.361448408366</v>
      </c>
      <c r="BQ120" s="126">
        <v>519765.18475205544</v>
      </c>
      <c r="BR120" s="126">
        <v>19397.282437124635</v>
      </c>
      <c r="BS120" s="126">
        <v>21536.959073653816</v>
      </c>
      <c r="BT120" s="126">
        <v>107446.67935665352</v>
      </c>
      <c r="BU120" s="126">
        <v>0</v>
      </c>
      <c r="BV120" s="126">
        <v>838.40328645799809</v>
      </c>
      <c r="BW120" s="126">
        <v>129704.90585526574</v>
      </c>
      <c r="BX120" s="126">
        <v>460159.2580241792</v>
      </c>
      <c r="BY120" s="126">
        <v>404684.45613108185</v>
      </c>
      <c r="BZ120" s="126">
        <v>77041.384426743403</v>
      </c>
      <c r="CA120" s="137">
        <v>298665.98634924815</v>
      </c>
      <c r="CB120" s="126">
        <v>10384.56</v>
      </c>
      <c r="CC120" s="126">
        <v>286383.21334688563</v>
      </c>
      <c r="CD120" s="126">
        <v>0</v>
      </c>
      <c r="CE120" s="126">
        <v>0</v>
      </c>
      <c r="CF120" s="126">
        <v>1898.2130023625002</v>
      </c>
      <c r="CG120" s="137">
        <v>107497.23333101644</v>
      </c>
      <c r="CH120" s="126">
        <v>21800.003999999997</v>
      </c>
      <c r="CI120" s="126">
        <v>85697.229331016439</v>
      </c>
      <c r="CJ120" s="120"/>
      <c r="CK120" s="138">
        <v>3649610.6428842656</v>
      </c>
      <c r="CL120" s="139">
        <v>40.204399413110302</v>
      </c>
      <c r="CM120" s="140">
        <v>3536786.4000000004</v>
      </c>
      <c r="CN120" s="125">
        <v>3182.39</v>
      </c>
      <c r="CO120" s="125">
        <v>3182.39</v>
      </c>
      <c r="CP120" s="125">
        <v>0</v>
      </c>
      <c r="CQ120" s="125">
        <v>12413.740000000002</v>
      </c>
      <c r="CR120" s="125">
        <v>6730.8899999999994</v>
      </c>
      <c r="CS120" s="125">
        <v>144176.18</v>
      </c>
      <c r="CT120" s="125">
        <v>321803.06844439532</v>
      </c>
      <c r="CU120" s="141">
        <v>3546.2168674698792</v>
      </c>
      <c r="CV120" s="142">
        <v>212525.0424275999</v>
      </c>
      <c r="CW120" s="143">
        <v>-3.0914049175147285E-2</v>
      </c>
      <c r="CX120" s="140">
        <v>3536850.0999999996</v>
      </c>
      <c r="CY120" s="140">
        <v>600480.94999999995</v>
      </c>
    </row>
    <row r="121" spans="1:103" ht="12" customHeight="1" x14ac:dyDescent="0.25">
      <c r="A121" s="122">
        <v>117</v>
      </c>
      <c r="B121" s="123" t="s">
        <v>167</v>
      </c>
      <c r="C121" s="124">
        <v>3463.8</v>
      </c>
      <c r="D121" s="125">
        <v>3463.8</v>
      </c>
      <c r="E121" s="125">
        <v>0</v>
      </c>
      <c r="F121" s="125">
        <v>299.2</v>
      </c>
      <c r="G121" s="124">
        <v>3463.8</v>
      </c>
      <c r="H121" s="124"/>
      <c r="I121" s="126">
        <v>0</v>
      </c>
      <c r="J121" s="126">
        <v>0</v>
      </c>
      <c r="K121" s="127">
        <v>0</v>
      </c>
      <c r="L121" s="127">
        <v>0</v>
      </c>
      <c r="M121" s="127"/>
      <c r="N121" s="127"/>
      <c r="O121" s="128" t="s">
        <v>1489</v>
      </c>
      <c r="P121" s="129" t="s">
        <v>1493</v>
      </c>
      <c r="Q121" s="130">
        <v>6.92</v>
      </c>
      <c r="R121" s="130">
        <v>3.15</v>
      </c>
      <c r="S121" s="130">
        <v>0</v>
      </c>
      <c r="T121" s="38">
        <v>0.26</v>
      </c>
      <c r="U121" s="131">
        <v>31</v>
      </c>
      <c r="V121" s="144">
        <v>4</v>
      </c>
      <c r="W121" s="132">
        <v>9.638554216867469E-3</v>
      </c>
      <c r="X121" s="133">
        <v>174111.85495322332</v>
      </c>
      <c r="Y121" s="134">
        <v>23748.01</v>
      </c>
      <c r="Z121" s="134">
        <v>7408.3364588642562</v>
      </c>
      <c r="AA121" s="134">
        <v>2179.614528758399</v>
      </c>
      <c r="AB121" s="134">
        <v>1502.9539656006721</v>
      </c>
      <c r="AC121" s="126">
        <v>100892.76</v>
      </c>
      <c r="AD121" s="126">
        <v>38380.18</v>
      </c>
      <c r="AE121" s="126">
        <v>0</v>
      </c>
      <c r="AF121" s="126">
        <v>0</v>
      </c>
      <c r="AG121" s="126">
        <v>0</v>
      </c>
      <c r="AH121" s="126">
        <v>0</v>
      </c>
      <c r="AI121" s="126">
        <v>0</v>
      </c>
      <c r="AJ121" s="126">
        <v>0</v>
      </c>
      <c r="AK121" s="126">
        <v>0</v>
      </c>
      <c r="AL121" s="126">
        <v>0</v>
      </c>
      <c r="AM121" s="126">
        <v>0</v>
      </c>
      <c r="AN121" s="126">
        <v>0</v>
      </c>
      <c r="AO121" s="126">
        <v>0</v>
      </c>
      <c r="AP121" s="126">
        <v>0</v>
      </c>
      <c r="AQ121" s="126">
        <v>0</v>
      </c>
      <c r="AR121" s="126">
        <v>0</v>
      </c>
      <c r="AS121" s="126">
        <v>0</v>
      </c>
      <c r="AT121" s="126">
        <v>0</v>
      </c>
      <c r="AU121" s="126">
        <v>0</v>
      </c>
      <c r="AV121" s="126">
        <v>0</v>
      </c>
      <c r="AW121" s="135">
        <v>276101.95839967637</v>
      </c>
      <c r="AX121" s="136">
        <v>238708.01971290421</v>
      </c>
      <c r="AY121" s="136">
        <v>22186.113694635183</v>
      </c>
      <c r="AZ121" s="126">
        <v>0</v>
      </c>
      <c r="BA121" s="126">
        <v>6704.496763621084</v>
      </c>
      <c r="BB121" s="126">
        <v>0</v>
      </c>
      <c r="BC121" s="126">
        <v>0</v>
      </c>
      <c r="BD121" s="126">
        <v>1488.022823542306</v>
      </c>
      <c r="BE121" s="126">
        <v>0</v>
      </c>
      <c r="BF121" s="126">
        <v>1949.7739712533619</v>
      </c>
      <c r="BG121" s="126">
        <v>976.20663097417162</v>
      </c>
      <c r="BH121" s="126">
        <v>4089.3248027460227</v>
      </c>
      <c r="BI121" s="137">
        <v>516776.73764518386</v>
      </c>
      <c r="BJ121" s="126">
        <v>3660.0811451384034</v>
      </c>
      <c r="BK121" s="126">
        <v>5208.0798823980704</v>
      </c>
      <c r="BL121" s="126">
        <v>5587.0126172876762</v>
      </c>
      <c r="BM121" s="126">
        <v>5536.8779013858139</v>
      </c>
      <c r="BN121" s="126">
        <v>93130.794367452851</v>
      </c>
      <c r="BO121" s="126">
        <v>53467.054165799884</v>
      </c>
      <c r="BP121" s="126">
        <v>43865.563496899675</v>
      </c>
      <c r="BQ121" s="126">
        <v>237995.24725953041</v>
      </c>
      <c r="BR121" s="126">
        <v>8881.8204166341438</v>
      </c>
      <c r="BS121" s="126">
        <v>9861.5568151178632</v>
      </c>
      <c r="BT121" s="126">
        <v>49198.753150234174</v>
      </c>
      <c r="BU121" s="126">
        <v>0</v>
      </c>
      <c r="BV121" s="126">
        <v>383.89642730487844</v>
      </c>
      <c r="BW121" s="126">
        <v>59390.571060513896</v>
      </c>
      <c r="BX121" s="126">
        <v>210702.29327589355</v>
      </c>
      <c r="BY121" s="126">
        <v>185300.93977908461</v>
      </c>
      <c r="BZ121" s="126">
        <v>0</v>
      </c>
      <c r="CA121" s="137">
        <v>0</v>
      </c>
      <c r="CB121" s="126">
        <v>0</v>
      </c>
      <c r="CC121" s="126">
        <v>0</v>
      </c>
      <c r="CD121" s="126">
        <v>0</v>
      </c>
      <c r="CE121" s="126">
        <v>0</v>
      </c>
      <c r="CF121" s="126">
        <v>0</v>
      </c>
      <c r="CG121" s="137">
        <v>52759.902866680073</v>
      </c>
      <c r="CH121" s="126">
        <v>13520.003999999999</v>
      </c>
      <c r="CI121" s="126">
        <v>39239.898866680072</v>
      </c>
      <c r="CJ121" s="120"/>
      <c r="CK121" s="138">
        <v>1475144.2579802559</v>
      </c>
      <c r="CL121" s="139">
        <v>35.489545633414551</v>
      </c>
      <c r="CM121" s="140">
        <v>1232063.73</v>
      </c>
      <c r="CN121" s="125">
        <v>1866.76</v>
      </c>
      <c r="CO121" s="125">
        <v>1866.76</v>
      </c>
      <c r="CP121" s="125">
        <v>0</v>
      </c>
      <c r="CQ121" s="125">
        <v>7283</v>
      </c>
      <c r="CR121" s="125">
        <v>3948.76</v>
      </c>
      <c r="CS121" s="125">
        <v>19146</v>
      </c>
      <c r="CT121" s="125">
        <v>0</v>
      </c>
      <c r="CU121" s="141">
        <v>3546.2168674698792</v>
      </c>
      <c r="CV121" s="142">
        <v>-239534.31111278594</v>
      </c>
      <c r="CW121" s="143">
        <v>0</v>
      </c>
      <c r="CX121" s="140">
        <v>1247616.17</v>
      </c>
      <c r="CY121" s="140">
        <v>251345.54</v>
      </c>
    </row>
    <row r="122" spans="1:103" ht="12" customHeight="1" x14ac:dyDescent="0.25">
      <c r="A122" s="122">
        <v>118</v>
      </c>
      <c r="B122" s="123" t="s">
        <v>168</v>
      </c>
      <c r="C122" s="124">
        <v>3497.98</v>
      </c>
      <c r="D122" s="125">
        <v>3497.98</v>
      </c>
      <c r="E122" s="125">
        <v>0</v>
      </c>
      <c r="F122" s="125">
        <v>483</v>
      </c>
      <c r="G122" s="124">
        <v>3497.98</v>
      </c>
      <c r="H122" s="124"/>
      <c r="I122" s="126">
        <v>0</v>
      </c>
      <c r="J122" s="126">
        <v>0</v>
      </c>
      <c r="K122" s="127">
        <v>0</v>
      </c>
      <c r="L122" s="127">
        <v>0</v>
      </c>
      <c r="M122" s="127"/>
      <c r="N122" s="127"/>
      <c r="O122" s="128" t="s">
        <v>1489</v>
      </c>
      <c r="P122" s="129" t="s">
        <v>1493</v>
      </c>
      <c r="Q122" s="130">
        <v>6.92</v>
      </c>
      <c r="R122" s="130">
        <v>3.15</v>
      </c>
      <c r="S122" s="130">
        <v>0</v>
      </c>
      <c r="T122" s="38">
        <v>0.26</v>
      </c>
      <c r="U122" s="131">
        <v>31</v>
      </c>
      <c r="V122" s="131"/>
      <c r="W122" s="132">
        <v>0</v>
      </c>
      <c r="X122" s="133">
        <v>26853.417510905976</v>
      </c>
      <c r="Y122" s="134">
        <v>15653.07</v>
      </c>
      <c r="Z122" s="134">
        <v>7481.440258207168</v>
      </c>
      <c r="AA122" s="134">
        <v>2201.122475115857</v>
      </c>
      <c r="AB122" s="134">
        <v>1517.7847775829548</v>
      </c>
      <c r="AC122" s="126">
        <v>0</v>
      </c>
      <c r="AD122" s="126">
        <v>0</v>
      </c>
      <c r="AE122" s="126">
        <v>0</v>
      </c>
      <c r="AF122" s="126">
        <v>0</v>
      </c>
      <c r="AG122" s="126">
        <v>0</v>
      </c>
      <c r="AH122" s="126">
        <v>0</v>
      </c>
      <c r="AI122" s="126">
        <v>0</v>
      </c>
      <c r="AJ122" s="126">
        <v>0</v>
      </c>
      <c r="AK122" s="126">
        <v>0</v>
      </c>
      <c r="AL122" s="126">
        <v>0</v>
      </c>
      <c r="AM122" s="126">
        <v>0</v>
      </c>
      <c r="AN122" s="126">
        <v>0</v>
      </c>
      <c r="AO122" s="126">
        <v>0</v>
      </c>
      <c r="AP122" s="126">
        <v>0</v>
      </c>
      <c r="AQ122" s="126">
        <v>0</v>
      </c>
      <c r="AR122" s="126">
        <v>0</v>
      </c>
      <c r="AS122" s="126">
        <v>0</v>
      </c>
      <c r="AT122" s="126">
        <v>0</v>
      </c>
      <c r="AU122" s="126">
        <v>0</v>
      </c>
      <c r="AV122" s="126">
        <v>0</v>
      </c>
      <c r="AW122" s="135">
        <v>301909.47847834748</v>
      </c>
      <c r="AX122" s="136">
        <v>241063.53680794057</v>
      </c>
      <c r="AY122" s="136">
        <v>22405.041278815166</v>
      </c>
      <c r="AZ122" s="126">
        <v>0</v>
      </c>
      <c r="BA122" s="126">
        <v>6770.6552310212128</v>
      </c>
      <c r="BB122" s="126">
        <v>0</v>
      </c>
      <c r="BC122" s="126">
        <v>23083.007999999998</v>
      </c>
      <c r="BD122" s="126">
        <v>1502.7062983701471</v>
      </c>
      <c r="BE122" s="126">
        <v>0</v>
      </c>
      <c r="BF122" s="126">
        <v>1969.0139026401162</v>
      </c>
      <c r="BG122" s="126">
        <v>985.8396186312815</v>
      </c>
      <c r="BH122" s="126">
        <v>4129.6773409289026</v>
      </c>
      <c r="BI122" s="137">
        <v>521876.17435998039</v>
      </c>
      <c r="BJ122" s="126">
        <v>3696.1980033694877</v>
      </c>
      <c r="BK122" s="126">
        <v>5259.472044295514</v>
      </c>
      <c r="BL122" s="126">
        <v>5642.1440022576207</v>
      </c>
      <c r="BM122" s="126">
        <v>5591.5145682457269</v>
      </c>
      <c r="BN122" s="126">
        <v>94049.788117519114</v>
      </c>
      <c r="BO122" s="126">
        <v>53994.655040962141</v>
      </c>
      <c r="BP122" s="126">
        <v>44298.419019829409</v>
      </c>
      <c r="BQ122" s="126">
        <v>240343.7308761742</v>
      </c>
      <c r="BR122" s="126">
        <v>8969.4642245446921</v>
      </c>
      <c r="BS122" s="126">
        <v>9958.8684416380802</v>
      </c>
      <c r="BT122" s="126">
        <v>49684.235390165755</v>
      </c>
      <c r="BU122" s="126">
        <v>0</v>
      </c>
      <c r="BV122" s="126">
        <v>387.68463097867044</v>
      </c>
      <c r="BW122" s="126">
        <v>59976.62386923506</v>
      </c>
      <c r="BX122" s="126">
        <v>212781.45615601656</v>
      </c>
      <c r="BY122" s="126">
        <v>187129.44781120226</v>
      </c>
      <c r="BZ122" s="126">
        <v>0</v>
      </c>
      <c r="CA122" s="137">
        <v>0</v>
      </c>
      <c r="CB122" s="126">
        <v>0</v>
      </c>
      <c r="CC122" s="126">
        <v>0</v>
      </c>
      <c r="CD122" s="126">
        <v>0</v>
      </c>
      <c r="CE122" s="126">
        <v>0</v>
      </c>
      <c r="CF122" s="126">
        <v>0</v>
      </c>
      <c r="CG122" s="137">
        <v>53147.113370538013</v>
      </c>
      <c r="CH122" s="126">
        <v>13520.003999999999</v>
      </c>
      <c r="CI122" s="126">
        <v>39627.109370538012</v>
      </c>
      <c r="CJ122" s="120"/>
      <c r="CK122" s="138">
        <v>1363673.7115562258</v>
      </c>
      <c r="CL122" s="139">
        <v>32.487171442666572</v>
      </c>
      <c r="CM122" s="140">
        <v>1245325.26</v>
      </c>
      <c r="CN122" s="125">
        <v>3013.31</v>
      </c>
      <c r="CO122" s="125">
        <v>3013.31</v>
      </c>
      <c r="CP122" s="125">
        <v>0</v>
      </c>
      <c r="CQ122" s="125">
        <v>11755.6</v>
      </c>
      <c r="CR122" s="125">
        <v>6373.92</v>
      </c>
      <c r="CS122" s="125">
        <v>26597.559999999998</v>
      </c>
      <c r="CT122" s="125">
        <v>0</v>
      </c>
      <c r="CU122" s="141">
        <v>0</v>
      </c>
      <c r="CV122" s="142">
        <v>-118348.45155622577</v>
      </c>
      <c r="CW122" s="143">
        <v>0</v>
      </c>
      <c r="CX122" s="140">
        <v>1190754</v>
      </c>
      <c r="CY122" s="140">
        <v>430393.81</v>
      </c>
    </row>
    <row r="123" spans="1:103" ht="12" customHeight="1" x14ac:dyDescent="0.25">
      <c r="A123" s="122">
        <v>119</v>
      </c>
      <c r="B123" s="123" t="s">
        <v>169</v>
      </c>
      <c r="C123" s="124">
        <v>7018.23</v>
      </c>
      <c r="D123" s="125">
        <v>7018.23</v>
      </c>
      <c r="E123" s="125">
        <v>0</v>
      </c>
      <c r="F123" s="125">
        <v>983.6</v>
      </c>
      <c r="G123" s="124">
        <v>7018.23</v>
      </c>
      <c r="H123" s="124"/>
      <c r="I123" s="126">
        <v>0</v>
      </c>
      <c r="J123" s="126">
        <v>0</v>
      </c>
      <c r="K123" s="127">
        <v>0</v>
      </c>
      <c r="L123" s="127">
        <v>0</v>
      </c>
      <c r="M123" s="127"/>
      <c r="N123" s="127"/>
      <c r="O123" s="128" t="s">
        <v>1488</v>
      </c>
      <c r="P123" s="129" t="s">
        <v>1493</v>
      </c>
      <c r="Q123" s="130">
        <v>6.92</v>
      </c>
      <c r="R123" s="130">
        <v>3.15</v>
      </c>
      <c r="S123" s="130">
        <v>0</v>
      </c>
      <c r="T123" s="38">
        <v>0.26</v>
      </c>
      <c r="U123" s="131">
        <v>31</v>
      </c>
      <c r="V123" s="131"/>
      <c r="W123" s="132">
        <v>0</v>
      </c>
      <c r="X123" s="133">
        <v>2459715.2623875109</v>
      </c>
      <c r="Y123" s="134">
        <v>14729.34</v>
      </c>
      <c r="Z123" s="134">
        <v>15010.511341790774</v>
      </c>
      <c r="AA123" s="134">
        <v>4416.2584658952765</v>
      </c>
      <c r="AB123" s="134">
        <v>3045.2325798249331</v>
      </c>
      <c r="AC123" s="126">
        <v>0</v>
      </c>
      <c r="AD123" s="126">
        <v>0</v>
      </c>
      <c r="AE123" s="126">
        <v>0</v>
      </c>
      <c r="AF123" s="126">
        <v>0</v>
      </c>
      <c r="AG123" s="126">
        <v>0</v>
      </c>
      <c r="AH123" s="126">
        <v>0</v>
      </c>
      <c r="AI123" s="126">
        <v>5968.41</v>
      </c>
      <c r="AJ123" s="126">
        <v>0</v>
      </c>
      <c r="AK123" s="126">
        <v>0</v>
      </c>
      <c r="AL123" s="126">
        <v>0</v>
      </c>
      <c r="AM123" s="126">
        <v>0</v>
      </c>
      <c r="AN123" s="126">
        <v>0</v>
      </c>
      <c r="AO123" s="126">
        <v>0</v>
      </c>
      <c r="AP123" s="126">
        <v>2416545.5099999998</v>
      </c>
      <c r="AQ123" s="126">
        <v>0</v>
      </c>
      <c r="AR123" s="126">
        <v>0</v>
      </c>
      <c r="AS123" s="126">
        <v>0</v>
      </c>
      <c r="AT123" s="126">
        <v>0</v>
      </c>
      <c r="AU123" s="126">
        <v>0</v>
      </c>
      <c r="AV123" s="126">
        <v>0</v>
      </c>
      <c r="AW123" s="135">
        <v>545843.68242335366</v>
      </c>
      <c r="AX123" s="136">
        <v>483661.81222636858</v>
      </c>
      <c r="AY123" s="136">
        <v>44952.724959610678</v>
      </c>
      <c r="AZ123" s="126">
        <v>0</v>
      </c>
      <c r="BA123" s="126">
        <v>0</v>
      </c>
      <c r="BB123" s="126">
        <v>0</v>
      </c>
      <c r="BC123" s="126">
        <v>0</v>
      </c>
      <c r="BD123" s="126">
        <v>3014.9796237858181</v>
      </c>
      <c r="BE123" s="126">
        <v>0</v>
      </c>
      <c r="BF123" s="126">
        <v>3950.5635943961775</v>
      </c>
      <c r="BG123" s="126">
        <v>1977.9556162890062</v>
      </c>
      <c r="BH123" s="126">
        <v>8285.6464029032322</v>
      </c>
      <c r="BI123" s="137">
        <v>1047074.8898445518</v>
      </c>
      <c r="BJ123" s="126">
        <v>7415.9279679094325</v>
      </c>
      <c r="BK123" s="126">
        <v>10552.428683250364</v>
      </c>
      <c r="BL123" s="126">
        <v>11320.20889226482</v>
      </c>
      <c r="BM123" s="126">
        <v>11218.62769035249</v>
      </c>
      <c r="BN123" s="126">
        <v>188698.34717751847</v>
      </c>
      <c r="BO123" s="126">
        <v>108333.06875629126</v>
      </c>
      <c r="BP123" s="126">
        <v>88878.86532156769</v>
      </c>
      <c r="BQ123" s="126">
        <v>482217.61769566778</v>
      </c>
      <c r="BR123" s="126">
        <v>17996.032825981361</v>
      </c>
      <c r="BS123" s="126">
        <v>19981.140333323121</v>
      </c>
      <c r="BT123" s="126">
        <v>99684.787032036475</v>
      </c>
      <c r="BU123" s="126">
        <v>0</v>
      </c>
      <c r="BV123" s="126">
        <v>777.83746838845104</v>
      </c>
      <c r="BW123" s="126">
        <v>120335.09080605993</v>
      </c>
      <c r="BX123" s="126">
        <v>426917.59216400317</v>
      </c>
      <c r="BY123" s="126">
        <v>375450.26115415583</v>
      </c>
      <c r="BZ123" s="126">
        <v>0</v>
      </c>
      <c r="CA123" s="137">
        <v>0</v>
      </c>
      <c r="CB123" s="126">
        <v>0</v>
      </c>
      <c r="CC123" s="126">
        <v>0</v>
      </c>
      <c r="CD123" s="126">
        <v>0</v>
      </c>
      <c r="CE123" s="126">
        <v>0</v>
      </c>
      <c r="CF123" s="126">
        <v>0</v>
      </c>
      <c r="CG123" s="137">
        <v>106546.5019827646</v>
      </c>
      <c r="CH123" s="126">
        <v>27039.996000000003</v>
      </c>
      <c r="CI123" s="126">
        <v>79506.505982764604</v>
      </c>
      <c r="CJ123" s="120"/>
      <c r="CK123" s="138">
        <v>5081883.2807623995</v>
      </c>
      <c r="CL123" s="139">
        <v>60.341464072403824</v>
      </c>
      <c r="CM123" s="140">
        <v>2503847.34</v>
      </c>
      <c r="CN123" s="125">
        <v>6138.53</v>
      </c>
      <c r="CO123" s="125">
        <v>6138.53</v>
      </c>
      <c r="CP123" s="125">
        <v>0</v>
      </c>
      <c r="CQ123" s="125">
        <v>23946.430000000004</v>
      </c>
      <c r="CR123" s="125">
        <v>12981.880000000001</v>
      </c>
      <c r="CS123" s="125">
        <v>54267.44</v>
      </c>
      <c r="CT123" s="125">
        <v>0</v>
      </c>
      <c r="CU123" s="141">
        <v>0</v>
      </c>
      <c r="CV123" s="142">
        <v>-2578035.9407623997</v>
      </c>
      <c r="CW123" s="143">
        <v>0</v>
      </c>
      <c r="CX123" s="140">
        <v>2492673.6999999997</v>
      </c>
      <c r="CY123" s="140">
        <v>274109.03000000003</v>
      </c>
    </row>
    <row r="124" spans="1:103" ht="12" customHeight="1" x14ac:dyDescent="0.25">
      <c r="A124" s="122">
        <v>120</v>
      </c>
      <c r="B124" s="123" t="s">
        <v>170</v>
      </c>
      <c r="C124" s="124">
        <v>3521.8</v>
      </c>
      <c r="D124" s="125">
        <v>3521.8</v>
      </c>
      <c r="E124" s="125">
        <v>0</v>
      </c>
      <c r="F124" s="125">
        <v>491.8</v>
      </c>
      <c r="G124" s="124">
        <v>3521.8</v>
      </c>
      <c r="H124" s="124"/>
      <c r="I124" s="126">
        <v>0</v>
      </c>
      <c r="J124" s="126">
        <v>0</v>
      </c>
      <c r="K124" s="127">
        <v>0</v>
      </c>
      <c r="L124" s="127">
        <v>0</v>
      </c>
      <c r="M124" s="127"/>
      <c r="N124" s="127"/>
      <c r="O124" s="128" t="s">
        <v>1489</v>
      </c>
      <c r="P124" s="129" t="s">
        <v>1493</v>
      </c>
      <c r="Q124" s="130">
        <v>6.92</v>
      </c>
      <c r="R124" s="130">
        <v>3.15</v>
      </c>
      <c r="S124" s="130">
        <v>0</v>
      </c>
      <c r="T124" s="38">
        <v>0.26</v>
      </c>
      <c r="U124" s="131">
        <v>31</v>
      </c>
      <c r="V124" s="131"/>
      <c r="W124" s="132">
        <v>0</v>
      </c>
      <c r="X124" s="133">
        <v>271767.32789487328</v>
      </c>
      <c r="Y124" s="134">
        <v>60274.9</v>
      </c>
      <c r="Z124" s="134">
        <v>7532.3862061401169</v>
      </c>
      <c r="AA124" s="134">
        <v>2216.1113365036463</v>
      </c>
      <c r="AB124" s="134">
        <v>1528.1203522294725</v>
      </c>
      <c r="AC124" s="126">
        <v>163392.98000000001</v>
      </c>
      <c r="AD124" s="126">
        <v>36822.83</v>
      </c>
      <c r="AE124" s="126">
        <v>0</v>
      </c>
      <c r="AF124" s="126">
        <v>0</v>
      </c>
      <c r="AG124" s="126">
        <v>0</v>
      </c>
      <c r="AH124" s="126">
        <v>0</v>
      </c>
      <c r="AI124" s="126">
        <v>0</v>
      </c>
      <c r="AJ124" s="126">
        <v>0</v>
      </c>
      <c r="AK124" s="126">
        <v>0</v>
      </c>
      <c r="AL124" s="126">
        <v>0</v>
      </c>
      <c r="AM124" s="126">
        <v>0</v>
      </c>
      <c r="AN124" s="126">
        <v>0</v>
      </c>
      <c r="AO124" s="126">
        <v>0</v>
      </c>
      <c r="AP124" s="126">
        <v>0</v>
      </c>
      <c r="AQ124" s="126">
        <v>0</v>
      </c>
      <c r="AR124" s="126">
        <v>0</v>
      </c>
      <c r="AS124" s="126">
        <v>0</v>
      </c>
      <c r="AT124" s="126">
        <v>0</v>
      </c>
      <c r="AU124" s="126">
        <v>0</v>
      </c>
      <c r="AV124" s="126">
        <v>0</v>
      </c>
      <c r="AW124" s="135">
        <v>280725.17959812342</v>
      </c>
      <c r="AX124" s="136">
        <v>242705.09377703851</v>
      </c>
      <c r="AY124" s="136">
        <v>22557.611643214444</v>
      </c>
      <c r="AZ124" s="126">
        <v>0</v>
      </c>
      <c r="BA124" s="126">
        <v>6816.7609856575828</v>
      </c>
      <c r="BB124" s="126">
        <v>0</v>
      </c>
      <c r="BC124" s="126">
        <v>0</v>
      </c>
      <c r="BD124" s="126">
        <v>1512.9391939347806</v>
      </c>
      <c r="BE124" s="126">
        <v>0</v>
      </c>
      <c r="BF124" s="126">
        <v>1982.4221871817338</v>
      </c>
      <c r="BG124" s="126">
        <v>992.55283589261444</v>
      </c>
      <c r="BH124" s="126">
        <v>4157.7989752038056</v>
      </c>
      <c r="BI124" s="137">
        <v>525429.96554039151</v>
      </c>
      <c r="BJ124" s="126">
        <v>3721.3677974907409</v>
      </c>
      <c r="BK124" s="126">
        <v>5295.2871787717322</v>
      </c>
      <c r="BL124" s="126">
        <v>5680.5649966983483</v>
      </c>
      <c r="BM124" s="126">
        <v>5629.5907942434778</v>
      </c>
      <c r="BN124" s="126">
        <v>94690.233732691093</v>
      </c>
      <c r="BO124" s="126">
        <v>54362.339442552693</v>
      </c>
      <c r="BP124" s="126">
        <v>44600.075501871142</v>
      </c>
      <c r="BQ124" s="126">
        <v>241980.38622282297</v>
      </c>
      <c r="BR124" s="126">
        <v>9030.5430865818253</v>
      </c>
      <c r="BS124" s="126">
        <v>10026.684794584586</v>
      </c>
      <c r="BT124" s="126">
        <v>50022.567366618954</v>
      </c>
      <c r="BU124" s="126">
        <v>0</v>
      </c>
      <c r="BV124" s="126">
        <v>390.32462546403394</v>
      </c>
      <c r="BW124" s="126">
        <v>60385.043351497734</v>
      </c>
      <c r="BX124" s="126">
        <v>214230.42221232227</v>
      </c>
      <c r="BY124" s="126">
        <v>188403.73281193493</v>
      </c>
      <c r="BZ124" s="126">
        <v>0</v>
      </c>
      <c r="CA124" s="137">
        <v>0</v>
      </c>
      <c r="CB124" s="126">
        <v>0</v>
      </c>
      <c r="CC124" s="126">
        <v>0</v>
      </c>
      <c r="CD124" s="126">
        <v>0</v>
      </c>
      <c r="CE124" s="126">
        <v>0</v>
      </c>
      <c r="CF124" s="126">
        <v>0</v>
      </c>
      <c r="CG124" s="137">
        <v>53416.959894876694</v>
      </c>
      <c r="CH124" s="126">
        <v>13520.003999999999</v>
      </c>
      <c r="CI124" s="126">
        <v>39896.955894876693</v>
      </c>
      <c r="CJ124" s="120"/>
      <c r="CK124" s="138">
        <v>1594358.6313040198</v>
      </c>
      <c r="CL124" s="139">
        <v>37.725941074261733</v>
      </c>
      <c r="CM124" s="140">
        <v>1246856.75</v>
      </c>
      <c r="CN124" s="125">
        <v>3068.87</v>
      </c>
      <c r="CO124" s="125">
        <v>3068.87</v>
      </c>
      <c r="CP124" s="125">
        <v>0</v>
      </c>
      <c r="CQ124" s="125">
        <v>11972.48</v>
      </c>
      <c r="CR124" s="125">
        <v>6491.0299999999988</v>
      </c>
      <c r="CS124" s="125">
        <v>27001.739999999998</v>
      </c>
      <c r="CT124" s="125">
        <v>0</v>
      </c>
      <c r="CU124" s="141">
        <v>0</v>
      </c>
      <c r="CV124" s="142">
        <v>-347501.88130401983</v>
      </c>
      <c r="CW124" s="143">
        <v>0</v>
      </c>
      <c r="CX124" s="140">
        <v>1230121.69</v>
      </c>
      <c r="CY124" s="140">
        <v>454417.14</v>
      </c>
    </row>
    <row r="125" spans="1:103" ht="12" customHeight="1" x14ac:dyDescent="0.25">
      <c r="A125" s="122">
        <v>121</v>
      </c>
      <c r="B125" s="123" t="s">
        <v>171</v>
      </c>
      <c r="C125" s="124">
        <v>3540.1</v>
      </c>
      <c r="D125" s="125">
        <v>3540.1</v>
      </c>
      <c r="E125" s="125">
        <v>0</v>
      </c>
      <c r="F125" s="125">
        <v>317.60000000000002</v>
      </c>
      <c r="G125" s="124">
        <v>3540.1</v>
      </c>
      <c r="H125" s="124"/>
      <c r="I125" s="126">
        <v>0</v>
      </c>
      <c r="J125" s="126">
        <v>0</v>
      </c>
      <c r="K125" s="127">
        <v>0</v>
      </c>
      <c r="L125" s="127">
        <v>0</v>
      </c>
      <c r="M125" s="127"/>
      <c r="N125" s="127"/>
      <c r="O125" s="128" t="s">
        <v>1489</v>
      </c>
      <c r="P125" s="129" t="s">
        <v>1493</v>
      </c>
      <c r="Q125" s="130">
        <v>6.92</v>
      </c>
      <c r="R125" s="130">
        <v>3.15</v>
      </c>
      <c r="S125" s="130">
        <v>0</v>
      </c>
      <c r="T125" s="38">
        <v>0.26</v>
      </c>
      <c r="U125" s="131">
        <v>31</v>
      </c>
      <c r="V125" s="144">
        <v>4</v>
      </c>
      <c r="W125" s="132">
        <v>9.638554216867469E-3</v>
      </c>
      <c r="X125" s="133">
        <v>126063.60352991105</v>
      </c>
      <c r="Y125" s="134">
        <v>24203.86</v>
      </c>
      <c r="Z125" s="134">
        <v>7571.526040194396</v>
      </c>
      <c r="AA125" s="134">
        <v>2227.6267086025778</v>
      </c>
      <c r="AB125" s="134">
        <v>1536.0607811140767</v>
      </c>
      <c r="AC125" s="126">
        <v>0</v>
      </c>
      <c r="AD125" s="126">
        <v>36638.68</v>
      </c>
      <c r="AE125" s="126">
        <v>0</v>
      </c>
      <c r="AF125" s="126">
        <v>0</v>
      </c>
      <c r="AG125" s="126">
        <v>0</v>
      </c>
      <c r="AH125" s="126">
        <v>0</v>
      </c>
      <c r="AI125" s="126">
        <v>0</v>
      </c>
      <c r="AJ125" s="126">
        <v>0</v>
      </c>
      <c r="AK125" s="126">
        <v>0</v>
      </c>
      <c r="AL125" s="126">
        <v>0</v>
      </c>
      <c r="AM125" s="126">
        <v>0</v>
      </c>
      <c r="AN125" s="126">
        <v>0</v>
      </c>
      <c r="AO125" s="126">
        <v>0</v>
      </c>
      <c r="AP125" s="126">
        <v>53885.85</v>
      </c>
      <c r="AQ125" s="126">
        <v>0</v>
      </c>
      <c r="AR125" s="126">
        <v>0</v>
      </c>
      <c r="AS125" s="126">
        <v>0</v>
      </c>
      <c r="AT125" s="126">
        <v>0</v>
      </c>
      <c r="AU125" s="126">
        <v>0</v>
      </c>
      <c r="AV125" s="126">
        <v>0</v>
      </c>
      <c r="AW125" s="135">
        <v>282183.8855969439</v>
      </c>
      <c r="AX125" s="136">
        <v>243966.23955934294</v>
      </c>
      <c r="AY125" s="136">
        <v>22674.825651128242</v>
      </c>
      <c r="AZ125" s="126">
        <v>0</v>
      </c>
      <c r="BA125" s="126">
        <v>6852.1822833001324</v>
      </c>
      <c r="BB125" s="126">
        <v>0</v>
      </c>
      <c r="BC125" s="126">
        <v>0</v>
      </c>
      <c r="BD125" s="126">
        <v>1520.8007383861993</v>
      </c>
      <c r="BE125" s="126">
        <v>0</v>
      </c>
      <c r="BF125" s="126">
        <v>1992.7232622074098</v>
      </c>
      <c r="BG125" s="126">
        <v>997.71034537550224</v>
      </c>
      <c r="BH125" s="126">
        <v>4179.4037572034167</v>
      </c>
      <c r="BI125" s="137">
        <v>528160.20813491405</v>
      </c>
      <c r="BJ125" s="126">
        <v>3740.704792974323</v>
      </c>
      <c r="BK125" s="126">
        <v>5322.8025843516971</v>
      </c>
      <c r="BL125" s="126">
        <v>5710.0823853744741</v>
      </c>
      <c r="BM125" s="126">
        <v>5658.8433104382239</v>
      </c>
      <c r="BN125" s="126">
        <v>95182.263739309376</v>
      </c>
      <c r="BO125" s="126">
        <v>54644.81738332125</v>
      </c>
      <c r="BP125" s="126">
        <v>44831.826703439721</v>
      </c>
      <c r="BQ125" s="126">
        <v>243237.76627503423</v>
      </c>
      <c r="BR125" s="126">
        <v>9077.467653134283</v>
      </c>
      <c r="BS125" s="126">
        <v>10078.785519140465</v>
      </c>
      <c r="BT125" s="126">
        <v>50282.494955581729</v>
      </c>
      <c r="BU125" s="126">
        <v>0</v>
      </c>
      <c r="BV125" s="126">
        <v>392.35283281425023</v>
      </c>
      <c r="BW125" s="126">
        <v>60698.816505377108</v>
      </c>
      <c r="BX125" s="126">
        <v>215343.60772157478</v>
      </c>
      <c r="BY125" s="126">
        <v>189382.71751023078</v>
      </c>
      <c r="BZ125" s="126">
        <v>0</v>
      </c>
      <c r="CA125" s="137">
        <v>0</v>
      </c>
      <c r="CB125" s="126">
        <v>0</v>
      </c>
      <c r="CC125" s="126">
        <v>0</v>
      </c>
      <c r="CD125" s="126">
        <v>0</v>
      </c>
      <c r="CE125" s="126">
        <v>0</v>
      </c>
      <c r="CF125" s="126">
        <v>0</v>
      </c>
      <c r="CG125" s="137">
        <v>53624.272715842169</v>
      </c>
      <c r="CH125" s="126">
        <v>13520.003999999999</v>
      </c>
      <c r="CI125" s="126">
        <v>40104.268715842169</v>
      </c>
      <c r="CJ125" s="120"/>
      <c r="CK125" s="138">
        <v>1455457.1117147938</v>
      </c>
      <c r="CL125" s="139">
        <v>34.261205232309678</v>
      </c>
      <c r="CM125" s="140">
        <v>1261808.27</v>
      </c>
      <c r="CN125" s="125">
        <v>1979.47</v>
      </c>
      <c r="CO125" s="125">
        <v>1979.47</v>
      </c>
      <c r="CP125" s="125">
        <v>0</v>
      </c>
      <c r="CQ125" s="125">
        <v>7707.23</v>
      </c>
      <c r="CR125" s="125">
        <v>4190.6500000000005</v>
      </c>
      <c r="CS125" s="125">
        <v>17504.12</v>
      </c>
      <c r="CT125" s="125">
        <v>0</v>
      </c>
      <c r="CU125" s="141">
        <v>3546.2168674698792</v>
      </c>
      <c r="CV125" s="142">
        <v>-190102.62484732387</v>
      </c>
      <c r="CW125" s="143">
        <v>0</v>
      </c>
      <c r="CX125" s="140">
        <v>1274657.19</v>
      </c>
      <c r="CY125" s="140">
        <v>377877.24000000005</v>
      </c>
    </row>
    <row r="126" spans="1:103" ht="12" customHeight="1" x14ac:dyDescent="0.25">
      <c r="A126" s="122">
        <v>122</v>
      </c>
      <c r="B126" s="123" t="s">
        <v>172</v>
      </c>
      <c r="C126" s="124">
        <v>3334.9</v>
      </c>
      <c r="D126" s="125">
        <v>3334.9</v>
      </c>
      <c r="E126" s="125">
        <v>0</v>
      </c>
      <c r="F126" s="125">
        <v>327.10000000000002</v>
      </c>
      <c r="G126" s="124">
        <v>3334.9</v>
      </c>
      <c r="H126" s="124"/>
      <c r="I126" s="126">
        <v>0</v>
      </c>
      <c r="J126" s="126">
        <v>0</v>
      </c>
      <c r="K126" s="127">
        <v>0</v>
      </c>
      <c r="L126" s="127">
        <v>0</v>
      </c>
      <c r="M126" s="127"/>
      <c r="N126" s="127"/>
      <c r="O126" s="128" t="s">
        <v>1489</v>
      </c>
      <c r="P126" s="129" t="s">
        <v>1493</v>
      </c>
      <c r="Q126" s="130">
        <v>6.92</v>
      </c>
      <c r="R126" s="130">
        <v>3.15</v>
      </c>
      <c r="S126" s="130">
        <v>0</v>
      </c>
      <c r="T126" s="38">
        <v>0.26</v>
      </c>
      <c r="U126" s="131">
        <v>31</v>
      </c>
      <c r="V126" s="144">
        <v>4</v>
      </c>
      <c r="W126" s="132">
        <v>9.638554216867469E-3</v>
      </c>
      <c r="X126" s="133">
        <v>389272.5339501428</v>
      </c>
      <c r="Y126" s="134">
        <v>31457.64</v>
      </c>
      <c r="Z126" s="134">
        <v>7132.6465894873854</v>
      </c>
      <c r="AA126" s="134">
        <v>2098.5035198211172</v>
      </c>
      <c r="AB126" s="134">
        <v>1447.0238408342516</v>
      </c>
      <c r="AC126" s="126">
        <v>124356.92</v>
      </c>
      <c r="AD126" s="126">
        <v>28638.13</v>
      </c>
      <c r="AE126" s="126">
        <v>3889.26</v>
      </c>
      <c r="AF126" s="126">
        <v>0</v>
      </c>
      <c r="AG126" s="126">
        <v>0</v>
      </c>
      <c r="AH126" s="126">
        <v>0</v>
      </c>
      <c r="AI126" s="126">
        <v>0</v>
      </c>
      <c r="AJ126" s="126">
        <v>0</v>
      </c>
      <c r="AK126" s="126">
        <v>0</v>
      </c>
      <c r="AL126" s="126">
        <v>0</v>
      </c>
      <c r="AM126" s="126">
        <v>0</v>
      </c>
      <c r="AN126" s="126">
        <v>0</v>
      </c>
      <c r="AO126" s="126">
        <v>0</v>
      </c>
      <c r="AP126" s="126">
        <v>190252.41</v>
      </c>
      <c r="AQ126" s="126">
        <v>0</v>
      </c>
      <c r="AR126" s="126">
        <v>0</v>
      </c>
      <c r="AS126" s="126">
        <v>0</v>
      </c>
      <c r="AT126" s="126">
        <v>0</v>
      </c>
      <c r="AU126" s="126">
        <v>0</v>
      </c>
      <c r="AV126" s="126">
        <v>0</v>
      </c>
      <c r="AW126" s="135">
        <v>507863.58783967909</v>
      </c>
      <c r="AX126" s="136">
        <v>229824.86718071604</v>
      </c>
      <c r="AY126" s="136">
        <v>21360.491529603001</v>
      </c>
      <c r="AZ126" s="126">
        <v>0</v>
      </c>
      <c r="BA126" s="126">
        <v>6454.9992080951415</v>
      </c>
      <c r="BB126" s="126">
        <v>0</v>
      </c>
      <c r="BC126" s="126">
        <v>242036.34</v>
      </c>
      <c r="BD126" s="126">
        <v>1432.6483383079958</v>
      </c>
      <c r="BE126" s="126">
        <v>0</v>
      </c>
      <c r="BF126" s="126">
        <v>1877.2161258539281</v>
      </c>
      <c r="BG126" s="126">
        <v>939.87859969852911</v>
      </c>
      <c r="BH126" s="126">
        <v>3937.1468574045011</v>
      </c>
      <c r="BI126" s="137">
        <v>497545.68461600656</v>
      </c>
      <c r="BJ126" s="126">
        <v>3523.8768436174319</v>
      </c>
      <c r="BK126" s="126">
        <v>5014.2691840779853</v>
      </c>
      <c r="BL126" s="126">
        <v>5379.1005189077523</v>
      </c>
      <c r="BM126" s="126">
        <v>5330.8314895004187</v>
      </c>
      <c r="BN126" s="126">
        <v>89665.074812638864</v>
      </c>
      <c r="BO126" s="126">
        <v>51477.359817981989</v>
      </c>
      <c r="BP126" s="126">
        <v>42233.173885851007</v>
      </c>
      <c r="BQ126" s="126">
        <v>229138.61946007505</v>
      </c>
      <c r="BR126" s="126">
        <v>8551.2971035952451</v>
      </c>
      <c r="BS126" s="126">
        <v>9494.5741159237132</v>
      </c>
      <c r="BT126" s="126">
        <v>47367.897072785941</v>
      </c>
      <c r="BU126" s="126">
        <v>0</v>
      </c>
      <c r="BV126" s="126">
        <v>369.61031105116899</v>
      </c>
      <c r="BW126" s="126">
        <v>57180.442124172238</v>
      </c>
      <c r="BX126" s="126">
        <v>202861.33086372697</v>
      </c>
      <c r="BY126" s="126">
        <v>178405.24974573281</v>
      </c>
      <c r="BZ126" s="126">
        <v>0</v>
      </c>
      <c r="CA126" s="137">
        <v>0</v>
      </c>
      <c r="CB126" s="126">
        <v>0</v>
      </c>
      <c r="CC126" s="126">
        <v>0</v>
      </c>
      <c r="CD126" s="126">
        <v>0</v>
      </c>
      <c r="CE126" s="126">
        <v>0</v>
      </c>
      <c r="CF126" s="126">
        <v>0</v>
      </c>
      <c r="CG126" s="137">
        <v>49609.642264360344</v>
      </c>
      <c r="CH126" s="126">
        <v>11829.995999999999</v>
      </c>
      <c r="CI126" s="126">
        <v>37779.646264360345</v>
      </c>
      <c r="CJ126" s="120"/>
      <c r="CK126" s="138">
        <v>1882738.4714038209</v>
      </c>
      <c r="CL126" s="139">
        <v>47.046350000595247</v>
      </c>
      <c r="CM126" s="140">
        <v>1189395.95</v>
      </c>
      <c r="CN126" s="125">
        <v>2040.97</v>
      </c>
      <c r="CO126" s="125">
        <v>2040.97</v>
      </c>
      <c r="CP126" s="125">
        <v>0</v>
      </c>
      <c r="CQ126" s="125">
        <v>7963.1</v>
      </c>
      <c r="CR126" s="125">
        <v>4317.7300000000005</v>
      </c>
      <c r="CS126" s="125">
        <v>18044.57</v>
      </c>
      <c r="CT126" s="125">
        <v>0</v>
      </c>
      <c r="CU126" s="141">
        <v>3546.2168674698792</v>
      </c>
      <c r="CV126" s="142">
        <v>-689796.304536351</v>
      </c>
      <c r="CW126" s="143">
        <v>0</v>
      </c>
      <c r="CX126" s="140">
        <v>1132368.5</v>
      </c>
      <c r="CY126" s="140">
        <v>534324.29</v>
      </c>
    </row>
    <row r="127" spans="1:103" ht="12" customHeight="1" x14ac:dyDescent="0.25">
      <c r="A127" s="122">
        <v>123</v>
      </c>
      <c r="B127" s="123" t="s">
        <v>173</v>
      </c>
      <c r="C127" s="124">
        <v>3185.2</v>
      </c>
      <c r="D127" s="125">
        <v>3185.2</v>
      </c>
      <c r="E127" s="125">
        <v>0</v>
      </c>
      <c r="F127" s="125">
        <v>255.5</v>
      </c>
      <c r="G127" s="124">
        <v>3185.2</v>
      </c>
      <c r="H127" s="124"/>
      <c r="I127" s="126">
        <v>0</v>
      </c>
      <c r="J127" s="126">
        <v>0</v>
      </c>
      <c r="K127" s="127">
        <v>0</v>
      </c>
      <c r="L127" s="127">
        <v>0</v>
      </c>
      <c r="M127" s="127"/>
      <c r="N127" s="127"/>
      <c r="O127" s="128" t="s">
        <v>1489</v>
      </c>
      <c r="P127" s="129" t="s">
        <v>1493</v>
      </c>
      <c r="Q127" s="130">
        <v>6.92</v>
      </c>
      <c r="R127" s="130">
        <v>3.15</v>
      </c>
      <c r="S127" s="130">
        <v>0</v>
      </c>
      <c r="T127" s="38">
        <v>0.26</v>
      </c>
      <c r="U127" s="131">
        <v>31</v>
      </c>
      <c r="V127" s="144">
        <v>4</v>
      </c>
      <c r="W127" s="132">
        <v>9.638554216867469E-3</v>
      </c>
      <c r="X127" s="133">
        <v>66341.002443849808</v>
      </c>
      <c r="Y127" s="134">
        <v>6347.83</v>
      </c>
      <c r="Z127" s="134">
        <v>6812.4699141908959</v>
      </c>
      <c r="AA127" s="134">
        <v>2004.3040005200221</v>
      </c>
      <c r="AB127" s="134">
        <v>1382.0685291388822</v>
      </c>
      <c r="AC127" s="126">
        <v>49794.33</v>
      </c>
      <c r="AD127" s="126">
        <v>0</v>
      </c>
      <c r="AE127" s="126">
        <v>0</v>
      </c>
      <c r="AF127" s="126">
        <v>0</v>
      </c>
      <c r="AG127" s="126">
        <v>0</v>
      </c>
      <c r="AH127" s="126">
        <v>0</v>
      </c>
      <c r="AI127" s="126">
        <v>0</v>
      </c>
      <c r="AJ127" s="126">
        <v>0</v>
      </c>
      <c r="AK127" s="126">
        <v>0</v>
      </c>
      <c r="AL127" s="126">
        <v>0</v>
      </c>
      <c r="AM127" s="126">
        <v>0</v>
      </c>
      <c r="AN127" s="126">
        <v>0</v>
      </c>
      <c r="AO127" s="126">
        <v>0</v>
      </c>
      <c r="AP127" s="126">
        <v>0</v>
      </c>
      <c r="AQ127" s="126">
        <v>0</v>
      </c>
      <c r="AR127" s="126">
        <v>0</v>
      </c>
      <c r="AS127" s="126">
        <v>0</v>
      </c>
      <c r="AT127" s="126">
        <v>0</v>
      </c>
      <c r="AU127" s="126">
        <v>0</v>
      </c>
      <c r="AV127" s="126">
        <v>0</v>
      </c>
      <c r="AW127" s="135">
        <v>473027.65850506647</v>
      </c>
      <c r="AX127" s="136">
        <v>219508.28119104521</v>
      </c>
      <c r="AY127" s="136">
        <v>20401.642514045841</v>
      </c>
      <c r="AZ127" s="126">
        <v>0</v>
      </c>
      <c r="BA127" s="126">
        <v>6165.2413798388689</v>
      </c>
      <c r="BB127" s="126">
        <v>0</v>
      </c>
      <c r="BC127" s="126">
        <v>219133.10400000002</v>
      </c>
      <c r="BD127" s="126">
        <v>1368.3383271398327</v>
      </c>
      <c r="BE127" s="126">
        <v>0</v>
      </c>
      <c r="BF127" s="126">
        <v>1792.9499547422506</v>
      </c>
      <c r="BG127" s="126">
        <v>897.68848114178968</v>
      </c>
      <c r="BH127" s="126">
        <v>3760.4126571126017</v>
      </c>
      <c r="BI127" s="137">
        <v>475211.40503130644</v>
      </c>
      <c r="BJ127" s="126">
        <v>3365.6938805632085</v>
      </c>
      <c r="BK127" s="126">
        <v>4789.1841449894146</v>
      </c>
      <c r="BL127" s="126">
        <v>5137.6386017046898</v>
      </c>
      <c r="BM127" s="126">
        <v>5091.5363160384813</v>
      </c>
      <c r="BN127" s="126">
        <v>85640.108037187703</v>
      </c>
      <c r="BO127" s="126">
        <v>49166.597646776885</v>
      </c>
      <c r="BP127" s="126">
        <v>40337.373073019466</v>
      </c>
      <c r="BQ127" s="126">
        <v>218852.83837723199</v>
      </c>
      <c r="BR127" s="126">
        <v>8167.4387640923478</v>
      </c>
      <c r="BS127" s="126">
        <v>9068.3731068518427</v>
      </c>
      <c r="BT127" s="126">
        <v>45241.604172910062</v>
      </c>
      <c r="BU127" s="126">
        <v>0</v>
      </c>
      <c r="BV127" s="126">
        <v>353.01890994038303</v>
      </c>
      <c r="BW127" s="126">
        <v>54613.67484899499</v>
      </c>
      <c r="BX127" s="126">
        <v>193755.10841918588</v>
      </c>
      <c r="BY127" s="126">
        <v>170396.83393508292</v>
      </c>
      <c r="BZ127" s="126">
        <v>0</v>
      </c>
      <c r="CA127" s="137">
        <v>0</v>
      </c>
      <c r="CB127" s="126">
        <v>0</v>
      </c>
      <c r="CC127" s="126">
        <v>0</v>
      </c>
      <c r="CD127" s="126">
        <v>0</v>
      </c>
      <c r="CE127" s="126">
        <v>0</v>
      </c>
      <c r="CF127" s="126">
        <v>0</v>
      </c>
      <c r="CG127" s="137">
        <v>49603.763417445974</v>
      </c>
      <c r="CH127" s="126">
        <v>13520.003999999999</v>
      </c>
      <c r="CI127" s="126">
        <v>36083.759417445974</v>
      </c>
      <c r="CJ127" s="120"/>
      <c r="CK127" s="138">
        <v>1482949.4466009326</v>
      </c>
      <c r="CL127" s="139">
        <v>38.797915531231233</v>
      </c>
      <c r="CM127" s="140">
        <v>1135970.04</v>
      </c>
      <c r="CN127" s="125">
        <v>1594.44</v>
      </c>
      <c r="CO127" s="125">
        <v>1594.44</v>
      </c>
      <c r="CP127" s="125">
        <v>0</v>
      </c>
      <c r="CQ127" s="125">
        <v>6219.9600000000009</v>
      </c>
      <c r="CR127" s="125">
        <v>3372.22</v>
      </c>
      <c r="CS127" s="125">
        <v>14093.030000000002</v>
      </c>
      <c r="CT127" s="125">
        <v>0</v>
      </c>
      <c r="CU127" s="141">
        <v>3546.2168674698792</v>
      </c>
      <c r="CV127" s="142">
        <v>-343433.18973346264</v>
      </c>
      <c r="CW127" s="143">
        <v>0</v>
      </c>
      <c r="CX127" s="140">
        <v>1157197.82</v>
      </c>
      <c r="CY127" s="140">
        <v>638545.22</v>
      </c>
    </row>
    <row r="128" spans="1:103" ht="12" customHeight="1" x14ac:dyDescent="0.25">
      <c r="A128" s="122">
        <v>124</v>
      </c>
      <c r="B128" s="123" t="s">
        <v>174</v>
      </c>
      <c r="C128" s="124">
        <v>6130.9800000000005</v>
      </c>
      <c r="D128" s="125">
        <v>5060.8</v>
      </c>
      <c r="E128" s="125">
        <v>1070.18</v>
      </c>
      <c r="F128" s="125">
        <v>1137.2</v>
      </c>
      <c r="G128" s="124">
        <v>6130.9800000000005</v>
      </c>
      <c r="H128" s="124">
        <v>6130.9800000000005</v>
      </c>
      <c r="I128" s="126">
        <v>1</v>
      </c>
      <c r="J128" s="126">
        <v>1</v>
      </c>
      <c r="K128" s="127">
        <v>4.5682306241727954E-3</v>
      </c>
      <c r="L128" s="127">
        <v>6.5019421344858367E-3</v>
      </c>
      <c r="M128" s="127"/>
      <c r="N128" s="127"/>
      <c r="O128" s="128" t="s">
        <v>1489</v>
      </c>
      <c r="P128" s="129" t="s">
        <v>1493</v>
      </c>
      <c r="Q128" s="130">
        <v>6.91</v>
      </c>
      <c r="R128" s="130">
        <v>3.15</v>
      </c>
      <c r="S128" s="130">
        <v>1.81</v>
      </c>
      <c r="T128" s="38">
        <v>0</v>
      </c>
      <c r="U128" s="131">
        <v>44.8</v>
      </c>
      <c r="V128" s="144">
        <v>1</v>
      </c>
      <c r="W128" s="132">
        <v>2.4096385542168672E-3</v>
      </c>
      <c r="X128" s="133">
        <v>210150.04467235785</v>
      </c>
      <c r="Y128" s="134">
        <v>132897.25</v>
      </c>
      <c r="Z128" s="134">
        <v>13112.871026782024</v>
      </c>
      <c r="AA128" s="134">
        <v>3857.9516956888883</v>
      </c>
      <c r="AB128" s="134">
        <v>2660.2519498869474</v>
      </c>
      <c r="AC128" s="126">
        <v>0</v>
      </c>
      <c r="AD128" s="126">
        <v>48027.72</v>
      </c>
      <c r="AE128" s="126">
        <v>0</v>
      </c>
      <c r="AF128" s="126">
        <v>0</v>
      </c>
      <c r="AG128" s="126">
        <v>0</v>
      </c>
      <c r="AH128" s="126">
        <v>0</v>
      </c>
      <c r="AI128" s="126">
        <v>0</v>
      </c>
      <c r="AJ128" s="126">
        <v>0</v>
      </c>
      <c r="AK128" s="126">
        <v>0</v>
      </c>
      <c r="AL128" s="126">
        <v>0</v>
      </c>
      <c r="AM128" s="126">
        <v>0</v>
      </c>
      <c r="AN128" s="126">
        <v>0</v>
      </c>
      <c r="AO128" s="126">
        <v>0</v>
      </c>
      <c r="AP128" s="126">
        <v>0</v>
      </c>
      <c r="AQ128" s="126">
        <v>0</v>
      </c>
      <c r="AR128" s="126">
        <v>0</v>
      </c>
      <c r="AS128" s="126">
        <v>9594</v>
      </c>
      <c r="AT128" s="126">
        <v>0</v>
      </c>
      <c r="AU128" s="126">
        <v>0</v>
      </c>
      <c r="AV128" s="126">
        <v>0</v>
      </c>
      <c r="AW128" s="135">
        <v>488704.77074578428</v>
      </c>
      <c r="AX128" s="136">
        <v>422516.9163056243</v>
      </c>
      <c r="AY128" s="136">
        <v>39269.767116904681</v>
      </c>
      <c r="AZ128" s="126">
        <v>0</v>
      </c>
      <c r="BA128" s="126">
        <v>11867.063793471216</v>
      </c>
      <c r="BB128" s="126">
        <v>0</v>
      </c>
      <c r="BC128" s="126">
        <v>0</v>
      </c>
      <c r="BD128" s="126">
        <v>2633.8235956699023</v>
      </c>
      <c r="BE128" s="126">
        <v>0</v>
      </c>
      <c r="BF128" s="126">
        <v>3451.1303257332802</v>
      </c>
      <c r="BG128" s="126">
        <v>1727.9009557047252</v>
      </c>
      <c r="BH128" s="126">
        <v>7238.1686526761969</v>
      </c>
      <c r="BI128" s="137">
        <v>914702.882085533</v>
      </c>
      <c r="BJ128" s="126">
        <v>6478.4006868816468</v>
      </c>
      <c r="BK128" s="126">
        <v>9218.3825848446577</v>
      </c>
      <c r="BL128" s="126">
        <v>9889.0994330903632</v>
      </c>
      <c r="BM128" s="126">
        <v>9800.3602043531373</v>
      </c>
      <c r="BN128" s="126">
        <v>164842.95792221435</v>
      </c>
      <c r="BO128" s="126">
        <v>94637.519414930357</v>
      </c>
      <c r="BP128" s="126">
        <v>77642.731245517047</v>
      </c>
      <c r="BQ128" s="126">
        <v>421255.29795116227</v>
      </c>
      <c r="BR128" s="126">
        <v>15720.960603376525</v>
      </c>
      <c r="BS128" s="126">
        <v>17455.10930260157</v>
      </c>
      <c r="BT128" s="126">
        <v>87082.560075357338</v>
      </c>
      <c r="BU128" s="126">
        <v>0</v>
      </c>
      <c r="BV128" s="126">
        <v>679.50266120378308</v>
      </c>
      <c r="BW128" s="126">
        <v>105122.23666510466</v>
      </c>
      <c r="BX128" s="126">
        <v>372946.34390803101</v>
      </c>
      <c r="BY128" s="126">
        <v>327985.55221628625</v>
      </c>
      <c r="BZ128" s="126">
        <v>62439.90998885288</v>
      </c>
      <c r="CA128" s="137">
        <v>203008.42416582108</v>
      </c>
      <c r="CB128" s="126">
        <v>7106.3759999999993</v>
      </c>
      <c r="CC128" s="126">
        <v>194363.59905968016</v>
      </c>
      <c r="CD128" s="126">
        <v>0</v>
      </c>
      <c r="CE128" s="126">
        <v>0</v>
      </c>
      <c r="CF128" s="126">
        <v>1538.4491061409497</v>
      </c>
      <c r="CG128" s="137">
        <v>0</v>
      </c>
      <c r="CH128" s="126">
        <v>0</v>
      </c>
      <c r="CI128" s="126">
        <v>0</v>
      </c>
      <c r="CJ128" s="120"/>
      <c r="CK128" s="138">
        <v>2685060.1644477709</v>
      </c>
      <c r="CL128" s="139">
        <v>36.495798992001426</v>
      </c>
      <c r="CM128" s="140">
        <v>2606913.71</v>
      </c>
      <c r="CN128" s="125">
        <v>3152.34</v>
      </c>
      <c r="CO128" s="125">
        <v>3152.34</v>
      </c>
      <c r="CP128" s="125">
        <v>0</v>
      </c>
      <c r="CQ128" s="125">
        <v>12288.99</v>
      </c>
      <c r="CR128" s="125">
        <v>6670.92</v>
      </c>
      <c r="CS128" s="125">
        <v>183675.83</v>
      </c>
      <c r="CT128" s="125">
        <v>260812.48120496768</v>
      </c>
      <c r="CU128" s="141">
        <v>886.55421686746979</v>
      </c>
      <c r="CV128" s="142">
        <v>183552.58097406384</v>
      </c>
      <c r="CW128" s="143">
        <v>-2.9104172592662625E-2</v>
      </c>
      <c r="CX128" s="140">
        <v>2646360.29</v>
      </c>
      <c r="CY128" s="140">
        <v>188442.02</v>
      </c>
    </row>
    <row r="129" spans="1:103" ht="12" customHeight="1" x14ac:dyDescent="0.25">
      <c r="A129" s="122">
        <v>125</v>
      </c>
      <c r="B129" s="123" t="s">
        <v>175</v>
      </c>
      <c r="C129" s="124">
        <v>3498.95</v>
      </c>
      <c r="D129" s="125">
        <v>3498.95</v>
      </c>
      <c r="E129" s="125">
        <v>0</v>
      </c>
      <c r="F129" s="125">
        <v>384</v>
      </c>
      <c r="G129" s="124">
        <v>3498.95</v>
      </c>
      <c r="H129" s="124"/>
      <c r="I129" s="126">
        <v>0</v>
      </c>
      <c r="J129" s="126">
        <v>0</v>
      </c>
      <c r="K129" s="127">
        <v>0</v>
      </c>
      <c r="L129" s="127">
        <v>0</v>
      </c>
      <c r="M129" s="127"/>
      <c r="N129" s="127"/>
      <c r="O129" s="128" t="s">
        <v>1488</v>
      </c>
      <c r="P129" s="129" t="s">
        <v>1493</v>
      </c>
      <c r="Q129" s="130">
        <v>6.92</v>
      </c>
      <c r="R129" s="130">
        <v>3.15</v>
      </c>
      <c r="S129" s="130">
        <v>0</v>
      </c>
      <c r="T129" s="38">
        <v>0.26</v>
      </c>
      <c r="U129" s="131">
        <v>31</v>
      </c>
      <c r="V129" s="144">
        <v>0</v>
      </c>
      <c r="W129" s="132">
        <v>0</v>
      </c>
      <c r="X129" s="133">
        <v>187287.09339975769</v>
      </c>
      <c r="Y129" s="134">
        <v>47305.19</v>
      </c>
      <c r="Z129" s="134">
        <v>7483.514883290919</v>
      </c>
      <c r="AA129" s="134">
        <v>2201.7328527626305</v>
      </c>
      <c r="AB129" s="134">
        <v>1518.2056637041603</v>
      </c>
      <c r="AC129" s="126">
        <v>0</v>
      </c>
      <c r="AD129" s="126">
        <v>0</v>
      </c>
      <c r="AE129" s="126">
        <v>0</v>
      </c>
      <c r="AF129" s="126">
        <v>0</v>
      </c>
      <c r="AG129" s="126">
        <v>0</v>
      </c>
      <c r="AH129" s="126">
        <v>0</v>
      </c>
      <c r="AI129" s="126">
        <v>0</v>
      </c>
      <c r="AJ129" s="126">
        <v>0</v>
      </c>
      <c r="AK129" s="126">
        <v>0</v>
      </c>
      <c r="AL129" s="126">
        <v>0</v>
      </c>
      <c r="AM129" s="126">
        <v>0</v>
      </c>
      <c r="AN129" s="126">
        <v>0</v>
      </c>
      <c r="AO129" s="126">
        <v>0</v>
      </c>
      <c r="AP129" s="126">
        <v>128778.45</v>
      </c>
      <c r="AQ129" s="126">
        <v>0</v>
      </c>
      <c r="AR129" s="126">
        <v>0</v>
      </c>
      <c r="AS129" s="126">
        <v>0</v>
      </c>
      <c r="AT129" s="126">
        <v>0</v>
      </c>
      <c r="AU129" s="126">
        <v>0</v>
      </c>
      <c r="AV129" s="126">
        <v>0</v>
      </c>
      <c r="AW129" s="135">
        <v>390652.55711400061</v>
      </c>
      <c r="AX129" s="136">
        <v>241130.38442590972</v>
      </c>
      <c r="AY129" s="136">
        <v>22411.254261748301</v>
      </c>
      <c r="AZ129" s="126">
        <v>0</v>
      </c>
      <c r="BA129" s="126">
        <v>0</v>
      </c>
      <c r="BB129" s="126">
        <v>0</v>
      </c>
      <c r="BC129" s="126">
        <v>118521.29999999999</v>
      </c>
      <c r="BD129" s="126">
        <v>1503.1230031853315</v>
      </c>
      <c r="BE129" s="126">
        <v>0</v>
      </c>
      <c r="BF129" s="126">
        <v>1969.5599159065043</v>
      </c>
      <c r="BG129" s="126">
        <v>986.11299481698643</v>
      </c>
      <c r="BH129" s="126">
        <v>4130.8225124337996</v>
      </c>
      <c r="BI129" s="137">
        <v>522020.89213684853</v>
      </c>
      <c r="BJ129" s="126">
        <v>3697.2229697967596</v>
      </c>
      <c r="BK129" s="126">
        <v>5260.9305111486601</v>
      </c>
      <c r="BL129" s="126">
        <v>5643.7085851546608</v>
      </c>
      <c r="BM129" s="126">
        <v>5593.0651114538632</v>
      </c>
      <c r="BN129" s="126">
        <v>94075.868396558435</v>
      </c>
      <c r="BO129" s="126">
        <v>54009.627915418176</v>
      </c>
      <c r="BP129" s="126">
        <v>44310.703099912549</v>
      </c>
      <c r="BQ129" s="126">
        <v>240410.37888987063</v>
      </c>
      <c r="BR129" s="126">
        <v>8971.9514829903674</v>
      </c>
      <c r="BS129" s="126">
        <v>9961.6300647429543</v>
      </c>
      <c r="BT129" s="126">
        <v>49698.012972750119</v>
      </c>
      <c r="BU129" s="126">
        <v>0</v>
      </c>
      <c r="BV129" s="126">
        <v>387.79213705133213</v>
      </c>
      <c r="BW129" s="126">
        <v>59993.255560998063</v>
      </c>
      <c r="BX129" s="126">
        <v>212840.46107098783</v>
      </c>
      <c r="BY129" s="126">
        <v>187181.33934985509</v>
      </c>
      <c r="BZ129" s="126">
        <v>0</v>
      </c>
      <c r="CA129" s="137">
        <v>0</v>
      </c>
      <c r="CB129" s="126">
        <v>0</v>
      </c>
      <c r="CC129" s="126">
        <v>0</v>
      </c>
      <c r="CD129" s="126">
        <v>0</v>
      </c>
      <c r="CE129" s="126">
        <v>0</v>
      </c>
      <c r="CF129" s="126">
        <v>0</v>
      </c>
      <c r="CG129" s="137">
        <v>53158.102082906124</v>
      </c>
      <c r="CH129" s="126">
        <v>13520.003999999999</v>
      </c>
      <c r="CI129" s="126">
        <v>39638.098082906123</v>
      </c>
      <c r="CJ129" s="120"/>
      <c r="CK129" s="138">
        <v>1613133.7007153539</v>
      </c>
      <c r="CL129" s="139">
        <v>38.419471096456412</v>
      </c>
      <c r="CM129" s="140">
        <v>1245869.3799999999</v>
      </c>
      <c r="CN129" s="125">
        <v>2395.91</v>
      </c>
      <c r="CO129" s="125">
        <v>2395.91</v>
      </c>
      <c r="CP129" s="125">
        <v>0</v>
      </c>
      <c r="CQ129" s="125">
        <v>9347.14</v>
      </c>
      <c r="CR129" s="125">
        <v>5067.7700000000004</v>
      </c>
      <c r="CS129" s="125">
        <v>21160.14</v>
      </c>
      <c r="CT129" s="125">
        <v>0</v>
      </c>
      <c r="CU129" s="141">
        <v>0</v>
      </c>
      <c r="CV129" s="142">
        <v>-367264.32071535406</v>
      </c>
      <c r="CW129" s="143">
        <v>0</v>
      </c>
      <c r="CX129" s="140">
        <v>1197432.7400000002</v>
      </c>
      <c r="CY129" s="140">
        <v>568226.43000000005</v>
      </c>
    </row>
    <row r="130" spans="1:103" ht="12" customHeight="1" x14ac:dyDescent="0.25">
      <c r="A130" s="122">
        <v>126</v>
      </c>
      <c r="B130" s="123" t="s">
        <v>176</v>
      </c>
      <c r="C130" s="124">
        <v>3162.6</v>
      </c>
      <c r="D130" s="125">
        <v>3162.6</v>
      </c>
      <c r="E130" s="125">
        <v>0</v>
      </c>
      <c r="F130" s="125">
        <v>297.60000000000002</v>
      </c>
      <c r="G130" s="124">
        <v>3162.6</v>
      </c>
      <c r="H130" s="124"/>
      <c r="I130" s="126">
        <v>0</v>
      </c>
      <c r="J130" s="126">
        <v>0</v>
      </c>
      <c r="K130" s="127">
        <v>0</v>
      </c>
      <c r="L130" s="127">
        <v>0</v>
      </c>
      <c r="M130" s="127"/>
      <c r="N130" s="127"/>
      <c r="O130" s="128" t="s">
        <v>1488</v>
      </c>
      <c r="P130" s="129" t="s">
        <v>1493</v>
      </c>
      <c r="Q130" s="130">
        <v>6.92</v>
      </c>
      <c r="R130" s="130">
        <v>3.15</v>
      </c>
      <c r="S130" s="130">
        <v>0</v>
      </c>
      <c r="T130" s="38">
        <v>0.26</v>
      </c>
      <c r="U130" s="131">
        <v>31</v>
      </c>
      <c r="V130" s="144">
        <v>4</v>
      </c>
      <c r="W130" s="132">
        <v>9.638554216867469E-3</v>
      </c>
      <c r="X130" s="133">
        <v>180854.28843555175</v>
      </c>
      <c r="Y130" s="134">
        <v>128034.09</v>
      </c>
      <c r="Z130" s="134">
        <v>6764.1332885282327</v>
      </c>
      <c r="AA130" s="134">
        <v>1990.0828306054948</v>
      </c>
      <c r="AB130" s="134">
        <v>1372.2623164180047</v>
      </c>
      <c r="AC130" s="126">
        <v>42693.72</v>
      </c>
      <c r="AD130" s="126">
        <v>0</v>
      </c>
      <c r="AE130" s="126">
        <v>0</v>
      </c>
      <c r="AF130" s="126">
        <v>0</v>
      </c>
      <c r="AG130" s="126">
        <v>0</v>
      </c>
      <c r="AH130" s="126">
        <v>0</v>
      </c>
      <c r="AI130" s="126">
        <v>0</v>
      </c>
      <c r="AJ130" s="126">
        <v>0</v>
      </c>
      <c r="AK130" s="126">
        <v>0</v>
      </c>
      <c r="AL130" s="126">
        <v>0</v>
      </c>
      <c r="AM130" s="126">
        <v>0</v>
      </c>
      <c r="AN130" s="126">
        <v>0</v>
      </c>
      <c r="AO130" s="126">
        <v>0</v>
      </c>
      <c r="AP130" s="126">
        <v>0</v>
      </c>
      <c r="AQ130" s="126">
        <v>0</v>
      </c>
      <c r="AR130" s="126">
        <v>0</v>
      </c>
      <c r="AS130" s="126">
        <v>0</v>
      </c>
      <c r="AT130" s="126">
        <v>0</v>
      </c>
      <c r="AU130" s="126">
        <v>0</v>
      </c>
      <c r="AV130" s="126">
        <v>0</v>
      </c>
      <c r="AW130" s="135">
        <v>486169.78740683297</v>
      </c>
      <c r="AX130" s="136">
        <v>217950.80060743424</v>
      </c>
      <c r="AY130" s="136">
        <v>20256.886416840818</v>
      </c>
      <c r="AZ130" s="126">
        <v>0</v>
      </c>
      <c r="BA130" s="126">
        <v>0</v>
      </c>
      <c r="BB130" s="126">
        <v>0</v>
      </c>
      <c r="BC130" s="126">
        <v>240198.19199999998</v>
      </c>
      <c r="BD130" s="126">
        <v>1358.629534538627</v>
      </c>
      <c r="BE130" s="126">
        <v>0</v>
      </c>
      <c r="BF130" s="126">
        <v>1780.228408535678</v>
      </c>
      <c r="BG130" s="126">
        <v>891.3190978459827</v>
      </c>
      <c r="BH130" s="126">
        <v>3733.7313416376728</v>
      </c>
      <c r="BI130" s="137">
        <v>471839.63002386352</v>
      </c>
      <c r="BJ130" s="126">
        <v>3341.8132194741943</v>
      </c>
      <c r="BK130" s="126">
        <v>4755.203370885195</v>
      </c>
      <c r="BL130" s="126">
        <v>5101.185433175704</v>
      </c>
      <c r="BM130" s="126">
        <v>5055.4102577870472</v>
      </c>
      <c r="BN130" s="126">
        <v>85032.464422456935</v>
      </c>
      <c r="BO130" s="126">
        <v>48817.745107904237</v>
      </c>
      <c r="BP130" s="126">
        <v>40051.166671082305</v>
      </c>
      <c r="BQ130" s="126">
        <v>217300.00836739733</v>
      </c>
      <c r="BR130" s="126">
        <v>8109.4882064920439</v>
      </c>
      <c r="BS130" s="126">
        <v>9004.0301355423962</v>
      </c>
      <c r="BT130" s="126">
        <v>44920.600702387725</v>
      </c>
      <c r="BU130" s="126">
        <v>0</v>
      </c>
      <c r="BV130" s="126">
        <v>350.51412927836725</v>
      </c>
      <c r="BW130" s="126">
        <v>54226.173576990943</v>
      </c>
      <c r="BX130" s="126">
        <v>192380.35473016367</v>
      </c>
      <c r="BY130" s="126">
        <v>169187.81458090333</v>
      </c>
      <c r="BZ130" s="126">
        <v>0</v>
      </c>
      <c r="CA130" s="137">
        <v>0</v>
      </c>
      <c r="CB130" s="126">
        <v>0</v>
      </c>
      <c r="CC130" s="126">
        <v>0</v>
      </c>
      <c r="CD130" s="126">
        <v>0</v>
      </c>
      <c r="CE130" s="126">
        <v>0</v>
      </c>
      <c r="CF130" s="126">
        <v>0</v>
      </c>
      <c r="CG130" s="137">
        <v>49347.737747838328</v>
      </c>
      <c r="CH130" s="126">
        <v>13520.003999999999</v>
      </c>
      <c r="CI130" s="126">
        <v>35827.733747838327</v>
      </c>
      <c r="CJ130" s="120"/>
      <c r="CK130" s="138">
        <v>1604005.7865021445</v>
      </c>
      <c r="CL130" s="139">
        <v>42.264955693157127</v>
      </c>
      <c r="CM130" s="140">
        <v>1128632.23</v>
      </c>
      <c r="CN130" s="125">
        <v>1857.6799999999998</v>
      </c>
      <c r="CO130" s="125">
        <v>1857.6799999999998</v>
      </c>
      <c r="CP130" s="125">
        <v>0</v>
      </c>
      <c r="CQ130" s="125">
        <v>7247.45</v>
      </c>
      <c r="CR130" s="125">
        <v>3930.25</v>
      </c>
      <c r="CS130" s="125">
        <v>16422.690000000002</v>
      </c>
      <c r="CT130" s="125">
        <v>0</v>
      </c>
      <c r="CU130" s="141">
        <v>3546.2168674698792</v>
      </c>
      <c r="CV130" s="142">
        <v>-471827.3396346746</v>
      </c>
      <c r="CW130" s="143">
        <v>0</v>
      </c>
      <c r="CX130" s="140">
        <v>1072491.8699999999</v>
      </c>
      <c r="CY130" s="140">
        <v>560937.85</v>
      </c>
    </row>
    <row r="131" spans="1:103" ht="12" customHeight="1" x14ac:dyDescent="0.25">
      <c r="A131" s="122">
        <v>127</v>
      </c>
      <c r="B131" s="123" t="s">
        <v>177</v>
      </c>
      <c r="C131" s="124">
        <v>3544.3</v>
      </c>
      <c r="D131" s="125">
        <v>3544.3</v>
      </c>
      <c r="E131" s="125">
        <v>0</v>
      </c>
      <c r="F131" s="125">
        <v>310</v>
      </c>
      <c r="G131" s="124">
        <v>3544.3</v>
      </c>
      <c r="H131" s="124"/>
      <c r="I131" s="126">
        <v>0</v>
      </c>
      <c r="J131" s="126">
        <v>0</v>
      </c>
      <c r="K131" s="127">
        <v>0</v>
      </c>
      <c r="L131" s="127">
        <v>0</v>
      </c>
      <c r="M131" s="127"/>
      <c r="N131" s="127"/>
      <c r="O131" s="128" t="s">
        <v>1488</v>
      </c>
      <c r="P131" s="129" t="s">
        <v>1493</v>
      </c>
      <c r="Q131" s="130">
        <v>6.92</v>
      </c>
      <c r="R131" s="130">
        <v>3.15</v>
      </c>
      <c r="S131" s="130">
        <v>0</v>
      </c>
      <c r="T131" s="38">
        <v>0.26</v>
      </c>
      <c r="U131" s="131">
        <v>31</v>
      </c>
      <c r="V131" s="144">
        <v>4</v>
      </c>
      <c r="W131" s="132">
        <v>9.638554216867469E-3</v>
      </c>
      <c r="X131" s="133">
        <v>89964.571708444331</v>
      </c>
      <c r="Y131" s="134">
        <v>2296.67</v>
      </c>
      <c r="Z131" s="134">
        <v>7580.5089529281659</v>
      </c>
      <c r="AA131" s="134">
        <v>2230.2695808875783</v>
      </c>
      <c r="AB131" s="134">
        <v>1537.8831746285762</v>
      </c>
      <c r="AC131" s="126">
        <v>0</v>
      </c>
      <c r="AD131" s="126">
        <v>0</v>
      </c>
      <c r="AE131" s="126">
        <v>0</v>
      </c>
      <c r="AF131" s="126">
        <v>0</v>
      </c>
      <c r="AG131" s="126">
        <v>0</v>
      </c>
      <c r="AH131" s="126">
        <v>0</v>
      </c>
      <c r="AI131" s="126">
        <v>0</v>
      </c>
      <c r="AJ131" s="126">
        <v>0</v>
      </c>
      <c r="AK131" s="126">
        <v>0</v>
      </c>
      <c r="AL131" s="126">
        <v>0</v>
      </c>
      <c r="AM131" s="126">
        <v>0</v>
      </c>
      <c r="AN131" s="126">
        <v>0</v>
      </c>
      <c r="AO131" s="126">
        <v>0</v>
      </c>
      <c r="AP131" s="126">
        <v>76319.240000000005</v>
      </c>
      <c r="AQ131" s="126">
        <v>0</v>
      </c>
      <c r="AR131" s="126">
        <v>0</v>
      </c>
      <c r="AS131" s="126">
        <v>0</v>
      </c>
      <c r="AT131" s="126">
        <v>0</v>
      </c>
      <c r="AU131" s="126">
        <v>0</v>
      </c>
      <c r="AV131" s="126">
        <v>0</v>
      </c>
      <c r="AW131" s="135">
        <v>326988.75481883209</v>
      </c>
      <c r="AX131" s="136">
        <v>244255.68285364236</v>
      </c>
      <c r="AY131" s="136">
        <v>22701.727226715018</v>
      </c>
      <c r="AZ131" s="126">
        <v>0</v>
      </c>
      <c r="BA131" s="126">
        <v>0</v>
      </c>
      <c r="BB131" s="126">
        <v>0</v>
      </c>
      <c r="BC131" s="126">
        <v>51330.396000000001</v>
      </c>
      <c r="BD131" s="126">
        <v>1522.605027276689</v>
      </c>
      <c r="BE131" s="126">
        <v>0</v>
      </c>
      <c r="BF131" s="126">
        <v>1995.0874433608437</v>
      </c>
      <c r="BG131" s="126">
        <v>998.89403607649308</v>
      </c>
      <c r="BH131" s="126">
        <v>4184.3622317607042</v>
      </c>
      <c r="BI131" s="137">
        <v>528786.82118939469</v>
      </c>
      <c r="BJ131" s="126">
        <v>3745.1427919377688</v>
      </c>
      <c r="BK131" s="126">
        <v>5329.1175954684113</v>
      </c>
      <c r="BL131" s="126">
        <v>5716.8568680214539</v>
      </c>
      <c r="BM131" s="126">
        <v>5665.5570026796413</v>
      </c>
      <c r="BN131" s="126">
        <v>95295.188658861109</v>
      </c>
      <c r="BO131" s="126">
        <v>54709.6483861206</v>
      </c>
      <c r="BP131" s="126">
        <v>44885.015503799732</v>
      </c>
      <c r="BQ131" s="126">
        <v>243526.34530341061</v>
      </c>
      <c r="BR131" s="126">
        <v>9088.2372257856678</v>
      </c>
      <c r="BS131" s="126">
        <v>10090.74306248116</v>
      </c>
      <c r="BT131" s="126">
        <v>50342.150467802698</v>
      </c>
      <c r="BU131" s="126">
        <v>0</v>
      </c>
      <c r="BV131" s="126">
        <v>392.81832302577533</v>
      </c>
      <c r="BW131" s="126">
        <v>60770.830016103529</v>
      </c>
      <c r="BX131" s="126">
        <v>215599.09292041961</v>
      </c>
      <c r="BY131" s="126">
        <v>189607.40252295445</v>
      </c>
      <c r="BZ131" s="126">
        <v>0</v>
      </c>
      <c r="CA131" s="137">
        <v>0</v>
      </c>
      <c r="CB131" s="126">
        <v>0</v>
      </c>
      <c r="CC131" s="126">
        <v>0</v>
      </c>
      <c r="CD131" s="126">
        <v>0</v>
      </c>
      <c r="CE131" s="126">
        <v>0</v>
      </c>
      <c r="CF131" s="126">
        <v>0</v>
      </c>
      <c r="CG131" s="137">
        <v>53671.852707539176</v>
      </c>
      <c r="CH131" s="126">
        <v>13520.003999999999</v>
      </c>
      <c r="CI131" s="126">
        <v>40151.848707539175</v>
      </c>
      <c r="CJ131" s="120"/>
      <c r="CK131" s="138">
        <v>1465389.3258836879</v>
      </c>
      <c r="CL131" s="139">
        <v>34.454131184429649</v>
      </c>
      <c r="CM131" s="140">
        <v>1264038.8400000001</v>
      </c>
      <c r="CN131" s="125">
        <v>1940.3999999999999</v>
      </c>
      <c r="CO131" s="125">
        <v>1934.04</v>
      </c>
      <c r="CP131" s="125">
        <v>0</v>
      </c>
      <c r="CQ131" s="125">
        <v>7546.7999999999993</v>
      </c>
      <c r="CR131" s="125">
        <v>4090.7999999999997</v>
      </c>
      <c r="CS131" s="125">
        <v>17098.560000000001</v>
      </c>
      <c r="CT131" s="125">
        <v>0</v>
      </c>
      <c r="CU131" s="141">
        <v>3546.2168674698792</v>
      </c>
      <c r="CV131" s="142">
        <v>-197804.26901621791</v>
      </c>
      <c r="CW131" s="143">
        <v>0</v>
      </c>
      <c r="CX131" s="140">
        <v>1227102.1499999999</v>
      </c>
      <c r="CY131" s="140">
        <v>357921.76</v>
      </c>
    </row>
    <row r="132" spans="1:103" ht="12" customHeight="1" x14ac:dyDescent="0.25">
      <c r="A132" s="122">
        <v>128</v>
      </c>
      <c r="B132" s="123" t="s">
        <v>178</v>
      </c>
      <c r="C132" s="124">
        <v>3332.0000000000005</v>
      </c>
      <c r="D132" s="125">
        <v>3332.0000000000005</v>
      </c>
      <c r="E132" s="125">
        <v>0</v>
      </c>
      <c r="F132" s="125">
        <v>246</v>
      </c>
      <c r="G132" s="124">
        <v>3332.0000000000005</v>
      </c>
      <c r="H132" s="124"/>
      <c r="I132" s="126">
        <v>0</v>
      </c>
      <c r="J132" s="126">
        <v>0</v>
      </c>
      <c r="K132" s="127">
        <v>0</v>
      </c>
      <c r="L132" s="127">
        <v>0</v>
      </c>
      <c r="M132" s="127"/>
      <c r="N132" s="127"/>
      <c r="O132" s="128" t="s">
        <v>1489</v>
      </c>
      <c r="P132" s="129" t="s">
        <v>51</v>
      </c>
      <c r="Q132" s="130">
        <v>6.92</v>
      </c>
      <c r="R132" s="130">
        <v>3.15</v>
      </c>
      <c r="S132" s="130">
        <v>0</v>
      </c>
      <c r="T132" s="38">
        <v>0.26</v>
      </c>
      <c r="U132" s="131">
        <v>31</v>
      </c>
      <c r="V132" s="144">
        <v>4</v>
      </c>
      <c r="W132" s="132">
        <v>9.638554216867469E-3</v>
      </c>
      <c r="X132" s="133">
        <v>152553.21754731963</v>
      </c>
      <c r="Y132" s="134">
        <v>61270.25</v>
      </c>
      <c r="Z132" s="134">
        <v>10759.213346382987</v>
      </c>
      <c r="AA132" s="134">
        <v>2096.678679433855</v>
      </c>
      <c r="AB132" s="134">
        <v>1445.7655215028119</v>
      </c>
      <c r="AC132" s="126">
        <v>48686.6</v>
      </c>
      <c r="AD132" s="126">
        <v>28294.71</v>
      </c>
      <c r="AE132" s="126">
        <v>0</v>
      </c>
      <c r="AF132" s="126">
        <v>0</v>
      </c>
      <c r="AG132" s="126">
        <v>0</v>
      </c>
      <c r="AH132" s="126">
        <v>0</v>
      </c>
      <c r="AI132" s="126">
        <v>0</v>
      </c>
      <c r="AJ132" s="126">
        <v>0</v>
      </c>
      <c r="AK132" s="126">
        <v>0</v>
      </c>
      <c r="AL132" s="126">
        <v>0</v>
      </c>
      <c r="AM132" s="126">
        <v>0</v>
      </c>
      <c r="AN132" s="126">
        <v>0</v>
      </c>
      <c r="AO132" s="126">
        <v>0</v>
      </c>
      <c r="AP132" s="126">
        <v>0</v>
      </c>
      <c r="AQ132" s="126">
        <v>0</v>
      </c>
      <c r="AR132" s="126">
        <v>0</v>
      </c>
      <c r="AS132" s="126">
        <v>0</v>
      </c>
      <c r="AT132" s="126">
        <v>0</v>
      </c>
      <c r="AU132" s="126">
        <v>0</v>
      </c>
      <c r="AV132" s="126">
        <v>0</v>
      </c>
      <c r="AW132" s="135">
        <v>510682.43509239407</v>
      </c>
      <c r="AX132" s="136">
        <v>319631.11379014654</v>
      </c>
      <c r="AY132" s="136">
        <v>21341.916632174041</v>
      </c>
      <c r="AZ132" s="126">
        <v>0</v>
      </c>
      <c r="BA132" s="126">
        <v>6449.3859969933173</v>
      </c>
      <c r="BB132" s="126">
        <v>0</v>
      </c>
      <c r="BC132" s="126">
        <v>95030.652000000002</v>
      </c>
      <c r="BD132" s="126">
        <v>1431.4025197883723</v>
      </c>
      <c r="BE132" s="126">
        <v>60049.595999999998</v>
      </c>
      <c r="BF132" s="126">
        <v>1875.5837150575096</v>
      </c>
      <c r="BG132" s="126">
        <v>939.06128945260707</v>
      </c>
      <c r="BH132" s="126">
        <v>3933.7231487816125</v>
      </c>
      <c r="BI132" s="137">
        <v>497113.02322124626</v>
      </c>
      <c r="BJ132" s="126">
        <v>3520.8125109998155</v>
      </c>
      <c r="BK132" s="126">
        <v>5009.9088192593026</v>
      </c>
      <c r="BL132" s="126">
        <v>5374.422899937219</v>
      </c>
      <c r="BM132" s="126">
        <v>5326.195844857536</v>
      </c>
      <c r="BN132" s="126">
        <v>89587.102844376961</v>
      </c>
      <c r="BO132" s="126">
        <v>51432.595554144355</v>
      </c>
      <c r="BP132" s="126">
        <v>42196.448285602433</v>
      </c>
      <c r="BQ132" s="126">
        <v>228939.36251191044</v>
      </c>
      <c r="BR132" s="126">
        <v>8543.8609700978614</v>
      </c>
      <c r="BS132" s="126">
        <v>9486.3177169503779</v>
      </c>
      <c r="BT132" s="126">
        <v>47326.70636196671</v>
      </c>
      <c r="BU132" s="126">
        <v>0</v>
      </c>
      <c r="BV132" s="126">
        <v>369.28890114321121</v>
      </c>
      <c r="BW132" s="126">
        <v>57130.718509623053</v>
      </c>
      <c r="BX132" s="126">
        <v>202684.92441690553</v>
      </c>
      <c r="BY132" s="126">
        <v>178250.11009409031</v>
      </c>
      <c r="BZ132" s="126">
        <v>0</v>
      </c>
      <c r="CA132" s="137">
        <v>0</v>
      </c>
      <c r="CB132" s="126">
        <v>0</v>
      </c>
      <c r="CC132" s="126">
        <v>0</v>
      </c>
      <c r="CD132" s="126">
        <v>0</v>
      </c>
      <c r="CE132" s="126">
        <v>0</v>
      </c>
      <c r="CF132" s="126">
        <v>0</v>
      </c>
      <c r="CG132" s="137">
        <v>51266.797412950524</v>
      </c>
      <c r="CH132" s="126">
        <v>13520.003999999999</v>
      </c>
      <c r="CI132" s="126">
        <v>37746.793412950523</v>
      </c>
      <c r="CJ132" s="120"/>
      <c r="CK132" s="138">
        <v>1649681.2262945294</v>
      </c>
      <c r="CL132" s="139">
        <v>41.258534070991622</v>
      </c>
      <c r="CM132" s="140">
        <v>1188769.21</v>
      </c>
      <c r="CN132" s="125">
        <v>1535.04</v>
      </c>
      <c r="CO132" s="125">
        <v>1535.04</v>
      </c>
      <c r="CP132" s="125">
        <v>0</v>
      </c>
      <c r="CQ132" s="125">
        <v>5988.4800000000005</v>
      </c>
      <c r="CR132" s="125">
        <v>3246.6000000000004</v>
      </c>
      <c r="CS132" s="125">
        <v>13571.58</v>
      </c>
      <c r="CT132" s="125">
        <v>0</v>
      </c>
      <c r="CU132" s="141">
        <v>3546.2168674698792</v>
      </c>
      <c r="CV132" s="142">
        <v>-457365.79942705948</v>
      </c>
      <c r="CW132" s="143">
        <v>0</v>
      </c>
      <c r="CX132" s="140">
        <v>1104657.1300000001</v>
      </c>
      <c r="CY132" s="140">
        <v>342746.55</v>
      </c>
    </row>
    <row r="133" spans="1:103" ht="12" customHeight="1" x14ac:dyDescent="0.25">
      <c r="A133" s="122">
        <v>129</v>
      </c>
      <c r="B133" s="123" t="s">
        <v>179</v>
      </c>
      <c r="C133" s="124">
        <v>3359.2</v>
      </c>
      <c r="D133" s="125">
        <v>3359.2</v>
      </c>
      <c r="E133" s="125">
        <v>0</v>
      </c>
      <c r="F133" s="125">
        <v>382.8</v>
      </c>
      <c r="G133" s="124">
        <v>3359.2</v>
      </c>
      <c r="H133" s="124"/>
      <c r="I133" s="126">
        <v>0</v>
      </c>
      <c r="J133" s="126">
        <v>0</v>
      </c>
      <c r="K133" s="127">
        <v>0</v>
      </c>
      <c r="L133" s="127">
        <v>0</v>
      </c>
      <c r="M133" s="127"/>
      <c r="N133" s="127"/>
      <c r="O133" s="128" t="s">
        <v>1489</v>
      </c>
      <c r="P133" s="129" t="s">
        <v>51</v>
      </c>
      <c r="Q133" s="130">
        <v>6.92</v>
      </c>
      <c r="R133" s="130">
        <v>3.15</v>
      </c>
      <c r="S133" s="130">
        <v>0</v>
      </c>
      <c r="T133" s="38">
        <v>0.26</v>
      </c>
      <c r="U133" s="131">
        <v>31</v>
      </c>
      <c r="V133" s="144">
        <v>0</v>
      </c>
      <c r="W133" s="132">
        <v>0</v>
      </c>
      <c r="X133" s="133">
        <v>138709.19577219573</v>
      </c>
      <c r="Y133" s="134">
        <v>19724.47</v>
      </c>
      <c r="Z133" s="134">
        <v>10847.043659414681</v>
      </c>
      <c r="AA133" s="134">
        <v>2113.7944237557635</v>
      </c>
      <c r="AB133" s="134">
        <v>1457.5676890252835</v>
      </c>
      <c r="AC133" s="126">
        <v>68785.81</v>
      </c>
      <c r="AD133" s="126">
        <v>35780.51</v>
      </c>
      <c r="AE133" s="126">
        <v>0</v>
      </c>
      <c r="AF133" s="126">
        <v>0</v>
      </c>
      <c r="AG133" s="126">
        <v>0</v>
      </c>
      <c r="AH133" s="126">
        <v>0</v>
      </c>
      <c r="AI133" s="126">
        <v>0</v>
      </c>
      <c r="AJ133" s="126">
        <v>0</v>
      </c>
      <c r="AK133" s="126">
        <v>0</v>
      </c>
      <c r="AL133" s="126">
        <v>0</v>
      </c>
      <c r="AM133" s="126">
        <v>0</v>
      </c>
      <c r="AN133" s="126">
        <v>0</v>
      </c>
      <c r="AO133" s="126">
        <v>0</v>
      </c>
      <c r="AP133" s="126">
        <v>0</v>
      </c>
      <c r="AQ133" s="126">
        <v>0</v>
      </c>
      <c r="AR133" s="126">
        <v>0</v>
      </c>
      <c r="AS133" s="126">
        <v>0</v>
      </c>
      <c r="AT133" s="126">
        <v>0</v>
      </c>
      <c r="AU133" s="126">
        <v>0</v>
      </c>
      <c r="AV133" s="126">
        <v>0</v>
      </c>
      <c r="AW133" s="135">
        <v>556771.15008906648</v>
      </c>
      <c r="AX133" s="136">
        <v>322240.34737210686</v>
      </c>
      <c r="AY133" s="136">
        <v>21516.136359783621</v>
      </c>
      <c r="AZ133" s="126">
        <v>0</v>
      </c>
      <c r="BA133" s="126">
        <v>6502.0340459483641</v>
      </c>
      <c r="BB133" s="126">
        <v>0</v>
      </c>
      <c r="BC133" s="126">
        <v>198266.08799999999</v>
      </c>
      <c r="BD133" s="126">
        <v>1443.0874383172568</v>
      </c>
      <c r="BE133" s="126">
        <v>0</v>
      </c>
      <c r="BF133" s="126">
        <v>1890.8946025273665</v>
      </c>
      <c r="BG133" s="126">
        <v>946.72709589711792</v>
      </c>
      <c r="BH133" s="126">
        <v>3965.8351744859515</v>
      </c>
      <c r="BI133" s="137">
        <v>501171.08871692978</v>
      </c>
      <c r="BJ133" s="126">
        <v>3549.5538376202217</v>
      </c>
      <c r="BK133" s="126">
        <v>5050.8060341103983</v>
      </c>
      <c r="BL133" s="126">
        <v>5418.295739936706</v>
      </c>
      <c r="BM133" s="126">
        <v>5369.6749946114742</v>
      </c>
      <c r="BN133" s="126">
        <v>90318.426132902474</v>
      </c>
      <c r="BO133" s="126">
        <v>51852.45347703532</v>
      </c>
      <c r="BP133" s="126">
        <v>42540.909087933876</v>
      </c>
      <c r="BQ133" s="126">
        <v>230808.25526710969</v>
      </c>
      <c r="BR133" s="126">
        <v>8613.606773935393</v>
      </c>
      <c r="BS133" s="126">
        <v>9563.7570452520122</v>
      </c>
      <c r="BT133" s="126">
        <v>47713.046822064389</v>
      </c>
      <c r="BU133" s="126">
        <v>0</v>
      </c>
      <c r="BV133" s="126">
        <v>372.30350441784964</v>
      </c>
      <c r="BW133" s="126">
        <v>57597.09172194649</v>
      </c>
      <c r="BX133" s="126">
        <v>204339.49522847208</v>
      </c>
      <c r="BY133" s="126">
        <v>179705.21303363386</v>
      </c>
      <c r="BZ133" s="126">
        <v>0</v>
      </c>
      <c r="CA133" s="137">
        <v>0</v>
      </c>
      <c r="CB133" s="126">
        <v>0</v>
      </c>
      <c r="CC133" s="126">
        <v>0</v>
      </c>
      <c r="CD133" s="126">
        <v>0</v>
      </c>
      <c r="CE133" s="126">
        <v>0</v>
      </c>
      <c r="CF133" s="126">
        <v>0</v>
      </c>
      <c r="CG133" s="137">
        <v>49884.926502035822</v>
      </c>
      <c r="CH133" s="126">
        <v>11829.995999999999</v>
      </c>
      <c r="CI133" s="126">
        <v>38054.930502035822</v>
      </c>
      <c r="CJ133" s="120"/>
      <c r="CK133" s="138">
        <v>1688178.1610642802</v>
      </c>
      <c r="CL133" s="139">
        <v>41.879469344493735</v>
      </c>
      <c r="CM133" s="140">
        <v>1198024.8599999999</v>
      </c>
      <c r="CN133" s="125">
        <v>2388.6000000000004</v>
      </c>
      <c r="CO133" s="125">
        <v>2388.6000000000004</v>
      </c>
      <c r="CP133" s="125">
        <v>0</v>
      </c>
      <c r="CQ133" s="125">
        <v>9318.24</v>
      </c>
      <c r="CR133" s="125">
        <v>5051.76</v>
      </c>
      <c r="CS133" s="125">
        <v>21115.079999999998</v>
      </c>
      <c r="CT133" s="125">
        <v>0</v>
      </c>
      <c r="CU133" s="141">
        <v>0</v>
      </c>
      <c r="CV133" s="142">
        <v>-490153.30106428033</v>
      </c>
      <c r="CW133" s="143">
        <v>0</v>
      </c>
      <c r="CX133" s="140">
        <v>1155862.58</v>
      </c>
      <c r="CY133" s="140">
        <v>386260.27</v>
      </c>
    </row>
    <row r="134" spans="1:103" ht="12" customHeight="1" x14ac:dyDescent="0.25">
      <c r="A134" s="122">
        <v>130</v>
      </c>
      <c r="B134" s="123" t="s">
        <v>180</v>
      </c>
      <c r="C134" s="124">
        <v>6399.3</v>
      </c>
      <c r="D134" s="125">
        <v>6399.3</v>
      </c>
      <c r="E134" s="125">
        <v>0</v>
      </c>
      <c r="F134" s="125">
        <v>1625.4</v>
      </c>
      <c r="G134" s="124">
        <v>6399.3</v>
      </c>
      <c r="H134" s="124">
        <v>6399.3</v>
      </c>
      <c r="I134" s="126">
        <v>2</v>
      </c>
      <c r="J134" s="126">
        <v>0</v>
      </c>
      <c r="K134" s="127">
        <v>3.3655081810317418E-3</v>
      </c>
      <c r="L134" s="127">
        <v>4.7901126817933969E-3</v>
      </c>
      <c r="M134" s="127"/>
      <c r="N134" s="127"/>
      <c r="O134" s="128" t="s">
        <v>1489</v>
      </c>
      <c r="P134" s="129" t="s">
        <v>51</v>
      </c>
      <c r="Q134" s="130">
        <v>6.91</v>
      </c>
      <c r="R134" s="130">
        <v>3.15</v>
      </c>
      <c r="S134" s="130">
        <v>1.81</v>
      </c>
      <c r="T134" s="38">
        <v>0.26</v>
      </c>
      <c r="U134" s="131">
        <v>45.06</v>
      </c>
      <c r="V134" s="144">
        <v>2</v>
      </c>
      <c r="W134" s="132">
        <v>4.8192771084337345E-3</v>
      </c>
      <c r="X134" s="133">
        <v>230494.49600917246</v>
      </c>
      <c r="Y134" s="134">
        <v>38576.449999999997</v>
      </c>
      <c r="Z134" s="134">
        <v>20663.695668519998</v>
      </c>
      <c r="AA134" s="134">
        <v>4026.7934793820727</v>
      </c>
      <c r="AB134" s="134">
        <v>2776.6768612703909</v>
      </c>
      <c r="AC134" s="126">
        <v>10166.870000000001</v>
      </c>
      <c r="AD134" s="126">
        <v>0</v>
      </c>
      <c r="AE134" s="126">
        <v>0</v>
      </c>
      <c r="AF134" s="126">
        <v>0</v>
      </c>
      <c r="AG134" s="126">
        <v>0</v>
      </c>
      <c r="AH134" s="126">
        <v>0</v>
      </c>
      <c r="AI134" s="126">
        <v>0</v>
      </c>
      <c r="AJ134" s="126">
        <v>0</v>
      </c>
      <c r="AK134" s="126">
        <v>0</v>
      </c>
      <c r="AL134" s="126">
        <v>0</v>
      </c>
      <c r="AM134" s="126">
        <v>0</v>
      </c>
      <c r="AN134" s="126">
        <v>0</v>
      </c>
      <c r="AO134" s="126">
        <v>0</v>
      </c>
      <c r="AP134" s="126">
        <v>59584.01</v>
      </c>
      <c r="AQ134" s="126">
        <v>94700</v>
      </c>
      <c r="AR134" s="126">
        <v>0</v>
      </c>
      <c r="AS134" s="126">
        <v>0</v>
      </c>
      <c r="AT134" s="126">
        <v>0</v>
      </c>
      <c r="AU134" s="126">
        <v>0</v>
      </c>
      <c r="AV134" s="126">
        <v>0</v>
      </c>
      <c r="AW134" s="135">
        <v>682954.70463996299</v>
      </c>
      <c r="AX134" s="136">
        <v>613870.16400878888</v>
      </c>
      <c r="AY134" s="136">
        <v>40988.393488676869</v>
      </c>
      <c r="AZ134" s="126">
        <v>0</v>
      </c>
      <c r="BA134" s="126">
        <v>12386.421311692477</v>
      </c>
      <c r="BB134" s="126">
        <v>0</v>
      </c>
      <c r="BC134" s="126">
        <v>0</v>
      </c>
      <c r="BD134" s="126">
        <v>2749.0918802166057</v>
      </c>
      <c r="BE134" s="126">
        <v>0</v>
      </c>
      <c r="BF134" s="126">
        <v>3602.1677274212248</v>
      </c>
      <c r="BG134" s="126">
        <v>1803.5218816308727</v>
      </c>
      <c r="BH134" s="126">
        <v>7554.9443415360656</v>
      </c>
      <c r="BI134" s="137">
        <v>954734.50465177686</v>
      </c>
      <c r="BJ134" s="126">
        <v>6761.9254206605992</v>
      </c>
      <c r="BK134" s="126">
        <v>9621.82158075812</v>
      </c>
      <c r="BL134" s="126">
        <v>10321.892095908837</v>
      </c>
      <c r="BM134" s="126">
        <v>10229.269228690524</v>
      </c>
      <c r="BN134" s="126">
        <v>172057.24706843379</v>
      </c>
      <c r="BO134" s="126">
        <v>98779.294336625433</v>
      </c>
      <c r="BP134" s="126">
        <v>81040.735748516105</v>
      </c>
      <c r="BQ134" s="126">
        <v>439691.37530686328</v>
      </c>
      <c r="BR134" s="126">
        <v>16408.982444762074</v>
      </c>
      <c r="BS134" s="126">
        <v>18219.025500024174</v>
      </c>
      <c r="BT134" s="126">
        <v>90893.695084673935</v>
      </c>
      <c r="BU134" s="126">
        <v>0</v>
      </c>
      <c r="BV134" s="126">
        <v>709.24083586006941</v>
      </c>
      <c r="BW134" s="126">
        <v>109722.87123608367</v>
      </c>
      <c r="BX134" s="126">
        <v>389268.1983256613</v>
      </c>
      <c r="BY134" s="126">
        <v>342339.71474343096</v>
      </c>
      <c r="BZ134" s="126">
        <v>65172.568821243294</v>
      </c>
      <c r="CA134" s="137">
        <v>149989.66541761224</v>
      </c>
      <c r="CB134" s="126">
        <v>5192.28</v>
      </c>
      <c r="CC134" s="126">
        <v>143191.60667344282</v>
      </c>
      <c r="CD134" s="126">
        <v>0</v>
      </c>
      <c r="CE134" s="126">
        <v>0</v>
      </c>
      <c r="CF134" s="126">
        <v>1605.7787441694115</v>
      </c>
      <c r="CG134" s="137">
        <v>93784.918492045093</v>
      </c>
      <c r="CH134" s="126">
        <v>21290.003999999997</v>
      </c>
      <c r="CI134" s="126">
        <v>72494.914492045093</v>
      </c>
      <c r="CJ134" s="120"/>
      <c r="CK134" s="138">
        <v>3018461.6423369888</v>
      </c>
      <c r="CL134" s="139">
        <v>39.307185191309841</v>
      </c>
      <c r="CM134" s="140">
        <v>3319466.52</v>
      </c>
      <c r="CN134" s="125">
        <v>9362.1299999999992</v>
      </c>
      <c r="CO134" s="125">
        <v>9362.1299999999992</v>
      </c>
      <c r="CP134" s="125">
        <v>0</v>
      </c>
      <c r="CQ134" s="125">
        <v>36518.39</v>
      </c>
      <c r="CR134" s="125">
        <v>19801.03</v>
      </c>
      <c r="CS134" s="125">
        <v>423993.04999999993</v>
      </c>
      <c r="CT134" s="125">
        <v>0</v>
      </c>
      <c r="CU134" s="141">
        <v>1773.1084337349396</v>
      </c>
      <c r="CV134" s="142">
        <v>302777.98609674629</v>
      </c>
      <c r="CW134" s="143">
        <v>9.9721286313899871E-2</v>
      </c>
      <c r="CX134" s="140">
        <v>3228824.0300000003</v>
      </c>
      <c r="CY134" s="140">
        <v>957022.14</v>
      </c>
    </row>
    <row r="135" spans="1:103" ht="12" customHeight="1" x14ac:dyDescent="0.25">
      <c r="A135" s="122">
        <v>131</v>
      </c>
      <c r="B135" s="123" t="s">
        <v>181</v>
      </c>
      <c r="C135" s="124">
        <v>4686.3</v>
      </c>
      <c r="D135" s="125">
        <v>3481.8</v>
      </c>
      <c r="E135" s="125">
        <v>1204.5</v>
      </c>
      <c r="F135" s="125">
        <v>477.7</v>
      </c>
      <c r="G135" s="124">
        <v>4686.3</v>
      </c>
      <c r="H135" s="124">
        <v>4686.3</v>
      </c>
      <c r="I135" s="126">
        <v>2</v>
      </c>
      <c r="J135" s="126">
        <v>0</v>
      </c>
      <c r="K135" s="127">
        <v>3.9341487298372923E-3</v>
      </c>
      <c r="L135" s="127">
        <v>5.5994562215201053E-3</v>
      </c>
      <c r="M135" s="127"/>
      <c r="N135" s="127"/>
      <c r="O135" s="128" t="s">
        <v>1488</v>
      </c>
      <c r="P135" s="129" t="s">
        <v>51</v>
      </c>
      <c r="Q135" s="130">
        <v>6.91</v>
      </c>
      <c r="R135" s="130">
        <v>3.15</v>
      </c>
      <c r="S135" s="130">
        <v>1.81</v>
      </c>
      <c r="T135" s="38">
        <v>0.26</v>
      </c>
      <c r="U135" s="131">
        <v>45.06</v>
      </c>
      <c r="V135" s="144">
        <v>1</v>
      </c>
      <c r="W135" s="132">
        <v>2.4096385542168672E-3</v>
      </c>
      <c r="X135" s="133">
        <v>148933.36317046941</v>
      </c>
      <c r="Y135" s="134">
        <v>33574.85</v>
      </c>
      <c r="Z135" s="134">
        <v>15132.323380898735</v>
      </c>
      <c r="AA135" s="134">
        <v>2948.8791402853763</v>
      </c>
      <c r="AB135" s="134">
        <v>2033.4006492853021</v>
      </c>
      <c r="AC135" s="126">
        <v>0</v>
      </c>
      <c r="AD135" s="126">
        <v>0</v>
      </c>
      <c r="AE135" s="126">
        <v>0</v>
      </c>
      <c r="AF135" s="126">
        <v>0</v>
      </c>
      <c r="AG135" s="126">
        <v>0</v>
      </c>
      <c r="AH135" s="126">
        <v>0</v>
      </c>
      <c r="AI135" s="126">
        <v>0</v>
      </c>
      <c r="AJ135" s="126">
        <v>0</v>
      </c>
      <c r="AK135" s="126">
        <v>0</v>
      </c>
      <c r="AL135" s="126">
        <v>0</v>
      </c>
      <c r="AM135" s="126">
        <v>24500</v>
      </c>
      <c r="AN135" s="126">
        <v>0</v>
      </c>
      <c r="AO135" s="126">
        <v>0</v>
      </c>
      <c r="AP135" s="126">
        <v>70743.91</v>
      </c>
      <c r="AQ135" s="126">
        <v>0</v>
      </c>
      <c r="AR135" s="126">
        <v>0</v>
      </c>
      <c r="AS135" s="126">
        <v>0</v>
      </c>
      <c r="AT135" s="126">
        <v>0</v>
      </c>
      <c r="AU135" s="126">
        <v>0</v>
      </c>
      <c r="AV135" s="126">
        <v>0</v>
      </c>
      <c r="AW135" s="135">
        <v>491066.85827532288</v>
      </c>
      <c r="AX135" s="136">
        <v>449546.00496841641</v>
      </c>
      <c r="AY135" s="136">
        <v>30016.393731499757</v>
      </c>
      <c r="AZ135" s="126">
        <v>0</v>
      </c>
      <c r="BA135" s="126">
        <v>0</v>
      </c>
      <c r="BB135" s="126">
        <v>0</v>
      </c>
      <c r="BC135" s="126">
        <v>0</v>
      </c>
      <c r="BD135" s="126">
        <v>2013.1997684526557</v>
      </c>
      <c r="BE135" s="126">
        <v>0</v>
      </c>
      <c r="BF135" s="126">
        <v>2637.9195569849962</v>
      </c>
      <c r="BG135" s="126">
        <v>1320.7451742982448</v>
      </c>
      <c r="BH135" s="126">
        <v>5532.5950756708489</v>
      </c>
      <c r="BI135" s="137">
        <v>699165.89457434765</v>
      </c>
      <c r="BJ135" s="126">
        <v>4951.8558434269007</v>
      </c>
      <c r="BK135" s="126">
        <v>7046.1991895842948</v>
      </c>
      <c r="BL135" s="126">
        <v>7558.8709591764073</v>
      </c>
      <c r="BM135" s="126">
        <v>7491.0418930839942</v>
      </c>
      <c r="BN135" s="126">
        <v>126000.01202269019</v>
      </c>
      <c r="BO135" s="126">
        <v>72337.506766322535</v>
      </c>
      <c r="BP135" s="126">
        <v>59347.303601686275</v>
      </c>
      <c r="BQ135" s="126">
        <v>321992.35730479169</v>
      </c>
      <c r="BR135" s="126">
        <v>12016.535313376231</v>
      </c>
      <c r="BS135" s="126">
        <v>13342.056037498365</v>
      </c>
      <c r="BT135" s="126">
        <v>66562.768314551198</v>
      </c>
      <c r="BU135" s="126">
        <v>0</v>
      </c>
      <c r="BV135" s="126">
        <v>519.38732815949299</v>
      </c>
      <c r="BW135" s="126">
        <v>80351.646504095581</v>
      </c>
      <c r="BX135" s="126">
        <v>285066.73508251627</v>
      </c>
      <c r="BY135" s="126">
        <v>250700.32741114506</v>
      </c>
      <c r="BZ135" s="126">
        <v>47726.815318393019</v>
      </c>
      <c r="CA135" s="137">
        <v>174573.97792850217</v>
      </c>
      <c r="CB135" s="126">
        <v>6012.5999999999995</v>
      </c>
      <c r="CC135" s="126">
        <v>167385.44291548495</v>
      </c>
      <c r="CD135" s="126">
        <v>0</v>
      </c>
      <c r="CE135" s="126">
        <v>0</v>
      </c>
      <c r="CF135" s="126">
        <v>1175.9350130172229</v>
      </c>
      <c r="CG135" s="137">
        <v>66609.079021341531</v>
      </c>
      <c r="CH135" s="126">
        <v>13520.003999999999</v>
      </c>
      <c r="CI135" s="126">
        <v>53089.075021341538</v>
      </c>
      <c r="CJ135" s="120"/>
      <c r="CK135" s="138">
        <v>2244194.6972861337</v>
      </c>
      <c r="CL135" s="139">
        <v>39.907010813188329</v>
      </c>
      <c r="CM135" s="140">
        <v>1802270.67</v>
      </c>
      <c r="CN135" s="125">
        <v>1191.25</v>
      </c>
      <c r="CO135" s="125">
        <v>1191.25</v>
      </c>
      <c r="CP135" s="125">
        <v>0</v>
      </c>
      <c r="CQ135" s="125">
        <v>4644.41</v>
      </c>
      <c r="CR135" s="125">
        <v>2517.88</v>
      </c>
      <c r="CS135" s="125">
        <v>92688.920000000013</v>
      </c>
      <c r="CT135" s="125">
        <v>199355.6545072468</v>
      </c>
      <c r="CU135" s="141">
        <v>886.55421686746979</v>
      </c>
      <c r="CV135" s="142">
        <v>-241681.81856201938</v>
      </c>
      <c r="CW135" s="143">
        <v>0</v>
      </c>
      <c r="CX135" s="140">
        <v>1756194.23</v>
      </c>
      <c r="CY135" s="140">
        <v>358246.07</v>
      </c>
    </row>
    <row r="136" spans="1:103" ht="12" customHeight="1" x14ac:dyDescent="0.25">
      <c r="A136" s="122">
        <v>132</v>
      </c>
      <c r="B136" s="123" t="s">
        <v>182</v>
      </c>
      <c r="C136" s="124">
        <v>6395.7</v>
      </c>
      <c r="D136" s="125">
        <v>6395.7</v>
      </c>
      <c r="E136" s="125">
        <v>0</v>
      </c>
      <c r="F136" s="125">
        <v>654.4</v>
      </c>
      <c r="G136" s="124">
        <v>6395.7</v>
      </c>
      <c r="H136" s="124"/>
      <c r="I136" s="126">
        <v>0</v>
      </c>
      <c r="J136" s="126">
        <v>0</v>
      </c>
      <c r="K136" s="127">
        <v>0</v>
      </c>
      <c r="L136" s="127">
        <v>0</v>
      </c>
      <c r="M136" s="127"/>
      <c r="N136" s="127"/>
      <c r="O136" s="128" t="s">
        <v>1488</v>
      </c>
      <c r="P136" s="129" t="s">
        <v>51</v>
      </c>
      <c r="Q136" s="130">
        <v>6.92</v>
      </c>
      <c r="R136" s="130">
        <v>3.15</v>
      </c>
      <c r="S136" s="130">
        <v>0</v>
      </c>
      <c r="T136" s="38">
        <v>0.26</v>
      </c>
      <c r="U136" s="131">
        <v>31</v>
      </c>
      <c r="V136" s="144">
        <v>8</v>
      </c>
      <c r="W136" s="132">
        <v>1.9277108433734938E-2</v>
      </c>
      <c r="X136" s="133">
        <v>341544.25403823302</v>
      </c>
      <c r="Y136" s="134">
        <v>46527.83</v>
      </c>
      <c r="Z136" s="134">
        <v>20652.071068265803</v>
      </c>
      <c r="AA136" s="134">
        <v>4024.5281602806435</v>
      </c>
      <c r="AB136" s="134">
        <v>2775.114809686534</v>
      </c>
      <c r="AC136" s="126">
        <v>257272.79</v>
      </c>
      <c r="AD136" s="126">
        <v>0</v>
      </c>
      <c r="AE136" s="126">
        <v>0</v>
      </c>
      <c r="AF136" s="126">
        <v>0</v>
      </c>
      <c r="AG136" s="126">
        <v>0</v>
      </c>
      <c r="AH136" s="126">
        <v>0</v>
      </c>
      <c r="AI136" s="126">
        <v>10291.92</v>
      </c>
      <c r="AJ136" s="126">
        <v>0</v>
      </c>
      <c r="AK136" s="126">
        <v>0</v>
      </c>
      <c r="AL136" s="126">
        <v>0</v>
      </c>
      <c r="AM136" s="126">
        <v>0</v>
      </c>
      <c r="AN136" s="126">
        <v>0</v>
      </c>
      <c r="AO136" s="126">
        <v>0</v>
      </c>
      <c r="AP136" s="126">
        <v>0</v>
      </c>
      <c r="AQ136" s="126">
        <v>0</v>
      </c>
      <c r="AR136" s="126">
        <v>0</v>
      </c>
      <c r="AS136" s="126">
        <v>0</v>
      </c>
      <c r="AT136" s="126">
        <v>0</v>
      </c>
      <c r="AU136" s="126">
        <v>0</v>
      </c>
      <c r="AV136" s="126">
        <v>0</v>
      </c>
      <c r="AW136" s="135">
        <v>780076.43940871954</v>
      </c>
      <c r="AX136" s="136">
        <v>613524.82426999998</v>
      </c>
      <c r="AY136" s="136">
        <v>40965.334995316771</v>
      </c>
      <c r="AZ136" s="126">
        <v>0</v>
      </c>
      <c r="BA136" s="126">
        <v>0</v>
      </c>
      <c r="BB136" s="126">
        <v>0</v>
      </c>
      <c r="BC136" s="126">
        <v>109885.39200000001</v>
      </c>
      <c r="BD136" s="126">
        <v>2747.5453468819001</v>
      </c>
      <c r="BE136" s="126">
        <v>0</v>
      </c>
      <c r="BF136" s="126">
        <v>3600.1412864325671</v>
      </c>
      <c r="BG136" s="126">
        <v>1802.5072896014519</v>
      </c>
      <c r="BH136" s="126">
        <v>7550.6942204869611</v>
      </c>
      <c r="BI136" s="137">
        <v>954197.40774793632</v>
      </c>
      <c r="BJ136" s="126">
        <v>6758.1214215490745</v>
      </c>
      <c r="BK136" s="126">
        <v>9616.4087140866504</v>
      </c>
      <c r="BL136" s="126">
        <v>10316.085396497139</v>
      </c>
      <c r="BM136" s="126">
        <v>10223.514635340738</v>
      </c>
      <c r="BN136" s="126">
        <v>171960.45428024657</v>
      </c>
      <c r="BO136" s="126">
        <v>98723.72490565457</v>
      </c>
      <c r="BP136" s="126">
        <v>80995.145348207516</v>
      </c>
      <c r="BQ136" s="126">
        <v>439444.0218539692</v>
      </c>
      <c r="BR136" s="126">
        <v>16399.75138248946</v>
      </c>
      <c r="BS136" s="126">
        <v>18208.776177160722</v>
      </c>
      <c r="BT136" s="126">
        <v>90842.561788484527</v>
      </c>
      <c r="BU136" s="126">
        <v>0</v>
      </c>
      <c r="BV136" s="126">
        <v>708.84184425019077</v>
      </c>
      <c r="BW136" s="126">
        <v>109661.14536974672</v>
      </c>
      <c r="BX136" s="126">
        <v>389049.2110123657</v>
      </c>
      <c r="BY136" s="126">
        <v>342147.1275896678</v>
      </c>
      <c r="BZ136" s="126">
        <v>0</v>
      </c>
      <c r="CA136" s="137">
        <v>0</v>
      </c>
      <c r="CB136" s="126">
        <v>0</v>
      </c>
      <c r="CC136" s="126">
        <v>0</v>
      </c>
      <c r="CD136" s="126">
        <v>0</v>
      </c>
      <c r="CE136" s="126">
        <v>0</v>
      </c>
      <c r="CF136" s="126">
        <v>0</v>
      </c>
      <c r="CG136" s="137">
        <v>98134.131642019085</v>
      </c>
      <c r="CH136" s="126">
        <v>25680</v>
      </c>
      <c r="CI136" s="126">
        <v>72454.131642019085</v>
      </c>
      <c r="CJ136" s="120"/>
      <c r="CK136" s="138">
        <v>3014809.7168086879</v>
      </c>
      <c r="CL136" s="139">
        <v>39.281727264785822</v>
      </c>
      <c r="CM136" s="140">
        <v>2280850.2599999998</v>
      </c>
      <c r="CN136" s="125">
        <v>4084.0199999999995</v>
      </c>
      <c r="CO136" s="125">
        <v>4084.0199999999995</v>
      </c>
      <c r="CP136" s="125">
        <v>0</v>
      </c>
      <c r="CQ136" s="125">
        <v>15930.419999999998</v>
      </c>
      <c r="CR136" s="125">
        <v>8636.6400000000012</v>
      </c>
      <c r="CS136" s="125">
        <v>36241.86</v>
      </c>
      <c r="CT136" s="125">
        <v>0</v>
      </c>
      <c r="CU136" s="141">
        <v>7092.4337349397583</v>
      </c>
      <c r="CV136" s="142">
        <v>-726867.02307374822</v>
      </c>
      <c r="CW136" s="143">
        <v>0</v>
      </c>
      <c r="CX136" s="140">
        <v>2207544.87</v>
      </c>
      <c r="CY136" s="140">
        <v>629025.17000000004</v>
      </c>
    </row>
    <row r="137" spans="1:103" ht="12" customHeight="1" x14ac:dyDescent="0.25">
      <c r="A137" s="122">
        <v>133</v>
      </c>
      <c r="B137" s="123" t="s">
        <v>183</v>
      </c>
      <c r="C137" s="124">
        <v>4049.3</v>
      </c>
      <c r="D137" s="125">
        <v>3428</v>
      </c>
      <c r="E137" s="125">
        <v>621.29999999999995</v>
      </c>
      <c r="F137" s="125">
        <v>540.6</v>
      </c>
      <c r="G137" s="124">
        <v>4049.3</v>
      </c>
      <c r="H137" s="124">
        <v>4049.3</v>
      </c>
      <c r="I137" s="126">
        <v>2</v>
      </c>
      <c r="J137" s="126">
        <v>0</v>
      </c>
      <c r="K137" s="127">
        <v>3.9341487298372923E-3</v>
      </c>
      <c r="L137" s="127">
        <v>5.5994562215201053E-3</v>
      </c>
      <c r="M137" s="127"/>
      <c r="N137" s="127"/>
      <c r="O137" s="128" t="s">
        <v>1488</v>
      </c>
      <c r="P137" s="129" t="s">
        <v>51</v>
      </c>
      <c r="Q137" s="130">
        <v>6.91</v>
      </c>
      <c r="R137" s="130">
        <v>3.15</v>
      </c>
      <c r="S137" s="130">
        <v>1.81</v>
      </c>
      <c r="T137" s="38">
        <v>0.26</v>
      </c>
      <c r="U137" s="131">
        <v>45.06</v>
      </c>
      <c r="V137" s="144">
        <v>1</v>
      </c>
      <c r="W137" s="132">
        <v>2.4096385542168672E-3</v>
      </c>
      <c r="X137" s="133">
        <v>58327.662757011247</v>
      </c>
      <c r="Y137" s="134">
        <v>40947.199999999997</v>
      </c>
      <c r="Z137" s="134">
        <v>13075.414947031399</v>
      </c>
      <c r="AA137" s="134">
        <v>2548.0435103936097</v>
      </c>
      <c r="AB137" s="134">
        <v>1757.004299586235</v>
      </c>
      <c r="AC137" s="126">
        <v>0</v>
      </c>
      <c r="AD137" s="126">
        <v>0</v>
      </c>
      <c r="AE137" s="126">
        <v>0</v>
      </c>
      <c r="AF137" s="126">
        <v>0</v>
      </c>
      <c r="AG137" s="126">
        <v>0</v>
      </c>
      <c r="AH137" s="126">
        <v>0</v>
      </c>
      <c r="AI137" s="126">
        <v>0</v>
      </c>
      <c r="AJ137" s="126">
        <v>0</v>
      </c>
      <c r="AK137" s="126">
        <v>0</v>
      </c>
      <c r="AL137" s="126">
        <v>0</v>
      </c>
      <c r="AM137" s="126">
        <v>0</v>
      </c>
      <c r="AN137" s="126">
        <v>0</v>
      </c>
      <c r="AO137" s="126">
        <v>0</v>
      </c>
      <c r="AP137" s="126">
        <v>0</v>
      </c>
      <c r="AQ137" s="126">
        <v>0</v>
      </c>
      <c r="AR137" s="126">
        <v>0</v>
      </c>
      <c r="AS137" s="126">
        <v>0</v>
      </c>
      <c r="AT137" s="126">
        <v>0</v>
      </c>
      <c r="AU137" s="126">
        <v>0</v>
      </c>
      <c r="AV137" s="126">
        <v>0</v>
      </c>
      <c r="AW137" s="135">
        <v>424317.05806590815</v>
      </c>
      <c r="AX137" s="136">
        <v>388440.05674382957</v>
      </c>
      <c r="AY137" s="136">
        <v>25936.321434172369</v>
      </c>
      <c r="AZ137" s="126">
        <v>0</v>
      </c>
      <c r="BA137" s="126">
        <v>0</v>
      </c>
      <c r="BB137" s="126">
        <v>0</v>
      </c>
      <c r="BC137" s="126">
        <v>0</v>
      </c>
      <c r="BD137" s="126">
        <v>1739.5492867284081</v>
      </c>
      <c r="BE137" s="126">
        <v>0</v>
      </c>
      <c r="BF137" s="126">
        <v>2279.352082047531</v>
      </c>
      <c r="BG137" s="126">
        <v>1141.2187513146582</v>
      </c>
      <c r="BH137" s="126">
        <v>4780.5597678155409</v>
      </c>
      <c r="BI137" s="137">
        <v>604129.58131146233</v>
      </c>
      <c r="BJ137" s="126">
        <v>4278.7593339710538</v>
      </c>
      <c r="BK137" s="126">
        <v>6088.4225035494273</v>
      </c>
      <c r="BL137" s="126">
        <v>6531.4077577178214</v>
      </c>
      <c r="BM137" s="126">
        <v>6472.7985698024067</v>
      </c>
      <c r="BN137" s="126">
        <v>108873.06589067695</v>
      </c>
      <c r="BO137" s="126">
        <v>62504.80467508905</v>
      </c>
      <c r="BP137" s="126">
        <v>51280.335547085815</v>
      </c>
      <c r="BQ137" s="126">
        <v>278224.53800104407</v>
      </c>
      <c r="BR137" s="126">
        <v>10383.150127916346</v>
      </c>
      <c r="BS137" s="126">
        <v>11528.495297493148</v>
      </c>
      <c r="BT137" s="126">
        <v>57515.015627704619</v>
      </c>
      <c r="BU137" s="126">
        <v>0</v>
      </c>
      <c r="BV137" s="126">
        <v>448.78797941152612</v>
      </c>
      <c r="BW137" s="126">
        <v>69429.597377255879</v>
      </c>
      <c r="BX137" s="126">
        <v>246318.14659104907</v>
      </c>
      <c r="BY137" s="126">
        <v>216623.1004813925</v>
      </c>
      <c r="BZ137" s="126">
        <v>41239.398516690962</v>
      </c>
      <c r="CA137" s="137">
        <v>174414.13528008189</v>
      </c>
      <c r="CB137" s="126">
        <v>6012.5999999999995</v>
      </c>
      <c r="CC137" s="126">
        <v>167385.44291548495</v>
      </c>
      <c r="CD137" s="126">
        <v>0</v>
      </c>
      <c r="CE137" s="126">
        <v>0</v>
      </c>
      <c r="CF137" s="126">
        <v>1016.0923645969401</v>
      </c>
      <c r="CG137" s="137">
        <v>59392.78028063041</v>
      </c>
      <c r="CH137" s="126">
        <v>13520.003999999999</v>
      </c>
      <c r="CI137" s="126">
        <v>45872.776280630409</v>
      </c>
      <c r="CJ137" s="120"/>
      <c r="CK137" s="138">
        <v>1894191.4606614823</v>
      </c>
      <c r="CL137" s="139">
        <v>38.981870542675736</v>
      </c>
      <c r="CM137" s="140">
        <v>1779482.4100000001</v>
      </c>
      <c r="CN137" s="125">
        <v>1539.61</v>
      </c>
      <c r="CO137" s="125">
        <v>1539.61</v>
      </c>
      <c r="CP137" s="125">
        <v>0</v>
      </c>
      <c r="CQ137" s="125">
        <v>5997.05</v>
      </c>
      <c r="CR137" s="125">
        <v>3252.8199999999997</v>
      </c>
      <c r="CS137" s="125">
        <v>119701.79</v>
      </c>
      <c r="CT137" s="125">
        <v>172257.61299878251</v>
      </c>
      <c r="CU137" s="141">
        <v>886.55421686746979</v>
      </c>
      <c r="CV137" s="142">
        <v>58435.11655416782</v>
      </c>
      <c r="CW137" s="143">
        <v>-6.0558318968149005E-2</v>
      </c>
      <c r="CX137" s="140">
        <v>1788835.3599999999</v>
      </c>
      <c r="CY137" s="140">
        <v>479014.33999999997</v>
      </c>
    </row>
    <row r="138" spans="1:103" ht="12" customHeight="1" x14ac:dyDescent="0.25">
      <c r="A138" s="122">
        <v>134</v>
      </c>
      <c r="B138" s="123" t="s">
        <v>184</v>
      </c>
      <c r="C138" s="124">
        <v>3494.8</v>
      </c>
      <c r="D138" s="125">
        <v>3494.8</v>
      </c>
      <c r="E138" s="125">
        <v>0</v>
      </c>
      <c r="F138" s="125">
        <v>393.2</v>
      </c>
      <c r="G138" s="124">
        <v>3494.8</v>
      </c>
      <c r="H138" s="124"/>
      <c r="I138" s="126">
        <v>0</v>
      </c>
      <c r="J138" s="126">
        <v>0</v>
      </c>
      <c r="K138" s="127">
        <v>0</v>
      </c>
      <c r="L138" s="127">
        <v>0</v>
      </c>
      <c r="M138" s="127"/>
      <c r="N138" s="127"/>
      <c r="O138" s="128" t="s">
        <v>1488</v>
      </c>
      <c r="P138" s="129" t="s">
        <v>1493</v>
      </c>
      <c r="Q138" s="130">
        <v>6.92</v>
      </c>
      <c r="R138" s="130">
        <v>3.15</v>
      </c>
      <c r="S138" s="130">
        <v>0</v>
      </c>
      <c r="T138" s="38">
        <v>0.26</v>
      </c>
      <c r="U138" s="131">
        <v>31</v>
      </c>
      <c r="V138" s="144">
        <v>0</v>
      </c>
      <c r="W138" s="132">
        <v>0</v>
      </c>
      <c r="X138" s="133">
        <v>17157.635318587934</v>
      </c>
      <c r="Y138" s="134">
        <v>5967.47</v>
      </c>
      <c r="Z138" s="134">
        <v>7474.6389099944572</v>
      </c>
      <c r="AA138" s="134">
        <v>2199.1214432429279</v>
      </c>
      <c r="AB138" s="134">
        <v>1516.4049653505481</v>
      </c>
      <c r="AC138" s="126">
        <v>0</v>
      </c>
      <c r="AD138" s="126">
        <v>0</v>
      </c>
      <c r="AE138" s="126">
        <v>0</v>
      </c>
      <c r="AF138" s="126">
        <v>0</v>
      </c>
      <c r="AG138" s="126">
        <v>0</v>
      </c>
      <c r="AH138" s="126">
        <v>0</v>
      </c>
      <c r="AI138" s="126">
        <v>0</v>
      </c>
      <c r="AJ138" s="126">
        <v>0</v>
      </c>
      <c r="AK138" s="126">
        <v>0</v>
      </c>
      <c r="AL138" s="126">
        <v>0</v>
      </c>
      <c r="AM138" s="126">
        <v>0</v>
      </c>
      <c r="AN138" s="126">
        <v>0</v>
      </c>
      <c r="AO138" s="126">
        <v>0</v>
      </c>
      <c r="AP138" s="126">
        <v>0</v>
      </c>
      <c r="AQ138" s="126">
        <v>0</v>
      </c>
      <c r="AR138" s="126">
        <v>0</v>
      </c>
      <c r="AS138" s="126">
        <v>0</v>
      </c>
      <c r="AT138" s="126">
        <v>0</v>
      </c>
      <c r="AU138" s="126">
        <v>0</v>
      </c>
      <c r="AV138" s="126">
        <v>0</v>
      </c>
      <c r="AW138" s="135">
        <v>357131.85036482645</v>
      </c>
      <c r="AX138" s="136">
        <v>240844.38688511393</v>
      </c>
      <c r="AY138" s="136">
        <v>22384.672943013753</v>
      </c>
      <c r="AZ138" s="126">
        <v>0</v>
      </c>
      <c r="BA138" s="126">
        <v>0</v>
      </c>
      <c r="BB138" s="126">
        <v>0</v>
      </c>
      <c r="BC138" s="126">
        <v>85323.36</v>
      </c>
      <c r="BD138" s="126">
        <v>1501.3401939244907</v>
      </c>
      <c r="BE138" s="126">
        <v>0</v>
      </c>
      <c r="BF138" s="126">
        <v>1967.2238797668022</v>
      </c>
      <c r="BG138" s="126">
        <v>984.94339567196005</v>
      </c>
      <c r="BH138" s="126">
        <v>4125.9230673355278</v>
      </c>
      <c r="BI138" s="137">
        <v>521401.738761588</v>
      </c>
      <c r="BJ138" s="126">
        <v>3692.8378041543078</v>
      </c>
      <c r="BK138" s="126">
        <v>5254.6906787357175</v>
      </c>
      <c r="BL138" s="126">
        <v>5637.0147511106215</v>
      </c>
      <c r="BM138" s="126">
        <v>5586.4313441200829</v>
      </c>
      <c r="BN138" s="126">
        <v>93964.287821287086</v>
      </c>
      <c r="BO138" s="126">
        <v>53945.568710271211</v>
      </c>
      <c r="BP138" s="126">
        <v>44258.147499556835</v>
      </c>
      <c r="BQ138" s="126">
        <v>240125.23532611784</v>
      </c>
      <c r="BR138" s="126">
        <v>8961.3101195372146</v>
      </c>
      <c r="BS138" s="126">
        <v>9949.8148731086985</v>
      </c>
      <c r="BT138" s="126">
        <v>49639.067645198455</v>
      </c>
      <c r="BU138" s="126">
        <v>0</v>
      </c>
      <c r="BV138" s="126">
        <v>387.33218838994435</v>
      </c>
      <c r="BW138" s="126">
        <v>59922.099353970778</v>
      </c>
      <c r="BX138" s="126">
        <v>212588.01736260546</v>
      </c>
      <c r="BY138" s="126">
        <v>186959.32915871151</v>
      </c>
      <c r="BZ138" s="126">
        <v>0</v>
      </c>
      <c r="CA138" s="137">
        <v>0</v>
      </c>
      <c r="CB138" s="126">
        <v>0</v>
      </c>
      <c r="CC138" s="126">
        <v>0</v>
      </c>
      <c r="CD138" s="126">
        <v>0</v>
      </c>
      <c r="CE138" s="126">
        <v>0</v>
      </c>
      <c r="CF138" s="126">
        <v>0</v>
      </c>
      <c r="CG138" s="137">
        <v>53111.088519681711</v>
      </c>
      <c r="CH138" s="126">
        <v>13520.003999999999</v>
      </c>
      <c r="CI138" s="126">
        <v>39591.08451968171</v>
      </c>
      <c r="CJ138" s="120"/>
      <c r="CK138" s="138">
        <v>1408271.7588399719</v>
      </c>
      <c r="CL138" s="139">
        <v>33.580170511425827</v>
      </c>
      <c r="CM138" s="140">
        <v>1246816.5</v>
      </c>
      <c r="CN138" s="125">
        <v>2453.04</v>
      </c>
      <c r="CO138" s="125">
        <v>2453.04</v>
      </c>
      <c r="CP138" s="125">
        <v>0</v>
      </c>
      <c r="CQ138" s="125">
        <v>9571.08</v>
      </c>
      <c r="CR138" s="125">
        <v>5189.88</v>
      </c>
      <c r="CS138" s="125">
        <v>21690.29</v>
      </c>
      <c r="CT138" s="125">
        <v>0</v>
      </c>
      <c r="CU138" s="141">
        <v>0</v>
      </c>
      <c r="CV138" s="142">
        <v>-161455.25883997185</v>
      </c>
      <c r="CW138" s="143">
        <v>0</v>
      </c>
      <c r="CX138" s="140">
        <v>1194404.8700000001</v>
      </c>
      <c r="CY138" s="140">
        <v>231604.92</v>
      </c>
    </row>
    <row r="139" spans="1:103" ht="12" customHeight="1" x14ac:dyDescent="0.25">
      <c r="A139" s="122">
        <v>135</v>
      </c>
      <c r="B139" s="123" t="s">
        <v>185</v>
      </c>
      <c r="C139" s="124">
        <v>7614.56</v>
      </c>
      <c r="D139" s="125">
        <v>7614.56</v>
      </c>
      <c r="E139" s="125">
        <v>0</v>
      </c>
      <c r="F139" s="125">
        <v>1937.4</v>
      </c>
      <c r="G139" s="124">
        <v>7614.56</v>
      </c>
      <c r="H139" s="124">
        <v>7614.56</v>
      </c>
      <c r="I139" s="126">
        <v>2</v>
      </c>
      <c r="J139" s="126">
        <v>2</v>
      </c>
      <c r="K139" s="127">
        <v>7.6148654116504734E-3</v>
      </c>
      <c r="L139" s="127">
        <v>1.0838203747083032E-2</v>
      </c>
      <c r="M139" s="127"/>
      <c r="N139" s="127"/>
      <c r="O139" s="128" t="s">
        <v>1489</v>
      </c>
      <c r="P139" s="129" t="s">
        <v>51</v>
      </c>
      <c r="Q139" s="130">
        <v>6.91</v>
      </c>
      <c r="R139" s="130">
        <v>3.15</v>
      </c>
      <c r="S139" s="130">
        <v>1.81</v>
      </c>
      <c r="T139" s="38">
        <v>0.26</v>
      </c>
      <c r="U139" s="131">
        <v>45.06</v>
      </c>
      <c r="V139" s="144">
        <v>2</v>
      </c>
      <c r="W139" s="132">
        <v>4.8192771084337345E-3</v>
      </c>
      <c r="X139" s="133">
        <v>100497.23217692628</v>
      </c>
      <c r="Y139" s="134">
        <v>67813.91</v>
      </c>
      <c r="Z139" s="134">
        <v>24587.837808773718</v>
      </c>
      <c r="AA139" s="134">
        <v>4791.5022824939533</v>
      </c>
      <c r="AB139" s="134">
        <v>3303.9820856585984</v>
      </c>
      <c r="AC139" s="126">
        <v>0</v>
      </c>
      <c r="AD139" s="126">
        <v>0</v>
      </c>
      <c r="AE139" s="126">
        <v>0</v>
      </c>
      <c r="AF139" s="126">
        <v>0</v>
      </c>
      <c r="AG139" s="126">
        <v>0</v>
      </c>
      <c r="AH139" s="126">
        <v>0</v>
      </c>
      <c r="AI139" s="126">
        <v>0</v>
      </c>
      <c r="AJ139" s="126">
        <v>0</v>
      </c>
      <c r="AK139" s="126">
        <v>0</v>
      </c>
      <c r="AL139" s="126">
        <v>0</v>
      </c>
      <c r="AM139" s="126">
        <v>0</v>
      </c>
      <c r="AN139" s="126">
        <v>0</v>
      </c>
      <c r="AO139" s="126">
        <v>0</v>
      </c>
      <c r="AP139" s="126">
        <v>0</v>
      </c>
      <c r="AQ139" s="126">
        <v>0</v>
      </c>
      <c r="AR139" s="126">
        <v>0</v>
      </c>
      <c r="AS139" s="126">
        <v>0</v>
      </c>
      <c r="AT139" s="126">
        <v>0</v>
      </c>
      <c r="AU139" s="126">
        <v>0</v>
      </c>
      <c r="AV139" s="126">
        <v>0</v>
      </c>
      <c r="AW139" s="135">
        <v>812651.31745085807</v>
      </c>
      <c r="AX139" s="136">
        <v>730447.26705339074</v>
      </c>
      <c r="AY139" s="136">
        <v>48772.300333339481</v>
      </c>
      <c r="AZ139" s="126">
        <v>0</v>
      </c>
      <c r="BA139" s="126">
        <v>14738.666457762734</v>
      </c>
      <c r="BB139" s="126">
        <v>0</v>
      </c>
      <c r="BC139" s="126">
        <v>0</v>
      </c>
      <c r="BD139" s="126">
        <v>3271.1585747538256</v>
      </c>
      <c r="BE139" s="126">
        <v>0</v>
      </c>
      <c r="BF139" s="126">
        <v>4286.2379151645591</v>
      </c>
      <c r="BG139" s="126">
        <v>2146.0199676513334</v>
      </c>
      <c r="BH139" s="126">
        <v>8989.6671487954718</v>
      </c>
      <c r="BI139" s="137">
        <v>1136043.5000298838</v>
      </c>
      <c r="BJ139" s="126">
        <v>8046.0498540692533</v>
      </c>
      <c r="BK139" s="126">
        <v>11449.055011638389</v>
      </c>
      <c r="BL139" s="126">
        <v>12282.07252009182</v>
      </c>
      <c r="BM139" s="126">
        <v>12171.860093763024</v>
      </c>
      <c r="BN139" s="126">
        <v>204731.80367187245</v>
      </c>
      <c r="BO139" s="126">
        <v>117537.99063708445</v>
      </c>
      <c r="BP139" s="126">
        <v>96430.788492682128</v>
      </c>
      <c r="BQ139" s="126">
        <v>523191.03007463767</v>
      </c>
      <c r="BR139" s="126">
        <v>19525.132649600349</v>
      </c>
      <c r="BS139" s="126">
        <v>21678.912195312627</v>
      </c>
      <c r="BT139" s="126">
        <v>108154.87550887671</v>
      </c>
      <c r="BU139" s="126">
        <v>0</v>
      </c>
      <c r="BV139" s="126">
        <v>843.92932025481696</v>
      </c>
      <c r="BW139" s="126">
        <v>130559.80910403219</v>
      </c>
      <c r="BX139" s="126">
        <v>463192.23231332295</v>
      </c>
      <c r="BY139" s="126">
        <v>407351.78821070114</v>
      </c>
      <c r="BZ139" s="126">
        <v>77549.17501031149</v>
      </c>
      <c r="CA139" s="137">
        <v>337924.08732019999</v>
      </c>
      <c r="CB139" s="126">
        <v>12025.199999999999</v>
      </c>
      <c r="CC139" s="126">
        <v>323988.1629293756</v>
      </c>
      <c r="CD139" s="126">
        <v>0</v>
      </c>
      <c r="CE139" s="126">
        <v>0</v>
      </c>
      <c r="CF139" s="126">
        <v>1910.7243908244081</v>
      </c>
      <c r="CG139" s="137">
        <v>114662.07580387651</v>
      </c>
      <c r="CH139" s="126">
        <v>28400.003999999997</v>
      </c>
      <c r="CI139" s="126">
        <v>86262.071803876504</v>
      </c>
      <c r="CJ139" s="120"/>
      <c r="CK139" s="138">
        <v>3580431.2174201123</v>
      </c>
      <c r="CL139" s="139">
        <v>39.184045843534314</v>
      </c>
      <c r="CM139" s="140">
        <v>3949051.7600000002</v>
      </c>
      <c r="CN139" s="125">
        <v>6510.369999999999</v>
      </c>
      <c r="CO139" s="125">
        <v>6510.369999999999</v>
      </c>
      <c r="CP139" s="125">
        <v>0</v>
      </c>
      <c r="CQ139" s="125">
        <v>25366.820000000003</v>
      </c>
      <c r="CR139" s="125">
        <v>13768.069999999998</v>
      </c>
      <c r="CS139" s="125">
        <v>505531.61</v>
      </c>
      <c r="CT139" s="125">
        <v>0</v>
      </c>
      <c r="CU139" s="141">
        <v>1773.1084337349396</v>
      </c>
      <c r="CV139" s="142">
        <v>370393.65101362299</v>
      </c>
      <c r="CW139" s="143">
        <v>0.10295423098380252</v>
      </c>
      <c r="CX139" s="140">
        <v>3858541.69</v>
      </c>
      <c r="CY139" s="140">
        <v>928597.75</v>
      </c>
    </row>
    <row r="140" spans="1:103" ht="12" customHeight="1" x14ac:dyDescent="0.25">
      <c r="A140" s="122">
        <v>136</v>
      </c>
      <c r="B140" s="123" t="s">
        <v>186</v>
      </c>
      <c r="C140" s="124">
        <v>5017.28</v>
      </c>
      <c r="D140" s="125">
        <v>5017.28</v>
      </c>
      <c r="E140" s="125">
        <v>0</v>
      </c>
      <c r="F140" s="125">
        <v>860.8</v>
      </c>
      <c r="G140" s="124">
        <v>5017.28</v>
      </c>
      <c r="H140" s="124">
        <v>5017.28</v>
      </c>
      <c r="I140" s="126">
        <v>4</v>
      </c>
      <c r="J140" s="126">
        <v>0</v>
      </c>
      <c r="K140" s="127">
        <v>7.9382021012438155E-3</v>
      </c>
      <c r="L140" s="127">
        <v>1.1298407405490232E-2</v>
      </c>
      <c r="M140" s="127"/>
      <c r="N140" s="127"/>
      <c r="O140" s="128" t="s">
        <v>1488</v>
      </c>
      <c r="P140" s="129" t="s">
        <v>51</v>
      </c>
      <c r="Q140" s="130">
        <v>6.91</v>
      </c>
      <c r="R140" s="130">
        <v>3.15</v>
      </c>
      <c r="S140" s="130">
        <v>1.81</v>
      </c>
      <c r="T140" s="38">
        <v>0</v>
      </c>
      <c r="U140" s="131">
        <v>44.8</v>
      </c>
      <c r="V140" s="144">
        <v>2</v>
      </c>
      <c r="W140" s="132">
        <v>4.8192771084337345E-3</v>
      </c>
      <c r="X140" s="133">
        <v>288212.45020978869</v>
      </c>
      <c r="Y140" s="134">
        <v>113005.5</v>
      </c>
      <c r="Z140" s="134">
        <v>16201.076212046944</v>
      </c>
      <c r="AA140" s="134">
        <v>3157.1500614495467</v>
      </c>
      <c r="AB140" s="134">
        <v>2177.0139362922046</v>
      </c>
      <c r="AC140" s="126">
        <v>48089.71</v>
      </c>
      <c r="AD140" s="126">
        <v>0</v>
      </c>
      <c r="AE140" s="126">
        <v>0</v>
      </c>
      <c r="AF140" s="126">
        <v>0</v>
      </c>
      <c r="AG140" s="126">
        <v>0</v>
      </c>
      <c r="AH140" s="126">
        <v>47613.83</v>
      </c>
      <c r="AI140" s="126">
        <v>0</v>
      </c>
      <c r="AJ140" s="126">
        <v>0</v>
      </c>
      <c r="AK140" s="126">
        <v>55968.17</v>
      </c>
      <c r="AL140" s="126">
        <v>0</v>
      </c>
      <c r="AM140" s="126">
        <v>0</v>
      </c>
      <c r="AN140" s="126">
        <v>0</v>
      </c>
      <c r="AO140" s="126">
        <v>0</v>
      </c>
      <c r="AP140" s="126">
        <v>0</v>
      </c>
      <c r="AQ140" s="126">
        <v>0</v>
      </c>
      <c r="AR140" s="126">
        <v>0</v>
      </c>
      <c r="AS140" s="126">
        <v>2000</v>
      </c>
      <c r="AT140" s="126">
        <v>0</v>
      </c>
      <c r="AU140" s="126">
        <v>0</v>
      </c>
      <c r="AV140" s="126">
        <v>0</v>
      </c>
      <c r="AW140" s="135">
        <v>525749.50956780661</v>
      </c>
      <c r="AX140" s="136">
        <v>481296.15684184455</v>
      </c>
      <c r="AY140" s="136">
        <v>32136.365990478436</v>
      </c>
      <c r="AZ140" s="126">
        <v>0</v>
      </c>
      <c r="BA140" s="126">
        <v>0</v>
      </c>
      <c r="BB140" s="126">
        <v>0</v>
      </c>
      <c r="BC140" s="126">
        <v>0</v>
      </c>
      <c r="BD140" s="126">
        <v>2155.3863248750908</v>
      </c>
      <c r="BE140" s="126">
        <v>0</v>
      </c>
      <c r="BF140" s="126">
        <v>2824.2282898810745</v>
      </c>
      <c r="BG140" s="126">
        <v>1414.025638158696</v>
      </c>
      <c r="BH140" s="126">
        <v>5923.3464825687288</v>
      </c>
      <c r="BI140" s="137">
        <v>748545.98713910382</v>
      </c>
      <c r="BJ140" s="126">
        <v>5301.5912950747752</v>
      </c>
      <c r="BK140" s="126">
        <v>7543.8521370628187</v>
      </c>
      <c r="BL140" s="126">
        <v>8092.7324511995821</v>
      </c>
      <c r="BM140" s="126">
        <v>8020.1128116707123</v>
      </c>
      <c r="BN140" s="126">
        <v>134899.0334210791</v>
      </c>
      <c r="BO140" s="126">
        <v>77446.498505971598</v>
      </c>
      <c r="BP140" s="126">
        <v>63538.834350056226</v>
      </c>
      <c r="BQ140" s="126">
        <v>344733.75892669806</v>
      </c>
      <c r="BR140" s="126">
        <v>12865.22892198457</v>
      </c>
      <c r="BS140" s="126">
        <v>14284.367393427607</v>
      </c>
      <c r="BT140" s="126">
        <v>71263.906751431059</v>
      </c>
      <c r="BU140" s="126">
        <v>0</v>
      </c>
      <c r="BV140" s="126">
        <v>556.07017344772225</v>
      </c>
      <c r="BW140" s="126">
        <v>86026.654070816774</v>
      </c>
      <c r="BX140" s="126">
        <v>305200.18534767459</v>
      </c>
      <c r="BY140" s="126">
        <v>268406.57634240011</v>
      </c>
      <c r="BZ140" s="126">
        <v>51097.6241300529</v>
      </c>
      <c r="CA140" s="137">
        <v>352123.06864958489</v>
      </c>
      <c r="CB140" s="126">
        <v>13118.975999999999</v>
      </c>
      <c r="CC140" s="126">
        <v>337745.10470128641</v>
      </c>
      <c r="CD140" s="126">
        <v>0</v>
      </c>
      <c r="CE140" s="126">
        <v>0</v>
      </c>
      <c r="CF140" s="126">
        <v>1258.9879482984552</v>
      </c>
      <c r="CG140" s="137">
        <v>0</v>
      </c>
      <c r="CH140" s="126">
        <v>0</v>
      </c>
      <c r="CI140" s="126">
        <v>0</v>
      </c>
      <c r="CJ140" s="120"/>
      <c r="CK140" s="138">
        <v>2625362.0554572283</v>
      </c>
      <c r="CL140" s="139">
        <v>43.605334222547349</v>
      </c>
      <c r="CM140" s="140">
        <v>2583911.73</v>
      </c>
      <c r="CN140" s="125">
        <v>2892.35</v>
      </c>
      <c r="CO140" s="125">
        <v>2892.35</v>
      </c>
      <c r="CP140" s="125">
        <v>0</v>
      </c>
      <c r="CQ140" s="125">
        <v>11270.400000000001</v>
      </c>
      <c r="CR140" s="125">
        <v>6117.24</v>
      </c>
      <c r="CS140" s="125">
        <v>168407.63</v>
      </c>
      <c r="CT140" s="125">
        <v>0</v>
      </c>
      <c r="CU140" s="141">
        <v>1773.1084337349396</v>
      </c>
      <c r="CV140" s="142">
        <v>-39677.217023493256</v>
      </c>
      <c r="CW140" s="143">
        <v>0</v>
      </c>
      <c r="CX140" s="140">
        <v>2548934.2999999998</v>
      </c>
      <c r="CY140" s="140">
        <v>302106.22000000003</v>
      </c>
    </row>
    <row r="141" spans="1:103" ht="12" customHeight="1" x14ac:dyDescent="0.25">
      <c r="A141" s="122">
        <v>137</v>
      </c>
      <c r="B141" s="123" t="s">
        <v>187</v>
      </c>
      <c r="C141" s="124">
        <v>9584.2799999999916</v>
      </c>
      <c r="D141" s="125">
        <v>9508.9799999999923</v>
      </c>
      <c r="E141" s="125">
        <v>75.3</v>
      </c>
      <c r="F141" s="125">
        <v>1379.8</v>
      </c>
      <c r="G141" s="124">
        <v>9584.2799999999916</v>
      </c>
      <c r="H141" s="124">
        <v>9584.2799999999916</v>
      </c>
      <c r="I141" s="126">
        <v>8</v>
      </c>
      <c r="J141" s="126">
        <v>0</v>
      </c>
      <c r="K141" s="127">
        <v>1.460694300850832E-2</v>
      </c>
      <c r="L141" s="127">
        <v>2.0789996393899474E-2</v>
      </c>
      <c r="M141" s="127"/>
      <c r="N141" s="127"/>
      <c r="O141" s="128" t="s">
        <v>1488</v>
      </c>
      <c r="P141" s="129" t="s">
        <v>51</v>
      </c>
      <c r="Q141" s="130">
        <v>6.91</v>
      </c>
      <c r="R141" s="130">
        <v>3.15</v>
      </c>
      <c r="S141" s="130">
        <v>1.81</v>
      </c>
      <c r="T141" s="38">
        <v>0.26</v>
      </c>
      <c r="U141" s="131">
        <v>45.06</v>
      </c>
      <c r="V141" s="144">
        <v>4</v>
      </c>
      <c r="W141" s="132">
        <v>9.638554216867469E-3</v>
      </c>
      <c r="X141" s="133">
        <v>77770.552232180271</v>
      </c>
      <c r="Y141" s="134">
        <v>36632.769999999997</v>
      </c>
      <c r="Z141" s="134">
        <v>30948.173256744125</v>
      </c>
      <c r="AA141" s="134">
        <v>6030.9590437347797</v>
      </c>
      <c r="AB141" s="134">
        <v>4158.6499317013668</v>
      </c>
      <c r="AC141" s="126">
        <v>0</v>
      </c>
      <c r="AD141" s="126">
        <v>0</v>
      </c>
      <c r="AE141" s="126">
        <v>0</v>
      </c>
      <c r="AF141" s="126">
        <v>0</v>
      </c>
      <c r="AG141" s="126">
        <v>0</v>
      </c>
      <c r="AH141" s="126">
        <v>0</v>
      </c>
      <c r="AI141" s="126">
        <v>0</v>
      </c>
      <c r="AJ141" s="126">
        <v>0</v>
      </c>
      <c r="AK141" s="126">
        <v>0</v>
      </c>
      <c r="AL141" s="126">
        <v>0</v>
      </c>
      <c r="AM141" s="126">
        <v>0</v>
      </c>
      <c r="AN141" s="126">
        <v>0</v>
      </c>
      <c r="AO141" s="126">
        <v>0</v>
      </c>
      <c r="AP141" s="126">
        <v>0</v>
      </c>
      <c r="AQ141" s="126">
        <v>0</v>
      </c>
      <c r="AR141" s="126">
        <v>0</v>
      </c>
      <c r="AS141" s="126">
        <v>0</v>
      </c>
      <c r="AT141" s="126">
        <v>0</v>
      </c>
      <c r="AU141" s="126">
        <v>0</v>
      </c>
      <c r="AV141" s="126">
        <v>0</v>
      </c>
      <c r="AW141" s="135">
        <v>1004315.1886202351</v>
      </c>
      <c r="AX141" s="136">
        <v>919397.98657761782</v>
      </c>
      <c r="AY141" s="136">
        <v>61388.626872572866</v>
      </c>
      <c r="AZ141" s="126">
        <v>0</v>
      </c>
      <c r="BA141" s="126">
        <v>0</v>
      </c>
      <c r="BB141" s="126">
        <v>0</v>
      </c>
      <c r="BC141" s="126">
        <v>0</v>
      </c>
      <c r="BD141" s="126">
        <v>4117.3356969859806</v>
      </c>
      <c r="BE141" s="126">
        <v>0</v>
      </c>
      <c r="BF141" s="126">
        <v>5394.9938441030527</v>
      </c>
      <c r="BG141" s="126">
        <v>2701.1483599264175</v>
      </c>
      <c r="BH141" s="126">
        <v>11315.097269028989</v>
      </c>
      <c r="BI141" s="137">
        <v>1429913.0870945139</v>
      </c>
      <c r="BJ141" s="126">
        <v>10127.386834611429</v>
      </c>
      <c r="BK141" s="126">
        <v>14410.674939450932</v>
      </c>
      <c r="BL141" s="126">
        <v>15459.175843760577</v>
      </c>
      <c r="BM141" s="126">
        <v>15320.453875135394</v>
      </c>
      <c r="BN141" s="126">
        <v>257691.43999078762</v>
      </c>
      <c r="BO141" s="126">
        <v>147942.49607373175</v>
      </c>
      <c r="BP141" s="126">
        <v>121375.3227415166</v>
      </c>
      <c r="BQ141" s="126">
        <v>658529.09763975115</v>
      </c>
      <c r="BR141" s="126">
        <v>24575.857088382185</v>
      </c>
      <c r="BS141" s="126">
        <v>27286.772259367674</v>
      </c>
      <c r="BT141" s="126">
        <v>136132.17444503895</v>
      </c>
      <c r="BU141" s="126">
        <v>0</v>
      </c>
      <c r="BV141" s="126">
        <v>1062.2353629798479</v>
      </c>
      <c r="BW141" s="126">
        <v>164332.77394880235</v>
      </c>
      <c r="BX141" s="126">
        <v>583009.9241868119</v>
      </c>
      <c r="BY141" s="126">
        <v>512724.77946356125</v>
      </c>
      <c r="BZ141" s="126">
        <v>97609.449143197708</v>
      </c>
      <c r="CA141" s="137">
        <v>647660.65163644182</v>
      </c>
      <c r="CB141" s="126">
        <v>23776.967999999997</v>
      </c>
      <c r="CC141" s="126">
        <v>621478.69666877855</v>
      </c>
      <c r="CD141" s="126">
        <v>0</v>
      </c>
      <c r="CE141" s="126">
        <v>0</v>
      </c>
      <c r="CF141" s="126">
        <v>2404.9869676633375</v>
      </c>
      <c r="CG141" s="137">
        <v>140686.17762421159</v>
      </c>
      <c r="CH141" s="126">
        <v>32109.995999999999</v>
      </c>
      <c r="CI141" s="126">
        <v>108576.1816242116</v>
      </c>
      <c r="CJ141" s="120"/>
      <c r="CK141" s="138">
        <v>4658022.5839499561</v>
      </c>
      <c r="CL141" s="139">
        <v>40.500543458924064</v>
      </c>
      <c r="CM141" s="140">
        <v>4904211.05</v>
      </c>
      <c r="CN141" s="125">
        <v>4621.3999999999996</v>
      </c>
      <c r="CO141" s="125">
        <v>4621.3999999999996</v>
      </c>
      <c r="CP141" s="125">
        <v>0</v>
      </c>
      <c r="CQ141" s="125">
        <v>18009.07</v>
      </c>
      <c r="CR141" s="125">
        <v>9774.67</v>
      </c>
      <c r="CS141" s="125">
        <v>356790.35</v>
      </c>
      <c r="CT141" s="125">
        <v>407716.19665422908</v>
      </c>
      <c r="CU141" s="141">
        <v>3546.2168674698792</v>
      </c>
      <c r="CV141" s="142">
        <v>657450.87957174331</v>
      </c>
      <c r="CW141" s="143">
        <v>5.2852570294169343E-2</v>
      </c>
      <c r="CX141" s="140">
        <v>4790368.1499999994</v>
      </c>
      <c r="CY141" s="140">
        <v>1529009.02</v>
      </c>
    </row>
    <row r="142" spans="1:103" ht="12" customHeight="1" x14ac:dyDescent="0.25">
      <c r="A142" s="122">
        <v>138</v>
      </c>
      <c r="B142" s="123" t="s">
        <v>188</v>
      </c>
      <c r="C142" s="124">
        <v>3036.2</v>
      </c>
      <c r="D142" s="125">
        <v>3036.2</v>
      </c>
      <c r="E142" s="125">
        <v>0</v>
      </c>
      <c r="F142" s="125">
        <v>498</v>
      </c>
      <c r="G142" s="124">
        <v>3036.2</v>
      </c>
      <c r="H142" s="124">
        <v>3036.2</v>
      </c>
      <c r="I142" s="126">
        <v>1</v>
      </c>
      <c r="J142" s="126">
        <v>0</v>
      </c>
      <c r="K142" s="127">
        <v>1.6255102396369426E-3</v>
      </c>
      <c r="L142" s="127">
        <v>2.3135814249849551E-3</v>
      </c>
      <c r="M142" s="127"/>
      <c r="N142" s="127"/>
      <c r="O142" s="128" t="s">
        <v>1489</v>
      </c>
      <c r="P142" s="129" t="s">
        <v>51</v>
      </c>
      <c r="Q142" s="130">
        <v>6.91</v>
      </c>
      <c r="R142" s="130">
        <v>3.15</v>
      </c>
      <c r="S142" s="130">
        <v>1.81</v>
      </c>
      <c r="T142" s="38">
        <v>0.26</v>
      </c>
      <c r="U142" s="131">
        <v>45.06</v>
      </c>
      <c r="V142" s="144">
        <v>1</v>
      </c>
      <c r="W142" s="132">
        <v>2.4096385542168672E-3</v>
      </c>
      <c r="X142" s="133">
        <v>74403.520601792305</v>
      </c>
      <c r="Y142" s="134">
        <v>39263.269999999997</v>
      </c>
      <c r="Z142" s="134">
        <v>9804.0586921632694</v>
      </c>
      <c r="AA142" s="134">
        <v>1910.5449599330941</v>
      </c>
      <c r="AB142" s="134">
        <v>1317.4169496959294</v>
      </c>
      <c r="AC142" s="126">
        <v>0</v>
      </c>
      <c r="AD142" s="126">
        <v>14312.21</v>
      </c>
      <c r="AE142" s="126">
        <v>7796.02</v>
      </c>
      <c r="AF142" s="126">
        <v>0</v>
      </c>
      <c r="AG142" s="126">
        <v>0</v>
      </c>
      <c r="AH142" s="126">
        <v>0</v>
      </c>
      <c r="AI142" s="126">
        <v>0</v>
      </c>
      <c r="AJ142" s="126">
        <v>0</v>
      </c>
      <c r="AK142" s="126">
        <v>0</v>
      </c>
      <c r="AL142" s="126">
        <v>0</v>
      </c>
      <c r="AM142" s="126">
        <v>0</v>
      </c>
      <c r="AN142" s="126">
        <v>0</v>
      </c>
      <c r="AO142" s="126">
        <v>0</v>
      </c>
      <c r="AP142" s="126">
        <v>0</v>
      </c>
      <c r="AQ142" s="126">
        <v>0</v>
      </c>
      <c r="AR142" s="126">
        <v>0</v>
      </c>
      <c r="AS142" s="126">
        <v>0</v>
      </c>
      <c r="AT142" s="126">
        <v>0</v>
      </c>
      <c r="AU142" s="126">
        <v>0</v>
      </c>
      <c r="AV142" s="126">
        <v>0</v>
      </c>
      <c r="AW142" s="135">
        <v>324033.42150357936</v>
      </c>
      <c r="AX142" s="136">
        <v>291255.69858632731</v>
      </c>
      <c r="AY142" s="136">
        <v>19447.277094419809</v>
      </c>
      <c r="AZ142" s="126">
        <v>0</v>
      </c>
      <c r="BA142" s="126">
        <v>5876.8384646071754</v>
      </c>
      <c r="BB142" s="126">
        <v>0</v>
      </c>
      <c r="BC142" s="126">
        <v>0</v>
      </c>
      <c r="BD142" s="126">
        <v>1304.3290307867512</v>
      </c>
      <c r="BE142" s="126">
        <v>0</v>
      </c>
      <c r="BF142" s="126">
        <v>1709.077813822812</v>
      </c>
      <c r="BG142" s="126">
        <v>855.69564436854887</v>
      </c>
      <c r="BH142" s="126">
        <v>3584.5048692469177</v>
      </c>
      <c r="BI142" s="137">
        <v>452981.56095568661</v>
      </c>
      <c r="BJ142" s="126">
        <v>3208.2505840028925</v>
      </c>
      <c r="BK142" s="126">
        <v>4565.1516077536289</v>
      </c>
      <c r="BL142" s="126">
        <v>4897.3057649427919</v>
      </c>
      <c r="BM142" s="126">
        <v>4853.3600912834481</v>
      </c>
      <c r="BN142" s="126">
        <v>81633.962081661841</v>
      </c>
      <c r="BO142" s="126">
        <v>46866.640642705002</v>
      </c>
      <c r="BP142" s="126">
        <v>38450.437060247925</v>
      </c>
      <c r="BQ142" s="126">
        <v>208615.15379911836</v>
      </c>
      <c r="BR142" s="126">
        <v>7785.3753533646823</v>
      </c>
      <c r="BS142" s="126">
        <v>8644.1650216700891</v>
      </c>
      <c r="BT142" s="126">
        <v>43125.25385840435</v>
      </c>
      <c r="BU142" s="126">
        <v>0</v>
      </c>
      <c r="BV142" s="126">
        <v>336.50509053151791</v>
      </c>
      <c r="BW142" s="126">
        <v>52058.909825605486</v>
      </c>
      <c r="BX142" s="126">
        <v>184691.46684111899</v>
      </c>
      <c r="BY142" s="126">
        <v>162425.86562655368</v>
      </c>
      <c r="BZ142" s="126">
        <v>30921.656033481609</v>
      </c>
      <c r="CA142" s="137">
        <v>72518.275410180475</v>
      </c>
      <c r="CB142" s="126">
        <v>2596.14</v>
      </c>
      <c r="CC142" s="126">
        <v>69160.260607772841</v>
      </c>
      <c r="CD142" s="126">
        <v>0</v>
      </c>
      <c r="CE142" s="126">
        <v>0</v>
      </c>
      <c r="CF142" s="126">
        <v>761.87480240763318</v>
      </c>
      <c r="CG142" s="137">
        <v>46565.806569147768</v>
      </c>
      <c r="CH142" s="126">
        <v>12170.003999999999</v>
      </c>
      <c r="CI142" s="126">
        <v>34395.802569147767</v>
      </c>
      <c r="CJ142" s="120"/>
      <c r="CK142" s="138">
        <v>1400600.4833671465</v>
      </c>
      <c r="CL142" s="139">
        <v>38.441705733239644</v>
      </c>
      <c r="CM142" s="140">
        <v>1574752.33</v>
      </c>
      <c r="CN142" s="125">
        <v>2868.12</v>
      </c>
      <c r="CO142" s="125">
        <v>2868.12</v>
      </c>
      <c r="CP142" s="125">
        <v>0</v>
      </c>
      <c r="CQ142" s="125">
        <v>11188.56</v>
      </c>
      <c r="CR142" s="125">
        <v>6067.32</v>
      </c>
      <c r="CS142" s="125">
        <v>129953.13</v>
      </c>
      <c r="CT142" s="125">
        <v>0</v>
      </c>
      <c r="CU142" s="141">
        <v>886.55421686746979</v>
      </c>
      <c r="CV142" s="142">
        <v>175038.40084972116</v>
      </c>
      <c r="CW142" s="143">
        <v>0.12434084430285197</v>
      </c>
      <c r="CX142" s="140">
        <v>1571022.58</v>
      </c>
      <c r="CY142" s="140">
        <v>262767.53000000003</v>
      </c>
    </row>
    <row r="143" spans="1:103" ht="12" customHeight="1" x14ac:dyDescent="0.25">
      <c r="A143" s="122">
        <v>139</v>
      </c>
      <c r="B143" s="123" t="s">
        <v>189</v>
      </c>
      <c r="C143" s="124">
        <v>3037.3</v>
      </c>
      <c r="D143" s="125">
        <v>3037.3</v>
      </c>
      <c r="E143" s="125">
        <v>0</v>
      </c>
      <c r="F143" s="125">
        <v>489.8</v>
      </c>
      <c r="G143" s="124">
        <v>3037.3</v>
      </c>
      <c r="H143" s="124">
        <v>3037.3</v>
      </c>
      <c r="I143" s="126">
        <v>1</v>
      </c>
      <c r="J143" s="126">
        <v>0</v>
      </c>
      <c r="K143" s="127">
        <v>1.6255102396369426E-3</v>
      </c>
      <c r="L143" s="127">
        <v>2.3135814249849551E-3</v>
      </c>
      <c r="M143" s="127"/>
      <c r="N143" s="127"/>
      <c r="O143" s="128" t="s">
        <v>1489</v>
      </c>
      <c r="P143" s="129" t="s">
        <v>51</v>
      </c>
      <c r="Q143" s="130">
        <v>6.91</v>
      </c>
      <c r="R143" s="130">
        <v>3.15</v>
      </c>
      <c r="S143" s="130">
        <v>1.81</v>
      </c>
      <c r="T143" s="38">
        <v>0.26</v>
      </c>
      <c r="U143" s="131">
        <v>45.06</v>
      </c>
      <c r="V143" s="144">
        <v>1</v>
      </c>
      <c r="W143" s="132">
        <v>2.4096385542168672E-3</v>
      </c>
      <c r="X143" s="133">
        <v>96825.92203735713</v>
      </c>
      <c r="Y143" s="134">
        <v>40560.42</v>
      </c>
      <c r="Z143" s="134">
        <v>9807.6106533520524</v>
      </c>
      <c r="AA143" s="134">
        <v>1911.2371407696421</v>
      </c>
      <c r="AB143" s="134">
        <v>1317.8942432354411</v>
      </c>
      <c r="AC143" s="126">
        <v>0</v>
      </c>
      <c r="AD143" s="126">
        <v>26585.03</v>
      </c>
      <c r="AE143" s="126">
        <v>0</v>
      </c>
      <c r="AF143" s="126">
        <v>0</v>
      </c>
      <c r="AG143" s="126">
        <v>0</v>
      </c>
      <c r="AH143" s="126">
        <v>0</v>
      </c>
      <c r="AI143" s="126">
        <v>0</v>
      </c>
      <c r="AJ143" s="126">
        <v>0</v>
      </c>
      <c r="AK143" s="126">
        <v>16643.73</v>
      </c>
      <c r="AL143" s="126">
        <v>0</v>
      </c>
      <c r="AM143" s="126">
        <v>0</v>
      </c>
      <c r="AN143" s="126">
        <v>0</v>
      </c>
      <c r="AO143" s="126">
        <v>0</v>
      </c>
      <c r="AP143" s="126">
        <v>0</v>
      </c>
      <c r="AQ143" s="126">
        <v>0</v>
      </c>
      <c r="AR143" s="126">
        <v>0</v>
      </c>
      <c r="AS143" s="126">
        <v>0</v>
      </c>
      <c r="AT143" s="126">
        <v>0</v>
      </c>
      <c r="AU143" s="126">
        <v>0</v>
      </c>
      <c r="AV143" s="126">
        <v>0</v>
      </c>
      <c r="AW143" s="135">
        <v>324150.81718359201</v>
      </c>
      <c r="AX143" s="136">
        <v>291361.21906206844</v>
      </c>
      <c r="AY143" s="136">
        <v>19454.322745168731</v>
      </c>
      <c r="AZ143" s="126">
        <v>0</v>
      </c>
      <c r="BA143" s="126">
        <v>5878.9676136457992</v>
      </c>
      <c r="BB143" s="126">
        <v>0</v>
      </c>
      <c r="BC143" s="126">
        <v>0</v>
      </c>
      <c r="BD143" s="126">
        <v>1304.8015826390224</v>
      </c>
      <c r="BE143" s="126">
        <v>0</v>
      </c>
      <c r="BF143" s="126">
        <v>1709.6970041249022</v>
      </c>
      <c r="BG143" s="126">
        <v>856.00565859976086</v>
      </c>
      <c r="BH143" s="126">
        <v>3585.8035173452554</v>
      </c>
      <c r="BI143" s="137">
        <v>453145.67389852664</v>
      </c>
      <c r="BJ143" s="126">
        <v>3209.4129170647475</v>
      </c>
      <c r="BK143" s="126">
        <v>4566.8055392365786</v>
      </c>
      <c r="BL143" s="126">
        <v>4899.0800342074772</v>
      </c>
      <c r="BM143" s="126">
        <v>4855.1184392514388</v>
      </c>
      <c r="BN143" s="126">
        <v>81663.537655830165</v>
      </c>
      <c r="BO143" s="126">
        <v>46883.620191057213</v>
      </c>
      <c r="BP143" s="126">
        <v>38464.367460342219</v>
      </c>
      <c r="BQ143" s="126">
        <v>208690.73402083601</v>
      </c>
      <c r="BR143" s="126">
        <v>7788.1959557257596</v>
      </c>
      <c r="BS143" s="126">
        <v>8647.2967592117002</v>
      </c>
      <c r="BT143" s="126">
        <v>43140.877921128893</v>
      </c>
      <c r="BU143" s="126">
        <v>0</v>
      </c>
      <c r="BV143" s="126">
        <v>336.62700463453643</v>
      </c>
      <c r="BW143" s="126">
        <v>52077.77050698622</v>
      </c>
      <c r="BX143" s="126">
        <v>184758.37963129269</v>
      </c>
      <c r="BY143" s="126">
        <v>162484.71170131466</v>
      </c>
      <c r="BZ143" s="126">
        <v>30932.858794049702</v>
      </c>
      <c r="CA143" s="137">
        <v>72381.83543359219</v>
      </c>
      <c r="CB143" s="126">
        <v>2459.424</v>
      </c>
      <c r="CC143" s="126">
        <v>69160.260607772841</v>
      </c>
      <c r="CD143" s="126">
        <v>0</v>
      </c>
      <c r="CE143" s="126">
        <v>0</v>
      </c>
      <c r="CF143" s="126">
        <v>762.15082581934803</v>
      </c>
      <c r="CG143" s="137">
        <v>46578.2679955446</v>
      </c>
      <c r="CH143" s="126">
        <v>12170.003999999999</v>
      </c>
      <c r="CI143" s="126">
        <v>34408.263995544599</v>
      </c>
      <c r="CJ143" s="120"/>
      <c r="CK143" s="138">
        <v>1423336.2371822558</v>
      </c>
      <c r="CL143" s="139">
        <v>39.051576432529323</v>
      </c>
      <c r="CM143" s="140">
        <v>1574572.37</v>
      </c>
      <c r="CN143" s="125">
        <v>2821.09</v>
      </c>
      <c r="CO143" s="125">
        <v>2821.09</v>
      </c>
      <c r="CP143" s="125">
        <v>0</v>
      </c>
      <c r="CQ143" s="125">
        <v>11003.61</v>
      </c>
      <c r="CR143" s="125">
        <v>5967.24</v>
      </c>
      <c r="CS143" s="125">
        <v>127767.04999999999</v>
      </c>
      <c r="CT143" s="125">
        <v>0</v>
      </c>
      <c r="CU143" s="141">
        <v>886.55421686746979</v>
      </c>
      <c r="CV143" s="142">
        <v>152122.68703461182</v>
      </c>
      <c r="CW143" s="143">
        <v>0.10625467747321804</v>
      </c>
      <c r="CX143" s="140">
        <v>1548645.9100000001</v>
      </c>
      <c r="CY143" s="140">
        <v>173678.86</v>
      </c>
    </row>
    <row r="144" spans="1:103" ht="12" customHeight="1" x14ac:dyDescent="0.25">
      <c r="A144" s="122">
        <v>140</v>
      </c>
      <c r="B144" s="123" t="s">
        <v>190</v>
      </c>
      <c r="C144" s="124">
        <v>2735.7</v>
      </c>
      <c r="D144" s="125">
        <v>2735.7</v>
      </c>
      <c r="E144" s="125">
        <v>0</v>
      </c>
      <c r="F144" s="125">
        <v>362.6</v>
      </c>
      <c r="G144" s="124">
        <v>2735.7</v>
      </c>
      <c r="H144" s="124"/>
      <c r="I144" s="126">
        <v>0</v>
      </c>
      <c r="J144" s="126">
        <v>0</v>
      </c>
      <c r="K144" s="127">
        <v>0</v>
      </c>
      <c r="L144" s="127">
        <v>0</v>
      </c>
      <c r="M144" s="127"/>
      <c r="N144" s="127"/>
      <c r="O144" s="128" t="s">
        <v>1489</v>
      </c>
      <c r="P144" s="129" t="s">
        <v>51</v>
      </c>
      <c r="Q144" s="130">
        <v>6.92</v>
      </c>
      <c r="R144" s="130">
        <v>3.15</v>
      </c>
      <c r="S144" s="130">
        <v>0</v>
      </c>
      <c r="T144" s="38">
        <v>0.26</v>
      </c>
      <c r="U144" s="131">
        <v>31</v>
      </c>
      <c r="V144" s="144">
        <v>4</v>
      </c>
      <c r="W144" s="132">
        <v>9.638554216867469E-3</v>
      </c>
      <c r="X144" s="133">
        <v>44155.64024976061</v>
      </c>
      <c r="Y144" s="134">
        <v>32413.43</v>
      </c>
      <c r="Z144" s="134">
        <v>8833.7274765005786</v>
      </c>
      <c r="AA144" s="134">
        <v>1721.4537404943565</v>
      </c>
      <c r="AB144" s="134">
        <v>1187.0290327656787</v>
      </c>
      <c r="AC144" s="126">
        <v>0</v>
      </c>
      <c r="AD144" s="126">
        <v>0</v>
      </c>
      <c r="AE144" s="126">
        <v>0</v>
      </c>
      <c r="AF144" s="126">
        <v>0</v>
      </c>
      <c r="AG144" s="126">
        <v>0</v>
      </c>
      <c r="AH144" s="126">
        <v>0</v>
      </c>
      <c r="AI144" s="126">
        <v>0</v>
      </c>
      <c r="AJ144" s="126">
        <v>0</v>
      </c>
      <c r="AK144" s="126">
        <v>0</v>
      </c>
      <c r="AL144" s="126">
        <v>0</v>
      </c>
      <c r="AM144" s="126">
        <v>0</v>
      </c>
      <c r="AN144" s="126">
        <v>0</v>
      </c>
      <c r="AO144" s="126">
        <v>0</v>
      </c>
      <c r="AP144" s="126">
        <v>0</v>
      </c>
      <c r="AQ144" s="126">
        <v>0</v>
      </c>
      <c r="AR144" s="126">
        <v>0</v>
      </c>
      <c r="AS144" s="126">
        <v>0</v>
      </c>
      <c r="AT144" s="126">
        <v>0</v>
      </c>
      <c r="AU144" s="126">
        <v>0</v>
      </c>
      <c r="AV144" s="126">
        <v>0</v>
      </c>
      <c r="AW144" s="135">
        <v>329300.68419107504</v>
      </c>
      <c r="AX144" s="136">
        <v>262429.4231679783</v>
      </c>
      <c r="AY144" s="136">
        <v>17522.533412556575</v>
      </c>
      <c r="AZ144" s="126">
        <v>0</v>
      </c>
      <c r="BA144" s="126">
        <v>5295.1936590560072</v>
      </c>
      <c r="BB144" s="126">
        <v>0</v>
      </c>
      <c r="BC144" s="126">
        <v>37337.627999999997</v>
      </c>
      <c r="BD144" s="126">
        <v>1175.2364565981541</v>
      </c>
      <c r="BE144" s="126">
        <v>0</v>
      </c>
      <c r="BF144" s="126">
        <v>1539.9262812973675</v>
      </c>
      <c r="BG144" s="126">
        <v>771.00539302385846</v>
      </c>
      <c r="BH144" s="126">
        <v>3229.7378205647824</v>
      </c>
      <c r="BI144" s="137">
        <v>408148.88884344633</v>
      </c>
      <c r="BJ144" s="126">
        <v>2890.7223248325909</v>
      </c>
      <c r="BK144" s="126">
        <v>4113.3275980935387</v>
      </c>
      <c r="BL144" s="126">
        <v>4412.6076612719835</v>
      </c>
      <c r="BM144" s="126">
        <v>4373.0113963915837</v>
      </c>
      <c r="BN144" s="126">
        <v>73554.452956591238</v>
      </c>
      <c r="BO144" s="126">
        <v>42228.136751942584</v>
      </c>
      <c r="BP144" s="126">
        <v>34644.905034490563</v>
      </c>
      <c r="BQ144" s="126">
        <v>187968.01141171469</v>
      </c>
      <c r="BR144" s="126">
        <v>7014.8380719978131</v>
      </c>
      <c r="BS144" s="126">
        <v>7788.6312659847381</v>
      </c>
      <c r="BT144" s="126">
        <v>38857.043995928063</v>
      </c>
      <c r="BU144" s="126">
        <v>0</v>
      </c>
      <c r="BV144" s="126">
        <v>303.20037420692762</v>
      </c>
      <c r="BW144" s="126">
        <v>46906.51459387027</v>
      </c>
      <c r="BX144" s="126">
        <v>166412.10916186325</v>
      </c>
      <c r="BY144" s="126">
        <v>146350.18793049303</v>
      </c>
      <c r="BZ144" s="126">
        <v>0</v>
      </c>
      <c r="CA144" s="137">
        <v>0</v>
      </c>
      <c r="CB144" s="126">
        <v>0</v>
      </c>
      <c r="CC144" s="126">
        <v>0</v>
      </c>
      <c r="CD144" s="126">
        <v>0</v>
      </c>
      <c r="CE144" s="126">
        <v>0</v>
      </c>
      <c r="CF144" s="126">
        <v>0</v>
      </c>
      <c r="CG144" s="137">
        <v>41131.567448922186</v>
      </c>
      <c r="CH144" s="126">
        <v>10140</v>
      </c>
      <c r="CI144" s="126">
        <v>30991.567448922186</v>
      </c>
      <c r="CJ144" s="120"/>
      <c r="CK144" s="138">
        <v>1182405.5924194308</v>
      </c>
      <c r="CL144" s="139">
        <v>36.017764874908032</v>
      </c>
      <c r="CM144" s="140">
        <v>976095.50999999989</v>
      </c>
      <c r="CN144" s="125">
        <v>2263.7200000000003</v>
      </c>
      <c r="CO144" s="125">
        <v>2263.7200000000003</v>
      </c>
      <c r="CP144" s="125">
        <v>0</v>
      </c>
      <c r="CQ144" s="125">
        <v>8828.66</v>
      </c>
      <c r="CR144" s="125">
        <v>4786.34</v>
      </c>
      <c r="CS144" s="125">
        <v>19976.440000000002</v>
      </c>
      <c r="CT144" s="125">
        <v>0</v>
      </c>
      <c r="CU144" s="141">
        <v>3546.2168674698792</v>
      </c>
      <c r="CV144" s="142">
        <v>-202763.86555196112</v>
      </c>
      <c r="CW144" s="143">
        <v>0</v>
      </c>
      <c r="CX144" s="140">
        <v>961884.69000000006</v>
      </c>
      <c r="CY144" s="140">
        <v>95442.09</v>
      </c>
    </row>
    <row r="145" spans="1:103" ht="12" customHeight="1" x14ac:dyDescent="0.25">
      <c r="A145" s="122">
        <v>141</v>
      </c>
      <c r="B145" s="123" t="s">
        <v>191</v>
      </c>
      <c r="C145" s="124">
        <v>3002.9</v>
      </c>
      <c r="D145" s="125">
        <v>3002.9</v>
      </c>
      <c r="E145" s="125">
        <v>0</v>
      </c>
      <c r="F145" s="125">
        <v>516.70000000000005</v>
      </c>
      <c r="G145" s="124">
        <v>3002.9</v>
      </c>
      <c r="H145" s="124">
        <v>3002.9</v>
      </c>
      <c r="I145" s="126">
        <v>1</v>
      </c>
      <c r="J145" s="126">
        <v>0</v>
      </c>
      <c r="K145" s="127">
        <v>1.6255102396369426E-3</v>
      </c>
      <c r="L145" s="127">
        <v>2.3135814249849551E-3</v>
      </c>
      <c r="M145" s="127"/>
      <c r="N145" s="127"/>
      <c r="O145" s="128" t="s">
        <v>1489</v>
      </c>
      <c r="P145" s="129" t="s">
        <v>51</v>
      </c>
      <c r="Q145" s="130">
        <v>6.91</v>
      </c>
      <c r="R145" s="130">
        <v>3.15</v>
      </c>
      <c r="S145" s="130">
        <v>1.81</v>
      </c>
      <c r="T145" s="38">
        <v>0.26</v>
      </c>
      <c r="U145" s="131">
        <v>45.06</v>
      </c>
      <c r="V145" s="144">
        <v>1</v>
      </c>
      <c r="W145" s="132">
        <v>2.4096385542168672E-3</v>
      </c>
      <c r="X145" s="133">
        <v>99246.149870602108</v>
      </c>
      <c r="Y145" s="134">
        <v>49063.83</v>
      </c>
      <c r="Z145" s="134">
        <v>9696.5311398119647</v>
      </c>
      <c r="AA145" s="134">
        <v>1889.5907582448747</v>
      </c>
      <c r="AB145" s="134">
        <v>1302.9679725452561</v>
      </c>
      <c r="AC145" s="126">
        <v>0</v>
      </c>
      <c r="AD145" s="126">
        <v>29249.759999999998</v>
      </c>
      <c r="AE145" s="126">
        <v>8043.47</v>
      </c>
      <c r="AF145" s="126">
        <v>0</v>
      </c>
      <c r="AG145" s="126">
        <v>0</v>
      </c>
      <c r="AH145" s="126">
        <v>0</v>
      </c>
      <c r="AI145" s="126">
        <v>0</v>
      </c>
      <c r="AJ145" s="126">
        <v>0</v>
      </c>
      <c r="AK145" s="126">
        <v>0</v>
      </c>
      <c r="AL145" s="126">
        <v>0</v>
      </c>
      <c r="AM145" s="126">
        <v>0</v>
      </c>
      <c r="AN145" s="126">
        <v>0</v>
      </c>
      <c r="AO145" s="126">
        <v>0</v>
      </c>
      <c r="AP145" s="126">
        <v>0</v>
      </c>
      <c r="AQ145" s="126">
        <v>0</v>
      </c>
      <c r="AR145" s="126">
        <v>0</v>
      </c>
      <c r="AS145" s="126">
        <v>0</v>
      </c>
      <c r="AT145" s="126">
        <v>0</v>
      </c>
      <c r="AU145" s="126">
        <v>0</v>
      </c>
      <c r="AV145" s="126">
        <v>0</v>
      </c>
      <c r="AW145" s="135">
        <v>320479.53409956477</v>
      </c>
      <c r="AX145" s="136">
        <v>288061.30600253027</v>
      </c>
      <c r="AY145" s="136">
        <v>19233.986030838962</v>
      </c>
      <c r="AZ145" s="126">
        <v>0</v>
      </c>
      <c r="BA145" s="126">
        <v>5812.3833164379448</v>
      </c>
      <c r="BB145" s="126">
        <v>0</v>
      </c>
      <c r="BC145" s="126">
        <v>0</v>
      </c>
      <c r="BD145" s="126">
        <v>1290.0235974407271</v>
      </c>
      <c r="BE145" s="126">
        <v>0</v>
      </c>
      <c r="BF145" s="126">
        <v>1690.3332346777297</v>
      </c>
      <c r="BG145" s="126">
        <v>846.31066809640856</v>
      </c>
      <c r="BH145" s="126">
        <v>3545.1912495427077</v>
      </c>
      <c r="BI145" s="137">
        <v>448013.41459516215</v>
      </c>
      <c r="BJ145" s="126">
        <v>3173.0635922212919</v>
      </c>
      <c r="BK145" s="126">
        <v>4515.0825910425447</v>
      </c>
      <c r="BL145" s="126">
        <v>4843.593795384596</v>
      </c>
      <c r="BM145" s="126">
        <v>4800.1301027979271</v>
      </c>
      <c r="BN145" s="126">
        <v>80738.628790930234</v>
      </c>
      <c r="BO145" s="126">
        <v>46352.623406224513</v>
      </c>
      <c r="BP145" s="126">
        <v>38028.72585739362</v>
      </c>
      <c r="BQ145" s="126">
        <v>206327.13435984869</v>
      </c>
      <c r="BR145" s="126">
        <v>7699.9880273429962</v>
      </c>
      <c r="BS145" s="126">
        <v>8549.3587851831599</v>
      </c>
      <c r="BT145" s="126">
        <v>42652.270868652406</v>
      </c>
      <c r="BU145" s="126">
        <v>0</v>
      </c>
      <c r="BV145" s="126">
        <v>332.81441814014073</v>
      </c>
      <c r="BW145" s="126">
        <v>51487.945561988905</v>
      </c>
      <c r="BX145" s="126">
        <v>182665.83419313491</v>
      </c>
      <c r="BY145" s="126">
        <v>160644.43445424482</v>
      </c>
      <c r="BZ145" s="126">
        <v>30582.51791810221</v>
      </c>
      <c r="CA145" s="137">
        <v>72509.919428716748</v>
      </c>
      <c r="CB145" s="126">
        <v>2596.14</v>
      </c>
      <c r="CC145" s="126">
        <v>69160.260607772841</v>
      </c>
      <c r="CD145" s="126">
        <v>0</v>
      </c>
      <c r="CE145" s="126">
        <v>0</v>
      </c>
      <c r="CF145" s="126">
        <v>753.51882094390419</v>
      </c>
      <c r="CG145" s="137">
        <v>46188.565206407293</v>
      </c>
      <c r="CH145" s="126">
        <v>12170.003999999999</v>
      </c>
      <c r="CI145" s="126">
        <v>34018.561206407292</v>
      </c>
      <c r="CJ145" s="120"/>
      <c r="CK145" s="138">
        <v>1411818.3153279237</v>
      </c>
      <c r="CL145" s="139">
        <v>39.179302100411924</v>
      </c>
      <c r="CM145" s="140">
        <v>1554224.81</v>
      </c>
      <c r="CN145" s="125">
        <v>2976</v>
      </c>
      <c r="CO145" s="125">
        <v>2976</v>
      </c>
      <c r="CP145" s="125">
        <v>0</v>
      </c>
      <c r="CQ145" s="125">
        <v>11608.56</v>
      </c>
      <c r="CR145" s="125">
        <v>6294.24</v>
      </c>
      <c r="CS145" s="125">
        <v>134456.66</v>
      </c>
      <c r="CT145" s="125">
        <v>0</v>
      </c>
      <c r="CU145" s="141">
        <v>886.55421686746979</v>
      </c>
      <c r="CV145" s="142">
        <v>143293.04888894386</v>
      </c>
      <c r="CW145" s="143">
        <v>0.10086743678417243</v>
      </c>
      <c r="CX145" s="140">
        <v>1543622.94</v>
      </c>
      <c r="CY145" s="140">
        <v>330787.08999999997</v>
      </c>
    </row>
    <row r="146" spans="1:103" ht="12" customHeight="1" x14ac:dyDescent="0.25">
      <c r="A146" s="122">
        <v>142</v>
      </c>
      <c r="B146" s="123" t="s">
        <v>192</v>
      </c>
      <c r="C146" s="124">
        <v>6958.9</v>
      </c>
      <c r="D146" s="125">
        <v>6930.2</v>
      </c>
      <c r="E146" s="125">
        <v>28.7</v>
      </c>
      <c r="F146" s="125">
        <v>1296.2</v>
      </c>
      <c r="G146" s="124">
        <v>6958.9</v>
      </c>
      <c r="H146" s="124">
        <v>6958.9</v>
      </c>
      <c r="I146" s="126">
        <v>4</v>
      </c>
      <c r="J146" s="126">
        <v>0</v>
      </c>
      <c r="K146" s="127">
        <v>7.1126531235239324E-3</v>
      </c>
      <c r="L146" s="127">
        <v>1.012340725249542E-2</v>
      </c>
      <c r="M146" s="127"/>
      <c r="N146" s="127"/>
      <c r="O146" s="128" t="s">
        <v>1489</v>
      </c>
      <c r="P146" s="129" t="s">
        <v>51</v>
      </c>
      <c r="Q146" s="130">
        <v>6.91</v>
      </c>
      <c r="R146" s="130">
        <v>3.15</v>
      </c>
      <c r="S146" s="130">
        <v>1.81</v>
      </c>
      <c r="T146" s="38">
        <v>0.26</v>
      </c>
      <c r="U146" s="131">
        <v>45.06</v>
      </c>
      <c r="V146" s="144">
        <v>4</v>
      </c>
      <c r="W146" s="132">
        <v>9.638554216867469E-3</v>
      </c>
      <c r="X146" s="133">
        <v>624889.28904743178</v>
      </c>
      <c r="Y146" s="134">
        <v>201290.57</v>
      </c>
      <c r="Z146" s="134">
        <v>22470.675196922133</v>
      </c>
      <c r="AA146" s="134">
        <v>4378.9247485931128</v>
      </c>
      <c r="AB146" s="134">
        <v>3019.4891019165411</v>
      </c>
      <c r="AC146" s="126">
        <v>163165.51999999999</v>
      </c>
      <c r="AD146" s="126">
        <v>75325.95</v>
      </c>
      <c r="AE146" s="126">
        <v>0</v>
      </c>
      <c r="AF146" s="126">
        <v>0</v>
      </c>
      <c r="AG146" s="126">
        <v>0</v>
      </c>
      <c r="AH146" s="126">
        <v>0</v>
      </c>
      <c r="AI146" s="126">
        <v>0</v>
      </c>
      <c r="AJ146" s="126">
        <v>0</v>
      </c>
      <c r="AK146" s="126">
        <v>0</v>
      </c>
      <c r="AL146" s="126">
        <v>0</v>
      </c>
      <c r="AM146" s="126">
        <v>0</v>
      </c>
      <c r="AN146" s="126">
        <v>0</v>
      </c>
      <c r="AO146" s="126">
        <v>154238.16</v>
      </c>
      <c r="AP146" s="126">
        <v>0</v>
      </c>
      <c r="AQ146" s="126">
        <v>0</v>
      </c>
      <c r="AR146" s="126">
        <v>0</v>
      </c>
      <c r="AS146" s="126">
        <v>1000</v>
      </c>
      <c r="AT146" s="126">
        <v>0</v>
      </c>
      <c r="AU146" s="126">
        <v>0</v>
      </c>
      <c r="AV146" s="126">
        <v>0</v>
      </c>
      <c r="AW146" s="135">
        <v>742677.0887626831</v>
      </c>
      <c r="AX146" s="136">
        <v>667551.30784941488</v>
      </c>
      <c r="AY146" s="136">
        <v>44572.708178762274</v>
      </c>
      <c r="AZ146" s="126">
        <v>0</v>
      </c>
      <c r="BA146" s="126">
        <v>13469.577495341173</v>
      </c>
      <c r="BB146" s="126">
        <v>0</v>
      </c>
      <c r="BC146" s="126">
        <v>0</v>
      </c>
      <c r="BD146" s="126">
        <v>2989.4918952446887</v>
      </c>
      <c r="BE146" s="126">
        <v>0</v>
      </c>
      <c r="BF146" s="126">
        <v>3917.1667211025515</v>
      </c>
      <c r="BG146" s="126">
        <v>1961.2345759819166</v>
      </c>
      <c r="BH146" s="126">
        <v>8215.6020468356419</v>
      </c>
      <c r="BI146" s="137">
        <v>1038223.2344820919</v>
      </c>
      <c r="BJ146" s="126">
        <v>7353.2359492186706</v>
      </c>
      <c r="BK146" s="126">
        <v>10463.22163335641</v>
      </c>
      <c r="BL146" s="126">
        <v>11224.511260015939</v>
      </c>
      <c r="BM146" s="126">
        <v>11123.788794951712</v>
      </c>
      <c r="BN146" s="126">
        <v>187103.14825442218</v>
      </c>
      <c r="BO146" s="126">
        <v>107417.25366198532</v>
      </c>
      <c r="BP146" s="126">
        <v>88127.51019648221</v>
      </c>
      <c r="BQ146" s="126">
        <v>478141.09537338937</v>
      </c>
      <c r="BR146" s="126">
        <v>17843.899791360742</v>
      </c>
      <c r="BS146" s="126">
        <v>19812.225798465181</v>
      </c>
      <c r="BT146" s="126">
        <v>98842.081903448401</v>
      </c>
      <c r="BU146" s="126">
        <v>0</v>
      </c>
      <c r="BV146" s="126">
        <v>771.26186499564585</v>
      </c>
      <c r="BW146" s="126">
        <v>119317.81423667941</v>
      </c>
      <c r="BX146" s="126">
        <v>423308.55958127358</v>
      </c>
      <c r="BY146" s="126">
        <v>372276.31786727638</v>
      </c>
      <c r="BZ146" s="126">
        <v>70871.718652063486</v>
      </c>
      <c r="CA146" s="137">
        <v>314751.39605350787</v>
      </c>
      <c r="CB146" s="126">
        <v>10384.56</v>
      </c>
      <c r="CC146" s="126">
        <v>302620.63667188794</v>
      </c>
      <c r="CD146" s="126">
        <v>0</v>
      </c>
      <c r="CE146" s="126">
        <v>0</v>
      </c>
      <c r="CF146" s="126">
        <v>1746.1993816199456</v>
      </c>
      <c r="CG146" s="137">
        <v>102834.38195719729</v>
      </c>
      <c r="CH146" s="126">
        <v>24000</v>
      </c>
      <c r="CI146" s="126">
        <v>78834.381957197285</v>
      </c>
      <c r="CJ146" s="120"/>
      <c r="CK146" s="138">
        <v>3809149.8006402049</v>
      </c>
      <c r="CL146" s="139">
        <v>45.614845744780126</v>
      </c>
      <c r="CM146" s="140">
        <v>3589400.5600000005</v>
      </c>
      <c r="CN146" s="125">
        <v>7480.54</v>
      </c>
      <c r="CO146" s="125">
        <v>7480.54</v>
      </c>
      <c r="CP146" s="125">
        <v>0</v>
      </c>
      <c r="CQ146" s="125">
        <v>29179.81</v>
      </c>
      <c r="CR146" s="125">
        <v>15821.869999999999</v>
      </c>
      <c r="CS146" s="125">
        <v>338497.16000000003</v>
      </c>
      <c r="CT146" s="125">
        <v>296032.27794859052</v>
      </c>
      <c r="CU146" s="141">
        <v>3546.2168674698792</v>
      </c>
      <c r="CV146" s="142">
        <v>79829.254175855778</v>
      </c>
      <c r="CW146" s="143">
        <v>-5.7689839502576445E-2</v>
      </c>
      <c r="CX146" s="140">
        <v>3552814.16</v>
      </c>
      <c r="CY146" s="140">
        <v>705629.46</v>
      </c>
    </row>
    <row r="147" spans="1:103" ht="12" customHeight="1" x14ac:dyDescent="0.25">
      <c r="A147" s="122">
        <v>143</v>
      </c>
      <c r="B147" s="123" t="s">
        <v>193</v>
      </c>
      <c r="C147" s="124">
        <v>3314.2</v>
      </c>
      <c r="D147" s="125">
        <v>3314.2</v>
      </c>
      <c r="E147" s="125">
        <v>0</v>
      </c>
      <c r="F147" s="125">
        <v>845.1</v>
      </c>
      <c r="G147" s="124">
        <v>3314.2</v>
      </c>
      <c r="H147" s="124">
        <v>3314.2</v>
      </c>
      <c r="I147" s="126">
        <v>1</v>
      </c>
      <c r="J147" s="126">
        <v>1</v>
      </c>
      <c r="K147" s="127">
        <v>3.7795523528643482E-3</v>
      </c>
      <c r="L147" s="127">
        <v>5.3794198923644903E-3</v>
      </c>
      <c r="M147" s="127"/>
      <c r="N147" s="127"/>
      <c r="O147" s="128" t="s">
        <v>1489</v>
      </c>
      <c r="P147" s="129" t="s">
        <v>51</v>
      </c>
      <c r="Q147" s="130">
        <v>6.91</v>
      </c>
      <c r="R147" s="130">
        <v>3.15</v>
      </c>
      <c r="S147" s="130">
        <v>1.81</v>
      </c>
      <c r="T147" s="38">
        <v>0.26</v>
      </c>
      <c r="U147" s="131">
        <v>45.06</v>
      </c>
      <c r="V147" s="144">
        <v>1</v>
      </c>
      <c r="W147" s="132">
        <v>2.4096385542168672E-3</v>
      </c>
      <c r="X147" s="133">
        <v>2489781.9561354523</v>
      </c>
      <c r="Y147" s="134">
        <v>31687.16</v>
      </c>
      <c r="Z147" s="134">
        <v>10701.736156237241</v>
      </c>
      <c r="AA147" s="134">
        <v>2085.4779349878995</v>
      </c>
      <c r="AB147" s="134">
        <v>1438.0420442270763</v>
      </c>
      <c r="AC147" s="126">
        <v>0</v>
      </c>
      <c r="AD147" s="126">
        <v>0</v>
      </c>
      <c r="AE147" s="126">
        <v>0</v>
      </c>
      <c r="AF147" s="126">
        <v>0</v>
      </c>
      <c r="AG147" s="126">
        <v>0</v>
      </c>
      <c r="AH147" s="126">
        <v>0</v>
      </c>
      <c r="AI147" s="126">
        <v>0</v>
      </c>
      <c r="AJ147" s="126">
        <v>0</v>
      </c>
      <c r="AK147" s="126">
        <v>0</v>
      </c>
      <c r="AL147" s="126">
        <v>0</v>
      </c>
      <c r="AM147" s="126">
        <v>0</v>
      </c>
      <c r="AN147" s="126">
        <v>0</v>
      </c>
      <c r="AO147" s="126">
        <v>0</v>
      </c>
      <c r="AP147" s="126">
        <v>2443869.54</v>
      </c>
      <c r="AQ147" s="126">
        <v>0</v>
      </c>
      <c r="AR147" s="126">
        <v>0</v>
      </c>
      <c r="AS147" s="126">
        <v>0</v>
      </c>
      <c r="AT147" s="126">
        <v>0</v>
      </c>
      <c r="AU147" s="126">
        <v>0</v>
      </c>
      <c r="AV147" s="126">
        <v>0</v>
      </c>
      <c r="AW147" s="135">
        <v>353702.51154310082</v>
      </c>
      <c r="AX147" s="136">
        <v>317923.60063724592</v>
      </c>
      <c r="AY147" s="136">
        <v>21227.905192782469</v>
      </c>
      <c r="AZ147" s="126">
        <v>0</v>
      </c>
      <c r="BA147" s="126">
        <v>6414.9324943683223</v>
      </c>
      <c r="BB147" s="126">
        <v>0</v>
      </c>
      <c r="BC147" s="126">
        <v>0</v>
      </c>
      <c r="BD147" s="126">
        <v>1423.7557716334402</v>
      </c>
      <c r="BE147" s="126">
        <v>0</v>
      </c>
      <c r="BF147" s="126">
        <v>1865.564090169147</v>
      </c>
      <c r="BG147" s="126">
        <v>934.04469552936064</v>
      </c>
      <c r="BH147" s="126">
        <v>3912.708661372154</v>
      </c>
      <c r="BI147" s="137">
        <v>494457.37741892372</v>
      </c>
      <c r="BJ147" s="126">
        <v>3502.0038487261663</v>
      </c>
      <c r="BK147" s="126">
        <v>4983.1452007170401</v>
      </c>
      <c r="BL147" s="126">
        <v>5345.7119972904948</v>
      </c>
      <c r="BM147" s="126">
        <v>5297.7425777391481</v>
      </c>
      <c r="BN147" s="126">
        <v>89108.516280562442</v>
      </c>
      <c r="BO147" s="126">
        <v>51157.835589899514</v>
      </c>
      <c r="BP147" s="126">
        <v>41971.029084076705</v>
      </c>
      <c r="BQ147" s="126">
        <v>227716.33710593442</v>
      </c>
      <c r="BR147" s="126">
        <v>8498.218495527708</v>
      </c>
      <c r="BS147" s="126">
        <v>9435.6405094588645</v>
      </c>
      <c r="BT147" s="126">
        <v>47073.880619696887</v>
      </c>
      <c r="BU147" s="126">
        <v>0</v>
      </c>
      <c r="BV147" s="126">
        <v>367.31610929436687</v>
      </c>
      <c r="BW147" s="126">
        <v>56825.518392734899</v>
      </c>
      <c r="BX147" s="126">
        <v>201602.15381227739</v>
      </c>
      <c r="BY147" s="126">
        <v>177297.87361159484</v>
      </c>
      <c r="BZ147" s="126">
        <v>33752.899158871202</v>
      </c>
      <c r="CA147" s="137">
        <v>167105.20708330857</v>
      </c>
      <c r="CB147" s="126">
        <v>5465.7120000000004</v>
      </c>
      <c r="CC147" s="126">
        <v>160807.86163684938</v>
      </c>
      <c r="CD147" s="126">
        <v>0</v>
      </c>
      <c r="CE147" s="126">
        <v>0</v>
      </c>
      <c r="CF147" s="126">
        <v>831.63344645918517</v>
      </c>
      <c r="CG147" s="137">
        <v>49205.14887671086</v>
      </c>
      <c r="CH147" s="126">
        <v>11660.003999999999</v>
      </c>
      <c r="CI147" s="126">
        <v>37545.14487671086</v>
      </c>
      <c r="CJ147" s="120"/>
      <c r="CK147" s="138">
        <v>4023730.6460329746</v>
      </c>
      <c r="CL147" s="139">
        <v>101.17400493917523</v>
      </c>
      <c r="CM147" s="140">
        <v>1718480.9500000002</v>
      </c>
      <c r="CN147" s="125">
        <v>2838.7200000000003</v>
      </c>
      <c r="CO147" s="125">
        <v>2838.7200000000003</v>
      </c>
      <c r="CP147" s="125">
        <v>0</v>
      </c>
      <c r="CQ147" s="125">
        <v>11065.08</v>
      </c>
      <c r="CR147" s="125">
        <v>6006.6</v>
      </c>
      <c r="CS147" s="125">
        <v>220473.40000000002</v>
      </c>
      <c r="CT147" s="125">
        <v>0</v>
      </c>
      <c r="CU147" s="141">
        <v>886.55421686746979</v>
      </c>
      <c r="CV147" s="142">
        <v>-2304363.1418161066</v>
      </c>
      <c r="CW147" s="143">
        <v>0</v>
      </c>
      <c r="CX147" s="140">
        <v>1758964.26</v>
      </c>
      <c r="CY147" s="140">
        <v>175983.80000000002</v>
      </c>
    </row>
    <row r="148" spans="1:103" ht="12" customHeight="1" x14ac:dyDescent="0.25">
      <c r="A148" s="122">
        <v>144</v>
      </c>
      <c r="B148" s="123" t="s">
        <v>194</v>
      </c>
      <c r="C148" s="124">
        <v>7068.4</v>
      </c>
      <c r="D148" s="125">
        <v>7068.4</v>
      </c>
      <c r="E148" s="125">
        <v>0</v>
      </c>
      <c r="F148" s="125">
        <v>1732.7</v>
      </c>
      <c r="G148" s="124">
        <v>7068.4</v>
      </c>
      <c r="H148" s="124">
        <v>7068.4</v>
      </c>
      <c r="I148" s="126">
        <v>4</v>
      </c>
      <c r="J148" s="126">
        <v>0</v>
      </c>
      <c r="K148" s="127">
        <v>6.7310163620634836E-3</v>
      </c>
      <c r="L148" s="127">
        <v>9.5802253635867939E-3</v>
      </c>
      <c r="M148" s="127"/>
      <c r="N148" s="127"/>
      <c r="O148" s="128" t="s">
        <v>1489</v>
      </c>
      <c r="P148" s="129" t="s">
        <v>51</v>
      </c>
      <c r="Q148" s="130">
        <v>6.91</v>
      </c>
      <c r="R148" s="130">
        <v>3.15</v>
      </c>
      <c r="S148" s="130">
        <v>1.81</v>
      </c>
      <c r="T148" s="38">
        <v>0.26</v>
      </c>
      <c r="U148" s="131">
        <v>45.06</v>
      </c>
      <c r="V148" s="144">
        <v>4</v>
      </c>
      <c r="W148" s="132">
        <v>9.638554216867469E-3</v>
      </c>
      <c r="X148" s="133">
        <v>366798.77649684099</v>
      </c>
      <c r="Y148" s="134">
        <v>47701.04</v>
      </c>
      <c r="Z148" s="134">
        <v>22824.25678798724</v>
      </c>
      <c r="AA148" s="134">
        <v>4447.8282045949154</v>
      </c>
      <c r="AB148" s="134">
        <v>3067.0015042588457</v>
      </c>
      <c r="AC148" s="126">
        <v>0</v>
      </c>
      <c r="AD148" s="126">
        <v>132168.10999999999</v>
      </c>
      <c r="AE148" s="126">
        <v>0</v>
      </c>
      <c r="AF148" s="126">
        <v>0</v>
      </c>
      <c r="AG148" s="126">
        <v>0</v>
      </c>
      <c r="AH148" s="126">
        <v>0</v>
      </c>
      <c r="AI148" s="126">
        <v>0</v>
      </c>
      <c r="AJ148" s="126">
        <v>0</v>
      </c>
      <c r="AK148" s="126">
        <v>0</v>
      </c>
      <c r="AL148" s="126">
        <v>0</v>
      </c>
      <c r="AM148" s="126">
        <v>0</v>
      </c>
      <c r="AN148" s="126">
        <v>0</v>
      </c>
      <c r="AO148" s="126">
        <v>0</v>
      </c>
      <c r="AP148" s="126">
        <v>156590.54</v>
      </c>
      <c r="AQ148" s="126">
        <v>0</v>
      </c>
      <c r="AR148" s="126">
        <v>0</v>
      </c>
      <c r="AS148" s="126">
        <v>0</v>
      </c>
      <c r="AT148" s="126">
        <v>0</v>
      </c>
      <c r="AU148" s="126">
        <v>0</v>
      </c>
      <c r="AV148" s="126">
        <v>0</v>
      </c>
      <c r="AW148" s="135">
        <v>754363.29509119957</v>
      </c>
      <c r="AX148" s="136">
        <v>678055.39157090976</v>
      </c>
      <c r="AY148" s="136">
        <v>45274.070685131737</v>
      </c>
      <c r="AZ148" s="126">
        <v>0</v>
      </c>
      <c r="BA148" s="126">
        <v>13681.524604185943</v>
      </c>
      <c r="BB148" s="126">
        <v>0</v>
      </c>
      <c r="BC148" s="126">
        <v>0</v>
      </c>
      <c r="BD148" s="126">
        <v>3036.5322841753086</v>
      </c>
      <c r="BE148" s="126">
        <v>0</v>
      </c>
      <c r="BF148" s="126">
        <v>3978.8043011742193</v>
      </c>
      <c r="BG148" s="126">
        <v>1992.0950835434592</v>
      </c>
      <c r="BH148" s="126">
        <v>8344.8765620792146</v>
      </c>
      <c r="BI148" s="137">
        <v>1054559.9319739065</v>
      </c>
      <c r="BJ148" s="126">
        <v>7468.9409221942051</v>
      </c>
      <c r="BK148" s="126">
        <v>10627.862994613581</v>
      </c>
      <c r="BL148" s="126">
        <v>11401.131700455051</v>
      </c>
      <c r="BM148" s="126">
        <v>11298.82434267437</v>
      </c>
      <c r="BN148" s="126">
        <v>190047.26222844957</v>
      </c>
      <c r="BO148" s="126">
        <v>109107.49052068245</v>
      </c>
      <c r="BP148" s="126">
        <v>89514.218205868005</v>
      </c>
      <c r="BQ148" s="126">
        <v>485664.76289891585</v>
      </c>
      <c r="BR148" s="126">
        <v>18124.677935486106</v>
      </c>
      <c r="BS148" s="126">
        <v>20123.976035561838</v>
      </c>
      <c r="BT148" s="126">
        <v>100397.38632920932</v>
      </c>
      <c r="BU148" s="126">
        <v>0</v>
      </c>
      <c r="BV148" s="126">
        <v>783.39785979612054</v>
      </c>
      <c r="BW148" s="126">
        <v>121195.30933776095</v>
      </c>
      <c r="BX148" s="126">
        <v>429969.42369401408</v>
      </c>
      <c r="BY148" s="126">
        <v>378134.17712757131</v>
      </c>
      <c r="BZ148" s="126">
        <v>71986.90254497774</v>
      </c>
      <c r="CA148" s="137">
        <v>298541.4496044899</v>
      </c>
      <c r="CB148" s="126">
        <v>10384.56</v>
      </c>
      <c r="CC148" s="126">
        <v>286383.21334688563</v>
      </c>
      <c r="CD148" s="126">
        <v>0</v>
      </c>
      <c r="CE148" s="126">
        <v>0</v>
      </c>
      <c r="CF148" s="126">
        <v>1773.67625760428</v>
      </c>
      <c r="CG148" s="137">
        <v>104374.86031215469</v>
      </c>
      <c r="CH148" s="126">
        <v>24300</v>
      </c>
      <c r="CI148" s="126">
        <v>80074.860312154691</v>
      </c>
      <c r="CJ148" s="120"/>
      <c r="CK148" s="138">
        <v>3579924.1261829152</v>
      </c>
      <c r="CL148" s="139">
        <v>42.20573404380665</v>
      </c>
      <c r="CM148" s="140">
        <v>3666576.86</v>
      </c>
      <c r="CN148" s="125">
        <v>10055.540000000001</v>
      </c>
      <c r="CO148" s="125">
        <v>10055.540000000001</v>
      </c>
      <c r="CP148" s="125">
        <v>0</v>
      </c>
      <c r="CQ148" s="125">
        <v>39215.67</v>
      </c>
      <c r="CR148" s="125">
        <v>21265.010000000002</v>
      </c>
      <c r="CS148" s="125">
        <v>455332.29000000004</v>
      </c>
      <c r="CT148" s="125">
        <v>0</v>
      </c>
      <c r="CU148" s="141">
        <v>3546.2168674698792</v>
      </c>
      <c r="CV148" s="142">
        <v>90198.950684554409</v>
      </c>
      <c r="CW148" s="143">
        <v>2.4205187250568416E-2</v>
      </c>
      <c r="CX148" s="140">
        <v>3585741.49</v>
      </c>
      <c r="CY148" s="140">
        <v>611207.66999999993</v>
      </c>
    </row>
    <row r="149" spans="1:103" ht="12" customHeight="1" x14ac:dyDescent="0.25">
      <c r="A149" s="122">
        <v>145</v>
      </c>
      <c r="B149" s="123" t="s">
        <v>195</v>
      </c>
      <c r="C149" s="124">
        <v>6953.13</v>
      </c>
      <c r="D149" s="125">
        <v>6953.13</v>
      </c>
      <c r="E149" s="125">
        <v>0</v>
      </c>
      <c r="F149" s="125">
        <v>1296.2</v>
      </c>
      <c r="G149" s="124">
        <v>6953.13</v>
      </c>
      <c r="H149" s="124">
        <v>6953.13</v>
      </c>
      <c r="I149" s="126">
        <v>4</v>
      </c>
      <c r="J149" s="126">
        <v>0</v>
      </c>
      <c r="K149" s="127">
        <v>6.7310163620634836E-3</v>
      </c>
      <c r="L149" s="127">
        <v>9.5802253635867939E-3</v>
      </c>
      <c r="M149" s="127"/>
      <c r="N149" s="127"/>
      <c r="O149" s="128" t="s">
        <v>1489</v>
      </c>
      <c r="P149" s="129" t="s">
        <v>51</v>
      </c>
      <c r="Q149" s="130">
        <v>6.91</v>
      </c>
      <c r="R149" s="130">
        <v>3.15</v>
      </c>
      <c r="S149" s="130">
        <v>1.81</v>
      </c>
      <c r="T149" s="38">
        <v>0.26</v>
      </c>
      <c r="U149" s="131">
        <v>45.06</v>
      </c>
      <c r="V149" s="144">
        <v>4</v>
      </c>
      <c r="W149" s="132">
        <v>9.638554216867469E-3</v>
      </c>
      <c r="X149" s="133">
        <v>306015.90816785442</v>
      </c>
      <c r="Y149" s="134">
        <v>81102.149999999994</v>
      </c>
      <c r="Z149" s="134">
        <v>22452.043545959161</v>
      </c>
      <c r="AA149" s="134">
        <v>4375.293945477767</v>
      </c>
      <c r="AB149" s="134">
        <v>3016.9854803501935</v>
      </c>
      <c r="AC149" s="126">
        <v>0</v>
      </c>
      <c r="AD149" s="126">
        <v>76201.69</v>
      </c>
      <c r="AE149" s="126">
        <v>0</v>
      </c>
      <c r="AF149" s="126">
        <v>0</v>
      </c>
      <c r="AG149" s="126">
        <v>51091.66</v>
      </c>
      <c r="AH149" s="126">
        <v>0</v>
      </c>
      <c r="AI149" s="126">
        <v>0</v>
      </c>
      <c r="AJ149" s="126">
        <v>0</v>
      </c>
      <c r="AK149" s="126">
        <v>17075.3</v>
      </c>
      <c r="AL149" s="126">
        <v>0</v>
      </c>
      <c r="AM149" s="126">
        <v>0</v>
      </c>
      <c r="AN149" s="126">
        <v>0</v>
      </c>
      <c r="AO149" s="126">
        <v>0</v>
      </c>
      <c r="AP149" s="126">
        <v>0</v>
      </c>
      <c r="AQ149" s="126">
        <v>0</v>
      </c>
      <c r="AR149" s="126">
        <v>0</v>
      </c>
      <c r="AS149" s="126">
        <v>0</v>
      </c>
      <c r="AT149" s="126">
        <v>50700.785196067329</v>
      </c>
      <c r="AU149" s="126">
        <v>0</v>
      </c>
      <c r="AV149" s="126">
        <v>0</v>
      </c>
      <c r="AW149" s="135">
        <v>742061.29505934473</v>
      </c>
      <c r="AX149" s="136">
        <v>666997.80499030044</v>
      </c>
      <c r="AY149" s="136">
        <v>44535.750538015687</v>
      </c>
      <c r="AZ149" s="126">
        <v>0</v>
      </c>
      <c r="BA149" s="126">
        <v>13458.409140838578</v>
      </c>
      <c r="BB149" s="126">
        <v>0</v>
      </c>
      <c r="BC149" s="126">
        <v>0</v>
      </c>
      <c r="BD149" s="126">
        <v>2987.0131459832305</v>
      </c>
      <c r="BE149" s="126">
        <v>0</v>
      </c>
      <c r="BF149" s="126">
        <v>3913.9187865179533</v>
      </c>
      <c r="BG149" s="126">
        <v>1959.6084104236509</v>
      </c>
      <c r="BH149" s="126">
        <v>8208.7900472652727</v>
      </c>
      <c r="BI149" s="137">
        <v>1037362.3875001031</v>
      </c>
      <c r="BJ149" s="126">
        <v>7347.1389839760341</v>
      </c>
      <c r="BK149" s="126">
        <v>10454.546010941307</v>
      </c>
      <c r="BL149" s="126">
        <v>11215.204411236637</v>
      </c>
      <c r="BM149" s="126">
        <v>11114.565460610527</v>
      </c>
      <c r="BN149" s="126">
        <v>186948.01092446659</v>
      </c>
      <c r="BO149" s="126">
        <v>107328.18821290147</v>
      </c>
      <c r="BP149" s="126">
        <v>88054.438915987645</v>
      </c>
      <c r="BQ149" s="126">
        <v>477744.64275583427</v>
      </c>
      <c r="BR149" s="126">
        <v>17829.104449884915</v>
      </c>
      <c r="BS149" s="126">
        <v>19795.798411542371</v>
      </c>
      <c r="BT149" s="126">
        <v>98760.126592611516</v>
      </c>
      <c r="BU149" s="126">
        <v>0</v>
      </c>
      <c r="BV149" s="126">
        <v>770.62237010981266</v>
      </c>
      <c r="BW149" s="126">
        <v>119218.8813898005</v>
      </c>
      <c r="BX149" s="126">
        <v>422957.57158190821</v>
      </c>
      <c r="BY149" s="126">
        <v>371967.64345693938</v>
      </c>
      <c r="BZ149" s="126">
        <v>70812.955080719985</v>
      </c>
      <c r="CA149" s="137">
        <v>298512.52486024593</v>
      </c>
      <c r="CB149" s="126">
        <v>10384.56</v>
      </c>
      <c r="CC149" s="126">
        <v>286383.21334688563</v>
      </c>
      <c r="CD149" s="126">
        <v>0</v>
      </c>
      <c r="CE149" s="126">
        <v>0</v>
      </c>
      <c r="CF149" s="126">
        <v>1744.7515133603144</v>
      </c>
      <c r="CG149" s="137">
        <v>102919.01611146117</v>
      </c>
      <c r="CH149" s="126">
        <v>24150</v>
      </c>
      <c r="CI149" s="126">
        <v>78769.016111461169</v>
      </c>
      <c r="CJ149" s="120"/>
      <c r="CK149" s="138">
        <v>3471828.1832083771</v>
      </c>
      <c r="CL149" s="139">
        <v>41.609895869538576</v>
      </c>
      <c r="CM149" s="140">
        <v>3578227.0199999996</v>
      </c>
      <c r="CN149" s="125">
        <v>7524.71</v>
      </c>
      <c r="CO149" s="125">
        <v>7524.71</v>
      </c>
      <c r="CP149" s="125">
        <v>0</v>
      </c>
      <c r="CQ149" s="125">
        <v>29299.93</v>
      </c>
      <c r="CR149" s="125">
        <v>15913.32</v>
      </c>
      <c r="CS149" s="125">
        <v>340663.87</v>
      </c>
      <c r="CT149" s="125">
        <v>0</v>
      </c>
      <c r="CU149" s="141">
        <v>3546.2168674698792</v>
      </c>
      <c r="CV149" s="142">
        <v>109945.05365909217</v>
      </c>
      <c r="CW149" s="143">
        <v>3.0646342842144181E-2</v>
      </c>
      <c r="CX149" s="140">
        <v>3502957.25</v>
      </c>
      <c r="CY149" s="140">
        <v>1035270.62</v>
      </c>
    </row>
    <row r="150" spans="1:103" ht="12" customHeight="1" x14ac:dyDescent="0.25">
      <c r="A150" s="122">
        <v>146</v>
      </c>
      <c r="B150" s="123" t="s">
        <v>196</v>
      </c>
      <c r="C150" s="124">
        <v>2231.3000000000002</v>
      </c>
      <c r="D150" s="125">
        <v>2231.3000000000002</v>
      </c>
      <c r="E150" s="125">
        <v>0</v>
      </c>
      <c r="F150" s="125">
        <v>485.7</v>
      </c>
      <c r="G150" s="124">
        <v>2231.3000000000002</v>
      </c>
      <c r="H150" s="124">
        <v>2231.3000000000002</v>
      </c>
      <c r="I150" s="126">
        <v>1</v>
      </c>
      <c r="J150" s="126">
        <v>0</v>
      </c>
      <c r="K150" s="127">
        <v>1.6827540905158709E-3</v>
      </c>
      <c r="L150" s="127">
        <v>2.3950563408966985E-3</v>
      </c>
      <c r="M150" s="127"/>
      <c r="N150" s="127"/>
      <c r="O150" s="128" t="s">
        <v>1489</v>
      </c>
      <c r="P150" s="129" t="s">
        <v>51</v>
      </c>
      <c r="Q150" s="130">
        <v>6.91</v>
      </c>
      <c r="R150" s="130">
        <v>3.15</v>
      </c>
      <c r="S150" s="130">
        <v>1.81</v>
      </c>
      <c r="T150" s="38">
        <v>0.26</v>
      </c>
      <c r="U150" s="131">
        <v>45.06</v>
      </c>
      <c r="V150" s="144">
        <v>1</v>
      </c>
      <c r="W150" s="132">
        <v>2.4096385542168672E-3</v>
      </c>
      <c r="X150" s="133">
        <v>69646.987432573325</v>
      </c>
      <c r="Y150" s="134">
        <v>60069.77</v>
      </c>
      <c r="Z150" s="134">
        <v>7204.9918186627719</v>
      </c>
      <c r="AA150" s="134">
        <v>1404.0573641718968</v>
      </c>
      <c r="AB150" s="134">
        <v>968.16824973866267</v>
      </c>
      <c r="AC150" s="126">
        <v>0</v>
      </c>
      <c r="AD150" s="126">
        <v>0</v>
      </c>
      <c r="AE150" s="126">
        <v>0</v>
      </c>
      <c r="AF150" s="126">
        <v>0</v>
      </c>
      <c r="AG150" s="126">
        <v>0</v>
      </c>
      <c r="AH150" s="126">
        <v>0</v>
      </c>
      <c r="AI150" s="126">
        <v>0</v>
      </c>
      <c r="AJ150" s="126">
        <v>0</v>
      </c>
      <c r="AK150" s="126">
        <v>0</v>
      </c>
      <c r="AL150" s="126">
        <v>0</v>
      </c>
      <c r="AM150" s="126">
        <v>0</v>
      </c>
      <c r="AN150" s="126">
        <v>0</v>
      </c>
      <c r="AO150" s="126">
        <v>0</v>
      </c>
      <c r="AP150" s="126">
        <v>0</v>
      </c>
      <c r="AQ150" s="126">
        <v>0</v>
      </c>
      <c r="AR150" s="126">
        <v>0</v>
      </c>
      <c r="AS150" s="126">
        <v>0</v>
      </c>
      <c r="AT150" s="126">
        <v>0</v>
      </c>
      <c r="AU150" s="126">
        <v>0</v>
      </c>
      <c r="AV150" s="126">
        <v>0</v>
      </c>
      <c r="AW150" s="135">
        <v>238131.80073807281</v>
      </c>
      <c r="AX150" s="136">
        <v>214043.48865544834</v>
      </c>
      <c r="AY150" s="136">
        <v>14291.78228732591</v>
      </c>
      <c r="AZ150" s="126">
        <v>0</v>
      </c>
      <c r="BA150" s="126">
        <v>4318.8820453454946</v>
      </c>
      <c r="BB150" s="126">
        <v>0</v>
      </c>
      <c r="BC150" s="126">
        <v>0</v>
      </c>
      <c r="BD150" s="126">
        <v>958.54995270221934</v>
      </c>
      <c r="BE150" s="126">
        <v>0</v>
      </c>
      <c r="BF150" s="126">
        <v>1255.9993827754565</v>
      </c>
      <c r="BG150" s="126">
        <v>628.84977645726349</v>
      </c>
      <c r="BH150" s="126">
        <v>2634.2486380181308</v>
      </c>
      <c r="BI150" s="137">
        <v>529642.18075068539</v>
      </c>
      <c r="BJ150" s="126">
        <v>2357.739782651227</v>
      </c>
      <c r="BK150" s="126">
        <v>3354.9248344577677</v>
      </c>
      <c r="BL150" s="126">
        <v>3599.0245548108992</v>
      </c>
      <c r="BM150" s="126">
        <v>3566.7289281604499</v>
      </c>
      <c r="BN150" s="126">
        <v>59992.707856139947</v>
      </c>
      <c r="BO150" s="126">
        <v>34442.242034802606</v>
      </c>
      <c r="BP150" s="126">
        <v>28257.183391255916</v>
      </c>
      <c r="BQ150" s="126">
        <v>153311.04428956355</v>
      </c>
      <c r="BR150" s="126">
        <v>5721.4636802459054</v>
      </c>
      <c r="BS150" s="126">
        <v>6352.5872514499933</v>
      </c>
      <c r="BT150" s="126">
        <v>31692.701052057717</v>
      </c>
      <c r="BU150" s="126">
        <v>196746.53587866653</v>
      </c>
      <c r="BV150" s="126">
        <v>247.29721642282328</v>
      </c>
      <c r="BW150" s="126">
        <v>38258.034877107413</v>
      </c>
      <c r="BX150" s="126">
        <v>135729.55337678309</v>
      </c>
      <c r="BY150" s="126">
        <v>119366.58783101551</v>
      </c>
      <c r="BZ150" s="126">
        <v>22724.290595977709</v>
      </c>
      <c r="CA150" s="137">
        <v>74751.844280866106</v>
      </c>
      <c r="CB150" s="126">
        <v>2596.14</v>
      </c>
      <c r="CC150" s="126">
        <v>71595.803336721408</v>
      </c>
      <c r="CD150" s="126">
        <v>0</v>
      </c>
      <c r="CE150" s="126">
        <v>0</v>
      </c>
      <c r="CF150" s="126">
        <v>559.90094414470468</v>
      </c>
      <c r="CG150" s="137">
        <v>34397.43701750195</v>
      </c>
      <c r="CH150" s="126">
        <v>9120</v>
      </c>
      <c r="CI150" s="126">
        <v>25277.43701750195</v>
      </c>
      <c r="CJ150" s="120"/>
      <c r="CK150" s="138">
        <v>1262648.7169005834</v>
      </c>
      <c r="CL150" s="150">
        <v>47.156691797777945</v>
      </c>
      <c r="CM150" s="140">
        <v>1135462.42</v>
      </c>
      <c r="CN150" s="125">
        <v>2797.2099999999996</v>
      </c>
      <c r="CO150" s="125">
        <v>2797.2099999999996</v>
      </c>
      <c r="CP150" s="125">
        <v>0</v>
      </c>
      <c r="CQ150" s="125">
        <v>10912.8</v>
      </c>
      <c r="CR150" s="125">
        <v>5917.5599999999995</v>
      </c>
      <c r="CS150" s="125">
        <v>126718.62000000001</v>
      </c>
      <c r="CT150" s="125">
        <v>0</v>
      </c>
      <c r="CU150" s="141">
        <v>886.55421686746979</v>
      </c>
      <c r="CV150" s="142">
        <v>-126299.74268371589</v>
      </c>
      <c r="CW150" s="143">
        <v>0</v>
      </c>
      <c r="CX150" s="140">
        <v>1086530.74</v>
      </c>
      <c r="CY150" s="140">
        <v>291997.88</v>
      </c>
    </row>
    <row r="151" spans="1:103" ht="12" customHeight="1" x14ac:dyDescent="0.25">
      <c r="A151" s="122">
        <v>147</v>
      </c>
      <c r="B151" s="123" t="s">
        <v>197</v>
      </c>
      <c r="C151" s="124">
        <v>3500.1</v>
      </c>
      <c r="D151" s="125">
        <v>3454.1</v>
      </c>
      <c r="E151" s="125">
        <v>46</v>
      </c>
      <c r="F151" s="125">
        <v>221.6</v>
      </c>
      <c r="G151" s="124">
        <v>3500.1</v>
      </c>
      <c r="H151" s="124"/>
      <c r="I151" s="126">
        <v>0</v>
      </c>
      <c r="J151" s="126">
        <v>0</v>
      </c>
      <c r="K151" s="127">
        <v>0</v>
      </c>
      <c r="L151" s="127">
        <v>0</v>
      </c>
      <c r="M151" s="127"/>
      <c r="N151" s="127"/>
      <c r="O151" s="128" t="s">
        <v>1489</v>
      </c>
      <c r="P151" s="129" t="s">
        <v>51</v>
      </c>
      <c r="Q151" s="130">
        <v>6.92</v>
      </c>
      <c r="R151" s="130">
        <v>3.15</v>
      </c>
      <c r="S151" s="130">
        <v>0</v>
      </c>
      <c r="T151" s="38">
        <v>0.26</v>
      </c>
      <c r="U151" s="131">
        <v>31</v>
      </c>
      <c r="V151" s="144">
        <v>4</v>
      </c>
      <c r="W151" s="132">
        <v>9.638554216867469E-3</v>
      </c>
      <c r="X151" s="133">
        <v>299961.08874591044</v>
      </c>
      <c r="Y151" s="134">
        <v>34388.94</v>
      </c>
      <c r="Z151" s="134">
        <v>11302.017597141381</v>
      </c>
      <c r="AA151" s="134">
        <v>2202.4564963644762</v>
      </c>
      <c r="AB151" s="134">
        <v>1518.7046524045591</v>
      </c>
      <c r="AC151" s="126">
        <v>0</v>
      </c>
      <c r="AD151" s="126">
        <v>52666.34</v>
      </c>
      <c r="AE151" s="126">
        <v>0</v>
      </c>
      <c r="AF151" s="126">
        <v>0</v>
      </c>
      <c r="AG151" s="126">
        <v>0</v>
      </c>
      <c r="AH151" s="126">
        <v>0</v>
      </c>
      <c r="AI151" s="126">
        <v>4768.43</v>
      </c>
      <c r="AJ151" s="126">
        <v>0</v>
      </c>
      <c r="AK151" s="126">
        <v>0</v>
      </c>
      <c r="AL151" s="126">
        <v>0</v>
      </c>
      <c r="AM151" s="126">
        <v>0</v>
      </c>
      <c r="AN151" s="126">
        <v>193114.2</v>
      </c>
      <c r="AO151" s="126">
        <v>0</v>
      </c>
      <c r="AP151" s="126">
        <v>0</v>
      </c>
      <c r="AQ151" s="126">
        <v>0</v>
      </c>
      <c r="AR151" s="126">
        <v>0</v>
      </c>
      <c r="AS151" s="126">
        <v>0</v>
      </c>
      <c r="AT151" s="126">
        <v>0</v>
      </c>
      <c r="AU151" s="126">
        <v>0</v>
      </c>
      <c r="AV151" s="126">
        <v>0</v>
      </c>
      <c r="AW151" s="135">
        <v>445689.36946521251</v>
      </c>
      <c r="AX151" s="136">
        <v>335756.56103748252</v>
      </c>
      <c r="AY151" s="136">
        <v>22418.620169349444</v>
      </c>
      <c r="AZ151" s="126">
        <v>0</v>
      </c>
      <c r="BA151" s="126">
        <v>6774.7586818956506</v>
      </c>
      <c r="BB151" s="126">
        <v>0</v>
      </c>
      <c r="BC151" s="126">
        <v>72146.987999999998</v>
      </c>
      <c r="BD151" s="126">
        <v>1503.6170346672513</v>
      </c>
      <c r="BE151" s="126">
        <v>0</v>
      </c>
      <c r="BF151" s="126">
        <v>1970.2072512223256</v>
      </c>
      <c r="BG151" s="126">
        <v>986.43710060416242</v>
      </c>
      <c r="BH151" s="126">
        <v>4132.1801899911525</v>
      </c>
      <c r="BI151" s="137">
        <v>522192.46475890867</v>
      </c>
      <c r="BJ151" s="126">
        <v>3698.4381361796077</v>
      </c>
      <c r="BK151" s="126">
        <v>5262.6596213353787</v>
      </c>
      <c r="BL151" s="126">
        <v>5645.5635030222866</v>
      </c>
      <c r="BM151" s="126">
        <v>5594.9033843294892</v>
      </c>
      <c r="BN151" s="126">
        <v>94106.788315007128</v>
      </c>
      <c r="BO151" s="126">
        <v>54027.379261422757</v>
      </c>
      <c r="BP151" s="126">
        <v>44325.266700011125</v>
      </c>
      <c r="BQ151" s="126">
        <v>240489.39457621178</v>
      </c>
      <c r="BR151" s="126">
        <v>8974.9002945496759</v>
      </c>
      <c r="BS151" s="126">
        <v>9964.9041539910013</v>
      </c>
      <c r="BT151" s="126">
        <v>49714.347220143951</v>
      </c>
      <c r="BU151" s="126">
        <v>0</v>
      </c>
      <c r="BV151" s="126">
        <v>387.9195927044878</v>
      </c>
      <c r="BW151" s="126">
        <v>60012.973546077912</v>
      </c>
      <c r="BX151" s="126">
        <v>212910.41535162393</v>
      </c>
      <c r="BY151" s="126">
        <v>187242.8602461961</v>
      </c>
      <c r="BZ151" s="126">
        <v>0</v>
      </c>
      <c r="CA151" s="137">
        <v>0</v>
      </c>
      <c r="CB151" s="126">
        <v>0</v>
      </c>
      <c r="CC151" s="126">
        <v>0</v>
      </c>
      <c r="CD151" s="126">
        <v>0</v>
      </c>
      <c r="CE151" s="126">
        <v>0</v>
      </c>
      <c r="CF151" s="126">
        <v>0</v>
      </c>
      <c r="CG151" s="137">
        <v>53001.125937775541</v>
      </c>
      <c r="CH151" s="126">
        <v>13350</v>
      </c>
      <c r="CI151" s="126">
        <v>39651.125937775541</v>
      </c>
      <c r="CJ151" s="120"/>
      <c r="CK151" s="138">
        <v>1781010.2980517051</v>
      </c>
      <c r="CL151" s="139">
        <v>42.403795559453187</v>
      </c>
      <c r="CM151" s="140">
        <v>1229359.9500000002</v>
      </c>
      <c r="CN151" s="125">
        <v>1362.8500000000001</v>
      </c>
      <c r="CO151" s="125">
        <v>1362.22</v>
      </c>
      <c r="CP151" s="125">
        <v>0</v>
      </c>
      <c r="CQ151" s="125">
        <v>5315.4900000000007</v>
      </c>
      <c r="CR151" s="125">
        <v>2881.9000000000005</v>
      </c>
      <c r="CS151" s="125">
        <v>12042.580000000002</v>
      </c>
      <c r="CT151" s="125">
        <v>148894.59196825096</v>
      </c>
      <c r="CU151" s="141">
        <v>3546.2168674698792</v>
      </c>
      <c r="CV151" s="142">
        <v>-399209.53921598406</v>
      </c>
      <c r="CW151" s="143">
        <v>0</v>
      </c>
      <c r="CX151" s="140">
        <v>1193332.9499999997</v>
      </c>
      <c r="CY151" s="140">
        <v>500164.11</v>
      </c>
    </row>
    <row r="152" spans="1:103" ht="12" customHeight="1" x14ac:dyDescent="0.25">
      <c r="A152" s="122">
        <v>148</v>
      </c>
      <c r="B152" s="123" t="s">
        <v>198</v>
      </c>
      <c r="C152" s="124">
        <v>4927</v>
      </c>
      <c r="D152" s="125">
        <v>4927</v>
      </c>
      <c r="E152" s="125">
        <v>0</v>
      </c>
      <c r="F152" s="125">
        <v>436.6</v>
      </c>
      <c r="G152" s="124">
        <v>4927</v>
      </c>
      <c r="H152" s="124"/>
      <c r="I152" s="126">
        <v>0</v>
      </c>
      <c r="J152" s="126">
        <v>0</v>
      </c>
      <c r="K152" s="127">
        <v>0</v>
      </c>
      <c r="L152" s="127">
        <v>0</v>
      </c>
      <c r="M152" s="127"/>
      <c r="N152" s="127"/>
      <c r="O152" s="128" t="s">
        <v>1489</v>
      </c>
      <c r="P152" s="129" t="s">
        <v>51</v>
      </c>
      <c r="Q152" s="130">
        <v>6.92</v>
      </c>
      <c r="R152" s="130">
        <v>3.15</v>
      </c>
      <c r="S152" s="130">
        <v>0</v>
      </c>
      <c r="T152" s="38">
        <v>0.26</v>
      </c>
      <c r="U152" s="131">
        <v>31</v>
      </c>
      <c r="V152" s="144">
        <v>6</v>
      </c>
      <c r="W152" s="132">
        <v>1.4457831325301205E-2</v>
      </c>
      <c r="X152" s="133">
        <v>48474.209116339713</v>
      </c>
      <c r="Y152" s="134">
        <v>24448.48</v>
      </c>
      <c r="Z152" s="134">
        <v>15909.557070116736</v>
      </c>
      <c r="AA152" s="134">
        <v>3100.3408924281521</v>
      </c>
      <c r="AB152" s="134">
        <v>2137.8411537948236</v>
      </c>
      <c r="AC152" s="126">
        <v>0</v>
      </c>
      <c r="AD152" s="126">
        <v>0</v>
      </c>
      <c r="AE152" s="126">
        <v>0</v>
      </c>
      <c r="AF152" s="126">
        <v>0</v>
      </c>
      <c r="AG152" s="126">
        <v>0</v>
      </c>
      <c r="AH152" s="126">
        <v>0</v>
      </c>
      <c r="AI152" s="126">
        <v>0</v>
      </c>
      <c r="AJ152" s="126">
        <v>2877.99</v>
      </c>
      <c r="AK152" s="126">
        <v>0</v>
      </c>
      <c r="AL152" s="126">
        <v>0</v>
      </c>
      <c r="AM152" s="126">
        <v>0</v>
      </c>
      <c r="AN152" s="126">
        <v>0</v>
      </c>
      <c r="AO152" s="126">
        <v>0</v>
      </c>
      <c r="AP152" s="126">
        <v>0</v>
      </c>
      <c r="AQ152" s="126">
        <v>0</v>
      </c>
      <c r="AR152" s="126">
        <v>0</v>
      </c>
      <c r="AS152" s="126">
        <v>0</v>
      </c>
      <c r="AT152" s="126">
        <v>0</v>
      </c>
      <c r="AU152" s="126">
        <v>0</v>
      </c>
      <c r="AV152" s="126">
        <v>0</v>
      </c>
      <c r="AW152" s="135">
        <v>624526.89511051169</v>
      </c>
      <c r="AX152" s="136">
        <v>472635.80361466139</v>
      </c>
      <c r="AY152" s="136">
        <v>31558.110218103684</v>
      </c>
      <c r="AZ152" s="126">
        <v>0</v>
      </c>
      <c r="BA152" s="126">
        <v>9536.6521029970208</v>
      </c>
      <c r="BB152" s="126">
        <v>0</v>
      </c>
      <c r="BC152" s="126">
        <v>98700.971999999994</v>
      </c>
      <c r="BD152" s="126">
        <v>2116.6027055814252</v>
      </c>
      <c r="BE152" s="126">
        <v>0</v>
      </c>
      <c r="BF152" s="126">
        <v>2773.40965308774</v>
      </c>
      <c r="BG152" s="126">
        <v>1388.5819247097822</v>
      </c>
      <c r="BH152" s="126">
        <v>5816.7628913706485</v>
      </c>
      <c r="BI152" s="137">
        <v>735076.79033945978</v>
      </c>
      <c r="BJ152" s="126">
        <v>5206.1954506891025</v>
      </c>
      <c r="BK152" s="126">
        <v>7408.1094695349884</v>
      </c>
      <c r="BL152" s="126">
        <v>7947.1133337306946</v>
      </c>
      <c r="BM152" s="126">
        <v>7875.8003984433008</v>
      </c>
      <c r="BN152" s="126">
        <v>132471.68538842894</v>
      </c>
      <c r="BO152" s="126">
        <v>76052.940664846697</v>
      </c>
      <c r="BP152" s="126">
        <v>62395.528422317882</v>
      </c>
      <c r="BQ152" s="126">
        <v>338530.68400245579</v>
      </c>
      <c r="BR152" s="126">
        <v>12633.73439365911</v>
      </c>
      <c r="BS152" s="126">
        <v>14027.337152285267</v>
      </c>
      <c r="BT152" s="126">
        <v>69981.597312548009</v>
      </c>
      <c r="BU152" s="126">
        <v>0</v>
      </c>
      <c r="BV152" s="126">
        <v>546.06435051998847</v>
      </c>
      <c r="BW152" s="126">
        <v>84478.706511678494</v>
      </c>
      <c r="BX152" s="126">
        <v>299708.47016869555</v>
      </c>
      <c r="BY152" s="126">
        <v>263576.91849747382</v>
      </c>
      <c r="BZ152" s="126">
        <v>0</v>
      </c>
      <c r="CA152" s="137">
        <v>0</v>
      </c>
      <c r="CB152" s="126">
        <v>0</v>
      </c>
      <c r="CC152" s="126">
        <v>0</v>
      </c>
      <c r="CD152" s="126">
        <v>0</v>
      </c>
      <c r="CE152" s="126">
        <v>0</v>
      </c>
      <c r="CF152" s="126">
        <v>0</v>
      </c>
      <c r="CG152" s="137">
        <v>75915.861688357501</v>
      </c>
      <c r="CH152" s="126">
        <v>20100</v>
      </c>
      <c r="CI152" s="126">
        <v>55815.861688357501</v>
      </c>
      <c r="CJ152" s="120"/>
      <c r="CK152" s="138">
        <v>2131757.8514325162</v>
      </c>
      <c r="CL152" s="139">
        <v>36.055710903059946</v>
      </c>
      <c r="CM152" s="140">
        <v>1757165.35</v>
      </c>
      <c r="CN152" s="125">
        <v>2724.7200000000003</v>
      </c>
      <c r="CO152" s="125">
        <v>2724.7200000000003</v>
      </c>
      <c r="CP152" s="125">
        <v>0</v>
      </c>
      <c r="CQ152" s="125">
        <v>10628.77</v>
      </c>
      <c r="CR152" s="125">
        <v>5761.08</v>
      </c>
      <c r="CS152" s="125">
        <v>24082.32</v>
      </c>
      <c r="CT152" s="125">
        <v>0</v>
      </c>
      <c r="CU152" s="141">
        <v>5319.3253012048199</v>
      </c>
      <c r="CV152" s="142">
        <v>-369273.17613131134</v>
      </c>
      <c r="CW152" s="143">
        <v>0</v>
      </c>
      <c r="CX152" s="140">
        <v>1626619.6099999999</v>
      </c>
      <c r="CY152" s="140">
        <v>660174.39999999991</v>
      </c>
    </row>
    <row r="153" spans="1:103" ht="12" customHeight="1" x14ac:dyDescent="0.25">
      <c r="A153" s="122">
        <v>149</v>
      </c>
      <c r="B153" s="123" t="s">
        <v>199</v>
      </c>
      <c r="C153" s="124">
        <v>4940.66</v>
      </c>
      <c r="D153" s="125">
        <v>4940.66</v>
      </c>
      <c r="E153" s="125">
        <v>0</v>
      </c>
      <c r="F153" s="125">
        <v>452.8</v>
      </c>
      <c r="G153" s="124">
        <v>4940.66</v>
      </c>
      <c r="H153" s="124"/>
      <c r="I153" s="126">
        <v>0</v>
      </c>
      <c r="J153" s="126">
        <v>0</v>
      </c>
      <c r="K153" s="127">
        <v>0</v>
      </c>
      <c r="L153" s="127">
        <v>0</v>
      </c>
      <c r="M153" s="127"/>
      <c r="N153" s="127"/>
      <c r="O153" s="128" t="s">
        <v>1489</v>
      </c>
      <c r="P153" s="129" t="s">
        <v>51</v>
      </c>
      <c r="Q153" s="130">
        <v>6.92</v>
      </c>
      <c r="R153" s="130">
        <v>3.15</v>
      </c>
      <c r="S153" s="130">
        <v>0</v>
      </c>
      <c r="T153" s="38">
        <v>0.26</v>
      </c>
      <c r="U153" s="131">
        <v>31</v>
      </c>
      <c r="V153" s="131"/>
      <c r="W153" s="132">
        <v>0</v>
      </c>
      <c r="X153" s="133">
        <v>343539.81076162675</v>
      </c>
      <c r="Y153" s="134">
        <v>71504.61</v>
      </c>
      <c r="Z153" s="134">
        <v>15953.665969970154</v>
      </c>
      <c r="AA153" s="134">
        <v>3108.9365199074637</v>
      </c>
      <c r="AB153" s="134">
        <v>2143.7682717491239</v>
      </c>
      <c r="AC153" s="126">
        <v>0</v>
      </c>
      <c r="AD153" s="126">
        <v>0</v>
      </c>
      <c r="AE153" s="126">
        <v>0</v>
      </c>
      <c r="AF153" s="126">
        <v>0</v>
      </c>
      <c r="AG153" s="126">
        <v>0</v>
      </c>
      <c r="AH153" s="126">
        <v>0</v>
      </c>
      <c r="AI153" s="126">
        <v>0</v>
      </c>
      <c r="AJ153" s="126">
        <v>0</v>
      </c>
      <c r="AK153" s="126">
        <v>0</v>
      </c>
      <c r="AL153" s="126">
        <v>0</v>
      </c>
      <c r="AM153" s="126">
        <v>0</v>
      </c>
      <c r="AN153" s="126">
        <v>0</v>
      </c>
      <c r="AO153" s="126">
        <v>0</v>
      </c>
      <c r="AP153" s="126">
        <v>250828.83</v>
      </c>
      <c r="AQ153" s="126">
        <v>0</v>
      </c>
      <c r="AR153" s="126">
        <v>0</v>
      </c>
      <c r="AS153" s="126">
        <v>0</v>
      </c>
      <c r="AT153" s="126">
        <v>0</v>
      </c>
      <c r="AU153" s="126">
        <v>0</v>
      </c>
      <c r="AV153" s="126">
        <v>0</v>
      </c>
      <c r="AW153" s="135">
        <v>527283.76400957583</v>
      </c>
      <c r="AX153" s="136">
        <v>473946.17606795469</v>
      </c>
      <c r="AY153" s="136">
        <v>31645.604390131146</v>
      </c>
      <c r="AZ153" s="126">
        <v>0</v>
      </c>
      <c r="BA153" s="126">
        <v>9563.0922628766511</v>
      </c>
      <c r="BB153" s="126">
        <v>0</v>
      </c>
      <c r="BC153" s="126">
        <v>0</v>
      </c>
      <c r="BD153" s="126">
        <v>2122.4709404014461</v>
      </c>
      <c r="BE153" s="126">
        <v>0</v>
      </c>
      <c r="BF153" s="126">
        <v>2781.098870839146</v>
      </c>
      <c r="BG153" s="126">
        <v>1392.4317377991947</v>
      </c>
      <c r="BH153" s="126">
        <v>5832.8897395736367</v>
      </c>
      <c r="BI153" s="137">
        <v>737114.77470236563</v>
      </c>
      <c r="BJ153" s="126">
        <v>5220.6295139844979</v>
      </c>
      <c r="BK153" s="126">
        <v>7428.6482914050612</v>
      </c>
      <c r="BL153" s="126">
        <v>7969.1465320539664</v>
      </c>
      <c r="BM153" s="126">
        <v>7897.6358832094329</v>
      </c>
      <c r="BN153" s="126">
        <v>132838.96024582814</v>
      </c>
      <c r="BO153" s="126">
        <v>76263.795783475027</v>
      </c>
      <c r="BP153" s="126">
        <v>62568.518663488743</v>
      </c>
      <c r="BQ153" s="126">
        <v>339469.25293760363</v>
      </c>
      <c r="BR153" s="126">
        <v>12668.761146615754</v>
      </c>
      <c r="BS153" s="126">
        <v>14066.227638483808</v>
      </c>
      <c r="BT153" s="126">
        <v>70175.619764200004</v>
      </c>
      <c r="BU153" s="126">
        <v>0</v>
      </c>
      <c r="BV153" s="126">
        <v>547.57830201747231</v>
      </c>
      <c r="BW153" s="126">
        <v>84712.921882279159</v>
      </c>
      <c r="BX153" s="126">
        <v>300539.4053630337</v>
      </c>
      <c r="BY153" s="126">
        <v>264307.67975314165</v>
      </c>
      <c r="BZ153" s="126">
        <v>0</v>
      </c>
      <c r="CA153" s="137">
        <v>0</v>
      </c>
      <c r="CB153" s="126">
        <v>0</v>
      </c>
      <c r="CC153" s="126">
        <v>0</v>
      </c>
      <c r="CD153" s="126">
        <v>0</v>
      </c>
      <c r="CE153" s="126">
        <v>0</v>
      </c>
      <c r="CF153" s="126">
        <v>0</v>
      </c>
      <c r="CG153" s="137">
        <v>76070.609947067249</v>
      </c>
      <c r="CH153" s="126">
        <v>20100</v>
      </c>
      <c r="CI153" s="126">
        <v>55970.609947067256</v>
      </c>
      <c r="CJ153" s="120"/>
      <c r="CK153" s="138">
        <v>2333568.9664190901</v>
      </c>
      <c r="CL153" s="139">
        <v>39.359939873402375</v>
      </c>
      <c r="CM153" s="140">
        <v>1761551.44</v>
      </c>
      <c r="CN153" s="125">
        <v>2824.68</v>
      </c>
      <c r="CO153" s="125">
        <v>2824.68</v>
      </c>
      <c r="CP153" s="125">
        <v>0</v>
      </c>
      <c r="CQ153" s="125">
        <v>11022.01</v>
      </c>
      <c r="CR153" s="125">
        <v>5970.7400000000007</v>
      </c>
      <c r="CS153" s="125">
        <v>24973</v>
      </c>
      <c r="CT153" s="125">
        <v>0</v>
      </c>
      <c r="CU153" s="141">
        <v>0</v>
      </c>
      <c r="CV153" s="142">
        <v>-572017.52641909011</v>
      </c>
      <c r="CW153" s="143">
        <v>0</v>
      </c>
      <c r="CX153" s="140">
        <v>1682337.6</v>
      </c>
      <c r="CY153" s="140">
        <v>738737.52</v>
      </c>
    </row>
    <row r="154" spans="1:103" ht="12" customHeight="1" x14ac:dyDescent="0.25">
      <c r="A154" s="122">
        <v>150</v>
      </c>
      <c r="B154" s="123" t="s">
        <v>200</v>
      </c>
      <c r="C154" s="124">
        <v>3456.99</v>
      </c>
      <c r="D154" s="125">
        <v>3456.99</v>
      </c>
      <c r="E154" s="125">
        <v>0</v>
      </c>
      <c r="F154" s="125">
        <v>619</v>
      </c>
      <c r="G154" s="124">
        <v>3456.99</v>
      </c>
      <c r="H154" s="124"/>
      <c r="I154" s="126">
        <v>0</v>
      </c>
      <c r="J154" s="126">
        <v>0</v>
      </c>
      <c r="K154" s="127">
        <v>0</v>
      </c>
      <c r="L154" s="127">
        <v>0</v>
      </c>
      <c r="M154" s="127"/>
      <c r="N154" s="127"/>
      <c r="O154" s="128" t="s">
        <v>1489</v>
      </c>
      <c r="P154" s="129" t="s">
        <v>51</v>
      </c>
      <c r="Q154" s="130">
        <v>6.92</v>
      </c>
      <c r="R154" s="130">
        <v>3.15</v>
      </c>
      <c r="S154" s="130">
        <v>0</v>
      </c>
      <c r="T154" s="38">
        <v>0.26</v>
      </c>
      <c r="U154" s="131">
        <v>31</v>
      </c>
      <c r="V154" s="144">
        <v>4</v>
      </c>
      <c r="W154" s="132">
        <v>9.638554216867469E-3</v>
      </c>
      <c r="X154" s="133">
        <v>47542.961393910133</v>
      </c>
      <c r="Y154" s="134">
        <v>27808.43</v>
      </c>
      <c r="Z154" s="134">
        <v>11162.813009097392</v>
      </c>
      <c r="AA154" s="134">
        <v>2175.3293001248621</v>
      </c>
      <c r="AB154" s="134">
        <v>1499.9990846878766</v>
      </c>
      <c r="AC154" s="126">
        <v>0</v>
      </c>
      <c r="AD154" s="126">
        <v>0</v>
      </c>
      <c r="AE154" s="126">
        <v>0</v>
      </c>
      <c r="AF154" s="126">
        <v>0</v>
      </c>
      <c r="AG154" s="126">
        <v>0</v>
      </c>
      <c r="AH154" s="126">
        <v>0</v>
      </c>
      <c r="AI154" s="126">
        <v>4896.3900000000003</v>
      </c>
      <c r="AJ154" s="126">
        <v>0</v>
      </c>
      <c r="AK154" s="126">
        <v>0</v>
      </c>
      <c r="AL154" s="126">
        <v>0</v>
      </c>
      <c r="AM154" s="126">
        <v>0</v>
      </c>
      <c r="AN154" s="126">
        <v>0</v>
      </c>
      <c r="AO154" s="126">
        <v>0</v>
      </c>
      <c r="AP154" s="126">
        <v>0</v>
      </c>
      <c r="AQ154" s="126">
        <v>0</v>
      </c>
      <c r="AR154" s="126">
        <v>0</v>
      </c>
      <c r="AS154" s="126">
        <v>0</v>
      </c>
      <c r="AT154" s="126">
        <v>0</v>
      </c>
      <c r="AU154" s="126">
        <v>0</v>
      </c>
      <c r="AV154" s="126">
        <v>0</v>
      </c>
      <c r="AW154" s="135">
        <v>388217.19804217725</v>
      </c>
      <c r="AX154" s="136">
        <v>331621.11766548571</v>
      </c>
      <c r="AY154" s="136">
        <v>22142.494711362342</v>
      </c>
      <c r="AZ154" s="126">
        <v>0</v>
      </c>
      <c r="BA154" s="126">
        <v>6691.31539548197</v>
      </c>
      <c r="BB154" s="126">
        <v>0</v>
      </c>
      <c r="BC154" s="126">
        <v>19275.66</v>
      </c>
      <c r="BD154" s="126">
        <v>1485.0972979841549</v>
      </c>
      <c r="BE154" s="126">
        <v>0</v>
      </c>
      <c r="BF154" s="126">
        <v>1945.9406203831511</v>
      </c>
      <c r="BG154" s="126">
        <v>974.28736105185089</v>
      </c>
      <c r="BH154" s="126">
        <v>4081.2849904281343</v>
      </c>
      <c r="BI154" s="137">
        <v>515760.72933541896</v>
      </c>
      <c r="BJ154" s="126">
        <v>3652.8852468191026</v>
      </c>
      <c r="BK154" s="126">
        <v>5197.840542944542</v>
      </c>
      <c r="BL154" s="126">
        <v>5576.0282775672158</v>
      </c>
      <c r="BM154" s="126">
        <v>5525.9921289658014</v>
      </c>
      <c r="BN154" s="126">
        <v>92947.694676465384</v>
      </c>
      <c r="BO154" s="126">
        <v>53361.935325546656</v>
      </c>
      <c r="BP154" s="126">
        <v>43779.321656315951</v>
      </c>
      <c r="BQ154" s="126">
        <v>237527.33697780588</v>
      </c>
      <c r="BR154" s="126">
        <v>8864.358323835113</v>
      </c>
      <c r="BS154" s="126">
        <v>9842.168512701166</v>
      </c>
      <c r="BT154" s="126">
        <v>49102.025998275887</v>
      </c>
      <c r="BU154" s="126">
        <v>0</v>
      </c>
      <c r="BV154" s="126">
        <v>383.14166817619133</v>
      </c>
      <c r="BW154" s="126">
        <v>59273.806296693205</v>
      </c>
      <c r="BX154" s="126">
        <v>210288.04227490941</v>
      </c>
      <c r="BY154" s="126">
        <v>184936.6290798827</v>
      </c>
      <c r="BZ154" s="126">
        <v>0</v>
      </c>
      <c r="CA154" s="137">
        <v>0</v>
      </c>
      <c r="CB154" s="126">
        <v>0</v>
      </c>
      <c r="CC154" s="126">
        <v>0</v>
      </c>
      <c r="CD154" s="126">
        <v>0</v>
      </c>
      <c r="CE154" s="126">
        <v>0</v>
      </c>
      <c r="CF154" s="126">
        <v>0</v>
      </c>
      <c r="CG154" s="137">
        <v>52682.755308714222</v>
      </c>
      <c r="CH154" s="126">
        <v>13520.003999999999</v>
      </c>
      <c r="CI154" s="126">
        <v>39162.751308714222</v>
      </c>
      <c r="CJ154" s="120"/>
      <c r="CK154" s="138">
        <v>1458702.1217317057</v>
      </c>
      <c r="CL154" s="139">
        <v>35.163107253509217</v>
      </c>
      <c r="CM154" s="140">
        <v>1194471.3999999999</v>
      </c>
      <c r="CN154" s="125">
        <v>3910.17</v>
      </c>
      <c r="CO154" s="125">
        <v>3910.17</v>
      </c>
      <c r="CP154" s="125">
        <v>0</v>
      </c>
      <c r="CQ154" s="125">
        <v>15192.32</v>
      </c>
      <c r="CR154" s="125">
        <v>8268.5299999999988</v>
      </c>
      <c r="CS154" s="125">
        <v>33014.89</v>
      </c>
      <c r="CT154" s="125">
        <v>0</v>
      </c>
      <c r="CU154" s="141">
        <v>3546.2168674698792</v>
      </c>
      <c r="CV154" s="142">
        <v>-260684.50486423587</v>
      </c>
      <c r="CW154" s="143">
        <v>0</v>
      </c>
      <c r="CX154" s="140">
        <v>1198979.69</v>
      </c>
      <c r="CY154" s="140">
        <v>584239.1</v>
      </c>
    </row>
    <row r="155" spans="1:103" ht="12" customHeight="1" x14ac:dyDescent="0.25">
      <c r="A155" s="122">
        <v>151</v>
      </c>
      <c r="B155" s="123" t="s">
        <v>201</v>
      </c>
      <c r="C155" s="124">
        <v>3483.9</v>
      </c>
      <c r="D155" s="125">
        <v>3483.9</v>
      </c>
      <c r="E155" s="125">
        <v>0</v>
      </c>
      <c r="F155" s="125">
        <v>445.9</v>
      </c>
      <c r="G155" s="124">
        <v>3483.9</v>
      </c>
      <c r="H155" s="124"/>
      <c r="I155" s="126">
        <v>0</v>
      </c>
      <c r="J155" s="126">
        <v>0</v>
      </c>
      <c r="K155" s="127">
        <v>0</v>
      </c>
      <c r="L155" s="127">
        <v>0</v>
      </c>
      <c r="M155" s="127"/>
      <c r="N155" s="127"/>
      <c r="O155" s="128" t="s">
        <v>1489</v>
      </c>
      <c r="P155" s="129" t="s">
        <v>51</v>
      </c>
      <c r="Q155" s="130">
        <v>6.92</v>
      </c>
      <c r="R155" s="130">
        <v>3.15</v>
      </c>
      <c r="S155" s="130">
        <v>0</v>
      </c>
      <c r="T155" s="38">
        <v>0.26</v>
      </c>
      <c r="U155" s="131">
        <v>31</v>
      </c>
      <c r="V155" s="144">
        <v>4</v>
      </c>
      <c r="W155" s="132">
        <v>9.638554216867469E-3</v>
      </c>
      <c r="X155" s="133">
        <v>151805.35487668274</v>
      </c>
      <c r="Y155" s="134">
        <v>39401.14</v>
      </c>
      <c r="Z155" s="134">
        <v>11249.706895997504</v>
      </c>
      <c r="AA155" s="134">
        <v>2192.2625604080454</v>
      </c>
      <c r="AB155" s="134">
        <v>1511.6754202772045</v>
      </c>
      <c r="AC155" s="126">
        <v>69582.77</v>
      </c>
      <c r="AD155" s="126">
        <v>0</v>
      </c>
      <c r="AE155" s="126">
        <v>0</v>
      </c>
      <c r="AF155" s="126">
        <v>0</v>
      </c>
      <c r="AG155" s="126">
        <v>0</v>
      </c>
      <c r="AH155" s="126">
        <v>0</v>
      </c>
      <c r="AI155" s="126">
        <v>0</v>
      </c>
      <c r="AJ155" s="126">
        <v>0</v>
      </c>
      <c r="AK155" s="126">
        <v>27867.8</v>
      </c>
      <c r="AL155" s="126">
        <v>0</v>
      </c>
      <c r="AM155" s="126">
        <v>0</v>
      </c>
      <c r="AN155" s="126">
        <v>0</v>
      </c>
      <c r="AO155" s="126">
        <v>0</v>
      </c>
      <c r="AP155" s="126">
        <v>0</v>
      </c>
      <c r="AQ155" s="126">
        <v>0</v>
      </c>
      <c r="AR155" s="126">
        <v>0</v>
      </c>
      <c r="AS155" s="126">
        <v>0</v>
      </c>
      <c r="AT155" s="126">
        <v>0</v>
      </c>
      <c r="AU155" s="126">
        <v>0</v>
      </c>
      <c r="AV155" s="126">
        <v>0</v>
      </c>
      <c r="AW155" s="135">
        <v>371813.46326866484</v>
      </c>
      <c r="AX155" s="136">
        <v>334202.53221293259</v>
      </c>
      <c r="AY155" s="136">
        <v>22314.85694922903</v>
      </c>
      <c r="AZ155" s="126">
        <v>0</v>
      </c>
      <c r="BA155" s="126">
        <v>6743.4021233268359</v>
      </c>
      <c r="BB155" s="126">
        <v>0</v>
      </c>
      <c r="BC155" s="126">
        <v>0</v>
      </c>
      <c r="BD155" s="126">
        <v>1496.6576346610773</v>
      </c>
      <c r="BE155" s="126">
        <v>0</v>
      </c>
      <c r="BF155" s="126">
        <v>1961.0882667733665</v>
      </c>
      <c r="BG155" s="126">
        <v>981.87143647176993</v>
      </c>
      <c r="BH155" s="126">
        <v>4113.0546452701856</v>
      </c>
      <c r="BI155" s="137">
        <v>519775.52869162656</v>
      </c>
      <c r="BJ155" s="126">
        <v>3681.3201401777478</v>
      </c>
      <c r="BK155" s="126">
        <v>5238.3017213137709</v>
      </c>
      <c r="BL155" s="126">
        <v>5619.4333556696511</v>
      </c>
      <c r="BM155" s="126">
        <v>5569.0077142554528</v>
      </c>
      <c r="BN155" s="126">
        <v>93671.220768164727</v>
      </c>
      <c r="BO155" s="126">
        <v>53777.316822053872</v>
      </c>
      <c r="BP155" s="126">
        <v>44120.109898622541</v>
      </c>
      <c r="BQ155" s="126">
        <v>239376.30403818871</v>
      </c>
      <c r="BR155" s="126">
        <v>8933.3605143229088</v>
      </c>
      <c r="BS155" s="126">
        <v>9918.7822011054686</v>
      </c>
      <c r="BT155" s="126">
        <v>49484.24738729166</v>
      </c>
      <c r="BU155" s="126">
        <v>0</v>
      </c>
      <c r="BV155" s="126">
        <v>386.12413046003405</v>
      </c>
      <c r="BW155" s="126">
        <v>59735.207147561741</v>
      </c>
      <c r="BX155" s="126">
        <v>211924.97244179386</v>
      </c>
      <c r="BY155" s="126">
        <v>186376.21805426205</v>
      </c>
      <c r="BZ155" s="126">
        <v>0</v>
      </c>
      <c r="CA155" s="137">
        <v>0</v>
      </c>
      <c r="CB155" s="126">
        <v>0</v>
      </c>
      <c r="CC155" s="126">
        <v>0</v>
      </c>
      <c r="CD155" s="126">
        <v>0</v>
      </c>
      <c r="CE155" s="126">
        <v>0</v>
      </c>
      <c r="CF155" s="126">
        <v>0</v>
      </c>
      <c r="CG155" s="137">
        <v>52987.607112658559</v>
      </c>
      <c r="CH155" s="126">
        <v>13520.003999999999</v>
      </c>
      <c r="CI155" s="126">
        <v>39467.603112658559</v>
      </c>
      <c r="CJ155" s="120"/>
      <c r="CK155" s="138">
        <v>1554418.3515932504</v>
      </c>
      <c r="CL155" s="139">
        <v>37.180993321499145</v>
      </c>
      <c r="CM155" s="140">
        <v>1207291.0899999999</v>
      </c>
      <c r="CN155" s="125">
        <v>2737.06</v>
      </c>
      <c r="CO155" s="125">
        <v>2737.06</v>
      </c>
      <c r="CP155" s="125">
        <v>0</v>
      </c>
      <c r="CQ155" s="125">
        <v>10713.41</v>
      </c>
      <c r="CR155" s="125">
        <v>5789.15</v>
      </c>
      <c r="CS155" s="125">
        <v>23996.449999999997</v>
      </c>
      <c r="CT155" s="125">
        <v>0</v>
      </c>
      <c r="CU155" s="141">
        <v>3546.2168674698792</v>
      </c>
      <c r="CV155" s="142">
        <v>-343581.04472578061</v>
      </c>
      <c r="CW155" s="143">
        <v>0</v>
      </c>
      <c r="CX155" s="140">
        <v>1109979.7</v>
      </c>
      <c r="CY155" s="140">
        <v>482225.98</v>
      </c>
    </row>
    <row r="156" spans="1:103" ht="12" customHeight="1" x14ac:dyDescent="0.25">
      <c r="A156" s="122">
        <v>152</v>
      </c>
      <c r="B156" s="123" t="s">
        <v>202</v>
      </c>
      <c r="C156" s="124">
        <v>4951.3999999999996</v>
      </c>
      <c r="D156" s="125">
        <v>4951.3999999999996</v>
      </c>
      <c r="E156" s="125">
        <v>0</v>
      </c>
      <c r="F156" s="125">
        <v>456</v>
      </c>
      <c r="G156" s="124">
        <v>4951.3999999999996</v>
      </c>
      <c r="H156" s="124"/>
      <c r="I156" s="126">
        <v>0</v>
      </c>
      <c r="J156" s="126">
        <v>0</v>
      </c>
      <c r="K156" s="127">
        <v>0</v>
      </c>
      <c r="L156" s="127">
        <v>0</v>
      </c>
      <c r="M156" s="127"/>
      <c r="N156" s="127"/>
      <c r="O156" s="128" t="s">
        <v>1489</v>
      </c>
      <c r="P156" s="129" t="s">
        <v>51</v>
      </c>
      <c r="Q156" s="130">
        <v>6.92</v>
      </c>
      <c r="R156" s="130">
        <v>3.15</v>
      </c>
      <c r="S156" s="130">
        <v>0</v>
      </c>
      <c r="T156" s="38">
        <v>0.26</v>
      </c>
      <c r="U156" s="131">
        <v>31</v>
      </c>
      <c r="V156" s="144">
        <v>0</v>
      </c>
      <c r="W156" s="132">
        <v>0</v>
      </c>
      <c r="X156" s="133">
        <v>147741.14914159619</v>
      </c>
      <c r="Y156" s="134">
        <v>115214.37</v>
      </c>
      <c r="Z156" s="134">
        <v>15988.34602739517</v>
      </c>
      <c r="AA156" s="134">
        <v>3115.6947218933938</v>
      </c>
      <c r="AB156" s="134">
        <v>2148.4283923076291</v>
      </c>
      <c r="AC156" s="126">
        <v>0</v>
      </c>
      <c r="AD156" s="126">
        <v>0</v>
      </c>
      <c r="AE156" s="126">
        <v>0</v>
      </c>
      <c r="AF156" s="126">
        <v>0</v>
      </c>
      <c r="AG156" s="126">
        <v>0</v>
      </c>
      <c r="AH156" s="126">
        <v>0</v>
      </c>
      <c r="AI156" s="126">
        <v>11274.31</v>
      </c>
      <c r="AJ156" s="126">
        <v>0</v>
      </c>
      <c r="AK156" s="126">
        <v>0</v>
      </c>
      <c r="AL156" s="126">
        <v>0</v>
      </c>
      <c r="AM156" s="126">
        <v>0</v>
      </c>
      <c r="AN156" s="126">
        <v>0</v>
      </c>
      <c r="AO156" s="126">
        <v>0</v>
      </c>
      <c r="AP156" s="126">
        <v>0</v>
      </c>
      <c r="AQ156" s="126">
        <v>0</v>
      </c>
      <c r="AR156" s="126">
        <v>0</v>
      </c>
      <c r="AS156" s="126">
        <v>0</v>
      </c>
      <c r="AT156" s="126">
        <v>0</v>
      </c>
      <c r="AU156" s="126">
        <v>0</v>
      </c>
      <c r="AV156" s="126">
        <v>0</v>
      </c>
      <c r="AW156" s="135">
        <v>627645.12073987967</v>
      </c>
      <c r="AX156" s="136">
        <v>474976.43962200813</v>
      </c>
      <c r="AY156" s="136">
        <v>31714.395561988753</v>
      </c>
      <c r="AZ156" s="126">
        <v>0</v>
      </c>
      <c r="BA156" s="126">
        <v>9583.8804998537544</v>
      </c>
      <c r="BB156" s="126">
        <v>0</v>
      </c>
      <c r="BC156" s="126">
        <v>99215.147999999986</v>
      </c>
      <c r="BD156" s="126">
        <v>2127.0847648499835</v>
      </c>
      <c r="BE156" s="126">
        <v>0</v>
      </c>
      <c r="BF156" s="126">
        <v>2787.1444197886408</v>
      </c>
      <c r="BG156" s="126">
        <v>1395.4586040202994</v>
      </c>
      <c r="BH156" s="126">
        <v>5845.5692673701296</v>
      </c>
      <c r="BI156" s="137">
        <v>738717.11379882286</v>
      </c>
      <c r="BJ156" s="126">
        <v>5231.9781113338786</v>
      </c>
      <c r="BK156" s="126">
        <v>7444.7966769749419</v>
      </c>
      <c r="BL156" s="126">
        <v>7986.4698519655285</v>
      </c>
      <c r="BM156" s="126">
        <v>7914.803753369627</v>
      </c>
      <c r="BN156" s="126">
        <v>133127.72539725329</v>
      </c>
      <c r="BO156" s="126">
        <v>76429.577919204778</v>
      </c>
      <c r="BP156" s="126">
        <v>62704.530024409323</v>
      </c>
      <c r="BQ156" s="126">
        <v>340207.19073873747</v>
      </c>
      <c r="BR156" s="126">
        <v>12696.30048239572</v>
      </c>
      <c r="BS156" s="126">
        <v>14096.804785026439</v>
      </c>
      <c r="BT156" s="126">
        <v>70328.167431165042</v>
      </c>
      <c r="BU156" s="126">
        <v>0</v>
      </c>
      <c r="BV156" s="126">
        <v>548.76862698694345</v>
      </c>
      <c r="BW156" s="126">
        <v>84897.070716850998</v>
      </c>
      <c r="BX156" s="126">
        <v>301192.7175143655</v>
      </c>
      <c r="BY156" s="126">
        <v>264882.23142853496</v>
      </c>
      <c r="BZ156" s="126">
        <v>0</v>
      </c>
      <c r="CA156" s="137">
        <v>0</v>
      </c>
      <c r="CB156" s="126">
        <v>0</v>
      </c>
      <c r="CC156" s="126">
        <v>0</v>
      </c>
      <c r="CD156" s="126">
        <v>0</v>
      </c>
      <c r="CE156" s="126">
        <v>0</v>
      </c>
      <c r="CF156" s="126">
        <v>0</v>
      </c>
      <c r="CG156" s="137">
        <v>76192.278782978145</v>
      </c>
      <c r="CH156" s="126">
        <v>20100</v>
      </c>
      <c r="CI156" s="126">
        <v>56092.278782978145</v>
      </c>
      <c r="CJ156" s="120"/>
      <c r="CK156" s="138">
        <v>2241267.6821230282</v>
      </c>
      <c r="CL156" s="139">
        <v>37.721110563393324</v>
      </c>
      <c r="CM156" s="140">
        <v>1766081.34</v>
      </c>
      <c r="CN156" s="125">
        <v>2844.84</v>
      </c>
      <c r="CO156" s="125">
        <v>2844.84</v>
      </c>
      <c r="CP156" s="125">
        <v>0</v>
      </c>
      <c r="CQ156" s="125">
        <v>11100.24</v>
      </c>
      <c r="CR156" s="125">
        <v>6017.4</v>
      </c>
      <c r="CS156" s="125">
        <v>25153.08</v>
      </c>
      <c r="CT156" s="125">
        <v>0</v>
      </c>
      <c r="CU156" s="141">
        <v>0</v>
      </c>
      <c r="CV156" s="142">
        <v>-475186.34212302812</v>
      </c>
      <c r="CW156" s="143">
        <v>0</v>
      </c>
      <c r="CX156" s="140">
        <v>1695589.4000000001</v>
      </c>
      <c r="CY156" s="140">
        <v>646013.01</v>
      </c>
    </row>
    <row r="157" spans="1:103" ht="12" customHeight="1" x14ac:dyDescent="0.25">
      <c r="A157" s="122">
        <v>153</v>
      </c>
      <c r="B157" s="123" t="s">
        <v>203</v>
      </c>
      <c r="C157" s="124">
        <v>4883.7</v>
      </c>
      <c r="D157" s="125">
        <v>4883.7</v>
      </c>
      <c r="E157" s="125">
        <v>0</v>
      </c>
      <c r="F157" s="125">
        <v>716.4</v>
      </c>
      <c r="G157" s="124">
        <v>4883.7</v>
      </c>
      <c r="H157" s="124"/>
      <c r="I157" s="126">
        <v>0</v>
      </c>
      <c r="J157" s="126">
        <v>0</v>
      </c>
      <c r="K157" s="127">
        <v>0</v>
      </c>
      <c r="L157" s="127">
        <v>0</v>
      </c>
      <c r="M157" s="127"/>
      <c r="N157" s="127"/>
      <c r="O157" s="128" t="s">
        <v>1489</v>
      </c>
      <c r="P157" s="129" t="s">
        <v>51</v>
      </c>
      <c r="Q157" s="130">
        <v>6.92</v>
      </c>
      <c r="R157" s="130">
        <v>3.15</v>
      </c>
      <c r="S157" s="130">
        <v>0</v>
      </c>
      <c r="T157" s="38">
        <v>0.26</v>
      </c>
      <c r="U157" s="131">
        <v>31</v>
      </c>
      <c r="V157" s="144">
        <v>6</v>
      </c>
      <c r="W157" s="132">
        <v>1.4457831325301205E-2</v>
      </c>
      <c r="X157" s="133">
        <v>63356.516243650949</v>
      </c>
      <c r="Y157" s="134">
        <v>42394.63</v>
      </c>
      <c r="Z157" s="134">
        <v>15769.738961503775</v>
      </c>
      <c r="AA157" s="134">
        <v>3073.0941376804071</v>
      </c>
      <c r="AB157" s="134">
        <v>2119.0531444667708</v>
      </c>
      <c r="AC157" s="126">
        <v>0</v>
      </c>
      <c r="AD157" s="126">
        <v>0</v>
      </c>
      <c r="AE157" s="126">
        <v>0</v>
      </c>
      <c r="AF157" s="126">
        <v>0</v>
      </c>
      <c r="AG157" s="126">
        <v>0</v>
      </c>
      <c r="AH157" s="126">
        <v>0</v>
      </c>
      <c r="AI157" s="126">
        <v>0</v>
      </c>
      <c r="AJ157" s="126">
        <v>0</v>
      </c>
      <c r="AK157" s="126">
        <v>0</v>
      </c>
      <c r="AL157" s="126">
        <v>0</v>
      </c>
      <c r="AM157" s="126">
        <v>0</v>
      </c>
      <c r="AN157" s="126">
        <v>0</v>
      </c>
      <c r="AO157" s="126">
        <v>0</v>
      </c>
      <c r="AP157" s="126">
        <v>0</v>
      </c>
      <c r="AQ157" s="126">
        <v>0</v>
      </c>
      <c r="AR157" s="126">
        <v>0</v>
      </c>
      <c r="AS157" s="126">
        <v>0</v>
      </c>
      <c r="AT157" s="126">
        <v>0</v>
      </c>
      <c r="AU157" s="126">
        <v>0</v>
      </c>
      <c r="AV157" s="126">
        <v>0</v>
      </c>
      <c r="AW157" s="135">
        <v>589345.91425183811</v>
      </c>
      <c r="AX157" s="136">
        <v>468482.13397867297</v>
      </c>
      <c r="AY157" s="136">
        <v>31280.767784078133</v>
      </c>
      <c r="AZ157" s="126">
        <v>0</v>
      </c>
      <c r="BA157" s="126">
        <v>9452.8410544766684</v>
      </c>
      <c r="BB157" s="126">
        <v>0</v>
      </c>
      <c r="BC157" s="126">
        <v>68141.111999999994</v>
      </c>
      <c r="BD157" s="126">
        <v>2098.0013463056639</v>
      </c>
      <c r="BE157" s="126">
        <v>0</v>
      </c>
      <c r="BF157" s="126">
        <v>2749.0360711963863</v>
      </c>
      <c r="BG157" s="126">
        <v>1376.3786372448067</v>
      </c>
      <c r="BH157" s="126">
        <v>5765.6433798633725</v>
      </c>
      <c r="BI157" s="137">
        <v>728616.70813493384</v>
      </c>
      <c r="BJ157" s="126">
        <v>5160.4417947088223</v>
      </c>
      <c r="BK157" s="126">
        <v>7343.0047120698237</v>
      </c>
      <c r="BL157" s="126">
        <v>7877.2716435844513</v>
      </c>
      <c r="BM157" s="126">
        <v>7806.5854284305951</v>
      </c>
      <c r="BN157" s="126">
        <v>131307.48324162175</v>
      </c>
      <c r="BO157" s="126">
        <v>75384.563897891581</v>
      </c>
      <c r="BP157" s="126">
        <v>61847.177218606419</v>
      </c>
      <c r="BQ157" s="126">
        <v>335555.57163848047</v>
      </c>
      <c r="BR157" s="126">
        <v>12522.705227991271</v>
      </c>
      <c r="BS157" s="126">
        <v>13904.060574510971</v>
      </c>
      <c r="BT157" s="126">
        <v>69366.57738893661</v>
      </c>
      <c r="BU157" s="126">
        <v>0</v>
      </c>
      <c r="BV157" s="126">
        <v>541.26536810117057</v>
      </c>
      <c r="BW157" s="126">
        <v>83736.281508237109</v>
      </c>
      <c r="BX157" s="126">
        <v>297074.53942822374</v>
      </c>
      <c r="BY157" s="126">
        <v>261260.52300915626</v>
      </c>
      <c r="BZ157" s="126">
        <v>0</v>
      </c>
      <c r="CA157" s="137">
        <v>0</v>
      </c>
      <c r="CB157" s="126">
        <v>0</v>
      </c>
      <c r="CC157" s="126">
        <v>0</v>
      </c>
      <c r="CD157" s="126">
        <v>0</v>
      </c>
      <c r="CE157" s="126">
        <v>0</v>
      </c>
      <c r="CF157" s="126">
        <v>0</v>
      </c>
      <c r="CG157" s="137">
        <v>75425.33463110037</v>
      </c>
      <c r="CH157" s="126">
        <v>20100</v>
      </c>
      <c r="CI157" s="126">
        <v>55325.33463110037</v>
      </c>
      <c r="CJ157" s="120"/>
      <c r="CK157" s="138">
        <v>2098815.8172071404</v>
      </c>
      <c r="CL157" s="139">
        <v>35.813280525133614</v>
      </c>
      <c r="CM157" s="140">
        <v>1761225.65</v>
      </c>
      <c r="CN157" s="125">
        <v>4477.26</v>
      </c>
      <c r="CO157" s="125">
        <v>4477.26</v>
      </c>
      <c r="CP157" s="125">
        <v>0</v>
      </c>
      <c r="CQ157" s="125">
        <v>17462.650000000001</v>
      </c>
      <c r="CR157" s="125">
        <v>9467.7999999999993</v>
      </c>
      <c r="CS157" s="125">
        <v>39573.160000000003</v>
      </c>
      <c r="CT157" s="125">
        <v>0</v>
      </c>
      <c r="CU157" s="141">
        <v>5319.3253012048199</v>
      </c>
      <c r="CV157" s="142">
        <v>-332270.84190593567</v>
      </c>
      <c r="CW157" s="143">
        <v>0</v>
      </c>
      <c r="CX157" s="140">
        <v>1722413.5999999999</v>
      </c>
      <c r="CY157" s="140">
        <v>486153.15</v>
      </c>
    </row>
    <row r="158" spans="1:103" ht="12" customHeight="1" x14ac:dyDescent="0.25">
      <c r="A158" s="122">
        <v>154</v>
      </c>
      <c r="B158" s="123" t="s">
        <v>204</v>
      </c>
      <c r="C158" s="124">
        <v>3117.6399999999994</v>
      </c>
      <c r="D158" s="125">
        <v>3038.8399999999992</v>
      </c>
      <c r="E158" s="125">
        <v>78.8</v>
      </c>
      <c r="F158" s="125">
        <v>325.39999999999998</v>
      </c>
      <c r="G158" s="124">
        <v>3117.6399999999994</v>
      </c>
      <c r="H158" s="124"/>
      <c r="I158" s="126">
        <v>0</v>
      </c>
      <c r="J158" s="126">
        <v>0</v>
      </c>
      <c r="K158" s="127">
        <v>0</v>
      </c>
      <c r="L158" s="127">
        <v>0</v>
      </c>
      <c r="M158" s="127"/>
      <c r="N158" s="127"/>
      <c r="O158" s="128" t="s">
        <v>1489</v>
      </c>
      <c r="P158" s="129" t="s">
        <v>51</v>
      </c>
      <c r="Q158" s="130">
        <v>6.92</v>
      </c>
      <c r="R158" s="130">
        <v>3.15</v>
      </c>
      <c r="S158" s="130">
        <v>0</v>
      </c>
      <c r="T158" s="38">
        <v>0.26</v>
      </c>
      <c r="U158" s="131">
        <v>31</v>
      </c>
      <c r="V158" s="144">
        <v>4</v>
      </c>
      <c r="W158" s="132">
        <v>9.638554216867469E-3</v>
      </c>
      <c r="X158" s="133">
        <v>289254.20100785256</v>
      </c>
      <c r="Y158" s="134">
        <v>33496.740000000005</v>
      </c>
      <c r="Z158" s="134">
        <v>10067.032982358176</v>
      </c>
      <c r="AA158" s="134">
        <v>1961.7915120498685</v>
      </c>
      <c r="AB158" s="134">
        <v>1352.7540277485068</v>
      </c>
      <c r="AC158" s="126">
        <v>0</v>
      </c>
      <c r="AD158" s="126">
        <v>0</v>
      </c>
      <c r="AE158" s="126">
        <v>0</v>
      </c>
      <c r="AF158" s="126">
        <v>0</v>
      </c>
      <c r="AG158" s="126">
        <v>0</v>
      </c>
      <c r="AH158" s="126">
        <v>0</v>
      </c>
      <c r="AI158" s="126">
        <v>0</v>
      </c>
      <c r="AJ158" s="126">
        <v>0</v>
      </c>
      <c r="AK158" s="126">
        <v>0</v>
      </c>
      <c r="AL158" s="126">
        <v>0</v>
      </c>
      <c r="AM158" s="126">
        <v>0</v>
      </c>
      <c r="AN158" s="126">
        <v>0</v>
      </c>
      <c r="AO158" s="126">
        <v>0</v>
      </c>
      <c r="AP158" s="126">
        <v>0</v>
      </c>
      <c r="AQ158" s="126">
        <v>0</v>
      </c>
      <c r="AR158" s="126">
        <v>0</v>
      </c>
      <c r="AS158" s="126">
        <v>0</v>
      </c>
      <c r="AT158" s="126">
        <v>242375.882485696</v>
      </c>
      <c r="AU158" s="126">
        <v>0</v>
      </c>
      <c r="AV158" s="126">
        <v>0</v>
      </c>
      <c r="AW158" s="135">
        <v>399663.9347583226</v>
      </c>
      <c r="AX158" s="136">
        <v>299068.05089937337</v>
      </c>
      <c r="AY158" s="136">
        <v>19968.911455321446</v>
      </c>
      <c r="AZ158" s="126">
        <v>0</v>
      </c>
      <c r="BA158" s="126">
        <v>6034.4729170666988</v>
      </c>
      <c r="BB158" s="126">
        <v>0</v>
      </c>
      <c r="BC158" s="126">
        <v>66938.963999999993</v>
      </c>
      <c r="BD158" s="126">
        <v>1339.3150515585294</v>
      </c>
      <c r="BE158" s="126">
        <v>0</v>
      </c>
      <c r="BF158" s="126">
        <v>1754.9204121884432</v>
      </c>
      <c r="BG158" s="126">
        <v>878.64797072299666</v>
      </c>
      <c r="BH158" s="126">
        <v>3680.6520520910872</v>
      </c>
      <c r="BI158" s="137">
        <v>465131.88646923337</v>
      </c>
      <c r="BJ158" s="126">
        <v>3294.3054972369332</v>
      </c>
      <c r="BK158" s="126">
        <v>4687.6026804548519</v>
      </c>
      <c r="BL158" s="126">
        <v>5028.6662094118446</v>
      </c>
      <c r="BM158" s="126">
        <v>4983.5417808408292</v>
      </c>
      <c r="BN158" s="126">
        <v>83823.630045541198</v>
      </c>
      <c r="BO158" s="126">
        <v>48123.744658890326</v>
      </c>
      <c r="BP158" s="126">
        <v>39481.793227228554</v>
      </c>
      <c r="BQ158" s="126">
        <v>214210.83857792086</v>
      </c>
      <c r="BR158" s="126">
        <v>7994.2024954429435</v>
      </c>
      <c r="BS158" s="126">
        <v>8876.0274811143972</v>
      </c>
      <c r="BT158" s="126">
        <v>44282.002647755653</v>
      </c>
      <c r="BU158" s="126">
        <v>0</v>
      </c>
      <c r="BV158" s="126">
        <v>345.53116739499421</v>
      </c>
      <c r="BW158" s="126">
        <v>53455.286090738642</v>
      </c>
      <c r="BX158" s="126">
        <v>189645.44650633889</v>
      </c>
      <c r="BY158" s="126">
        <v>166782.61501612831</v>
      </c>
      <c r="BZ158" s="126">
        <v>0</v>
      </c>
      <c r="CA158" s="137">
        <v>0</v>
      </c>
      <c r="CB158" s="126">
        <v>0</v>
      </c>
      <c r="CC158" s="126">
        <v>0</v>
      </c>
      <c r="CD158" s="126">
        <v>0</v>
      </c>
      <c r="CE158" s="126">
        <v>0</v>
      </c>
      <c r="CF158" s="126">
        <v>0</v>
      </c>
      <c r="CG158" s="137">
        <v>47148.397265291424</v>
      </c>
      <c r="CH158" s="126">
        <v>11829.995999999999</v>
      </c>
      <c r="CI158" s="126">
        <v>35318.401265291424</v>
      </c>
      <c r="CJ158" s="120"/>
      <c r="CK158" s="138">
        <v>1611081.7671139059</v>
      </c>
      <c r="CL158" s="139">
        <v>43.063603856172882</v>
      </c>
      <c r="CM158" s="140">
        <v>1082460.94</v>
      </c>
      <c r="CN158" s="125">
        <v>1980.83</v>
      </c>
      <c r="CO158" s="125">
        <v>1980.83</v>
      </c>
      <c r="CP158" s="125">
        <v>0</v>
      </c>
      <c r="CQ158" s="125">
        <v>7725.81</v>
      </c>
      <c r="CR158" s="125">
        <v>4188.7000000000007</v>
      </c>
      <c r="CS158" s="125">
        <v>17549.52</v>
      </c>
      <c r="CT158" s="125">
        <v>132624.70663806688</v>
      </c>
      <c r="CU158" s="141">
        <v>3546.2168674698792</v>
      </c>
      <c r="CV158" s="142">
        <v>-392449.90360836918</v>
      </c>
      <c r="CW158" s="143">
        <v>0</v>
      </c>
      <c r="CX158" s="140">
        <v>1046800.35</v>
      </c>
      <c r="CY158" s="140">
        <v>184649.78</v>
      </c>
    </row>
    <row r="159" spans="1:103" ht="12" customHeight="1" x14ac:dyDescent="0.25">
      <c r="A159" s="122">
        <v>155</v>
      </c>
      <c r="B159" s="123" t="s">
        <v>205</v>
      </c>
      <c r="C159" s="124">
        <v>2702.7899999999995</v>
      </c>
      <c r="D159" s="125">
        <v>2702.7899999999995</v>
      </c>
      <c r="E159" s="125">
        <v>0</v>
      </c>
      <c r="F159" s="125">
        <v>379.4</v>
      </c>
      <c r="G159" s="124">
        <v>2702.7899999999995</v>
      </c>
      <c r="H159" s="124">
        <v>2702.7899999999995</v>
      </c>
      <c r="I159" s="126">
        <v>0</v>
      </c>
      <c r="J159" s="126">
        <v>0</v>
      </c>
      <c r="K159" s="127">
        <v>0</v>
      </c>
      <c r="L159" s="127">
        <v>0</v>
      </c>
      <c r="M159" s="127"/>
      <c r="N159" s="127"/>
      <c r="O159" s="128" t="s">
        <v>1489</v>
      </c>
      <c r="P159" s="129" t="s">
        <v>51</v>
      </c>
      <c r="Q159" s="130">
        <v>6.92</v>
      </c>
      <c r="R159" s="130">
        <v>3.15</v>
      </c>
      <c r="S159" s="130">
        <v>1.81</v>
      </c>
      <c r="T159" s="38">
        <v>0.26</v>
      </c>
      <c r="U159" s="131">
        <v>35.11</v>
      </c>
      <c r="V159" s="144">
        <v>4</v>
      </c>
      <c r="W159" s="132">
        <v>9.638554216867469E-3</v>
      </c>
      <c r="X159" s="133">
        <v>489694.44411404576</v>
      </c>
      <c r="Y159" s="134">
        <v>165738.69</v>
      </c>
      <c r="Z159" s="134">
        <v>8727.4592558434761</v>
      </c>
      <c r="AA159" s="134">
        <v>1700.7449483754583</v>
      </c>
      <c r="AB159" s="134">
        <v>1172.7492778699229</v>
      </c>
      <c r="AC159" s="126">
        <v>73545.53</v>
      </c>
      <c r="AD159" s="126">
        <v>0</v>
      </c>
      <c r="AE159" s="126">
        <v>0</v>
      </c>
      <c r="AF159" s="126">
        <v>0</v>
      </c>
      <c r="AG159" s="126">
        <v>0</v>
      </c>
      <c r="AH159" s="126">
        <v>0</v>
      </c>
      <c r="AI159" s="126">
        <v>0</v>
      </c>
      <c r="AJ159" s="126">
        <v>0</v>
      </c>
      <c r="AK159" s="126">
        <v>0</v>
      </c>
      <c r="AL159" s="126">
        <v>0</v>
      </c>
      <c r="AM159" s="126">
        <v>0</v>
      </c>
      <c r="AN159" s="126">
        <v>0</v>
      </c>
      <c r="AO159" s="126">
        <v>0</v>
      </c>
      <c r="AP159" s="126">
        <v>0</v>
      </c>
      <c r="AQ159" s="126">
        <v>0</v>
      </c>
      <c r="AR159" s="126">
        <v>0</v>
      </c>
      <c r="AS159" s="126">
        <v>0</v>
      </c>
      <c r="AT159" s="126">
        <v>238809.27063195693</v>
      </c>
      <c r="AU159" s="126">
        <v>0</v>
      </c>
      <c r="AV159" s="126">
        <v>0</v>
      </c>
      <c r="AW159" s="135">
        <v>320682.23889179213</v>
      </c>
      <c r="AX159" s="136">
        <v>259272.44238921665</v>
      </c>
      <c r="AY159" s="136">
        <v>17311.740352423065</v>
      </c>
      <c r="AZ159" s="126">
        <v>0</v>
      </c>
      <c r="BA159" s="126">
        <v>5231.4933910004693</v>
      </c>
      <c r="BB159" s="126">
        <v>0</v>
      </c>
      <c r="BC159" s="126">
        <v>32231.448</v>
      </c>
      <c r="BD159" s="126">
        <v>1161.0985643633894</v>
      </c>
      <c r="BE159" s="126">
        <v>0</v>
      </c>
      <c r="BF159" s="126">
        <v>1521.4012332593893</v>
      </c>
      <c r="BG159" s="126">
        <v>761.73033088823854</v>
      </c>
      <c r="BH159" s="126">
        <v>3190.8846306408914</v>
      </c>
      <c r="BI159" s="137">
        <v>403238.92798083782</v>
      </c>
      <c r="BJ159" s="126">
        <v>2855.9474329547384</v>
      </c>
      <c r="BK159" s="126">
        <v>4063.8449752718629</v>
      </c>
      <c r="BL159" s="126">
        <v>4359.5247508167204</v>
      </c>
      <c r="BM159" s="126">
        <v>4320.4048221856228</v>
      </c>
      <c r="BN159" s="126">
        <v>72669.605551246554</v>
      </c>
      <c r="BO159" s="126">
        <v>41720.139537150593</v>
      </c>
      <c r="BP159" s="126">
        <v>34228.132791669683</v>
      </c>
      <c r="BQ159" s="126">
        <v>185706.78859650847</v>
      </c>
      <c r="BR159" s="126">
        <v>6930.4507777223262</v>
      </c>
      <c r="BS159" s="126">
        <v>7694.935372808015</v>
      </c>
      <c r="BT159" s="126">
        <v>38389.600446596625</v>
      </c>
      <c r="BU159" s="126">
        <v>0</v>
      </c>
      <c r="BV159" s="126">
        <v>299.55292590662049</v>
      </c>
      <c r="BW159" s="126">
        <v>46342.237299106855</v>
      </c>
      <c r="BX159" s="126">
        <v>164410.20013948617</v>
      </c>
      <c r="BY159" s="126">
        <v>144589.62036650846</v>
      </c>
      <c r="BZ159" s="126">
        <v>27526.099305294036</v>
      </c>
      <c r="CA159" s="137">
        <v>0</v>
      </c>
      <c r="CB159" s="126">
        <v>0</v>
      </c>
      <c r="CC159" s="126">
        <v>0</v>
      </c>
      <c r="CD159" s="126">
        <v>0</v>
      </c>
      <c r="CE159" s="126">
        <v>0</v>
      </c>
      <c r="CF159" s="126">
        <v>0</v>
      </c>
      <c r="CG159" s="137">
        <v>40758.74422826786</v>
      </c>
      <c r="CH159" s="126">
        <v>10140</v>
      </c>
      <c r="CI159" s="126">
        <v>30618.74422826786</v>
      </c>
      <c r="CJ159" s="120"/>
      <c r="CK159" s="138">
        <v>1637242.512325339</v>
      </c>
      <c r="CL159" s="139">
        <v>50.480013625591191</v>
      </c>
      <c r="CM159" s="140">
        <v>1092607.1200000001</v>
      </c>
      <c r="CN159" s="125">
        <v>2367.04</v>
      </c>
      <c r="CO159" s="125">
        <v>2365.6799999999998</v>
      </c>
      <c r="CP159" s="125">
        <v>0</v>
      </c>
      <c r="CQ159" s="125">
        <v>9226.67</v>
      </c>
      <c r="CR159" s="125">
        <v>4999.8700000000008</v>
      </c>
      <c r="CS159" s="125">
        <v>20915.190000000002</v>
      </c>
      <c r="CT159" s="125">
        <v>0</v>
      </c>
      <c r="CU159" s="141">
        <v>3546.2168674698792</v>
      </c>
      <c r="CV159" s="142">
        <v>-541089.17545786896</v>
      </c>
      <c r="CW159" s="143">
        <v>0</v>
      </c>
      <c r="CX159" s="140">
        <v>1052234.96</v>
      </c>
      <c r="CY159" s="140">
        <v>178835.7</v>
      </c>
    </row>
    <row r="160" spans="1:103" ht="12" customHeight="1" x14ac:dyDescent="0.25">
      <c r="A160" s="122">
        <v>156</v>
      </c>
      <c r="B160" s="123" t="s">
        <v>206</v>
      </c>
      <c r="C160" s="124">
        <v>2709.6</v>
      </c>
      <c r="D160" s="125">
        <v>2709.6</v>
      </c>
      <c r="E160" s="125">
        <v>0</v>
      </c>
      <c r="F160" s="125">
        <v>294.8</v>
      </c>
      <c r="G160" s="124">
        <v>2709.6</v>
      </c>
      <c r="H160" s="124">
        <v>2709.6</v>
      </c>
      <c r="I160" s="126">
        <v>0</v>
      </c>
      <c r="J160" s="126">
        <v>0</v>
      </c>
      <c r="K160" s="127">
        <v>0</v>
      </c>
      <c r="L160" s="127">
        <v>0</v>
      </c>
      <c r="M160" s="127"/>
      <c r="N160" s="127"/>
      <c r="O160" s="128" t="s">
        <v>1489</v>
      </c>
      <c r="P160" s="129" t="s">
        <v>51</v>
      </c>
      <c r="Q160" s="130">
        <v>6.92</v>
      </c>
      <c r="R160" s="130">
        <v>3.15</v>
      </c>
      <c r="S160" s="130">
        <v>1.81</v>
      </c>
      <c r="T160" s="38">
        <v>0.26</v>
      </c>
      <c r="U160" s="131">
        <v>35.11</v>
      </c>
      <c r="V160" s="144">
        <v>4</v>
      </c>
      <c r="W160" s="132">
        <v>9.638554216867469E-3</v>
      </c>
      <c r="X160" s="133">
        <v>376425.69413995114</v>
      </c>
      <c r="Y160" s="134">
        <v>56424.32</v>
      </c>
      <c r="Z160" s="134">
        <v>8749.4491246576636</v>
      </c>
      <c r="AA160" s="134">
        <v>1705.0301770089955</v>
      </c>
      <c r="AB160" s="134">
        <v>1175.7041587827187</v>
      </c>
      <c r="AC160" s="126">
        <v>67238.63</v>
      </c>
      <c r="AD160" s="126">
        <v>0</v>
      </c>
      <c r="AE160" s="126">
        <v>0</v>
      </c>
      <c r="AF160" s="126">
        <v>0</v>
      </c>
      <c r="AG160" s="126">
        <v>0</v>
      </c>
      <c r="AH160" s="126">
        <v>0</v>
      </c>
      <c r="AI160" s="126">
        <v>0</v>
      </c>
      <c r="AJ160" s="126">
        <v>0</v>
      </c>
      <c r="AK160" s="126">
        <v>0</v>
      </c>
      <c r="AL160" s="126">
        <v>0</v>
      </c>
      <c r="AM160" s="126">
        <v>0</v>
      </c>
      <c r="AN160" s="126">
        <v>0</v>
      </c>
      <c r="AO160" s="126">
        <v>0</v>
      </c>
      <c r="AP160" s="126">
        <v>0</v>
      </c>
      <c r="AQ160" s="126">
        <v>0</v>
      </c>
      <c r="AR160" s="126">
        <v>0</v>
      </c>
      <c r="AS160" s="126">
        <v>0</v>
      </c>
      <c r="AT160" s="126">
        <v>241132.56067950174</v>
      </c>
      <c r="AU160" s="126">
        <v>0</v>
      </c>
      <c r="AV160" s="126">
        <v>0</v>
      </c>
      <c r="AW160" s="135">
        <v>321409.0248744149</v>
      </c>
      <c r="AX160" s="136">
        <v>259925.71006175896</v>
      </c>
      <c r="AY160" s="136">
        <v>17355.35933569591</v>
      </c>
      <c r="AZ160" s="126">
        <v>0</v>
      </c>
      <c r="BA160" s="126">
        <v>5244.6747591395833</v>
      </c>
      <c r="BB160" s="126">
        <v>0</v>
      </c>
      <c r="BC160" s="126">
        <v>32231.448</v>
      </c>
      <c r="BD160" s="126">
        <v>1164.0240899215405</v>
      </c>
      <c r="BE160" s="126">
        <v>0</v>
      </c>
      <c r="BF160" s="126">
        <v>1525.2345841296001</v>
      </c>
      <c r="BG160" s="126">
        <v>763.64960081055926</v>
      </c>
      <c r="BH160" s="126">
        <v>3198.9244429587802</v>
      </c>
      <c r="BI160" s="137">
        <v>404254.93629060278</v>
      </c>
      <c r="BJ160" s="126">
        <v>2863.1433312740392</v>
      </c>
      <c r="BK160" s="126">
        <v>4074.0843147253918</v>
      </c>
      <c r="BL160" s="126">
        <v>4370.5090905371808</v>
      </c>
      <c r="BM160" s="126">
        <v>4331.2905946056353</v>
      </c>
      <c r="BN160" s="126">
        <v>72852.70524223402</v>
      </c>
      <c r="BO160" s="126">
        <v>41825.258377403821</v>
      </c>
      <c r="BP160" s="126">
        <v>34314.374632253406</v>
      </c>
      <c r="BQ160" s="126">
        <v>186174.69887823303</v>
      </c>
      <c r="BR160" s="126">
        <v>6947.912870521357</v>
      </c>
      <c r="BS160" s="126">
        <v>7714.3236752247121</v>
      </c>
      <c r="BT160" s="126">
        <v>38486.327598554912</v>
      </c>
      <c r="BU160" s="126">
        <v>0</v>
      </c>
      <c r="BV160" s="126">
        <v>300.3076850353076</v>
      </c>
      <c r="BW160" s="126">
        <v>46459.002062927546</v>
      </c>
      <c r="BX160" s="126">
        <v>164824.45114047031</v>
      </c>
      <c r="BY160" s="126">
        <v>144953.93106571038</v>
      </c>
      <c r="BZ160" s="126">
        <v>27595.454577538294</v>
      </c>
      <c r="CA160" s="137">
        <v>0</v>
      </c>
      <c r="CB160" s="126">
        <v>0</v>
      </c>
      <c r="CC160" s="126">
        <v>0</v>
      </c>
      <c r="CD160" s="126">
        <v>0</v>
      </c>
      <c r="CE160" s="126">
        <v>0</v>
      </c>
      <c r="CF160" s="126">
        <v>0</v>
      </c>
      <c r="CG160" s="137">
        <v>40835.891786233711</v>
      </c>
      <c r="CH160" s="126">
        <v>10140</v>
      </c>
      <c r="CI160" s="126">
        <v>30695.891786233708</v>
      </c>
      <c r="CJ160" s="120"/>
      <c r="CK160" s="138">
        <v>1526758.3859378488</v>
      </c>
      <c r="CL160" s="139">
        <v>46.955220510341285</v>
      </c>
      <c r="CM160" s="140">
        <v>1095281.49</v>
      </c>
      <c r="CN160" s="125">
        <v>1839.6000000000001</v>
      </c>
      <c r="CO160" s="125">
        <v>1839.6000000000001</v>
      </c>
      <c r="CP160" s="125">
        <v>0</v>
      </c>
      <c r="CQ160" s="125">
        <v>7176.24</v>
      </c>
      <c r="CR160" s="125">
        <v>3890.2799999999997</v>
      </c>
      <c r="CS160" s="125">
        <v>16267.120000000003</v>
      </c>
      <c r="CT160" s="125">
        <v>0</v>
      </c>
      <c r="CU160" s="141">
        <v>3546.2168674698792</v>
      </c>
      <c r="CV160" s="142">
        <v>-427930.67907037889</v>
      </c>
      <c r="CW160" s="143">
        <v>0</v>
      </c>
      <c r="CX160" s="140">
        <v>1153101.2799999998</v>
      </c>
      <c r="CY160" s="140">
        <v>380131.84000000003</v>
      </c>
    </row>
    <row r="161" spans="1:103" ht="12" customHeight="1" x14ac:dyDescent="0.25">
      <c r="A161" s="122">
        <v>157</v>
      </c>
      <c r="B161" s="123" t="s">
        <v>207</v>
      </c>
      <c r="C161" s="124">
        <v>3377.3</v>
      </c>
      <c r="D161" s="125">
        <v>3377.3</v>
      </c>
      <c r="E161" s="125">
        <v>0</v>
      </c>
      <c r="F161" s="125">
        <v>297.8</v>
      </c>
      <c r="G161" s="124">
        <v>3377.3</v>
      </c>
      <c r="H161" s="124"/>
      <c r="I161" s="126">
        <v>0</v>
      </c>
      <c r="J161" s="126">
        <v>0</v>
      </c>
      <c r="K161" s="127">
        <v>0</v>
      </c>
      <c r="L161" s="127">
        <v>0</v>
      </c>
      <c r="M161" s="127"/>
      <c r="N161" s="127"/>
      <c r="O161" s="128" t="s">
        <v>1489</v>
      </c>
      <c r="P161" s="129" t="s">
        <v>51</v>
      </c>
      <c r="Q161" s="130">
        <v>6.92</v>
      </c>
      <c r="R161" s="130">
        <v>3.15</v>
      </c>
      <c r="S161" s="130">
        <v>0</v>
      </c>
      <c r="T161" s="38">
        <v>0.26</v>
      </c>
      <c r="U161" s="131">
        <v>31</v>
      </c>
      <c r="V161" s="144">
        <v>4</v>
      </c>
      <c r="W161" s="132">
        <v>9.638554216867469E-3</v>
      </c>
      <c r="X161" s="133">
        <v>58349.274848308123</v>
      </c>
      <c r="Y161" s="134">
        <v>30852.79</v>
      </c>
      <c r="Z161" s="134">
        <v>10905.489566248276</v>
      </c>
      <c r="AA161" s="134">
        <v>2125.1839447935049</v>
      </c>
      <c r="AB161" s="134">
        <v>1465.4213372663403</v>
      </c>
      <c r="AC161" s="126">
        <v>0</v>
      </c>
      <c r="AD161" s="126">
        <v>0</v>
      </c>
      <c r="AE161" s="126">
        <v>0</v>
      </c>
      <c r="AF161" s="126">
        <v>0</v>
      </c>
      <c r="AG161" s="126">
        <v>0</v>
      </c>
      <c r="AH161" s="126">
        <v>0</v>
      </c>
      <c r="AI161" s="126">
        <v>4896.3900000000003</v>
      </c>
      <c r="AJ161" s="126">
        <v>0</v>
      </c>
      <c r="AK161" s="126">
        <v>0</v>
      </c>
      <c r="AL161" s="126">
        <v>0</v>
      </c>
      <c r="AM161" s="126">
        <v>0</v>
      </c>
      <c r="AN161" s="126">
        <v>0</v>
      </c>
      <c r="AO161" s="126">
        <v>0</v>
      </c>
      <c r="AP161" s="126">
        <v>0</v>
      </c>
      <c r="AQ161" s="126">
        <v>0</v>
      </c>
      <c r="AR161" s="126">
        <v>0</v>
      </c>
      <c r="AS161" s="126">
        <v>8104</v>
      </c>
      <c r="AT161" s="126">
        <v>0</v>
      </c>
      <c r="AU161" s="126">
        <v>0</v>
      </c>
      <c r="AV161" s="126">
        <v>0</v>
      </c>
      <c r="AW161" s="135">
        <v>416634.78264199942</v>
      </c>
      <c r="AX161" s="136">
        <v>323976.63883657317</v>
      </c>
      <c r="AY161" s="136">
        <v>21632.06934028853</v>
      </c>
      <c r="AZ161" s="126">
        <v>0</v>
      </c>
      <c r="BA161" s="126">
        <v>6537.0682255838929</v>
      </c>
      <c r="BB161" s="126">
        <v>0</v>
      </c>
      <c r="BC161" s="126">
        <v>56198.027999999998</v>
      </c>
      <c r="BD161" s="126">
        <v>1450.8630642500809</v>
      </c>
      <c r="BE161" s="126">
        <v>0</v>
      </c>
      <c r="BF161" s="126">
        <v>1901.0830974981175</v>
      </c>
      <c r="BG161" s="126">
        <v>951.82823915614927</v>
      </c>
      <c r="BH161" s="126">
        <v>3987.2038386495014</v>
      </c>
      <c r="BI161" s="137">
        <v>503871.49259457219</v>
      </c>
      <c r="BJ161" s="126">
        <v>3568.6794998198307</v>
      </c>
      <c r="BK161" s="126">
        <v>5078.0207248752831</v>
      </c>
      <c r="BL161" s="126">
        <v>5447.4905342010707</v>
      </c>
      <c r="BM161" s="126">
        <v>5398.6078111756769</v>
      </c>
      <c r="BN161" s="126">
        <v>90805.078762399236</v>
      </c>
      <c r="BO161" s="126">
        <v>52131.844227194393</v>
      </c>
      <c r="BP161" s="126">
        <v>42770.127489485327</v>
      </c>
      <c r="BQ161" s="126">
        <v>232051.89346082686</v>
      </c>
      <c r="BR161" s="126">
        <v>8660.0185036949297</v>
      </c>
      <c r="BS161" s="126">
        <v>9615.2883629821463</v>
      </c>
      <c r="BT161" s="126">
        <v>47970.133672349984</v>
      </c>
      <c r="BU161" s="126">
        <v>0</v>
      </c>
      <c r="BV161" s="126">
        <v>374.30954556751715</v>
      </c>
      <c r="BW161" s="126">
        <v>57907.435661029383</v>
      </c>
      <c r="BX161" s="126">
        <v>205440.51477587485</v>
      </c>
      <c r="BY161" s="126">
        <v>180673.49844560958</v>
      </c>
      <c r="BZ161" s="126">
        <v>0</v>
      </c>
      <c r="CA161" s="137">
        <v>0</v>
      </c>
      <c r="CB161" s="126">
        <v>0</v>
      </c>
      <c r="CC161" s="126">
        <v>0</v>
      </c>
      <c r="CD161" s="126">
        <v>0</v>
      </c>
      <c r="CE161" s="126">
        <v>0</v>
      </c>
      <c r="CF161" s="126">
        <v>0</v>
      </c>
      <c r="CG161" s="137">
        <v>51779.981609110982</v>
      </c>
      <c r="CH161" s="126">
        <v>13520.003999999999</v>
      </c>
      <c r="CI161" s="126">
        <v>38259.977609110982</v>
      </c>
      <c r="CJ161" s="120"/>
      <c r="CK161" s="138">
        <v>1474656.9805765045</v>
      </c>
      <c r="CL161" s="139">
        <v>36.386486754125691</v>
      </c>
      <c r="CM161" s="140">
        <v>1204480.44</v>
      </c>
      <c r="CN161" s="125">
        <v>1858.56</v>
      </c>
      <c r="CO161" s="125">
        <v>1858.56</v>
      </c>
      <c r="CP161" s="125">
        <v>0</v>
      </c>
      <c r="CQ161" s="125">
        <v>7248.84</v>
      </c>
      <c r="CR161" s="125">
        <v>3930.3599999999997</v>
      </c>
      <c r="CS161" s="125">
        <v>16426.199999999997</v>
      </c>
      <c r="CT161" s="125">
        <v>0</v>
      </c>
      <c r="CU161" s="141">
        <v>3546.2168674698792</v>
      </c>
      <c r="CV161" s="142">
        <v>-266630.32370903459</v>
      </c>
      <c r="CW161" s="143">
        <v>0</v>
      </c>
      <c r="CX161" s="140">
        <v>1177455.48</v>
      </c>
      <c r="CY161" s="140">
        <v>424048.58</v>
      </c>
    </row>
    <row r="162" spans="1:103" ht="12" customHeight="1" x14ac:dyDescent="0.25">
      <c r="A162" s="122">
        <v>158</v>
      </c>
      <c r="B162" s="123" t="s">
        <v>208</v>
      </c>
      <c r="C162" s="124">
        <v>3351.3</v>
      </c>
      <c r="D162" s="125">
        <v>3351.3</v>
      </c>
      <c r="E162" s="125">
        <v>0</v>
      </c>
      <c r="F162" s="125">
        <v>279.2</v>
      </c>
      <c r="G162" s="124">
        <v>3351.3</v>
      </c>
      <c r="H162" s="124"/>
      <c r="I162" s="126">
        <v>0</v>
      </c>
      <c r="J162" s="126">
        <v>0</v>
      </c>
      <c r="K162" s="127">
        <v>0</v>
      </c>
      <c r="L162" s="127">
        <v>0</v>
      </c>
      <c r="M162" s="127"/>
      <c r="N162" s="127"/>
      <c r="O162" s="128" t="s">
        <v>1488</v>
      </c>
      <c r="P162" s="129" t="s">
        <v>51</v>
      </c>
      <c r="Q162" s="130">
        <v>6.92</v>
      </c>
      <c r="R162" s="130">
        <v>3.15</v>
      </c>
      <c r="S162" s="130">
        <v>0</v>
      </c>
      <c r="T162" s="38">
        <v>0.26</v>
      </c>
      <c r="U162" s="131">
        <v>31</v>
      </c>
      <c r="V162" s="144">
        <v>4</v>
      </c>
      <c r="W162" s="132">
        <v>9.638554216867469E-3</v>
      </c>
      <c r="X162" s="133">
        <v>165277.62728041186</v>
      </c>
      <c r="Y162" s="134">
        <v>63303.01</v>
      </c>
      <c r="Z162" s="134">
        <v>10821.534119967977</v>
      </c>
      <c r="AA162" s="134">
        <v>2108.823306838739</v>
      </c>
      <c r="AB162" s="134">
        <v>1454.139853605154</v>
      </c>
      <c r="AC162" s="126">
        <v>50906.19</v>
      </c>
      <c r="AD162" s="126">
        <v>0</v>
      </c>
      <c r="AE162" s="126">
        <v>0</v>
      </c>
      <c r="AF162" s="126">
        <v>0</v>
      </c>
      <c r="AG162" s="126">
        <v>0</v>
      </c>
      <c r="AH162" s="126">
        <v>0</v>
      </c>
      <c r="AI162" s="126">
        <v>0</v>
      </c>
      <c r="AJ162" s="126">
        <v>0</v>
      </c>
      <c r="AK162" s="126">
        <v>36683.93</v>
      </c>
      <c r="AL162" s="126">
        <v>0</v>
      </c>
      <c r="AM162" s="126">
        <v>0</v>
      </c>
      <c r="AN162" s="126">
        <v>0</v>
      </c>
      <c r="AO162" s="126">
        <v>0</v>
      </c>
      <c r="AP162" s="126">
        <v>0</v>
      </c>
      <c r="AQ162" s="126">
        <v>0</v>
      </c>
      <c r="AR162" s="126">
        <v>0</v>
      </c>
      <c r="AS162" s="126">
        <v>0</v>
      </c>
      <c r="AT162" s="126">
        <v>0</v>
      </c>
      <c r="AU162" s="126">
        <v>0</v>
      </c>
      <c r="AV162" s="126">
        <v>0</v>
      </c>
      <c r="AW162" s="135">
        <v>495489.73677521496</v>
      </c>
      <c r="AX162" s="136">
        <v>321482.51850087574</v>
      </c>
      <c r="AY162" s="136">
        <v>21465.535777132311</v>
      </c>
      <c r="AZ162" s="126">
        <v>0</v>
      </c>
      <c r="BA162" s="126">
        <v>0</v>
      </c>
      <c r="BB162" s="126">
        <v>0</v>
      </c>
      <c r="BC162" s="126">
        <v>144314.53200000001</v>
      </c>
      <c r="BD162" s="126">
        <v>1439.6936568327646</v>
      </c>
      <c r="BE162" s="126">
        <v>0</v>
      </c>
      <c r="BF162" s="126">
        <v>1886.4476903578127</v>
      </c>
      <c r="BG162" s="126">
        <v>944.50063005477841</v>
      </c>
      <c r="BH162" s="126">
        <v>3956.5085199615296</v>
      </c>
      <c r="BI162" s="137">
        <v>499992.45940016885</v>
      </c>
      <c r="BJ162" s="126">
        <v>3541.2061729032657</v>
      </c>
      <c r="BK162" s="126">
        <v>5038.9277989146758</v>
      </c>
      <c r="BL162" s="126">
        <v>5405.553260672149</v>
      </c>
      <c r="BM162" s="126">
        <v>5357.0468592050001</v>
      </c>
      <c r="BN162" s="126">
        <v>90106.019736602786</v>
      </c>
      <c r="BO162" s="126">
        <v>51730.509447960372</v>
      </c>
      <c r="BP162" s="126">
        <v>42440.863487256735</v>
      </c>
      <c r="BQ162" s="126">
        <v>230265.45185659226</v>
      </c>
      <c r="BR162" s="126">
        <v>8593.3497206149332</v>
      </c>
      <c r="BS162" s="126">
        <v>9541.2654756349948</v>
      </c>
      <c r="BT162" s="126">
        <v>47600.837644315434</v>
      </c>
      <c r="BU162" s="126">
        <v>0</v>
      </c>
      <c r="BV162" s="126">
        <v>371.42793949617158</v>
      </c>
      <c r="BW162" s="126">
        <v>57461.637737484911</v>
      </c>
      <c r="BX162" s="126">
        <v>203858.93973540681</v>
      </c>
      <c r="BY162" s="126">
        <v>179282.59122398702</v>
      </c>
      <c r="BZ162" s="126">
        <v>0</v>
      </c>
      <c r="CA162" s="137">
        <v>0</v>
      </c>
      <c r="CB162" s="126">
        <v>0</v>
      </c>
      <c r="CC162" s="126">
        <v>0</v>
      </c>
      <c r="CD162" s="126">
        <v>0</v>
      </c>
      <c r="CE162" s="126">
        <v>0</v>
      </c>
      <c r="CF162" s="126">
        <v>0</v>
      </c>
      <c r="CG162" s="137">
        <v>49795.430803367664</v>
      </c>
      <c r="CH162" s="126">
        <v>11829.995999999999</v>
      </c>
      <c r="CI162" s="126">
        <v>37965.434803367665</v>
      </c>
      <c r="CJ162" s="120"/>
      <c r="CK162" s="138">
        <v>1651158.422956042</v>
      </c>
      <c r="CL162" s="139">
        <v>41.05765978764564</v>
      </c>
      <c r="CM162" s="140">
        <v>1195761.55</v>
      </c>
      <c r="CN162" s="125">
        <v>1742.3999999999999</v>
      </c>
      <c r="CO162" s="125">
        <v>1742.3999999999999</v>
      </c>
      <c r="CP162" s="125">
        <v>0</v>
      </c>
      <c r="CQ162" s="125">
        <v>6797.0399999999991</v>
      </c>
      <c r="CR162" s="125">
        <v>3684.84</v>
      </c>
      <c r="CS162" s="125">
        <v>15399.490000000002</v>
      </c>
      <c r="CT162" s="125">
        <v>0</v>
      </c>
      <c r="CU162" s="141">
        <v>3546.2168674698792</v>
      </c>
      <c r="CV162" s="142">
        <v>-451850.656088572</v>
      </c>
      <c r="CW162" s="143">
        <v>0</v>
      </c>
      <c r="CX162" s="140">
        <v>1079774.99</v>
      </c>
      <c r="CY162" s="140">
        <v>485981.91000000003</v>
      </c>
    </row>
    <row r="163" spans="1:103" ht="12" customHeight="1" x14ac:dyDescent="0.25">
      <c r="A163" s="122">
        <v>159</v>
      </c>
      <c r="B163" s="123" t="s">
        <v>209</v>
      </c>
      <c r="C163" s="124">
        <v>3357.8</v>
      </c>
      <c r="D163" s="125">
        <v>3357.8</v>
      </c>
      <c r="E163" s="125">
        <v>0</v>
      </c>
      <c r="F163" s="125">
        <v>279.2</v>
      </c>
      <c r="G163" s="124">
        <v>3357.8</v>
      </c>
      <c r="H163" s="124"/>
      <c r="I163" s="126">
        <v>0</v>
      </c>
      <c r="J163" s="126">
        <v>0</v>
      </c>
      <c r="K163" s="127">
        <v>0</v>
      </c>
      <c r="L163" s="127">
        <v>0</v>
      </c>
      <c r="M163" s="127"/>
      <c r="N163" s="127"/>
      <c r="O163" s="128" t="s">
        <v>1488</v>
      </c>
      <c r="P163" s="129" t="s">
        <v>51</v>
      </c>
      <c r="Q163" s="130">
        <v>6.92</v>
      </c>
      <c r="R163" s="130">
        <v>3.15</v>
      </c>
      <c r="S163" s="130">
        <v>0</v>
      </c>
      <c r="T163" s="38">
        <v>0.26</v>
      </c>
      <c r="U163" s="131">
        <v>31</v>
      </c>
      <c r="V163" s="144">
        <v>4</v>
      </c>
      <c r="W163" s="132">
        <v>9.638554216867469E-3</v>
      </c>
      <c r="X163" s="133">
        <v>92626.116672385935</v>
      </c>
      <c r="Y163" s="134">
        <v>38173.82</v>
      </c>
      <c r="Z163" s="134">
        <v>10842.522981538052</v>
      </c>
      <c r="AA163" s="134">
        <v>2112.9134663274303</v>
      </c>
      <c r="AB163" s="134">
        <v>1456.9602245204505</v>
      </c>
      <c r="AC163" s="126">
        <v>10149.27</v>
      </c>
      <c r="AD163" s="126">
        <v>29890.63</v>
      </c>
      <c r="AE163" s="126">
        <v>0</v>
      </c>
      <c r="AF163" s="126">
        <v>0</v>
      </c>
      <c r="AG163" s="126">
        <v>0</v>
      </c>
      <c r="AH163" s="126">
        <v>0</v>
      </c>
      <c r="AI163" s="126">
        <v>0</v>
      </c>
      <c r="AJ163" s="126">
        <v>0</v>
      </c>
      <c r="AK163" s="126">
        <v>0</v>
      </c>
      <c r="AL163" s="126">
        <v>0</v>
      </c>
      <c r="AM163" s="126">
        <v>0</v>
      </c>
      <c r="AN163" s="126">
        <v>0</v>
      </c>
      <c r="AO163" s="126">
        <v>0</v>
      </c>
      <c r="AP163" s="126">
        <v>0</v>
      </c>
      <c r="AQ163" s="126">
        <v>0</v>
      </c>
      <c r="AR163" s="126">
        <v>0</v>
      </c>
      <c r="AS163" s="126">
        <v>0</v>
      </c>
      <c r="AT163" s="126">
        <v>0</v>
      </c>
      <c r="AU163" s="126">
        <v>0</v>
      </c>
      <c r="AV163" s="126">
        <v>0</v>
      </c>
      <c r="AW163" s="135">
        <v>483564.88118551514</v>
      </c>
      <c r="AX163" s="136">
        <v>322106.0485848001</v>
      </c>
      <c r="AY163" s="136">
        <v>21507.169167921365</v>
      </c>
      <c r="AZ163" s="126">
        <v>0</v>
      </c>
      <c r="BA163" s="126">
        <v>0</v>
      </c>
      <c r="BB163" s="126">
        <v>0</v>
      </c>
      <c r="BC163" s="126">
        <v>131708.55600000001</v>
      </c>
      <c r="BD163" s="126">
        <v>1442.4860086870938</v>
      </c>
      <c r="BE163" s="126">
        <v>0</v>
      </c>
      <c r="BF163" s="126">
        <v>1890.1065421428889</v>
      </c>
      <c r="BG163" s="126">
        <v>946.33253233012113</v>
      </c>
      <c r="BH163" s="126">
        <v>3964.1823496335223</v>
      </c>
      <c r="BI163" s="137">
        <v>500962.21769876959</v>
      </c>
      <c r="BJ163" s="126">
        <v>3548.0745046324068</v>
      </c>
      <c r="BK163" s="126">
        <v>5048.7010304048281</v>
      </c>
      <c r="BL163" s="126">
        <v>5416.0375790543794</v>
      </c>
      <c r="BM163" s="126">
        <v>5367.4370971976687</v>
      </c>
      <c r="BN163" s="126">
        <v>90280.784493051891</v>
      </c>
      <c r="BO163" s="126">
        <v>51830.843142768877</v>
      </c>
      <c r="BP163" s="126">
        <v>42523.179487813883</v>
      </c>
      <c r="BQ163" s="126">
        <v>230712.06225765092</v>
      </c>
      <c r="BR163" s="126">
        <v>8610.0169163849332</v>
      </c>
      <c r="BS163" s="126">
        <v>9559.7711974717822</v>
      </c>
      <c r="BT163" s="126">
        <v>47693.161651324073</v>
      </c>
      <c r="BU163" s="126">
        <v>0</v>
      </c>
      <c r="BV163" s="126">
        <v>372.148341014008</v>
      </c>
      <c r="BW163" s="126">
        <v>57573.087218371031</v>
      </c>
      <c r="BX163" s="126">
        <v>204254.33349552381</v>
      </c>
      <c r="BY163" s="126">
        <v>179630.31802939269</v>
      </c>
      <c r="BZ163" s="126">
        <v>0</v>
      </c>
      <c r="CA163" s="137">
        <v>0</v>
      </c>
      <c r="CB163" s="126">
        <v>0</v>
      </c>
      <c r="CC163" s="126">
        <v>0</v>
      </c>
      <c r="CD163" s="126">
        <v>0</v>
      </c>
      <c r="CE163" s="126">
        <v>0</v>
      </c>
      <c r="CF163" s="126">
        <v>0</v>
      </c>
      <c r="CG163" s="137">
        <v>49869.066504803493</v>
      </c>
      <c r="CH163" s="126">
        <v>11829.995999999999</v>
      </c>
      <c r="CI163" s="126">
        <v>38039.070504803494</v>
      </c>
      <c r="CJ163" s="120"/>
      <c r="CK163" s="138">
        <v>1568480.0208047617</v>
      </c>
      <c r="CL163" s="139">
        <v>38.926281613079041</v>
      </c>
      <c r="CM163" s="140">
        <v>1158903.3700000001</v>
      </c>
      <c r="CN163" s="125">
        <v>1742.16</v>
      </c>
      <c r="CO163" s="125">
        <v>1742.16</v>
      </c>
      <c r="CP163" s="125">
        <v>0</v>
      </c>
      <c r="CQ163" s="125">
        <v>6796.2000000000007</v>
      </c>
      <c r="CR163" s="125">
        <v>3684.84</v>
      </c>
      <c r="CS163" s="125">
        <v>15011.5</v>
      </c>
      <c r="CT163" s="125">
        <v>0</v>
      </c>
      <c r="CU163" s="141">
        <v>3546.2168674698792</v>
      </c>
      <c r="CV163" s="142">
        <v>-406030.43393729161</v>
      </c>
      <c r="CW163" s="143">
        <v>0</v>
      </c>
      <c r="CX163" s="140">
        <v>1189259.6000000001</v>
      </c>
      <c r="CY163" s="140">
        <v>452697.35</v>
      </c>
    </row>
    <row r="164" spans="1:103" ht="12" customHeight="1" x14ac:dyDescent="0.25">
      <c r="A164" s="122">
        <v>160</v>
      </c>
      <c r="B164" s="123" t="s">
        <v>210</v>
      </c>
      <c r="C164" s="124">
        <v>4948.74</v>
      </c>
      <c r="D164" s="125">
        <v>4641.3</v>
      </c>
      <c r="E164" s="125">
        <v>307.44</v>
      </c>
      <c r="F164" s="125">
        <v>379.6</v>
      </c>
      <c r="G164" s="124">
        <v>4948.74</v>
      </c>
      <c r="H164" s="124">
        <v>4948.74</v>
      </c>
      <c r="I164" s="126">
        <v>3</v>
      </c>
      <c r="J164" s="126">
        <v>0</v>
      </c>
      <c r="K164" s="127">
        <v>4.7364109456131103E-3</v>
      </c>
      <c r="L164" s="127">
        <v>6.7413124308053594E-3</v>
      </c>
      <c r="M164" s="127"/>
      <c r="N164" s="127"/>
      <c r="O164" s="128" t="s">
        <v>1488</v>
      </c>
      <c r="P164" s="129" t="s">
        <v>51</v>
      </c>
      <c r="Q164" s="130">
        <v>6.91</v>
      </c>
      <c r="R164" s="130">
        <v>3.15</v>
      </c>
      <c r="S164" s="130">
        <v>1.81</v>
      </c>
      <c r="T164" s="38">
        <v>0</v>
      </c>
      <c r="U164" s="131">
        <v>44.8</v>
      </c>
      <c r="V164" s="144">
        <v>3</v>
      </c>
      <c r="W164" s="132">
        <v>7.2289156626506026E-3</v>
      </c>
      <c r="X164" s="133">
        <v>98755.301851957571</v>
      </c>
      <c r="Y164" s="134">
        <v>29433.439999999999</v>
      </c>
      <c r="Z164" s="134">
        <v>15979.756739429571</v>
      </c>
      <c r="AA164" s="134">
        <v>3114.0209027795599</v>
      </c>
      <c r="AB164" s="134">
        <v>2147.2742097484465</v>
      </c>
      <c r="AC164" s="126">
        <v>48080.81</v>
      </c>
      <c r="AD164" s="126">
        <v>0</v>
      </c>
      <c r="AE164" s="126">
        <v>0</v>
      </c>
      <c r="AF164" s="126">
        <v>0</v>
      </c>
      <c r="AG164" s="126">
        <v>0</v>
      </c>
      <c r="AH164" s="126">
        <v>0</v>
      </c>
      <c r="AI164" s="126">
        <v>0</v>
      </c>
      <c r="AJ164" s="126">
        <v>0</v>
      </c>
      <c r="AK164" s="126">
        <v>0</v>
      </c>
      <c r="AL164" s="126">
        <v>0</v>
      </c>
      <c r="AM164" s="126">
        <v>0</v>
      </c>
      <c r="AN164" s="126">
        <v>0</v>
      </c>
      <c r="AO164" s="126">
        <v>0</v>
      </c>
      <c r="AP164" s="126">
        <v>0</v>
      </c>
      <c r="AQ164" s="126">
        <v>0</v>
      </c>
      <c r="AR164" s="126">
        <v>0</v>
      </c>
      <c r="AS164" s="126">
        <v>0</v>
      </c>
      <c r="AT164" s="126">
        <v>0</v>
      </c>
      <c r="AU164" s="126">
        <v>0</v>
      </c>
      <c r="AV164" s="126">
        <v>0</v>
      </c>
      <c r="AW164" s="135">
        <v>566832.80881058017</v>
      </c>
      <c r="AX164" s="136">
        <v>474721.27192612528</v>
      </c>
      <c r="AY164" s="136">
        <v>31697.357897450463</v>
      </c>
      <c r="AZ164" s="126">
        <v>0</v>
      </c>
      <c r="BA164" s="126">
        <v>0</v>
      </c>
      <c r="BB164" s="126">
        <v>0</v>
      </c>
      <c r="BC164" s="126">
        <v>48265.451999999997</v>
      </c>
      <c r="BD164" s="126">
        <v>2125.9420485526734</v>
      </c>
      <c r="BE164" s="126">
        <v>0</v>
      </c>
      <c r="BF164" s="126">
        <v>2785.6471050581331</v>
      </c>
      <c r="BG164" s="126">
        <v>1394.7089332430053</v>
      </c>
      <c r="BH164" s="126">
        <v>5842.428900150514</v>
      </c>
      <c r="BI164" s="137">
        <v>738320.25886431849</v>
      </c>
      <c r="BJ164" s="126">
        <v>5229.16737865703</v>
      </c>
      <c r="BK164" s="126">
        <v>7440.797169934357</v>
      </c>
      <c r="BL164" s="126">
        <v>7982.1793462891083</v>
      </c>
      <c r="BM164" s="126">
        <v>7910.5517482833966</v>
      </c>
      <c r="BN164" s="126">
        <v>133056.20628153719</v>
      </c>
      <c r="BO164" s="126">
        <v>76388.518284098522</v>
      </c>
      <c r="BP164" s="126">
        <v>62670.843784181321</v>
      </c>
      <c r="BQ164" s="126">
        <v>340024.42402076576</v>
      </c>
      <c r="BR164" s="126">
        <v>12689.479753049844</v>
      </c>
      <c r="BS164" s="126">
        <v>14089.231674244</v>
      </c>
      <c r="BT164" s="126">
        <v>70290.385606758427</v>
      </c>
      <c r="BU164" s="126">
        <v>0</v>
      </c>
      <c r="BV164" s="126">
        <v>548.47381651964429</v>
      </c>
      <c r="BW164" s="126">
        <v>84851.462160057607</v>
      </c>
      <c r="BX164" s="126">
        <v>301030.91022176377</v>
      </c>
      <c r="BY164" s="126">
        <v>264739.93092047668</v>
      </c>
      <c r="BZ164" s="126">
        <v>50399.590303383105</v>
      </c>
      <c r="CA164" s="137">
        <v>209729.01090012761</v>
      </c>
      <c r="CB164" s="126">
        <v>6968.0879999999997</v>
      </c>
      <c r="CC164" s="126">
        <v>201519.13371968275</v>
      </c>
      <c r="CD164" s="126">
        <v>0</v>
      </c>
      <c r="CE164" s="126">
        <v>0</v>
      </c>
      <c r="CF164" s="126">
        <v>1241.789180444882</v>
      </c>
      <c r="CG164" s="137">
        <v>0</v>
      </c>
      <c r="CH164" s="126">
        <v>0</v>
      </c>
      <c r="CI164" s="126">
        <v>0</v>
      </c>
      <c r="CJ164" s="120"/>
      <c r="CK164" s="138">
        <v>2314659.274032665</v>
      </c>
      <c r="CL164" s="139">
        <v>38.977249327314716</v>
      </c>
      <c r="CM164" s="140">
        <v>2394156.91</v>
      </c>
      <c r="CN164" s="125">
        <v>2050.56</v>
      </c>
      <c r="CO164" s="125">
        <v>2050.56</v>
      </c>
      <c r="CP164" s="125">
        <v>0</v>
      </c>
      <c r="CQ164" s="125">
        <v>7998.7199999999993</v>
      </c>
      <c r="CR164" s="125">
        <v>4337.28</v>
      </c>
      <c r="CS164" s="125">
        <v>69726.189999999988</v>
      </c>
      <c r="CT164" s="125">
        <v>210519.87744834783</v>
      </c>
      <c r="CU164" s="141">
        <v>2659.6626506024099</v>
      </c>
      <c r="CV164" s="142">
        <v>292677.17606628546</v>
      </c>
      <c r="CW164" s="143">
        <v>3.4345286521947571E-2</v>
      </c>
      <c r="CX164" s="140">
        <v>2364308.11</v>
      </c>
      <c r="CY164" s="140">
        <v>239364.32</v>
      </c>
    </row>
    <row r="165" spans="1:103" ht="12" customHeight="1" x14ac:dyDescent="0.25">
      <c r="A165" s="122">
        <v>161</v>
      </c>
      <c r="B165" s="123" t="s">
        <v>211</v>
      </c>
      <c r="C165" s="124">
        <v>2466.6</v>
      </c>
      <c r="D165" s="125">
        <v>2466.6</v>
      </c>
      <c r="E165" s="125">
        <v>0</v>
      </c>
      <c r="F165" s="125">
        <v>283.8</v>
      </c>
      <c r="G165" s="124">
        <v>2466.6</v>
      </c>
      <c r="H165" s="124"/>
      <c r="I165" s="126">
        <v>0</v>
      </c>
      <c r="J165" s="126">
        <v>0</v>
      </c>
      <c r="K165" s="127">
        <v>0</v>
      </c>
      <c r="L165" s="127">
        <v>0</v>
      </c>
      <c r="M165" s="127"/>
      <c r="N165" s="127"/>
      <c r="O165" s="128" t="s">
        <v>1489</v>
      </c>
      <c r="P165" s="129" t="s">
        <v>51</v>
      </c>
      <c r="Q165" s="130">
        <v>6.92</v>
      </c>
      <c r="R165" s="130">
        <v>3.15</v>
      </c>
      <c r="S165" s="130">
        <v>0</v>
      </c>
      <c r="T165" s="38">
        <v>0.26</v>
      </c>
      <c r="U165" s="131">
        <v>31</v>
      </c>
      <c r="V165" s="144">
        <v>0</v>
      </c>
      <c r="W165" s="132">
        <v>0</v>
      </c>
      <c r="X165" s="133">
        <v>193043.53542203442</v>
      </c>
      <c r="Y165" s="134">
        <v>20750.36</v>
      </c>
      <c r="Z165" s="134">
        <v>7964.7886074994803</v>
      </c>
      <c r="AA165" s="134">
        <v>1552.1211376625288</v>
      </c>
      <c r="AB165" s="134">
        <v>1070.2656768723994</v>
      </c>
      <c r="AC165" s="126">
        <v>137090</v>
      </c>
      <c r="AD165" s="126">
        <v>24616</v>
      </c>
      <c r="AE165" s="126">
        <v>0</v>
      </c>
      <c r="AF165" s="126">
        <v>0</v>
      </c>
      <c r="AG165" s="126">
        <v>0</v>
      </c>
      <c r="AH165" s="126">
        <v>0</v>
      </c>
      <c r="AI165" s="126">
        <v>0</v>
      </c>
      <c r="AJ165" s="126">
        <v>0</v>
      </c>
      <c r="AK165" s="126">
        <v>0</v>
      </c>
      <c r="AL165" s="126">
        <v>0</v>
      </c>
      <c r="AM165" s="126">
        <v>0</v>
      </c>
      <c r="AN165" s="126">
        <v>0</v>
      </c>
      <c r="AO165" s="126">
        <v>0</v>
      </c>
      <c r="AP165" s="126">
        <v>0</v>
      </c>
      <c r="AQ165" s="126">
        <v>0</v>
      </c>
      <c r="AR165" s="126">
        <v>0</v>
      </c>
      <c r="AS165" s="126">
        <v>0</v>
      </c>
      <c r="AT165" s="126">
        <v>0</v>
      </c>
      <c r="AU165" s="126">
        <v>0</v>
      </c>
      <c r="AV165" s="126">
        <v>0</v>
      </c>
      <c r="AW165" s="135">
        <v>299725.53192620008</v>
      </c>
      <c r="AX165" s="136">
        <v>236615.27769351</v>
      </c>
      <c r="AY165" s="136">
        <v>15798.911033889699</v>
      </c>
      <c r="AZ165" s="126">
        <v>0</v>
      </c>
      <c r="BA165" s="126">
        <v>4774.3263806073574</v>
      </c>
      <c r="BB165" s="126">
        <v>0</v>
      </c>
      <c r="BC165" s="126">
        <v>36481.727999999996</v>
      </c>
      <c r="BD165" s="126">
        <v>1059.6330898289311</v>
      </c>
      <c r="BE165" s="126">
        <v>0</v>
      </c>
      <c r="BF165" s="126">
        <v>1388.4498173952138</v>
      </c>
      <c r="BG165" s="126">
        <v>695.16463882466985</v>
      </c>
      <c r="BH165" s="126">
        <v>2912.0412721442749</v>
      </c>
      <c r="BI165" s="137">
        <v>368000.89528137038</v>
      </c>
      <c r="BJ165" s="126">
        <v>2606.3733912461416</v>
      </c>
      <c r="BK165" s="126">
        <v>3708.7158144012587</v>
      </c>
      <c r="BL165" s="126">
        <v>3978.5568802476419</v>
      </c>
      <c r="BM165" s="126">
        <v>3942.8555434950767</v>
      </c>
      <c r="BN165" s="126">
        <v>66319.192039597896</v>
      </c>
      <c r="BO165" s="126">
        <v>38074.321786870481</v>
      </c>
      <c r="BP165" s="126">
        <v>31237.022611424654</v>
      </c>
      <c r="BQ165" s="126">
        <v>169478.34080788662</v>
      </c>
      <c r="BR165" s="126">
        <v>6324.8161671198623</v>
      </c>
      <c r="BS165" s="126">
        <v>7022.4943819417167</v>
      </c>
      <c r="BT165" s="126">
        <v>35034.83010577043</v>
      </c>
      <c r="BU165" s="126">
        <v>0</v>
      </c>
      <c r="BV165" s="126">
        <v>273.3757513685008</v>
      </c>
      <c r="BW165" s="126">
        <v>42292.506085184934</v>
      </c>
      <c r="BX165" s="126">
        <v>150042.80749301895</v>
      </c>
      <c r="BY165" s="126">
        <v>131954.2981866996</v>
      </c>
      <c r="BZ165" s="126">
        <v>0</v>
      </c>
      <c r="CA165" s="137">
        <v>0</v>
      </c>
      <c r="CB165" s="126">
        <v>0</v>
      </c>
      <c r="CC165" s="126">
        <v>0</v>
      </c>
      <c r="CD165" s="126">
        <v>0</v>
      </c>
      <c r="CE165" s="126">
        <v>0</v>
      </c>
      <c r="CF165" s="126">
        <v>0</v>
      </c>
      <c r="CG165" s="137">
        <v>38083.049409478917</v>
      </c>
      <c r="CH165" s="126">
        <v>10140</v>
      </c>
      <c r="CI165" s="126">
        <v>27943.049409478914</v>
      </c>
      <c r="CJ165" s="120"/>
      <c r="CK165" s="138">
        <v>1223142.6238039874</v>
      </c>
      <c r="CL165" s="139">
        <v>41.323502790750673</v>
      </c>
      <c r="CM165" s="140">
        <v>880111.62000000011</v>
      </c>
      <c r="CN165" s="125">
        <v>1770.6000000000001</v>
      </c>
      <c r="CO165" s="125">
        <v>1770.6000000000001</v>
      </c>
      <c r="CP165" s="125">
        <v>0</v>
      </c>
      <c r="CQ165" s="125">
        <v>6909.36</v>
      </c>
      <c r="CR165" s="125">
        <v>3745.56</v>
      </c>
      <c r="CS165" s="125">
        <v>15657.74</v>
      </c>
      <c r="CT165" s="125">
        <v>0</v>
      </c>
      <c r="CU165" s="141">
        <v>0</v>
      </c>
      <c r="CV165" s="142">
        <v>-343031.00380398729</v>
      </c>
      <c r="CW165" s="143">
        <v>0</v>
      </c>
      <c r="CX165" s="140">
        <v>873156.89</v>
      </c>
      <c r="CY165" s="140">
        <v>111832.79</v>
      </c>
    </row>
    <row r="166" spans="1:103" ht="12" customHeight="1" x14ac:dyDescent="0.25">
      <c r="A166" s="122">
        <v>162</v>
      </c>
      <c r="B166" s="123" t="s">
        <v>212</v>
      </c>
      <c r="C166" s="124">
        <v>2921.9300000000003</v>
      </c>
      <c r="D166" s="125">
        <v>1982.23</v>
      </c>
      <c r="E166" s="125">
        <v>939.7</v>
      </c>
      <c r="F166" s="125">
        <v>273.8</v>
      </c>
      <c r="G166" s="124">
        <v>2921.9300000000003</v>
      </c>
      <c r="H166" s="124"/>
      <c r="I166" s="126">
        <v>0</v>
      </c>
      <c r="J166" s="126">
        <v>0</v>
      </c>
      <c r="K166" s="127">
        <v>0</v>
      </c>
      <c r="L166" s="127">
        <v>0</v>
      </c>
      <c r="M166" s="127"/>
      <c r="N166" s="127"/>
      <c r="O166" s="128" t="s">
        <v>1489</v>
      </c>
      <c r="P166" s="129" t="s">
        <v>51</v>
      </c>
      <c r="Q166" s="130">
        <v>6.92</v>
      </c>
      <c r="R166" s="130">
        <v>3.15</v>
      </c>
      <c r="S166" s="130">
        <v>0</v>
      </c>
      <c r="T166" s="38">
        <v>0.26</v>
      </c>
      <c r="U166" s="131">
        <v>31</v>
      </c>
      <c r="V166" s="144">
        <v>4</v>
      </c>
      <c r="W166" s="132">
        <v>9.638554216867469E-3</v>
      </c>
      <c r="X166" s="133">
        <v>102883.33929088827</v>
      </c>
      <c r="Y166" s="134">
        <v>35556.92</v>
      </c>
      <c r="Z166" s="134">
        <v>9435.0745057613567</v>
      </c>
      <c r="AA166" s="134">
        <v>1838.639956121898</v>
      </c>
      <c r="AB166" s="134">
        <v>1267.8348290050153</v>
      </c>
      <c r="AC166" s="126">
        <v>54784.87</v>
      </c>
      <c r="AD166" s="126">
        <v>0</v>
      </c>
      <c r="AE166" s="126">
        <v>0</v>
      </c>
      <c r="AF166" s="126">
        <v>0</v>
      </c>
      <c r="AG166" s="126">
        <v>0</v>
      </c>
      <c r="AH166" s="126">
        <v>0</v>
      </c>
      <c r="AI166" s="126">
        <v>0</v>
      </c>
      <c r="AJ166" s="126">
        <v>0</v>
      </c>
      <c r="AK166" s="126">
        <v>0</v>
      </c>
      <c r="AL166" s="126">
        <v>0</v>
      </c>
      <c r="AM166" s="126">
        <v>0</v>
      </c>
      <c r="AN166" s="126">
        <v>0</v>
      </c>
      <c r="AO166" s="126">
        <v>0</v>
      </c>
      <c r="AP166" s="126">
        <v>0</v>
      </c>
      <c r="AQ166" s="126">
        <v>0</v>
      </c>
      <c r="AR166" s="126">
        <v>0</v>
      </c>
      <c r="AS166" s="126">
        <v>0</v>
      </c>
      <c r="AT166" s="126">
        <v>0</v>
      </c>
      <c r="AU166" s="126">
        <v>0</v>
      </c>
      <c r="AV166" s="126">
        <v>0</v>
      </c>
      <c r="AW166" s="135">
        <v>357449.90481719043</v>
      </c>
      <c r="AX166" s="136">
        <v>280294.03971093718</v>
      </c>
      <c r="AY166" s="136">
        <v>18715.362084348228</v>
      </c>
      <c r="AZ166" s="126">
        <v>0</v>
      </c>
      <c r="BA166" s="126">
        <v>5655.6585912949231</v>
      </c>
      <c r="BB166" s="126">
        <v>0</v>
      </c>
      <c r="BC166" s="126">
        <v>45611.76</v>
      </c>
      <c r="BD166" s="126">
        <v>1255.2394851876466</v>
      </c>
      <c r="BE166" s="126">
        <v>0</v>
      </c>
      <c r="BF166" s="126">
        <v>1644.7551994411733</v>
      </c>
      <c r="BG166" s="126">
        <v>823.49080236802399</v>
      </c>
      <c r="BH166" s="126">
        <v>3449.5989436132822</v>
      </c>
      <c r="BI166" s="137">
        <v>435933.2100662833</v>
      </c>
      <c r="BJ166" s="126">
        <v>3087.5053122045888</v>
      </c>
      <c r="BK166" s="126">
        <v>4393.3381981567627</v>
      </c>
      <c r="BL166" s="126">
        <v>4712.9914477831808</v>
      </c>
      <c r="BM166" s="126">
        <v>4670.6997073723232</v>
      </c>
      <c r="BN166" s="126">
        <v>78561.597663286419</v>
      </c>
      <c r="BO166" s="126">
        <v>45102.774287971493</v>
      </c>
      <c r="BP166" s="126">
        <v>37003.32177045328</v>
      </c>
      <c r="BQ166" s="126">
        <v>200763.74294850734</v>
      </c>
      <c r="BR166" s="126">
        <v>7492.3660517281041</v>
      </c>
      <c r="BS166" s="126">
        <v>8318.8344317793581</v>
      </c>
      <c r="BT166" s="126">
        <v>41502.197815192492</v>
      </c>
      <c r="BU166" s="126">
        <v>0</v>
      </c>
      <c r="BV166" s="126">
        <v>323.84043184795411</v>
      </c>
      <c r="BW166" s="126">
        <v>50099.62795162751</v>
      </c>
      <c r="BX166" s="126">
        <v>177740.44453826195</v>
      </c>
      <c r="BY166" s="126">
        <v>156312.8283875226</v>
      </c>
      <c r="BZ166" s="126">
        <v>0</v>
      </c>
      <c r="CA166" s="137">
        <v>0</v>
      </c>
      <c r="CB166" s="126">
        <v>0</v>
      </c>
      <c r="CC166" s="126">
        <v>0</v>
      </c>
      <c r="CD166" s="126">
        <v>0</v>
      </c>
      <c r="CE166" s="126">
        <v>0</v>
      </c>
      <c r="CF166" s="126">
        <v>0</v>
      </c>
      <c r="CG166" s="137">
        <v>41211.282937905919</v>
      </c>
      <c r="CH166" s="126">
        <v>8109.9959999999992</v>
      </c>
      <c r="CI166" s="126">
        <v>33101.286937905919</v>
      </c>
      <c r="CJ166" s="120"/>
      <c r="CK166" s="138">
        <v>1321630.63798968</v>
      </c>
      <c r="CL166" s="139">
        <v>37.692855920278717</v>
      </c>
      <c r="CM166" s="140">
        <v>706942.38</v>
      </c>
      <c r="CN166" s="125">
        <v>1159.1999999999998</v>
      </c>
      <c r="CO166" s="125">
        <v>1159.1999999999998</v>
      </c>
      <c r="CP166" s="125">
        <v>0</v>
      </c>
      <c r="CQ166" s="125">
        <v>4521.72</v>
      </c>
      <c r="CR166" s="125">
        <v>2451.48</v>
      </c>
      <c r="CS166" s="125">
        <v>10245.36</v>
      </c>
      <c r="CT166" s="125">
        <v>124299.18434038787</v>
      </c>
      <c r="CU166" s="141">
        <v>3546.2168674698792</v>
      </c>
      <c r="CV166" s="142">
        <v>-486842.85678182228</v>
      </c>
      <c r="CW166" s="143">
        <v>0</v>
      </c>
      <c r="CX166" s="140">
        <v>480971.2</v>
      </c>
      <c r="CY166" s="140">
        <v>143343.59</v>
      </c>
    </row>
    <row r="167" spans="1:103" ht="12" customHeight="1" x14ac:dyDescent="0.25">
      <c r="A167" s="122">
        <v>163</v>
      </c>
      <c r="B167" s="123" t="s">
        <v>213</v>
      </c>
      <c r="C167" s="124">
        <v>3423.1</v>
      </c>
      <c r="D167" s="125">
        <v>2691.7</v>
      </c>
      <c r="E167" s="125">
        <v>731.4</v>
      </c>
      <c r="F167" s="125">
        <v>366.3</v>
      </c>
      <c r="G167" s="124">
        <v>3423.1</v>
      </c>
      <c r="H167" s="124"/>
      <c r="I167" s="126">
        <v>0</v>
      </c>
      <c r="J167" s="126">
        <v>0</v>
      </c>
      <c r="K167" s="127">
        <v>0</v>
      </c>
      <c r="L167" s="127">
        <v>0</v>
      </c>
      <c r="M167" s="127"/>
      <c r="N167" s="127"/>
      <c r="O167" s="128" t="s">
        <v>1489</v>
      </c>
      <c r="P167" s="129" t="s">
        <v>51</v>
      </c>
      <c r="Q167" s="130">
        <v>6.92</v>
      </c>
      <c r="R167" s="130">
        <v>3.15</v>
      </c>
      <c r="S167" s="130">
        <v>0</v>
      </c>
      <c r="T167" s="38">
        <v>0.26</v>
      </c>
      <c r="U167" s="131">
        <v>31</v>
      </c>
      <c r="V167" s="144">
        <v>4</v>
      </c>
      <c r="W167" s="132">
        <v>9.638554216867469E-3</v>
      </c>
      <c r="X167" s="133">
        <v>57026.828256371511</v>
      </c>
      <c r="Y167" s="134">
        <v>42334.15</v>
      </c>
      <c r="Z167" s="134">
        <v>11053.380313926649</v>
      </c>
      <c r="AA167" s="134">
        <v>2154.0038378061308</v>
      </c>
      <c r="AB167" s="134">
        <v>1485.2941046387377</v>
      </c>
      <c r="AC167" s="126">
        <v>0</v>
      </c>
      <c r="AD167" s="126">
        <v>0</v>
      </c>
      <c r="AE167" s="126">
        <v>0</v>
      </c>
      <c r="AF167" s="126">
        <v>0</v>
      </c>
      <c r="AG167" s="126">
        <v>0</v>
      </c>
      <c r="AH167" s="126">
        <v>0</v>
      </c>
      <c r="AI167" s="126">
        <v>0</v>
      </c>
      <c r="AJ167" s="126">
        <v>0</v>
      </c>
      <c r="AK167" s="126">
        <v>0</v>
      </c>
      <c r="AL167" s="126">
        <v>0</v>
      </c>
      <c r="AM167" s="126">
        <v>0</v>
      </c>
      <c r="AN167" s="126">
        <v>0</v>
      </c>
      <c r="AO167" s="126">
        <v>0</v>
      </c>
      <c r="AP167" s="126">
        <v>0</v>
      </c>
      <c r="AQ167" s="126">
        <v>0</v>
      </c>
      <c r="AR167" s="126">
        <v>0</v>
      </c>
      <c r="AS167" s="126">
        <v>0</v>
      </c>
      <c r="AT167" s="126">
        <v>0</v>
      </c>
      <c r="AU167" s="126">
        <v>0</v>
      </c>
      <c r="AV167" s="126">
        <v>0</v>
      </c>
      <c r="AW167" s="135">
        <v>420986.58786433772</v>
      </c>
      <c r="AX167" s="136">
        <v>328370.12773560936</v>
      </c>
      <c r="AY167" s="136">
        <v>21925.424616925255</v>
      </c>
      <c r="AZ167" s="126">
        <v>0</v>
      </c>
      <c r="BA167" s="126">
        <v>6625.7182491920239</v>
      </c>
      <c r="BB167" s="126">
        <v>0</v>
      </c>
      <c r="BC167" s="126">
        <v>55661.903999999995</v>
      </c>
      <c r="BD167" s="126">
        <v>1470.5384050082762</v>
      </c>
      <c r="BE167" s="126">
        <v>0</v>
      </c>
      <c r="BF167" s="126">
        <v>1926.8639300760385</v>
      </c>
      <c r="BG167" s="126">
        <v>964.73610441933329</v>
      </c>
      <c r="BH167" s="126">
        <v>4041.2748231075434</v>
      </c>
      <c r="BI167" s="137">
        <v>510704.55876009841</v>
      </c>
      <c r="BJ167" s="126">
        <v>3617.0748218497797</v>
      </c>
      <c r="BK167" s="126">
        <v>5146.8844175289669</v>
      </c>
      <c r="BL167" s="126">
        <v>5521.3646544943249</v>
      </c>
      <c r="BM167" s="126">
        <v>5471.8190265701769</v>
      </c>
      <c r="BN167" s="126">
        <v>92036.498123225305</v>
      </c>
      <c r="BO167" s="126">
        <v>52838.810876768162</v>
      </c>
      <c r="BP167" s="126">
        <v>43350.138693411071</v>
      </c>
      <c r="BQ167" s="126">
        <v>235198.77905597855</v>
      </c>
      <c r="BR167" s="126">
        <v>8777.4581292743042</v>
      </c>
      <c r="BS167" s="126">
        <v>9745.6825260782825</v>
      </c>
      <c r="BT167" s="126">
        <v>48620.662829426234</v>
      </c>
      <c r="BU167" s="126">
        <v>0</v>
      </c>
      <c r="BV167" s="126">
        <v>379.3856054931951</v>
      </c>
      <c r="BW167" s="126">
        <v>58692.725849426963</v>
      </c>
      <c r="BX167" s="126">
        <v>208226.52003946857</v>
      </c>
      <c r="BY167" s="126">
        <v>183123.6350129293</v>
      </c>
      <c r="BZ167" s="126">
        <v>0</v>
      </c>
      <c r="CA167" s="137">
        <v>0</v>
      </c>
      <c r="CB167" s="126">
        <v>0</v>
      </c>
      <c r="CC167" s="126">
        <v>0</v>
      </c>
      <c r="CD167" s="126">
        <v>0</v>
      </c>
      <c r="CE167" s="126">
        <v>0</v>
      </c>
      <c r="CF167" s="126">
        <v>0</v>
      </c>
      <c r="CG167" s="137">
        <v>49578.826089997274</v>
      </c>
      <c r="CH167" s="126">
        <v>10800</v>
      </c>
      <c r="CI167" s="126">
        <v>38778.826089997274</v>
      </c>
      <c r="CJ167" s="120"/>
      <c r="CK167" s="138">
        <v>1488339.6818726298</v>
      </c>
      <c r="CL167" s="139">
        <v>36.232744244316308</v>
      </c>
      <c r="CM167" s="140">
        <v>959967.96</v>
      </c>
      <c r="CN167" s="125">
        <v>1796.88</v>
      </c>
      <c r="CO167" s="125">
        <v>1796.88</v>
      </c>
      <c r="CP167" s="125">
        <v>0</v>
      </c>
      <c r="CQ167" s="125">
        <v>7011.7199999999993</v>
      </c>
      <c r="CR167" s="125">
        <v>3801.96</v>
      </c>
      <c r="CS167" s="125">
        <v>15887.400000000001</v>
      </c>
      <c r="CT167" s="125">
        <v>145619.00453316187</v>
      </c>
      <c r="CU167" s="141">
        <v>3546.2168674698792</v>
      </c>
      <c r="CV167" s="142">
        <v>-379206.50047199801</v>
      </c>
      <c r="CW167" s="143">
        <v>0</v>
      </c>
      <c r="CX167" s="140">
        <v>915560.37</v>
      </c>
      <c r="CY167" s="140">
        <v>461079.92</v>
      </c>
    </row>
    <row r="168" spans="1:103" ht="12" customHeight="1" x14ac:dyDescent="0.25">
      <c r="A168" s="122">
        <v>164</v>
      </c>
      <c r="B168" s="123" t="s">
        <v>214</v>
      </c>
      <c r="C168" s="124">
        <v>4904.5600000000004</v>
      </c>
      <c r="D168" s="125">
        <v>4904.5600000000004</v>
      </c>
      <c r="E168" s="125">
        <v>0</v>
      </c>
      <c r="F168" s="125">
        <v>488.4</v>
      </c>
      <c r="G168" s="124">
        <v>4904.5600000000004</v>
      </c>
      <c r="H168" s="124"/>
      <c r="I168" s="126">
        <v>0</v>
      </c>
      <c r="J168" s="126">
        <v>0</v>
      </c>
      <c r="K168" s="127">
        <v>0</v>
      </c>
      <c r="L168" s="127">
        <v>0</v>
      </c>
      <c r="M168" s="127"/>
      <c r="N168" s="127"/>
      <c r="O168" s="128" t="s">
        <v>1489</v>
      </c>
      <c r="P168" s="129" t="s">
        <v>51</v>
      </c>
      <c r="Q168" s="130">
        <v>6.92</v>
      </c>
      <c r="R168" s="130">
        <v>3.15</v>
      </c>
      <c r="S168" s="130">
        <v>0</v>
      </c>
      <c r="T168" s="38">
        <v>0.26</v>
      </c>
      <c r="U168" s="131">
        <v>31</v>
      </c>
      <c r="V168" s="144">
        <v>0</v>
      </c>
      <c r="W168" s="132">
        <v>0</v>
      </c>
      <c r="X168" s="133">
        <v>323673.661830817</v>
      </c>
      <c r="Y168" s="134">
        <v>252246.55</v>
      </c>
      <c r="Z168" s="134">
        <v>15837.097061865587</v>
      </c>
      <c r="AA168" s="134">
        <v>3086.2204033625771</v>
      </c>
      <c r="AB168" s="134">
        <v>2128.1043655887847</v>
      </c>
      <c r="AC168" s="126">
        <v>0</v>
      </c>
      <c r="AD168" s="126">
        <v>0</v>
      </c>
      <c r="AE168" s="126">
        <v>0</v>
      </c>
      <c r="AF168" s="126">
        <v>0</v>
      </c>
      <c r="AG168" s="126">
        <v>0</v>
      </c>
      <c r="AH168" s="126">
        <v>0</v>
      </c>
      <c r="AI168" s="126">
        <v>8147.93</v>
      </c>
      <c r="AJ168" s="126">
        <v>0</v>
      </c>
      <c r="AK168" s="126">
        <v>0</v>
      </c>
      <c r="AL168" s="126">
        <v>0</v>
      </c>
      <c r="AM168" s="126">
        <v>0</v>
      </c>
      <c r="AN168" s="126">
        <v>0</v>
      </c>
      <c r="AO168" s="126">
        <v>42227.76</v>
      </c>
      <c r="AP168" s="126">
        <v>0</v>
      </c>
      <c r="AQ168" s="126">
        <v>0</v>
      </c>
      <c r="AR168" s="126">
        <v>0</v>
      </c>
      <c r="AS168" s="126">
        <v>0</v>
      </c>
      <c r="AT168" s="126">
        <v>0</v>
      </c>
      <c r="AU168" s="126">
        <v>0</v>
      </c>
      <c r="AV168" s="126">
        <v>0</v>
      </c>
      <c r="AW168" s="135">
        <v>523431.0512382568</v>
      </c>
      <c r="AX168" s="136">
        <v>470483.18590954412</v>
      </c>
      <c r="AY168" s="136">
        <v>31414.378942825781</v>
      </c>
      <c r="AZ168" s="126">
        <v>0</v>
      </c>
      <c r="BA168" s="126">
        <v>9493.2174626091073</v>
      </c>
      <c r="BB168" s="126">
        <v>0</v>
      </c>
      <c r="BC168" s="126">
        <v>0</v>
      </c>
      <c r="BD168" s="126">
        <v>2106.9626477950956</v>
      </c>
      <c r="BE168" s="126">
        <v>0</v>
      </c>
      <c r="BF168" s="126">
        <v>2760.778170925108</v>
      </c>
      <c r="BG168" s="126">
        <v>1382.2576343930607</v>
      </c>
      <c r="BH168" s="126">
        <v>5790.2704701645689</v>
      </c>
      <c r="BI168" s="137">
        <v>731728.88630552078</v>
      </c>
      <c r="BJ168" s="126">
        <v>5182.4838562272671</v>
      </c>
      <c r="BK168" s="126">
        <v>7374.3692672828347</v>
      </c>
      <c r="BL168" s="126">
        <v>7910.9182407311182</v>
      </c>
      <c r="BM168" s="126">
        <v>7839.9300998963008</v>
      </c>
      <c r="BN168" s="126">
        <v>131868.34367539539</v>
      </c>
      <c r="BO168" s="126">
        <v>75706.557878461652</v>
      </c>
      <c r="BP168" s="126">
        <v>62111.348260394443</v>
      </c>
      <c r="BQ168" s="126">
        <v>336988.84747941641</v>
      </c>
      <c r="BR168" s="126">
        <v>12576.194105493147</v>
      </c>
      <c r="BS168" s="126">
        <v>13963.449706436419</v>
      </c>
      <c r="BT168" s="126">
        <v>69662.866432967421</v>
      </c>
      <c r="BU168" s="126">
        <v>0</v>
      </c>
      <c r="BV168" s="126">
        <v>543.57730281841179</v>
      </c>
      <c r="BW168" s="126">
        <v>84093.948611511645</v>
      </c>
      <c r="BX168" s="126">
        <v>298343.44924915314</v>
      </c>
      <c r="BY168" s="126">
        <v>262376.45857235038</v>
      </c>
      <c r="BZ168" s="126">
        <v>0</v>
      </c>
      <c r="CA168" s="137">
        <v>0</v>
      </c>
      <c r="CB168" s="126">
        <v>0</v>
      </c>
      <c r="CC168" s="126">
        <v>0</v>
      </c>
      <c r="CD168" s="126">
        <v>0</v>
      </c>
      <c r="CE168" s="126">
        <v>0</v>
      </c>
      <c r="CF168" s="126">
        <v>0</v>
      </c>
      <c r="CG168" s="137">
        <v>75661.648589862132</v>
      </c>
      <c r="CH168" s="126">
        <v>20100</v>
      </c>
      <c r="CI168" s="126">
        <v>55561.648589862125</v>
      </c>
      <c r="CJ168" s="120"/>
      <c r="CK168" s="138">
        <v>2299309.104397472</v>
      </c>
      <c r="CL168" s="139">
        <v>39.067539602558163</v>
      </c>
      <c r="CM168" s="140">
        <v>1748913.52</v>
      </c>
      <c r="CN168" s="125">
        <v>3047.7599999999998</v>
      </c>
      <c r="CO168" s="125">
        <v>3047.7599999999998</v>
      </c>
      <c r="CP168" s="125">
        <v>0</v>
      </c>
      <c r="CQ168" s="125">
        <v>11889.960000000001</v>
      </c>
      <c r="CR168" s="125">
        <v>6445.32</v>
      </c>
      <c r="CS168" s="125">
        <v>26956.340000000004</v>
      </c>
      <c r="CT168" s="125">
        <v>0</v>
      </c>
      <c r="CU168" s="141">
        <v>0</v>
      </c>
      <c r="CV168" s="142">
        <v>-550395.58439747198</v>
      </c>
      <c r="CW168" s="143">
        <v>0</v>
      </c>
      <c r="CX168" s="140">
        <v>1665146.6800000002</v>
      </c>
      <c r="CY168" s="140">
        <v>558644.75</v>
      </c>
    </row>
    <row r="169" spans="1:103" ht="12" customHeight="1" x14ac:dyDescent="0.25">
      <c r="A169" s="122">
        <v>165</v>
      </c>
      <c r="B169" s="123" t="s">
        <v>215</v>
      </c>
      <c r="C169" s="124">
        <v>4886.43</v>
      </c>
      <c r="D169" s="125">
        <v>4886.43</v>
      </c>
      <c r="E169" s="125">
        <v>0</v>
      </c>
      <c r="F169" s="125">
        <v>451.5</v>
      </c>
      <c r="G169" s="124">
        <v>4886.43</v>
      </c>
      <c r="H169" s="124"/>
      <c r="I169" s="126">
        <v>0</v>
      </c>
      <c r="J169" s="126">
        <v>0</v>
      </c>
      <c r="K169" s="127">
        <v>0</v>
      </c>
      <c r="L169" s="127">
        <v>0</v>
      </c>
      <c r="M169" s="127"/>
      <c r="N169" s="127"/>
      <c r="O169" s="128" t="s">
        <v>1489</v>
      </c>
      <c r="P169" s="129" t="s">
        <v>51</v>
      </c>
      <c r="Q169" s="130">
        <v>6.92</v>
      </c>
      <c r="R169" s="130">
        <v>3.15</v>
      </c>
      <c r="S169" s="130">
        <v>0</v>
      </c>
      <c r="T169" s="38">
        <v>0.26</v>
      </c>
      <c r="U169" s="131">
        <v>31</v>
      </c>
      <c r="V169" s="144">
        <v>0</v>
      </c>
      <c r="W169" s="132">
        <v>0</v>
      </c>
      <c r="X169" s="133">
        <v>517935.56398828002</v>
      </c>
      <c r="Y169" s="134">
        <v>45339.74</v>
      </c>
      <c r="Z169" s="134">
        <v>15778.554283363208</v>
      </c>
      <c r="AA169" s="134">
        <v>3074.8120046656577</v>
      </c>
      <c r="AB169" s="134">
        <v>2120.2377002511957</v>
      </c>
      <c r="AC169" s="126">
        <v>0</v>
      </c>
      <c r="AD169" s="126">
        <v>33396.92</v>
      </c>
      <c r="AE169" s="126">
        <v>0</v>
      </c>
      <c r="AF169" s="126">
        <v>0</v>
      </c>
      <c r="AG169" s="126">
        <v>0</v>
      </c>
      <c r="AH169" s="126">
        <v>0</v>
      </c>
      <c r="AI169" s="126">
        <v>0</v>
      </c>
      <c r="AJ169" s="126">
        <v>0</v>
      </c>
      <c r="AK169" s="126">
        <v>0</v>
      </c>
      <c r="AL169" s="126">
        <v>0</v>
      </c>
      <c r="AM169" s="126">
        <v>0</v>
      </c>
      <c r="AN169" s="126">
        <v>0</v>
      </c>
      <c r="AO169" s="126">
        <v>0</v>
      </c>
      <c r="AP169" s="126">
        <v>418225.3</v>
      </c>
      <c r="AQ169" s="126">
        <v>0</v>
      </c>
      <c r="AR169" s="126">
        <v>0</v>
      </c>
      <c r="AS169" s="126">
        <v>0</v>
      </c>
      <c r="AT169" s="126">
        <v>0</v>
      </c>
      <c r="AU169" s="126">
        <v>0</v>
      </c>
      <c r="AV169" s="126">
        <v>0</v>
      </c>
      <c r="AW169" s="135">
        <v>521496.15698495996</v>
      </c>
      <c r="AX169" s="136">
        <v>468744.01661392121</v>
      </c>
      <c r="AY169" s="136">
        <v>31298.253808209538</v>
      </c>
      <c r="AZ169" s="126">
        <v>0</v>
      </c>
      <c r="BA169" s="126">
        <v>9458.1252152725247</v>
      </c>
      <c r="BB169" s="126">
        <v>0</v>
      </c>
      <c r="BC169" s="126">
        <v>0</v>
      </c>
      <c r="BD169" s="126">
        <v>2099.1741340844824</v>
      </c>
      <c r="BE169" s="126">
        <v>0</v>
      </c>
      <c r="BF169" s="126">
        <v>2750.5727889461182</v>
      </c>
      <c r="BG169" s="126">
        <v>1377.1480362004509</v>
      </c>
      <c r="BH169" s="126">
        <v>5768.8663883256104</v>
      </c>
      <c r="BI169" s="137">
        <v>729024.00662034634</v>
      </c>
      <c r="BJ169" s="126">
        <v>5163.3264940350618</v>
      </c>
      <c r="BK169" s="126">
        <v>7347.1094692956885</v>
      </c>
      <c r="BL169" s="126">
        <v>7881.6750573049894</v>
      </c>
      <c r="BM169" s="126">
        <v>7810.9493283875172</v>
      </c>
      <c r="BN169" s="126">
        <v>131380.8844393304</v>
      </c>
      <c r="BO169" s="126">
        <v>75426.704049711159</v>
      </c>
      <c r="BP169" s="126">
        <v>61881.749938840425</v>
      </c>
      <c r="BQ169" s="126">
        <v>335743.14800692513</v>
      </c>
      <c r="BR169" s="126">
        <v>12529.705450214673</v>
      </c>
      <c r="BS169" s="126">
        <v>13911.832977682423</v>
      </c>
      <c r="BT169" s="126">
        <v>69405.35347188024</v>
      </c>
      <c r="BU169" s="126">
        <v>0</v>
      </c>
      <c r="BV169" s="126">
        <v>541.56793673866196</v>
      </c>
      <c r="BW169" s="126">
        <v>83783.090290209293</v>
      </c>
      <c r="BX169" s="126">
        <v>297240.6048074729</v>
      </c>
      <c r="BY169" s="126">
        <v>261406.56826742666</v>
      </c>
      <c r="BZ169" s="126">
        <v>0</v>
      </c>
      <c r="CA169" s="137">
        <v>0</v>
      </c>
      <c r="CB169" s="126">
        <v>0</v>
      </c>
      <c r="CC169" s="126">
        <v>0</v>
      </c>
      <c r="CD169" s="126">
        <v>0</v>
      </c>
      <c r="CE169" s="126">
        <v>0</v>
      </c>
      <c r="CF169" s="126">
        <v>0</v>
      </c>
      <c r="CG169" s="137">
        <v>75456.261625703424</v>
      </c>
      <c r="CH169" s="126">
        <v>20100</v>
      </c>
      <c r="CI169" s="126">
        <v>55356.261625703424</v>
      </c>
      <c r="CJ169" s="120"/>
      <c r="CK169" s="138">
        <v>2486342.2525843983</v>
      </c>
      <c r="CL169" s="139">
        <v>42.402160210085178</v>
      </c>
      <c r="CM169" s="140">
        <v>1706818.65</v>
      </c>
      <c r="CN169" s="125">
        <v>2778.2700000000004</v>
      </c>
      <c r="CO169" s="125">
        <v>2783.4300000000003</v>
      </c>
      <c r="CP169" s="125">
        <v>0</v>
      </c>
      <c r="CQ169" s="125">
        <v>10954.79</v>
      </c>
      <c r="CR169" s="125">
        <v>5959.32</v>
      </c>
      <c r="CS169" s="125">
        <v>24332.32</v>
      </c>
      <c r="CT169" s="125">
        <v>0</v>
      </c>
      <c r="CU169" s="141">
        <v>0</v>
      </c>
      <c r="CV169" s="142">
        <v>-779523.60258439835</v>
      </c>
      <c r="CW169" s="143">
        <v>0</v>
      </c>
      <c r="CX169" s="140">
        <v>1776244.01</v>
      </c>
      <c r="CY169" s="140">
        <v>386405.12</v>
      </c>
    </row>
    <row r="170" spans="1:103" ht="12" customHeight="1" x14ac:dyDescent="0.25">
      <c r="A170" s="122">
        <v>166</v>
      </c>
      <c r="B170" s="123" t="s">
        <v>216</v>
      </c>
      <c r="C170" s="124">
        <v>586.91</v>
      </c>
      <c r="D170" s="125">
        <v>586.91</v>
      </c>
      <c r="E170" s="125">
        <v>0</v>
      </c>
      <c r="F170" s="125">
        <v>71.2</v>
      </c>
      <c r="G170" s="124">
        <v>586.91</v>
      </c>
      <c r="H170" s="124"/>
      <c r="I170" s="126">
        <v>0</v>
      </c>
      <c r="J170" s="126">
        <v>0</v>
      </c>
      <c r="K170" s="127">
        <v>0</v>
      </c>
      <c r="L170" s="127">
        <v>0</v>
      </c>
      <c r="M170" s="127"/>
      <c r="N170" s="127"/>
      <c r="O170" s="128" t="s">
        <v>1488</v>
      </c>
      <c r="P170" s="129" t="s">
        <v>51</v>
      </c>
      <c r="Q170" s="130">
        <v>4.93</v>
      </c>
      <c r="R170" s="130">
        <v>2.42</v>
      </c>
      <c r="S170" s="130">
        <v>0</v>
      </c>
      <c r="T170" s="38">
        <v>0.26</v>
      </c>
      <c r="U170" s="131">
        <v>25.05</v>
      </c>
      <c r="V170" s="144">
        <v>0</v>
      </c>
      <c r="W170" s="132">
        <v>0</v>
      </c>
      <c r="X170" s="133">
        <v>311955.37340669188</v>
      </c>
      <c r="Y170" s="134">
        <v>38783.33</v>
      </c>
      <c r="Z170" s="134">
        <v>1895.1650375527122</v>
      </c>
      <c r="AA170" s="134">
        <v>369.31623161660372</v>
      </c>
      <c r="AB170" s="134">
        <v>254.66213752257357</v>
      </c>
      <c r="AC170" s="126">
        <v>52970.84</v>
      </c>
      <c r="AD170" s="126">
        <v>0</v>
      </c>
      <c r="AE170" s="126">
        <v>217682.06</v>
      </c>
      <c r="AF170" s="126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>
        <v>0</v>
      </c>
      <c r="AL170" s="126">
        <v>0</v>
      </c>
      <c r="AM170" s="126">
        <v>0</v>
      </c>
      <c r="AN170" s="126">
        <v>0</v>
      </c>
      <c r="AO170" s="126">
        <v>0</v>
      </c>
      <c r="AP170" s="126">
        <v>0</v>
      </c>
      <c r="AQ170" s="126">
        <v>0</v>
      </c>
      <c r="AR170" s="126">
        <v>0</v>
      </c>
      <c r="AS170" s="126">
        <v>0</v>
      </c>
      <c r="AT170" s="126">
        <v>0</v>
      </c>
      <c r="AU170" s="126">
        <v>0</v>
      </c>
      <c r="AV170" s="126">
        <v>0</v>
      </c>
      <c r="AW170" s="135">
        <v>102642.04553988644</v>
      </c>
      <c r="AX170" s="136">
        <v>56300.929470160525</v>
      </c>
      <c r="AY170" s="136">
        <v>3759.2389827698871</v>
      </c>
      <c r="AZ170" s="126">
        <v>0</v>
      </c>
      <c r="BA170" s="126">
        <v>0</v>
      </c>
      <c r="BB170" s="126">
        <v>0</v>
      </c>
      <c r="BC170" s="126">
        <v>41141.063999999998</v>
      </c>
      <c r="BD170" s="126">
        <v>252.1321887421949</v>
      </c>
      <c r="BE170" s="126">
        <v>0</v>
      </c>
      <c r="BF170" s="126">
        <v>330.37180018139338</v>
      </c>
      <c r="BG170" s="126">
        <v>165.40950221867632</v>
      </c>
      <c r="BH170" s="126">
        <v>692.89959581375024</v>
      </c>
      <c r="BI170" s="137">
        <v>87563.206620282566</v>
      </c>
      <c r="BJ170" s="126">
        <v>620.16808848466428</v>
      </c>
      <c r="BK170" s="126">
        <v>882.46266059768209</v>
      </c>
      <c r="BL170" s="126">
        <v>946.66943103305903</v>
      </c>
      <c r="BM170" s="126">
        <v>938.17455081192554</v>
      </c>
      <c r="BN170" s="126">
        <v>15780.182031930754</v>
      </c>
      <c r="BO170" s="126">
        <v>9059.5152030860918</v>
      </c>
      <c r="BP170" s="126">
        <v>7432.6282903069996</v>
      </c>
      <c r="BQ170" s="126">
        <v>40326.170843897162</v>
      </c>
      <c r="BR170" s="126">
        <v>1504.9452106723093</v>
      </c>
      <c r="BS170" s="126">
        <v>1670.9528004968024</v>
      </c>
      <c r="BT170" s="126">
        <v>8336.2896851446203</v>
      </c>
      <c r="BU170" s="126">
        <v>0</v>
      </c>
      <c r="BV170" s="126">
        <v>65.047823820516825</v>
      </c>
      <c r="BW170" s="126">
        <v>10063.20228105728</v>
      </c>
      <c r="BX170" s="126">
        <v>35701.623346196284</v>
      </c>
      <c r="BY170" s="126">
        <v>31397.590670865102</v>
      </c>
      <c r="BZ170" s="126">
        <v>0</v>
      </c>
      <c r="CA170" s="137">
        <v>0</v>
      </c>
      <c r="CB170" s="126">
        <v>0</v>
      </c>
      <c r="CC170" s="126">
        <v>0</v>
      </c>
      <c r="CD170" s="126">
        <v>0</v>
      </c>
      <c r="CE170" s="126">
        <v>0</v>
      </c>
      <c r="CF170" s="126">
        <v>0</v>
      </c>
      <c r="CG170" s="137">
        <v>7998.8506968771862</v>
      </c>
      <c r="CH170" s="126">
        <v>1350</v>
      </c>
      <c r="CI170" s="126">
        <v>6648.8506968771862</v>
      </c>
      <c r="CJ170" s="120"/>
      <c r="CK170" s="138">
        <v>587321.89256185677</v>
      </c>
      <c r="CL170" s="139">
        <v>83.391816542266113</v>
      </c>
      <c r="CM170" s="140">
        <v>169135.97999999998</v>
      </c>
      <c r="CN170" s="125">
        <v>341.88</v>
      </c>
      <c r="CO170" s="125">
        <v>0</v>
      </c>
      <c r="CP170" s="125">
        <v>0</v>
      </c>
      <c r="CQ170" s="125">
        <v>0</v>
      </c>
      <c r="CR170" s="125">
        <v>361.44</v>
      </c>
      <c r="CS170" s="125">
        <v>3927.3599999999997</v>
      </c>
      <c r="CT170" s="125">
        <v>0</v>
      </c>
      <c r="CU170" s="141">
        <v>0</v>
      </c>
      <c r="CV170" s="142">
        <v>-418185.91256185679</v>
      </c>
      <c r="CW170" s="143">
        <v>0</v>
      </c>
      <c r="CX170" s="140">
        <v>166382.57999999999</v>
      </c>
      <c r="CY170" s="140">
        <v>125736.26</v>
      </c>
    </row>
    <row r="171" spans="1:103" ht="12" customHeight="1" x14ac:dyDescent="0.25">
      <c r="A171" s="122">
        <v>167</v>
      </c>
      <c r="B171" s="123" t="s">
        <v>217</v>
      </c>
      <c r="C171" s="124">
        <v>3857.82</v>
      </c>
      <c r="D171" s="125">
        <v>3857.82</v>
      </c>
      <c r="E171" s="125">
        <v>0</v>
      </c>
      <c r="F171" s="125">
        <v>681.2</v>
      </c>
      <c r="G171" s="124">
        <v>3857.82</v>
      </c>
      <c r="H171" s="124">
        <v>3857.82</v>
      </c>
      <c r="I171" s="126">
        <v>1</v>
      </c>
      <c r="J171" s="126">
        <v>1</v>
      </c>
      <c r="K171" s="127">
        <v>3.8074327058252367E-3</v>
      </c>
      <c r="L171" s="127">
        <v>5.419101873541516E-3</v>
      </c>
      <c r="M171" s="127"/>
      <c r="N171" s="127"/>
      <c r="O171" s="128" t="s">
        <v>1489</v>
      </c>
      <c r="P171" s="129" t="s">
        <v>51</v>
      </c>
      <c r="Q171" s="130">
        <v>6.91</v>
      </c>
      <c r="R171" s="130">
        <v>3.15</v>
      </c>
      <c r="S171" s="130">
        <v>1.81</v>
      </c>
      <c r="T171" s="38">
        <v>0</v>
      </c>
      <c r="U171" s="131">
        <v>44.8</v>
      </c>
      <c r="V171" s="144">
        <v>1</v>
      </c>
      <c r="W171" s="132">
        <v>2.4096385542168672E-3</v>
      </c>
      <c r="X171" s="133">
        <v>702283.55278092204</v>
      </c>
      <c r="Y171" s="134">
        <v>55704.7</v>
      </c>
      <c r="Z171" s="134">
        <v>12457.115375733256</v>
      </c>
      <c r="AA171" s="134">
        <v>2427.5537044098182</v>
      </c>
      <c r="AB171" s="134">
        <v>1673.9205114537747</v>
      </c>
      <c r="AC171" s="126">
        <v>0</v>
      </c>
      <c r="AD171" s="126">
        <v>0</v>
      </c>
      <c r="AE171" s="126">
        <v>0</v>
      </c>
      <c r="AF171" s="126">
        <v>0</v>
      </c>
      <c r="AG171" s="126">
        <v>0</v>
      </c>
      <c r="AH171" s="126">
        <v>0</v>
      </c>
      <c r="AI171" s="126">
        <v>0</v>
      </c>
      <c r="AJ171" s="126">
        <v>0</v>
      </c>
      <c r="AK171" s="126">
        <v>0</v>
      </c>
      <c r="AL171" s="126">
        <v>0</v>
      </c>
      <c r="AM171" s="126">
        <v>0</v>
      </c>
      <c r="AN171" s="126">
        <v>0</v>
      </c>
      <c r="AO171" s="126">
        <v>0</v>
      </c>
      <c r="AP171" s="126">
        <v>0</v>
      </c>
      <c r="AQ171" s="126">
        <v>0</v>
      </c>
      <c r="AR171" s="126">
        <v>0</v>
      </c>
      <c r="AS171" s="126">
        <v>0</v>
      </c>
      <c r="AT171" s="126">
        <v>630020.26318932523</v>
      </c>
      <c r="AU171" s="126">
        <v>0</v>
      </c>
      <c r="AV171" s="126">
        <v>0</v>
      </c>
      <c r="AW171" s="135">
        <v>411719.45660527592</v>
      </c>
      <c r="AX171" s="136">
        <v>370071.81974847027</v>
      </c>
      <c r="AY171" s="136">
        <v>24709.865792897253</v>
      </c>
      <c r="AZ171" s="126">
        <v>0</v>
      </c>
      <c r="BA171" s="126">
        <v>7467.1579492559304</v>
      </c>
      <c r="BB171" s="126">
        <v>0</v>
      </c>
      <c r="BC171" s="126">
        <v>0</v>
      </c>
      <c r="BD171" s="126">
        <v>1657.2908970258038</v>
      </c>
      <c r="BE171" s="126">
        <v>0</v>
      </c>
      <c r="BF171" s="126">
        <v>2171.5679374619331</v>
      </c>
      <c r="BG171" s="126">
        <v>1087.2537285942544</v>
      </c>
      <c r="BH171" s="126">
        <v>4554.5005515704315</v>
      </c>
      <c r="BI171" s="137">
        <v>575561.99377052474</v>
      </c>
      <c r="BJ171" s="126">
        <v>4076.4288478947501</v>
      </c>
      <c r="BK171" s="126">
        <v>5800.5181395903128</v>
      </c>
      <c r="BL171" s="126">
        <v>6222.5558678978996</v>
      </c>
      <c r="BM171" s="126">
        <v>6166.7181435198972</v>
      </c>
      <c r="BN171" s="126">
        <v>103724.7650345421</v>
      </c>
      <c r="BO171" s="126">
        <v>59549.128385560973</v>
      </c>
      <c r="BP171" s="126">
        <v>48855.432810673105</v>
      </c>
      <c r="BQ171" s="126">
        <v>265068.08267878101</v>
      </c>
      <c r="BR171" s="126">
        <v>9892.1601823718265</v>
      </c>
      <c r="BS171" s="126">
        <v>10983.345202522662</v>
      </c>
      <c r="BT171" s="126">
        <v>54795.292418163983</v>
      </c>
      <c r="BU171" s="126">
        <v>0</v>
      </c>
      <c r="BV171" s="126">
        <v>427.56605900609333</v>
      </c>
      <c r="BW171" s="126">
        <v>66146.467131090627</v>
      </c>
      <c r="BX171" s="126">
        <v>234670.45471609436</v>
      </c>
      <c r="BY171" s="126">
        <v>206379.6037584584</v>
      </c>
      <c r="BZ171" s="126">
        <v>39289.303431620458</v>
      </c>
      <c r="CA171" s="137">
        <v>168974.72568121643</v>
      </c>
      <c r="CB171" s="126">
        <v>6012.5999999999995</v>
      </c>
      <c r="CC171" s="126">
        <v>161994.0814646878</v>
      </c>
      <c r="CD171" s="126">
        <v>0</v>
      </c>
      <c r="CE171" s="126">
        <v>0</v>
      </c>
      <c r="CF171" s="126">
        <v>968.04421652862652</v>
      </c>
      <c r="CG171" s="137">
        <v>0</v>
      </c>
      <c r="CH171" s="126">
        <v>0</v>
      </c>
      <c r="CI171" s="126">
        <v>0</v>
      </c>
      <c r="CJ171" s="120"/>
      <c r="CK171" s="138">
        <v>2405025.5578752025</v>
      </c>
      <c r="CL171" s="139">
        <v>51.951308378721713</v>
      </c>
      <c r="CM171" s="140">
        <v>1987664.91</v>
      </c>
      <c r="CN171" s="125">
        <v>2288.6800000000003</v>
      </c>
      <c r="CO171" s="125">
        <v>2288.6800000000003</v>
      </c>
      <c r="CP171" s="125">
        <v>0</v>
      </c>
      <c r="CQ171" s="125">
        <v>8918.77</v>
      </c>
      <c r="CR171" s="125">
        <v>4841</v>
      </c>
      <c r="CS171" s="125">
        <v>133336.97999999998</v>
      </c>
      <c r="CT171" s="125">
        <v>0</v>
      </c>
      <c r="CU171" s="141">
        <v>886.55421686746979</v>
      </c>
      <c r="CV171" s="142">
        <v>-416474.09365833504</v>
      </c>
      <c r="CW171" s="143">
        <v>0</v>
      </c>
      <c r="CX171" s="140">
        <v>1956988.63</v>
      </c>
      <c r="CY171" s="140">
        <v>403727</v>
      </c>
    </row>
    <row r="172" spans="1:103" ht="12" customHeight="1" x14ac:dyDescent="0.25">
      <c r="A172" s="122">
        <v>168</v>
      </c>
      <c r="B172" s="123" t="s">
        <v>218</v>
      </c>
      <c r="C172" s="124">
        <v>3817.5</v>
      </c>
      <c r="D172" s="125">
        <v>3817.5</v>
      </c>
      <c r="E172" s="125">
        <v>0</v>
      </c>
      <c r="F172" s="125">
        <v>710.3</v>
      </c>
      <c r="G172" s="124">
        <v>3817.5</v>
      </c>
      <c r="H172" s="124">
        <v>3817.5</v>
      </c>
      <c r="I172" s="126">
        <v>1</v>
      </c>
      <c r="J172" s="126">
        <v>1</v>
      </c>
      <c r="K172" s="127">
        <v>3.8074327058252367E-3</v>
      </c>
      <c r="L172" s="127">
        <v>5.419101873541516E-3</v>
      </c>
      <c r="M172" s="127"/>
      <c r="N172" s="127"/>
      <c r="O172" s="128" t="s">
        <v>1489</v>
      </c>
      <c r="P172" s="129" t="s">
        <v>51</v>
      </c>
      <c r="Q172" s="130">
        <v>6.91</v>
      </c>
      <c r="R172" s="130">
        <v>3.15</v>
      </c>
      <c r="S172" s="130">
        <v>1.81</v>
      </c>
      <c r="T172" s="38">
        <v>0.26</v>
      </c>
      <c r="U172" s="131">
        <v>45.06</v>
      </c>
      <c r="V172" s="144">
        <v>1</v>
      </c>
      <c r="W172" s="132">
        <v>2.4096385542168672E-3</v>
      </c>
      <c r="X172" s="133">
        <v>651415.42535882187</v>
      </c>
      <c r="Y172" s="134">
        <v>26142.28</v>
      </c>
      <c r="Z172" s="134">
        <v>12326.919852886267</v>
      </c>
      <c r="AA172" s="134">
        <v>2402.1821304738114</v>
      </c>
      <c r="AB172" s="134">
        <v>1656.4255337145808</v>
      </c>
      <c r="AC172" s="126">
        <v>0</v>
      </c>
      <c r="AD172" s="126">
        <v>26115.69</v>
      </c>
      <c r="AE172" s="126">
        <v>0</v>
      </c>
      <c r="AF172" s="126">
        <v>0</v>
      </c>
      <c r="AG172" s="126">
        <v>0</v>
      </c>
      <c r="AH172" s="126">
        <v>0</v>
      </c>
      <c r="AI172" s="126">
        <v>0</v>
      </c>
      <c r="AJ172" s="126">
        <v>0</v>
      </c>
      <c r="AK172" s="126">
        <v>0</v>
      </c>
      <c r="AL172" s="126">
        <v>0</v>
      </c>
      <c r="AM172" s="126">
        <v>0</v>
      </c>
      <c r="AN172" s="126">
        <v>0</v>
      </c>
      <c r="AO172" s="126">
        <v>0</v>
      </c>
      <c r="AP172" s="126">
        <v>0</v>
      </c>
      <c r="AQ172" s="126">
        <v>0</v>
      </c>
      <c r="AR172" s="126">
        <v>0</v>
      </c>
      <c r="AS172" s="126">
        <v>0</v>
      </c>
      <c r="AT172" s="126">
        <v>582771.92784174718</v>
      </c>
      <c r="AU172" s="126">
        <v>0</v>
      </c>
      <c r="AV172" s="126">
        <v>0</v>
      </c>
      <c r="AW172" s="135">
        <v>407416.37131609046</v>
      </c>
      <c r="AX172" s="136">
        <v>366204.01467403484</v>
      </c>
      <c r="AY172" s="136">
        <v>24451.61066726422</v>
      </c>
      <c r="AZ172" s="126">
        <v>0</v>
      </c>
      <c r="BA172" s="126">
        <v>7389.1149590402119</v>
      </c>
      <c r="BB172" s="126">
        <v>0</v>
      </c>
      <c r="BC172" s="126">
        <v>0</v>
      </c>
      <c r="BD172" s="126">
        <v>1639.969723677104</v>
      </c>
      <c r="BE172" s="126">
        <v>0</v>
      </c>
      <c r="BF172" s="126">
        <v>2148.8717983889683</v>
      </c>
      <c r="BG172" s="126">
        <v>1075.8902978647438</v>
      </c>
      <c r="BH172" s="126">
        <v>4506.8991958204688</v>
      </c>
      <c r="BI172" s="137">
        <v>569546.50844751112</v>
      </c>
      <c r="BJ172" s="126">
        <v>4033.8240578456766</v>
      </c>
      <c r="BK172" s="126">
        <v>5739.8940328698636</v>
      </c>
      <c r="BL172" s="126">
        <v>6157.5208344868943</v>
      </c>
      <c r="BM172" s="126">
        <v>6102.2666980022932</v>
      </c>
      <c r="BN172" s="126">
        <v>102640.68580684543</v>
      </c>
      <c r="BO172" s="126">
        <v>58926.750758687289</v>
      </c>
      <c r="BP172" s="126">
        <v>48344.820327217072</v>
      </c>
      <c r="BQ172" s="126">
        <v>262297.72400636796</v>
      </c>
      <c r="BR172" s="126">
        <v>9788.7722849185411</v>
      </c>
      <c r="BS172" s="126">
        <v>10868.552786452001</v>
      </c>
      <c r="BT172" s="126">
        <v>54222.599500842705</v>
      </c>
      <c r="BU172" s="126">
        <v>0</v>
      </c>
      <c r="BV172" s="126">
        <v>423.09735297545279</v>
      </c>
      <c r="BW172" s="126">
        <v>65455.137428117036</v>
      </c>
      <c r="BX172" s="126">
        <v>232217.79680718391</v>
      </c>
      <c r="BY172" s="126">
        <v>204222.62763631143</v>
      </c>
      <c r="BZ172" s="126">
        <v>38878.671335161074</v>
      </c>
      <c r="CA172" s="137">
        <v>170331.8161685252</v>
      </c>
      <c r="CB172" s="126">
        <v>7379.808</v>
      </c>
      <c r="CC172" s="126">
        <v>161994.0814646878</v>
      </c>
      <c r="CD172" s="126">
        <v>0</v>
      </c>
      <c r="CE172" s="126">
        <v>0</v>
      </c>
      <c r="CF172" s="126">
        <v>957.92670383740858</v>
      </c>
      <c r="CG172" s="137">
        <v>57436.81388173427</v>
      </c>
      <c r="CH172" s="126">
        <v>14190</v>
      </c>
      <c r="CI172" s="126">
        <v>43246.81388173427</v>
      </c>
      <c r="CJ172" s="120"/>
      <c r="CK172" s="138">
        <v>2396921.1683794567</v>
      </c>
      <c r="CL172" s="139">
        <v>52.323099069623595</v>
      </c>
      <c r="CM172" s="140">
        <v>1976942.2400000002</v>
      </c>
      <c r="CN172" s="125">
        <v>2384.1999999999998</v>
      </c>
      <c r="CO172" s="125">
        <v>2384.1999999999998</v>
      </c>
      <c r="CP172" s="125">
        <v>0</v>
      </c>
      <c r="CQ172" s="125">
        <v>9293.2899999999991</v>
      </c>
      <c r="CR172" s="125">
        <v>5040.2199999999993</v>
      </c>
      <c r="CS172" s="125">
        <v>185047.72000000003</v>
      </c>
      <c r="CT172" s="125">
        <v>0</v>
      </c>
      <c r="CU172" s="141">
        <v>886.55421686746979</v>
      </c>
      <c r="CV172" s="142">
        <v>-419092.37416258897</v>
      </c>
      <c r="CW172" s="143">
        <v>0</v>
      </c>
      <c r="CX172" s="140">
        <v>1942805.19</v>
      </c>
      <c r="CY172" s="140">
        <v>336844.65</v>
      </c>
    </row>
    <row r="173" spans="1:103" ht="12" customHeight="1" x14ac:dyDescent="0.25">
      <c r="A173" s="122">
        <v>169</v>
      </c>
      <c r="B173" s="123" t="s">
        <v>219</v>
      </c>
      <c r="C173" s="124">
        <v>3706.6</v>
      </c>
      <c r="D173" s="125">
        <v>3673.7</v>
      </c>
      <c r="E173" s="125">
        <v>32.9</v>
      </c>
      <c r="F173" s="125">
        <v>670.6</v>
      </c>
      <c r="G173" s="124">
        <v>3706.6</v>
      </c>
      <c r="H173" s="124">
        <v>3706.6</v>
      </c>
      <c r="I173" s="126">
        <v>1</v>
      </c>
      <c r="J173" s="126">
        <v>1</v>
      </c>
      <c r="K173" s="127">
        <v>3.8074327058252367E-3</v>
      </c>
      <c r="L173" s="127">
        <v>5.419101873541516E-3</v>
      </c>
      <c r="M173" s="127"/>
      <c r="N173" s="127"/>
      <c r="O173" s="128" t="s">
        <v>1489</v>
      </c>
      <c r="P173" s="129" t="s">
        <v>51</v>
      </c>
      <c r="Q173" s="130">
        <v>6.91</v>
      </c>
      <c r="R173" s="130">
        <v>3.15</v>
      </c>
      <c r="S173" s="130">
        <v>1.81</v>
      </c>
      <c r="T173" s="38">
        <v>0.26</v>
      </c>
      <c r="U173" s="131">
        <v>45.06</v>
      </c>
      <c r="V173" s="144">
        <v>1</v>
      </c>
      <c r="W173" s="132">
        <v>2.4096385542168672E-3</v>
      </c>
      <c r="X173" s="133">
        <v>126135.61096785564</v>
      </c>
      <c r="Y173" s="134">
        <v>29955.24</v>
      </c>
      <c r="Z173" s="134">
        <v>11968.817583944528</v>
      </c>
      <c r="AA173" s="134">
        <v>2332.3977170436751</v>
      </c>
      <c r="AB173" s="134">
        <v>1608.3056668674435</v>
      </c>
      <c r="AC173" s="126">
        <v>49270.85</v>
      </c>
      <c r="AD173" s="126">
        <v>0</v>
      </c>
      <c r="AE173" s="126">
        <v>0</v>
      </c>
      <c r="AF173" s="126">
        <v>0</v>
      </c>
      <c r="AG173" s="126">
        <v>0</v>
      </c>
      <c r="AH173" s="126">
        <v>0</v>
      </c>
      <c r="AI173" s="126">
        <v>0</v>
      </c>
      <c r="AJ173" s="126">
        <v>0</v>
      </c>
      <c r="AK173" s="126">
        <v>0</v>
      </c>
      <c r="AL173" s="126">
        <v>0</v>
      </c>
      <c r="AM173" s="126">
        <v>31000</v>
      </c>
      <c r="AN173" s="126">
        <v>0</v>
      </c>
      <c r="AO173" s="126">
        <v>0</v>
      </c>
      <c r="AP173" s="126">
        <v>0</v>
      </c>
      <c r="AQ173" s="126">
        <v>0</v>
      </c>
      <c r="AR173" s="126">
        <v>0</v>
      </c>
      <c r="AS173" s="126">
        <v>0</v>
      </c>
      <c r="AT173" s="126">
        <v>0</v>
      </c>
      <c r="AU173" s="126">
        <v>0</v>
      </c>
      <c r="AV173" s="126">
        <v>0</v>
      </c>
      <c r="AW173" s="135">
        <v>395580.75230392168</v>
      </c>
      <c r="AX173" s="136">
        <v>355565.63216523314</v>
      </c>
      <c r="AY173" s="136">
        <v>23741.280969032498</v>
      </c>
      <c r="AZ173" s="126">
        <v>0</v>
      </c>
      <c r="BA173" s="126">
        <v>7174.4580241462863</v>
      </c>
      <c r="BB173" s="126">
        <v>0</v>
      </c>
      <c r="BC173" s="126">
        <v>0</v>
      </c>
      <c r="BD173" s="126">
        <v>1592.3279051163206</v>
      </c>
      <c r="BE173" s="126">
        <v>0</v>
      </c>
      <c r="BF173" s="126">
        <v>2086.4461579328226</v>
      </c>
      <c r="BG173" s="126">
        <v>1044.6352267362042</v>
      </c>
      <c r="BH173" s="126">
        <v>4375.9718557244669</v>
      </c>
      <c r="BI173" s="137">
        <v>553000.93993753626</v>
      </c>
      <c r="BJ173" s="126">
        <v>3916.6397518823273</v>
      </c>
      <c r="BK173" s="126">
        <v>5573.147667907122</v>
      </c>
      <c r="BL173" s="126">
        <v>5978.6422331654539</v>
      </c>
      <c r="BM173" s="126">
        <v>5924.9932528658283</v>
      </c>
      <c r="BN173" s="126">
        <v>99658.930192967455</v>
      </c>
      <c r="BO173" s="126">
        <v>57214.903565723718</v>
      </c>
      <c r="BP173" s="126">
        <v>46940.382717711276</v>
      </c>
      <c r="BQ173" s="126">
        <v>254677.86347138271</v>
      </c>
      <c r="BR173" s="126">
        <v>9504.4042832427149</v>
      </c>
      <c r="BS173" s="126">
        <v>10552.81670157511</v>
      </c>
      <c r="BT173" s="126">
        <v>52647.409904341468</v>
      </c>
      <c r="BU173" s="126">
        <v>0</v>
      </c>
      <c r="BV173" s="126">
        <v>410.8061947711364</v>
      </c>
      <c r="BW173" s="126">
        <v>63553.637823460012</v>
      </c>
      <c r="BX173" s="126">
        <v>225471.77096149517</v>
      </c>
      <c r="BY173" s="126">
        <v>198289.8733717752</v>
      </c>
      <c r="BZ173" s="126">
        <v>37749.229383341983</v>
      </c>
      <c r="CA173" s="137">
        <v>168936.77999001689</v>
      </c>
      <c r="CB173" s="126">
        <v>6012.5999999999995</v>
      </c>
      <c r="CC173" s="126">
        <v>161994.0814646878</v>
      </c>
      <c r="CD173" s="126">
        <v>0</v>
      </c>
      <c r="CE173" s="126">
        <v>0</v>
      </c>
      <c r="CF173" s="126">
        <v>930.0985253290736</v>
      </c>
      <c r="CG173" s="137">
        <v>55340.475529544528</v>
      </c>
      <c r="CH173" s="126">
        <v>13350</v>
      </c>
      <c r="CI173" s="126">
        <v>41990.475529544528</v>
      </c>
      <c r="CJ173" s="120"/>
      <c r="CK173" s="138">
        <v>1824059.0702689474</v>
      </c>
      <c r="CL173" s="139">
        <v>41.009259839856547</v>
      </c>
      <c r="CM173" s="140">
        <v>1904313.5200000003</v>
      </c>
      <c r="CN173" s="125">
        <v>2233.6899999999996</v>
      </c>
      <c r="CO173" s="125">
        <v>2233.6899999999996</v>
      </c>
      <c r="CP173" s="125">
        <v>0</v>
      </c>
      <c r="CQ173" s="125">
        <v>8702.27</v>
      </c>
      <c r="CR173" s="125">
        <v>4722.8900000000003</v>
      </c>
      <c r="CS173" s="125">
        <v>173377.25</v>
      </c>
      <c r="CT173" s="125">
        <v>157679.12190780806</v>
      </c>
      <c r="CU173" s="141">
        <v>886.55421686746979</v>
      </c>
      <c r="CV173" s="142">
        <v>238820.12585572852</v>
      </c>
      <c r="CW173" s="143">
        <v>4.3997725204820037E-2</v>
      </c>
      <c r="CX173" s="140">
        <v>1837701.1400000001</v>
      </c>
      <c r="CY173" s="140">
        <v>660060.79</v>
      </c>
    </row>
    <row r="174" spans="1:103" ht="12" customHeight="1" x14ac:dyDescent="0.25">
      <c r="A174" s="122">
        <v>170</v>
      </c>
      <c r="B174" s="123" t="s">
        <v>220</v>
      </c>
      <c r="C174" s="124">
        <v>9577.4000000000033</v>
      </c>
      <c r="D174" s="125">
        <v>9471.7000000000025</v>
      </c>
      <c r="E174" s="125">
        <v>105.7</v>
      </c>
      <c r="F174" s="125">
        <v>963.6</v>
      </c>
      <c r="G174" s="124">
        <v>9577.4000000000033</v>
      </c>
      <c r="H174" s="124">
        <v>9577.4000000000033</v>
      </c>
      <c r="I174" s="126">
        <v>8</v>
      </c>
      <c r="J174" s="126">
        <v>0</v>
      </c>
      <c r="K174" s="127">
        <v>1.460694300850832E-2</v>
      </c>
      <c r="L174" s="127">
        <v>2.0789996393899474E-2</v>
      </c>
      <c r="M174" s="127"/>
      <c r="N174" s="127"/>
      <c r="O174" s="128" t="s">
        <v>1489</v>
      </c>
      <c r="P174" s="129" t="s">
        <v>51</v>
      </c>
      <c r="Q174" s="130">
        <v>6.91</v>
      </c>
      <c r="R174" s="130">
        <v>3.15</v>
      </c>
      <c r="S174" s="130">
        <v>1.81</v>
      </c>
      <c r="T174" s="38">
        <v>0</v>
      </c>
      <c r="U174" s="131">
        <v>44.8</v>
      </c>
      <c r="V174" s="144">
        <v>4</v>
      </c>
      <c r="W174" s="132">
        <v>9.638554216867469E-3</v>
      </c>
      <c r="X174" s="133">
        <v>85110.961798829332</v>
      </c>
      <c r="Y174" s="134">
        <v>44002.71</v>
      </c>
      <c r="Z174" s="134">
        <v>30925.957354036145</v>
      </c>
      <c r="AA174" s="134">
        <v>6026.6297672298342</v>
      </c>
      <c r="AB174" s="134">
        <v>4155.6646775633353</v>
      </c>
      <c r="AC174" s="126">
        <v>0</v>
      </c>
      <c r="AD174" s="126">
        <v>0</v>
      </c>
      <c r="AE174" s="126">
        <v>0</v>
      </c>
      <c r="AF174" s="126">
        <v>0</v>
      </c>
      <c r="AG174" s="126">
        <v>0</v>
      </c>
      <c r="AH174" s="126">
        <v>0</v>
      </c>
      <c r="AI174" s="126">
        <v>0</v>
      </c>
      <c r="AJ174" s="126">
        <v>0</v>
      </c>
      <c r="AK174" s="126">
        <v>0</v>
      </c>
      <c r="AL174" s="126">
        <v>0</v>
      </c>
      <c r="AM174" s="126">
        <v>0</v>
      </c>
      <c r="AN174" s="126">
        <v>0</v>
      </c>
      <c r="AO174" s="126">
        <v>0</v>
      </c>
      <c r="AP174" s="126">
        <v>0</v>
      </c>
      <c r="AQ174" s="126">
        <v>0</v>
      </c>
      <c r="AR174" s="126">
        <v>0</v>
      </c>
      <c r="AS174" s="126">
        <v>0</v>
      </c>
      <c r="AT174" s="126">
        <v>0</v>
      </c>
      <c r="AU174" s="126">
        <v>0</v>
      </c>
      <c r="AV174" s="126">
        <v>0</v>
      </c>
      <c r="AW174" s="135">
        <v>1022132.1688651544</v>
      </c>
      <c r="AX174" s="136">
        <v>918738.00396571122</v>
      </c>
      <c r="AY174" s="136">
        <v>61344.559529706989</v>
      </c>
      <c r="AZ174" s="126">
        <v>0</v>
      </c>
      <c r="BA174" s="126">
        <v>18537.920002282059</v>
      </c>
      <c r="BB174" s="126">
        <v>0</v>
      </c>
      <c r="BC174" s="126">
        <v>0</v>
      </c>
      <c r="BD174" s="126">
        <v>4114.3800999463265</v>
      </c>
      <c r="BE174" s="126">
        <v>0</v>
      </c>
      <c r="BF174" s="126">
        <v>5391.1210902136245</v>
      </c>
      <c r="BG174" s="126">
        <v>2699.2093618257504</v>
      </c>
      <c r="BH174" s="126">
        <v>11306.974815468495</v>
      </c>
      <c r="BI174" s="137">
        <v>1428886.6352338432</v>
      </c>
      <c r="BJ174" s="126">
        <v>10120.11696964275</v>
      </c>
      <c r="BK174" s="126">
        <v>14400.330349812142</v>
      </c>
      <c r="BL174" s="126">
        <v>15448.078595996019</v>
      </c>
      <c r="BM174" s="126">
        <v>15309.456207844711</v>
      </c>
      <c r="BN174" s="126">
        <v>257506.45821780793</v>
      </c>
      <c r="BO174" s="126">
        <v>147836.29671676538</v>
      </c>
      <c r="BP174" s="126">
        <v>121288.19442092703</v>
      </c>
      <c r="BQ174" s="126">
        <v>658056.37770755449</v>
      </c>
      <c r="BR174" s="126">
        <v>24558.215502705665</v>
      </c>
      <c r="BS174" s="126">
        <v>27267.184664561999</v>
      </c>
      <c r="BT174" s="126">
        <v>136034.45303454384</v>
      </c>
      <c r="BU174" s="126">
        <v>0</v>
      </c>
      <c r="BV174" s="126">
        <v>1061.4728456809701</v>
      </c>
      <c r="BW174" s="126">
        <v>164214.80895980311</v>
      </c>
      <c r="BX174" s="126">
        <v>582591.41509918112</v>
      </c>
      <c r="BY174" s="126">
        <v>512356.72401414794</v>
      </c>
      <c r="BZ174" s="126">
        <v>97539.380968008321</v>
      </c>
      <c r="CA174" s="137">
        <v>647385.49323546677</v>
      </c>
      <c r="CB174" s="126">
        <v>23503.535999999996</v>
      </c>
      <c r="CC174" s="126">
        <v>621478.69666877855</v>
      </c>
      <c r="CD174" s="126">
        <v>0</v>
      </c>
      <c r="CE174" s="126">
        <v>0</v>
      </c>
      <c r="CF174" s="126">
        <v>2403.2605666882514</v>
      </c>
      <c r="CG174" s="137">
        <v>0</v>
      </c>
      <c r="CH174" s="126">
        <v>0</v>
      </c>
      <c r="CI174" s="126">
        <v>0</v>
      </c>
      <c r="CJ174" s="120"/>
      <c r="CK174" s="138">
        <v>4540217.5881744344</v>
      </c>
      <c r="CL174" s="139">
        <v>39.504611447908907</v>
      </c>
      <c r="CM174" s="140">
        <v>4880302.21</v>
      </c>
      <c r="CN174" s="125">
        <v>3170.2</v>
      </c>
      <c r="CO174" s="125">
        <v>3170.21</v>
      </c>
      <c r="CP174" s="125">
        <v>0</v>
      </c>
      <c r="CQ174" s="125">
        <v>12351.129999999997</v>
      </c>
      <c r="CR174" s="125">
        <v>6702.6699999999992</v>
      </c>
      <c r="CS174" s="125">
        <v>184618.62</v>
      </c>
      <c r="CT174" s="125">
        <v>407423.52078989951</v>
      </c>
      <c r="CU174" s="141">
        <v>3546.2168674698792</v>
      </c>
      <c r="CV174" s="142">
        <v>751054.35948293563</v>
      </c>
      <c r="CW174" s="143">
        <v>7.490491704876856E-2</v>
      </c>
      <c r="CX174" s="140">
        <v>4708003.7200000007</v>
      </c>
      <c r="CY174" s="140">
        <v>1210261.5</v>
      </c>
    </row>
    <row r="175" spans="1:103" ht="12" customHeight="1" x14ac:dyDescent="0.25">
      <c r="A175" s="122">
        <v>171</v>
      </c>
      <c r="B175" s="123" t="s">
        <v>221</v>
      </c>
      <c r="C175" s="124">
        <v>3721.49</v>
      </c>
      <c r="D175" s="125">
        <v>3721.49</v>
      </c>
      <c r="E175" s="125">
        <v>0</v>
      </c>
      <c r="F175" s="125">
        <v>1226.4000000000001</v>
      </c>
      <c r="G175" s="124">
        <v>3721.49</v>
      </c>
      <c r="H175" s="124"/>
      <c r="I175" s="126">
        <v>0</v>
      </c>
      <c r="J175" s="126">
        <v>0</v>
      </c>
      <c r="K175" s="127">
        <v>0</v>
      </c>
      <c r="L175" s="127">
        <v>0</v>
      </c>
      <c r="M175" s="127"/>
      <c r="N175" s="127"/>
      <c r="O175" s="128" t="s">
        <v>1489</v>
      </c>
      <c r="P175" s="129" t="s">
        <v>1493</v>
      </c>
      <c r="Q175" s="130">
        <v>6.92</v>
      </c>
      <c r="R175" s="130">
        <v>3.15</v>
      </c>
      <c r="S175" s="130">
        <v>0</v>
      </c>
      <c r="T175" s="38">
        <v>0</v>
      </c>
      <c r="U175" s="131">
        <v>30.74</v>
      </c>
      <c r="V175" s="144">
        <v>2</v>
      </c>
      <c r="W175" s="132">
        <v>4.8192771084337345E-3</v>
      </c>
      <c r="X175" s="133">
        <v>135514.20727639197</v>
      </c>
      <c r="Y175" s="134">
        <v>3748.84</v>
      </c>
      <c r="Z175" s="134">
        <v>7959.4809308559206</v>
      </c>
      <c r="AA175" s="134">
        <v>2341.7673285493083</v>
      </c>
      <c r="AB175" s="134">
        <v>1614.7664857795612</v>
      </c>
      <c r="AC175" s="126">
        <v>0</v>
      </c>
      <c r="AD175" s="126">
        <v>0</v>
      </c>
      <c r="AE175" s="126">
        <v>0</v>
      </c>
      <c r="AF175" s="126">
        <v>0</v>
      </c>
      <c r="AG175" s="126">
        <v>0</v>
      </c>
      <c r="AH175" s="126">
        <v>0</v>
      </c>
      <c r="AI175" s="126">
        <v>0</v>
      </c>
      <c r="AJ175" s="126">
        <v>0</v>
      </c>
      <c r="AK175" s="126">
        <v>0</v>
      </c>
      <c r="AL175" s="126">
        <v>0</v>
      </c>
      <c r="AM175" s="126">
        <v>0</v>
      </c>
      <c r="AN175" s="126">
        <v>0</v>
      </c>
      <c r="AO175" s="126">
        <v>0</v>
      </c>
      <c r="AP175" s="126">
        <v>0</v>
      </c>
      <c r="AQ175" s="126">
        <v>0</v>
      </c>
      <c r="AR175" s="126">
        <v>0</v>
      </c>
      <c r="AS175" s="126">
        <v>0</v>
      </c>
      <c r="AT175" s="126">
        <v>119849.35253120719</v>
      </c>
      <c r="AU175" s="126">
        <v>0</v>
      </c>
      <c r="AV175" s="126">
        <v>0</v>
      </c>
      <c r="AW175" s="135">
        <v>296642.61134153564</v>
      </c>
      <c r="AX175" s="136">
        <v>256466.74411957266</v>
      </c>
      <c r="AY175" s="136">
        <v>23836.653459624657</v>
      </c>
      <c r="AZ175" s="126">
        <v>0</v>
      </c>
      <c r="BA175" s="126">
        <v>7203.2789597691044</v>
      </c>
      <c r="BB175" s="126">
        <v>0</v>
      </c>
      <c r="BC175" s="126">
        <v>0</v>
      </c>
      <c r="BD175" s="126">
        <v>1598.7245388256988</v>
      </c>
      <c r="BE175" s="126">
        <v>0</v>
      </c>
      <c r="BF175" s="126">
        <v>2094.8277430220201</v>
      </c>
      <c r="BG175" s="126">
        <v>1048.8316921023354</v>
      </c>
      <c r="BH175" s="126">
        <v>4393.5508286192317</v>
      </c>
      <c r="BI175" s="137">
        <v>555222.43240925425</v>
      </c>
      <c r="BJ175" s="126">
        <v>3932.3735148741598</v>
      </c>
      <c r="BK175" s="126">
        <v>5595.5358858899463</v>
      </c>
      <c r="BL175" s="126">
        <v>6002.6593871210562</v>
      </c>
      <c r="BM175" s="126">
        <v>5948.7948903598044</v>
      </c>
      <c r="BN175" s="126">
        <v>100059.27591966397</v>
      </c>
      <c r="BO175" s="126">
        <v>57444.744906600434</v>
      </c>
      <c r="BP175" s="126">
        <v>47128.94967898757</v>
      </c>
      <c r="BQ175" s="126">
        <v>255700.94483626934</v>
      </c>
      <c r="BR175" s="126">
        <v>9542.5849824758352</v>
      </c>
      <c r="BS175" s="126">
        <v>10595.209039751999</v>
      </c>
      <c r="BT175" s="126">
        <v>52858.902898858178</v>
      </c>
      <c r="BU175" s="126">
        <v>0</v>
      </c>
      <c r="BV175" s="126">
        <v>412.45646840199544</v>
      </c>
      <c r="BW175" s="126">
        <v>63808.942865059136</v>
      </c>
      <c r="BX175" s="126">
        <v>226377.52682120938</v>
      </c>
      <c r="BY175" s="126">
        <v>199086.43523831211</v>
      </c>
      <c r="BZ175" s="126">
        <v>0</v>
      </c>
      <c r="CA175" s="137">
        <v>0</v>
      </c>
      <c r="CB175" s="126">
        <v>0</v>
      </c>
      <c r="CC175" s="126">
        <v>0</v>
      </c>
      <c r="CD175" s="126">
        <v>0</v>
      </c>
      <c r="CE175" s="126">
        <v>0</v>
      </c>
      <c r="CF175" s="126">
        <v>0</v>
      </c>
      <c r="CG175" s="137">
        <v>0</v>
      </c>
      <c r="CH175" s="126">
        <v>0</v>
      </c>
      <c r="CI175" s="126">
        <v>0</v>
      </c>
      <c r="CJ175" s="120"/>
      <c r="CK175" s="138">
        <v>1476652.1559517626</v>
      </c>
      <c r="CL175" s="139">
        <v>33.065881227495858</v>
      </c>
      <c r="CM175" s="140">
        <v>1314909.6400000001</v>
      </c>
      <c r="CN175" s="125">
        <v>7651.92</v>
      </c>
      <c r="CO175" s="125">
        <v>7651.92</v>
      </c>
      <c r="CP175" s="125">
        <v>0</v>
      </c>
      <c r="CQ175" s="125">
        <v>29853.360000000001</v>
      </c>
      <c r="CR175" s="125">
        <v>16185.24</v>
      </c>
      <c r="CS175" s="125">
        <v>49798.500000000007</v>
      </c>
      <c r="CT175" s="125">
        <v>0</v>
      </c>
      <c r="CU175" s="141">
        <v>1773.1084337349396</v>
      </c>
      <c r="CV175" s="142">
        <v>-159969.40751802758</v>
      </c>
      <c r="CW175" s="143">
        <v>0</v>
      </c>
      <c r="CX175" s="140">
        <v>1361026.0799999998</v>
      </c>
      <c r="CY175" s="140">
        <v>643674.71</v>
      </c>
    </row>
    <row r="176" spans="1:103" ht="12" customHeight="1" x14ac:dyDescent="0.25">
      <c r="A176" s="122">
        <v>172</v>
      </c>
      <c r="B176" s="123" t="s">
        <v>222</v>
      </c>
      <c r="C176" s="124">
        <v>3663.6699999999996</v>
      </c>
      <c r="D176" s="125">
        <v>3506.97</v>
      </c>
      <c r="E176" s="125">
        <v>156.69999999999999</v>
      </c>
      <c r="F176" s="125">
        <v>1142.2</v>
      </c>
      <c r="G176" s="124">
        <v>3663.6699999999996</v>
      </c>
      <c r="H176" s="124"/>
      <c r="I176" s="126">
        <v>0</v>
      </c>
      <c r="J176" s="126">
        <v>0</v>
      </c>
      <c r="K176" s="127">
        <v>0</v>
      </c>
      <c r="L176" s="127">
        <v>0</v>
      </c>
      <c r="M176" s="127"/>
      <c r="N176" s="127"/>
      <c r="O176" s="128" t="s">
        <v>1489</v>
      </c>
      <c r="P176" s="129" t="s">
        <v>1493</v>
      </c>
      <c r="Q176" s="130">
        <v>6.92</v>
      </c>
      <c r="R176" s="130">
        <v>3.15</v>
      </c>
      <c r="S176" s="130">
        <v>0</v>
      </c>
      <c r="T176" s="38">
        <v>0</v>
      </c>
      <c r="U176" s="131">
        <v>30.74</v>
      </c>
      <c r="V176" s="144">
        <v>2</v>
      </c>
      <c r="W176" s="132">
        <v>4.8192771084337345E-3</v>
      </c>
      <c r="X176" s="133">
        <v>15745.998154043449</v>
      </c>
      <c r="Y176" s="134">
        <v>4015.12</v>
      </c>
      <c r="Z176" s="134">
        <v>7835.8161655543636</v>
      </c>
      <c r="AA176" s="134">
        <v>2305.3837867591324</v>
      </c>
      <c r="AB176" s="134">
        <v>1589.6782017299536</v>
      </c>
      <c r="AC176" s="126">
        <v>0</v>
      </c>
      <c r="AD176" s="126">
        <v>0</v>
      </c>
      <c r="AE176" s="126">
        <v>0</v>
      </c>
      <c r="AF176" s="126">
        <v>0</v>
      </c>
      <c r="AG176" s="126">
        <v>0</v>
      </c>
      <c r="AH176" s="126">
        <v>0</v>
      </c>
      <c r="AI176" s="126">
        <v>0</v>
      </c>
      <c r="AJ176" s="126">
        <v>0</v>
      </c>
      <c r="AK176" s="126">
        <v>0</v>
      </c>
      <c r="AL176" s="126">
        <v>0</v>
      </c>
      <c r="AM176" s="126">
        <v>0</v>
      </c>
      <c r="AN176" s="126">
        <v>0</v>
      </c>
      <c r="AO176" s="126">
        <v>0</v>
      </c>
      <c r="AP176" s="126">
        <v>0</v>
      </c>
      <c r="AQ176" s="126">
        <v>0</v>
      </c>
      <c r="AR176" s="126">
        <v>0</v>
      </c>
      <c r="AS176" s="126">
        <v>0</v>
      </c>
      <c r="AT176" s="126">
        <v>0</v>
      </c>
      <c r="AU176" s="126">
        <v>0</v>
      </c>
      <c r="AV176" s="126">
        <v>0</v>
      </c>
      <c r="AW176" s="135">
        <v>292033.73807094584</v>
      </c>
      <c r="AX176" s="136">
        <v>252482.07476805116</v>
      </c>
      <c r="AY176" s="136">
        <v>23466.308435713399</v>
      </c>
      <c r="AZ176" s="126">
        <v>0</v>
      </c>
      <c r="BA176" s="126">
        <v>7091.3631439389264</v>
      </c>
      <c r="BB176" s="126">
        <v>0</v>
      </c>
      <c r="BC176" s="126">
        <v>0</v>
      </c>
      <c r="BD176" s="126">
        <v>1573.8854950999594</v>
      </c>
      <c r="BE176" s="126">
        <v>0</v>
      </c>
      <c r="BF176" s="126">
        <v>2062.2808491430806</v>
      </c>
      <c r="BG176" s="126">
        <v>1032.5362167853636</v>
      </c>
      <c r="BH176" s="126">
        <v>4325.2891622139032</v>
      </c>
      <c r="BI176" s="137">
        <v>546596.05935923848</v>
      </c>
      <c r="BJ176" s="126">
        <v>3871.2770624773984</v>
      </c>
      <c r="BK176" s="126">
        <v>5508.5992328498578</v>
      </c>
      <c r="BL176" s="126">
        <v>5909.3973426809689</v>
      </c>
      <c r="BM176" s="126">
        <v>5856.3697271696292</v>
      </c>
      <c r="BN176" s="126">
        <v>98504.676193835068</v>
      </c>
      <c r="BO176" s="126">
        <v>56552.238101396164</v>
      </c>
      <c r="BP176" s="126">
        <v>46396.717194031524</v>
      </c>
      <c r="BQ176" s="126">
        <v>251728.17354562148</v>
      </c>
      <c r="BR176" s="126">
        <v>9394.3238656417834</v>
      </c>
      <c r="BS176" s="126">
        <v>10430.593526428447</v>
      </c>
      <c r="BT176" s="126">
        <v>52037.645347282873</v>
      </c>
      <c r="BU176" s="126">
        <v>0</v>
      </c>
      <c r="BV176" s="126">
        <v>406.04821982333385</v>
      </c>
      <c r="BW176" s="126">
        <v>62817.556867392144</v>
      </c>
      <c r="BX176" s="126">
        <v>222860.34725044543</v>
      </c>
      <c r="BY176" s="126">
        <v>195993.27156314996</v>
      </c>
      <c r="BZ176" s="126">
        <v>0</v>
      </c>
      <c r="CA176" s="137">
        <v>0</v>
      </c>
      <c r="CB176" s="126">
        <v>0</v>
      </c>
      <c r="CC176" s="126">
        <v>0</v>
      </c>
      <c r="CD176" s="126">
        <v>0</v>
      </c>
      <c r="CE176" s="126">
        <v>0</v>
      </c>
      <c r="CF176" s="126">
        <v>0</v>
      </c>
      <c r="CG176" s="137">
        <v>0</v>
      </c>
      <c r="CH176" s="126">
        <v>0</v>
      </c>
      <c r="CI176" s="126">
        <v>0</v>
      </c>
      <c r="CJ176" s="120"/>
      <c r="CK176" s="138">
        <v>1336046.9712652154</v>
      </c>
      <c r="CL176" s="139">
        <v>30.389540434983129</v>
      </c>
      <c r="CM176" s="140">
        <v>1237098.51</v>
      </c>
      <c r="CN176" s="125">
        <v>6822.9600000000009</v>
      </c>
      <c r="CO176" s="125">
        <v>6822.9600000000009</v>
      </c>
      <c r="CP176" s="125">
        <v>0</v>
      </c>
      <c r="CQ176" s="125">
        <v>26615.300000000003</v>
      </c>
      <c r="CR176" s="125">
        <v>14430.02</v>
      </c>
      <c r="CS176" s="125">
        <v>45174.29</v>
      </c>
      <c r="CT176" s="125">
        <v>155852.87556250449</v>
      </c>
      <c r="CU176" s="141">
        <v>1773.1084337349396</v>
      </c>
      <c r="CV176" s="142">
        <v>58677.522731023841</v>
      </c>
      <c r="CW176" s="143">
        <v>-7.4060615676941999E-2</v>
      </c>
      <c r="CX176" s="140">
        <v>1139889.69</v>
      </c>
      <c r="CY176" s="140">
        <v>826576.75</v>
      </c>
    </row>
    <row r="177" spans="1:103" ht="12" customHeight="1" x14ac:dyDescent="0.25">
      <c r="A177" s="122">
        <v>173</v>
      </c>
      <c r="B177" s="123" t="s">
        <v>223</v>
      </c>
      <c r="C177" s="124">
        <v>3870.2</v>
      </c>
      <c r="D177" s="125">
        <v>3870.2</v>
      </c>
      <c r="E177" s="125">
        <v>0</v>
      </c>
      <c r="F177" s="125">
        <v>760.2</v>
      </c>
      <c r="G177" s="124">
        <v>3870.2</v>
      </c>
      <c r="H177" s="124">
        <v>3870.2</v>
      </c>
      <c r="I177" s="126">
        <v>1</v>
      </c>
      <c r="J177" s="126">
        <v>1</v>
      </c>
      <c r="K177" s="127">
        <v>3.8074327058252367E-3</v>
      </c>
      <c r="L177" s="127">
        <v>5.419101873541516E-3</v>
      </c>
      <c r="M177" s="127"/>
      <c r="N177" s="127"/>
      <c r="O177" s="128" t="s">
        <v>1488</v>
      </c>
      <c r="P177" s="129" t="s">
        <v>1493</v>
      </c>
      <c r="Q177" s="130">
        <v>6.91</v>
      </c>
      <c r="R177" s="130">
        <v>3.15</v>
      </c>
      <c r="S177" s="130">
        <v>1.81</v>
      </c>
      <c r="T177" s="38">
        <v>0.26</v>
      </c>
      <c r="U177" s="131">
        <v>45.06</v>
      </c>
      <c r="V177" s="144">
        <v>1</v>
      </c>
      <c r="W177" s="132">
        <v>2.4096385542168672E-3</v>
      </c>
      <c r="X177" s="133">
        <v>2302932.1163236806</v>
      </c>
      <c r="Y177" s="134">
        <v>168181.38</v>
      </c>
      <c r="Z177" s="134">
        <v>8277.5402052937352</v>
      </c>
      <c r="AA177" s="134">
        <v>2435.3438850975103</v>
      </c>
      <c r="AB177" s="134">
        <v>1679.2922332893702</v>
      </c>
      <c r="AC177" s="126">
        <v>0</v>
      </c>
      <c r="AD177" s="126">
        <v>0</v>
      </c>
      <c r="AE177" s="126">
        <v>0</v>
      </c>
      <c r="AF177" s="126">
        <v>0</v>
      </c>
      <c r="AG177" s="126">
        <v>0</v>
      </c>
      <c r="AH177" s="126">
        <v>0</v>
      </c>
      <c r="AI177" s="126">
        <v>0</v>
      </c>
      <c r="AJ177" s="126">
        <v>0</v>
      </c>
      <c r="AK177" s="126">
        <v>0</v>
      </c>
      <c r="AL177" s="126">
        <v>0</v>
      </c>
      <c r="AM177" s="126">
        <v>0</v>
      </c>
      <c r="AN177" s="126">
        <v>0</v>
      </c>
      <c r="AO177" s="126">
        <v>0</v>
      </c>
      <c r="AP177" s="126">
        <v>2122358.56</v>
      </c>
      <c r="AQ177" s="126">
        <v>0</v>
      </c>
      <c r="AR177" s="126">
        <v>0</v>
      </c>
      <c r="AS177" s="126">
        <v>0</v>
      </c>
      <c r="AT177" s="126">
        <v>0</v>
      </c>
      <c r="AU177" s="126">
        <v>0</v>
      </c>
      <c r="AV177" s="126">
        <v>0</v>
      </c>
      <c r="AW177" s="135">
        <v>301005.27051904297</v>
      </c>
      <c r="AX177" s="136">
        <v>266715.10418987292</v>
      </c>
      <c r="AY177" s="136">
        <v>24789.16138950779</v>
      </c>
      <c r="AZ177" s="126">
        <v>0</v>
      </c>
      <c r="BA177" s="126">
        <v>0</v>
      </c>
      <c r="BB177" s="126">
        <v>0</v>
      </c>
      <c r="BC177" s="126">
        <v>0</v>
      </c>
      <c r="BD177" s="126">
        <v>1662.6092533268179</v>
      </c>
      <c r="BE177" s="126">
        <v>0</v>
      </c>
      <c r="BF177" s="126">
        <v>2178.5366428618167</v>
      </c>
      <c r="BG177" s="126">
        <v>1090.7427978509841</v>
      </c>
      <c r="BH177" s="126">
        <v>4569.1162456226275</v>
      </c>
      <c r="BI177" s="137">
        <v>577409.01034539822</v>
      </c>
      <c r="BJ177" s="126">
        <v>4089.5103781727144</v>
      </c>
      <c r="BK177" s="126">
        <v>5819.1323866438624</v>
      </c>
      <c r="BL177" s="126">
        <v>6242.5244619859013</v>
      </c>
      <c r="BM177" s="126">
        <v>6186.50755065055</v>
      </c>
      <c r="BN177" s="126">
        <v>104057.62467836363</v>
      </c>
      <c r="BO177" s="126">
        <v>59740.225484288552</v>
      </c>
      <c r="BP177" s="126">
        <v>49012.21313173425</v>
      </c>
      <c r="BQ177" s="126">
        <v>265918.70371956652</v>
      </c>
      <c r="BR177" s="126">
        <v>9923.9047798537631</v>
      </c>
      <c r="BS177" s="126">
        <v>11018.591485036419</v>
      </c>
      <c r="BT177" s="126">
        <v>54971.134142281968</v>
      </c>
      <c r="BU177" s="126">
        <v>0</v>
      </c>
      <c r="BV177" s="126">
        <v>428.93814682006479</v>
      </c>
      <c r="BW177" s="126">
        <v>66358.735526993725</v>
      </c>
      <c r="BX177" s="126">
        <v>235423.52775459414</v>
      </c>
      <c r="BY177" s="126">
        <v>207041.88958167713</v>
      </c>
      <c r="BZ177" s="126">
        <v>39415.385409650393</v>
      </c>
      <c r="CA177" s="137">
        <v>168977.83219925009</v>
      </c>
      <c r="CB177" s="126">
        <v>6012.5999999999995</v>
      </c>
      <c r="CC177" s="126">
        <v>161994.0814646878</v>
      </c>
      <c r="CD177" s="126">
        <v>0</v>
      </c>
      <c r="CE177" s="126">
        <v>0</v>
      </c>
      <c r="CF177" s="126">
        <v>971.15073456228902</v>
      </c>
      <c r="CG177" s="137">
        <v>58033.829491837059</v>
      </c>
      <c r="CH177" s="126">
        <v>14190</v>
      </c>
      <c r="CI177" s="126">
        <v>43843.829491837059</v>
      </c>
      <c r="CJ177" s="120"/>
      <c r="CK177" s="138">
        <v>3956597.5971521237</v>
      </c>
      <c r="CL177" s="139">
        <v>85.193650568276482</v>
      </c>
      <c r="CM177" s="140">
        <v>2005436.15</v>
      </c>
      <c r="CN177" s="125">
        <v>2553.12</v>
      </c>
      <c r="CO177" s="125">
        <v>2553.12</v>
      </c>
      <c r="CP177" s="125">
        <v>0</v>
      </c>
      <c r="CQ177" s="125">
        <v>9920.9</v>
      </c>
      <c r="CR177" s="125">
        <v>5402.16</v>
      </c>
      <c r="CS177" s="125">
        <v>198260.57000000004</v>
      </c>
      <c r="CT177" s="125">
        <v>0</v>
      </c>
      <c r="CU177" s="141">
        <v>886.55421686746979</v>
      </c>
      <c r="CV177" s="142">
        <v>-1950274.8929352562</v>
      </c>
      <c r="CW177" s="143">
        <v>0</v>
      </c>
      <c r="CX177" s="140">
        <v>2019333.8199999998</v>
      </c>
      <c r="CY177" s="140">
        <v>245969.56</v>
      </c>
    </row>
    <row r="178" spans="1:103" ht="12" customHeight="1" x14ac:dyDescent="0.25">
      <c r="A178" s="122">
        <v>174</v>
      </c>
      <c r="B178" s="123" t="s">
        <v>224</v>
      </c>
      <c r="C178" s="124">
        <v>3892.2</v>
      </c>
      <c r="D178" s="125">
        <v>3892.2</v>
      </c>
      <c r="E178" s="125">
        <v>0</v>
      </c>
      <c r="F178" s="125">
        <v>797.4</v>
      </c>
      <c r="G178" s="124">
        <v>3892.2</v>
      </c>
      <c r="H178" s="124">
        <v>3892.2</v>
      </c>
      <c r="I178" s="126">
        <v>1</v>
      </c>
      <c r="J178" s="126">
        <v>1</v>
      </c>
      <c r="K178" s="127">
        <v>3.8074327058252367E-3</v>
      </c>
      <c r="L178" s="127">
        <v>5.419101873541516E-3</v>
      </c>
      <c r="M178" s="127"/>
      <c r="N178" s="127"/>
      <c r="O178" s="128" t="s">
        <v>1488</v>
      </c>
      <c r="P178" s="129" t="s">
        <v>1493</v>
      </c>
      <c r="Q178" s="130">
        <v>6.91</v>
      </c>
      <c r="R178" s="130">
        <v>3.15</v>
      </c>
      <c r="S178" s="130">
        <v>1.81</v>
      </c>
      <c r="T178" s="38">
        <v>0.26</v>
      </c>
      <c r="U178" s="131">
        <v>45.06</v>
      </c>
      <c r="V178" s="144">
        <v>1</v>
      </c>
      <c r="W178" s="132">
        <v>2.4096385542168672E-3</v>
      </c>
      <c r="X178" s="133">
        <v>304174.40916361683</v>
      </c>
      <c r="Y178" s="134">
        <v>125378.08</v>
      </c>
      <c r="Z178" s="134">
        <v>8324.5935577087166</v>
      </c>
      <c r="AA178" s="134">
        <v>2449.1875018284659</v>
      </c>
      <c r="AB178" s="134">
        <v>1688.8381040796048</v>
      </c>
      <c r="AC178" s="126">
        <v>42745.38</v>
      </c>
      <c r="AD178" s="126">
        <v>28852.61</v>
      </c>
      <c r="AE178" s="126">
        <v>0</v>
      </c>
      <c r="AF178" s="126">
        <v>0</v>
      </c>
      <c r="AG178" s="126">
        <v>0</v>
      </c>
      <c r="AH178" s="126">
        <v>0</v>
      </c>
      <c r="AI178" s="126">
        <v>0</v>
      </c>
      <c r="AJ178" s="126">
        <v>0</v>
      </c>
      <c r="AK178" s="126">
        <v>0</v>
      </c>
      <c r="AL178" s="126">
        <v>0</v>
      </c>
      <c r="AM178" s="126">
        <v>15000</v>
      </c>
      <c r="AN178" s="126">
        <v>0</v>
      </c>
      <c r="AO178" s="126">
        <v>0</v>
      </c>
      <c r="AP178" s="126">
        <v>79735.72</v>
      </c>
      <c r="AQ178" s="126">
        <v>0</v>
      </c>
      <c r="AR178" s="126">
        <v>0</v>
      </c>
      <c r="AS178" s="126">
        <v>0</v>
      </c>
      <c r="AT178" s="126">
        <v>0</v>
      </c>
      <c r="AU178" s="126">
        <v>0</v>
      </c>
      <c r="AV178" s="126">
        <v>0</v>
      </c>
      <c r="AW178" s="135">
        <v>302716.32316526765</v>
      </c>
      <c r="AX178" s="136">
        <v>268231.23573144106</v>
      </c>
      <c r="AY178" s="136">
        <v>24930.074404486128</v>
      </c>
      <c r="AZ178" s="126">
        <v>0</v>
      </c>
      <c r="BA178" s="126">
        <v>0</v>
      </c>
      <c r="BB178" s="126">
        <v>0</v>
      </c>
      <c r="BC178" s="126">
        <v>0</v>
      </c>
      <c r="BD178" s="126">
        <v>1672.0602903722395</v>
      </c>
      <c r="BE178" s="126">
        <v>0</v>
      </c>
      <c r="BF178" s="126">
        <v>2190.9204489036129</v>
      </c>
      <c r="BG178" s="126">
        <v>1096.943082475221</v>
      </c>
      <c r="BH178" s="126">
        <v>4595.0892075893726</v>
      </c>
      <c r="BI178" s="137">
        <v>580691.26920220116</v>
      </c>
      <c r="BJ178" s="126">
        <v>4112.7570394098075</v>
      </c>
      <c r="BK178" s="126">
        <v>5852.2110163028374</v>
      </c>
      <c r="BL178" s="126">
        <v>6278.0098472796044</v>
      </c>
      <c r="BM178" s="126">
        <v>6221.6745100103535</v>
      </c>
      <c r="BN178" s="126">
        <v>104649.13616172987</v>
      </c>
      <c r="BO178" s="126">
        <v>60079.816451332721</v>
      </c>
      <c r="BP178" s="126">
        <v>49290.821133619982</v>
      </c>
      <c r="BQ178" s="126">
        <v>267430.30815391889</v>
      </c>
      <c r="BR178" s="126">
        <v>9980.3168270752958</v>
      </c>
      <c r="BS178" s="126">
        <v>11081.226235868624</v>
      </c>
      <c r="BT178" s="126">
        <v>55283.615396772744</v>
      </c>
      <c r="BU178" s="126">
        <v>0</v>
      </c>
      <c r="BV178" s="126">
        <v>431.3764288804341</v>
      </c>
      <c r="BW178" s="126">
        <v>66735.949154608286</v>
      </c>
      <c r="BX178" s="126">
        <v>236761.78355806711</v>
      </c>
      <c r="BY178" s="126">
        <v>208218.81107689621</v>
      </c>
      <c r="BZ178" s="126">
        <v>39639.44062101216</v>
      </c>
      <c r="CA178" s="137">
        <v>168983.3526674844</v>
      </c>
      <c r="CB178" s="126">
        <v>6012.5999999999995</v>
      </c>
      <c r="CC178" s="126">
        <v>161994.0814646878</v>
      </c>
      <c r="CD178" s="126">
        <v>0</v>
      </c>
      <c r="CE178" s="126">
        <v>0</v>
      </c>
      <c r="CF178" s="126">
        <v>976.67120279658457</v>
      </c>
      <c r="CG178" s="137">
        <v>58113.054019773706</v>
      </c>
      <c r="CH178" s="126">
        <v>14019.995999999999</v>
      </c>
      <c r="CI178" s="126">
        <v>44093.058019773707</v>
      </c>
      <c r="CJ178" s="120"/>
      <c r="CK178" s="138">
        <v>1966034.3926289275</v>
      </c>
      <c r="CL178" s="139">
        <v>42.093468831443388</v>
      </c>
      <c r="CM178" s="140">
        <v>2016264.96</v>
      </c>
      <c r="CN178" s="125">
        <v>2679.2400000000002</v>
      </c>
      <c r="CO178" s="125">
        <v>2679.2400000000002</v>
      </c>
      <c r="CP178" s="125">
        <v>0</v>
      </c>
      <c r="CQ178" s="125">
        <v>10441.08</v>
      </c>
      <c r="CR178" s="125">
        <v>5666.16</v>
      </c>
      <c r="CS178" s="125">
        <v>208005.24</v>
      </c>
      <c r="CT178" s="125">
        <v>0</v>
      </c>
      <c r="CU178" s="141">
        <v>886.55421686746979</v>
      </c>
      <c r="CV178" s="142">
        <v>51117.121587940026</v>
      </c>
      <c r="CW178" s="143">
        <v>2.5549180400606053E-2</v>
      </c>
      <c r="CX178" s="140">
        <v>1915224.1800000002</v>
      </c>
      <c r="CY178" s="140">
        <v>341203.91000000003</v>
      </c>
    </row>
    <row r="179" spans="1:103" ht="12" customHeight="1" x14ac:dyDescent="0.25">
      <c r="A179" s="122">
        <v>175</v>
      </c>
      <c r="B179" s="123" t="s">
        <v>225</v>
      </c>
      <c r="C179" s="124">
        <v>14729.300000000001</v>
      </c>
      <c r="D179" s="125">
        <v>13280.2</v>
      </c>
      <c r="E179" s="125">
        <v>1449.1</v>
      </c>
      <c r="F179" s="125">
        <v>2794.8</v>
      </c>
      <c r="G179" s="124">
        <v>14729.300000000001</v>
      </c>
      <c r="H179" s="124">
        <v>14729.300000000001</v>
      </c>
      <c r="I179" s="126">
        <v>4</v>
      </c>
      <c r="J179" s="126">
        <v>4</v>
      </c>
      <c r="K179" s="127">
        <v>1.7352795998675615E-2</v>
      </c>
      <c r="L179" s="127">
        <v>2.469815662499672E-2</v>
      </c>
      <c r="M179" s="127"/>
      <c r="N179" s="127"/>
      <c r="O179" s="128" t="s">
        <v>1488</v>
      </c>
      <c r="P179" s="129" t="s">
        <v>70</v>
      </c>
      <c r="Q179" s="130">
        <v>6.91</v>
      </c>
      <c r="R179" s="130">
        <v>3.15</v>
      </c>
      <c r="S179" s="130">
        <v>1.81</v>
      </c>
      <c r="T179" s="38">
        <v>0</v>
      </c>
      <c r="U179" s="131">
        <v>44.8</v>
      </c>
      <c r="V179" s="152">
        <v>4</v>
      </c>
      <c r="W179" s="132">
        <v>9.638554216867469E-3</v>
      </c>
      <c r="X179" s="133">
        <v>10331359.911479078</v>
      </c>
      <c r="Y179" s="134">
        <v>49101.24</v>
      </c>
      <c r="Z179" s="134">
        <v>39400.040636086094</v>
      </c>
      <c r="AA179" s="134">
        <v>9268.4901779667107</v>
      </c>
      <c r="AB179" s="134">
        <v>6391.0906650274201</v>
      </c>
      <c r="AC179" s="126">
        <v>0</v>
      </c>
      <c r="AD179" s="126">
        <v>0</v>
      </c>
      <c r="AE179" s="126">
        <v>0</v>
      </c>
      <c r="AF179" s="126">
        <v>0</v>
      </c>
      <c r="AG179" s="126">
        <v>0</v>
      </c>
      <c r="AH179" s="126">
        <v>0</v>
      </c>
      <c r="AI179" s="126">
        <v>0</v>
      </c>
      <c r="AJ179" s="126">
        <v>0</v>
      </c>
      <c r="AK179" s="126">
        <v>0</v>
      </c>
      <c r="AL179" s="126">
        <v>0</v>
      </c>
      <c r="AM179" s="126">
        <v>0</v>
      </c>
      <c r="AN179" s="126">
        <v>0</v>
      </c>
      <c r="AO179" s="126">
        <v>0</v>
      </c>
      <c r="AP179" s="126">
        <v>10035655.719999999</v>
      </c>
      <c r="AQ179" s="126">
        <v>191543.33</v>
      </c>
      <c r="AR179" s="126">
        <v>0</v>
      </c>
      <c r="AS179" s="126">
        <v>0</v>
      </c>
      <c r="AT179" s="126">
        <v>0</v>
      </c>
      <c r="AU179" s="126">
        <v>0</v>
      </c>
      <c r="AV179" s="126">
        <v>0</v>
      </c>
      <c r="AW179" s="135">
        <v>934293.43996546173</v>
      </c>
      <c r="AX179" s="136">
        <v>803791.10238284466</v>
      </c>
      <c r="AY179" s="136">
        <v>94343.185069111962</v>
      </c>
      <c r="AZ179" s="126">
        <v>0</v>
      </c>
      <c r="BA179" s="126">
        <v>0</v>
      </c>
      <c r="BB179" s="126">
        <v>0</v>
      </c>
      <c r="BC179" s="126">
        <v>0</v>
      </c>
      <c r="BD179" s="126">
        <v>6327.5981796875367</v>
      </c>
      <c r="BE179" s="126">
        <v>0</v>
      </c>
      <c r="BF179" s="126">
        <v>8291.127015064998</v>
      </c>
      <c r="BG179" s="126">
        <v>4151.1751052623904</v>
      </c>
      <c r="BH179" s="126">
        <v>17389.252213490097</v>
      </c>
      <c r="BI179" s="137">
        <v>2197517.0627048924</v>
      </c>
      <c r="BJ179" s="126">
        <v>15563.956698160138</v>
      </c>
      <c r="BK179" s="126">
        <v>22146.593628906376</v>
      </c>
      <c r="BL179" s="126">
        <v>23757.949345751884</v>
      </c>
      <c r="BM179" s="126">
        <v>23544.758840834365</v>
      </c>
      <c r="BN179" s="126">
        <v>396025.00417937618</v>
      </c>
      <c r="BO179" s="126">
        <v>227360.78322198632</v>
      </c>
      <c r="BP179" s="126">
        <v>186531.85646252218</v>
      </c>
      <c r="BQ179" s="126">
        <v>1012039.7815866394</v>
      </c>
      <c r="BR179" s="126">
        <v>37768.634870006725</v>
      </c>
      <c r="BS179" s="126">
        <v>41934.819792400122</v>
      </c>
      <c r="BT179" s="126">
        <v>209210.46098959071</v>
      </c>
      <c r="BU179" s="126">
        <v>0</v>
      </c>
      <c r="BV179" s="126">
        <v>1632.4630887180974</v>
      </c>
      <c r="BW179" s="126">
        <v>252549.66751014127</v>
      </c>
      <c r="BX179" s="126">
        <v>895980.50936792511</v>
      </c>
      <c r="BY179" s="126">
        <v>787964.98997865675</v>
      </c>
      <c r="BZ179" s="126">
        <v>150008.01930503943</v>
      </c>
      <c r="CA179" s="137">
        <v>768513.37004094478</v>
      </c>
      <c r="CB179" s="126">
        <v>26511.383999999998</v>
      </c>
      <c r="CC179" s="126">
        <v>738305.95727897168</v>
      </c>
      <c r="CD179" s="126">
        <v>0</v>
      </c>
      <c r="CE179" s="126">
        <v>0</v>
      </c>
      <c r="CF179" s="126">
        <v>3696.0287619731089</v>
      </c>
      <c r="CG179" s="137">
        <v>0</v>
      </c>
      <c r="CH179" s="126">
        <v>0</v>
      </c>
      <c r="CI179" s="126">
        <v>0</v>
      </c>
      <c r="CJ179" s="120"/>
      <c r="CK179" s="138">
        <v>16318186.970352139</v>
      </c>
      <c r="CL179" s="139">
        <v>92.322711479568724</v>
      </c>
      <c r="CM179" s="140">
        <v>6831392.2299999995</v>
      </c>
      <c r="CN179" s="125">
        <v>7257.48</v>
      </c>
      <c r="CO179" s="125">
        <v>7257.48</v>
      </c>
      <c r="CP179" s="125">
        <v>0</v>
      </c>
      <c r="CQ179" s="125">
        <v>28267.79</v>
      </c>
      <c r="CR179" s="125">
        <v>15349.449999999999</v>
      </c>
      <c r="CS179" s="125">
        <v>492487.08</v>
      </c>
      <c r="CT179" s="125">
        <v>626585.84425529535</v>
      </c>
      <c r="CU179" s="141">
        <v>3546.2168674698792</v>
      </c>
      <c r="CV179" s="142">
        <v>-8856662.679229375</v>
      </c>
      <c r="CW179" s="143">
        <v>0</v>
      </c>
      <c r="CX179" s="140">
        <v>6650610.9299999997</v>
      </c>
      <c r="CY179" s="140">
        <v>726631.59000000008</v>
      </c>
    </row>
    <row r="180" spans="1:103" ht="12" customHeight="1" x14ac:dyDescent="0.25">
      <c r="A180" s="122">
        <v>176</v>
      </c>
      <c r="B180" s="123" t="s">
        <v>226</v>
      </c>
      <c r="C180" s="124">
        <v>3877.2</v>
      </c>
      <c r="D180" s="125">
        <v>3847.2</v>
      </c>
      <c r="E180" s="125">
        <v>30</v>
      </c>
      <c r="F180" s="125">
        <v>583.86</v>
      </c>
      <c r="G180" s="124">
        <v>3877.2</v>
      </c>
      <c r="H180" s="124">
        <v>3877.2</v>
      </c>
      <c r="I180" s="126">
        <v>1</v>
      </c>
      <c r="J180" s="126">
        <v>1</v>
      </c>
      <c r="K180" s="127">
        <v>3.8074327058252367E-3</v>
      </c>
      <c r="L180" s="127">
        <v>5.419101873541516E-3</v>
      </c>
      <c r="M180" s="127"/>
      <c r="N180" s="127"/>
      <c r="O180" s="128" t="s">
        <v>1489</v>
      </c>
      <c r="P180" s="129" t="s">
        <v>70</v>
      </c>
      <c r="Q180" s="130">
        <v>6.91</v>
      </c>
      <c r="R180" s="130">
        <v>3.15</v>
      </c>
      <c r="S180" s="130">
        <v>1.81</v>
      </c>
      <c r="T180" s="38">
        <v>0</v>
      </c>
      <c r="U180" s="131">
        <v>44.8</v>
      </c>
      <c r="V180" s="144">
        <v>1</v>
      </c>
      <c r="W180" s="132">
        <v>2.4096385542168672E-3</v>
      </c>
      <c r="X180" s="133">
        <v>68071.617940003242</v>
      </c>
      <c r="Y180" s="134">
        <v>25427.48</v>
      </c>
      <c r="Z180" s="134">
        <v>10371.289711950532</v>
      </c>
      <c r="AA180" s="134">
        <v>2439.7486722391782</v>
      </c>
      <c r="AB180" s="134">
        <v>1682.3295558135358</v>
      </c>
      <c r="AC180" s="126">
        <v>0</v>
      </c>
      <c r="AD180" s="126">
        <v>28150.77</v>
      </c>
      <c r="AE180" s="126">
        <v>0</v>
      </c>
      <c r="AF180" s="126">
        <v>0</v>
      </c>
      <c r="AG180" s="126">
        <v>0</v>
      </c>
      <c r="AH180" s="126">
        <v>0</v>
      </c>
      <c r="AI180" s="126">
        <v>0</v>
      </c>
      <c r="AJ180" s="126">
        <v>0</v>
      </c>
      <c r="AK180" s="126">
        <v>0</v>
      </c>
      <c r="AL180" s="126">
        <v>0</v>
      </c>
      <c r="AM180" s="126">
        <v>0</v>
      </c>
      <c r="AN180" s="126">
        <v>0</v>
      </c>
      <c r="AO180" s="126">
        <v>0</v>
      </c>
      <c r="AP180" s="126">
        <v>0</v>
      </c>
      <c r="AQ180" s="126">
        <v>0</v>
      </c>
      <c r="AR180" s="126">
        <v>0</v>
      </c>
      <c r="AS180" s="126">
        <v>0</v>
      </c>
      <c r="AT180" s="126">
        <v>0</v>
      </c>
      <c r="AU180" s="126">
        <v>0</v>
      </c>
      <c r="AV180" s="126">
        <v>0</v>
      </c>
      <c r="AW180" s="135">
        <v>253439.13537049538</v>
      </c>
      <c r="AX180" s="136">
        <v>211582.27900570733</v>
      </c>
      <c r="AY180" s="136">
        <v>24833.997348819081</v>
      </c>
      <c r="AZ180" s="126">
        <v>0</v>
      </c>
      <c r="BA180" s="126">
        <v>7504.669684136401</v>
      </c>
      <c r="BB180" s="126">
        <v>0</v>
      </c>
      <c r="BC180" s="126">
        <v>0</v>
      </c>
      <c r="BD180" s="126">
        <v>1665.6164014776339</v>
      </c>
      <c r="BE180" s="126">
        <v>0</v>
      </c>
      <c r="BF180" s="126">
        <v>2182.4769447842064</v>
      </c>
      <c r="BG180" s="126">
        <v>1092.7156156859685</v>
      </c>
      <c r="BH180" s="126">
        <v>4577.3803698847732</v>
      </c>
      <c r="BI180" s="137">
        <v>578453.36543619912</v>
      </c>
      <c r="BJ180" s="126">
        <v>4096.9070431117898</v>
      </c>
      <c r="BK180" s="126">
        <v>5829.657405171718</v>
      </c>
      <c r="BL180" s="126">
        <v>6253.8152663975334</v>
      </c>
      <c r="BM180" s="126">
        <v>6197.6970377195785</v>
      </c>
      <c r="BN180" s="126">
        <v>104245.83287761653</v>
      </c>
      <c r="BO180" s="126">
        <v>59848.277155620788</v>
      </c>
      <c r="BP180" s="126">
        <v>49100.861132334256</v>
      </c>
      <c r="BQ180" s="126">
        <v>266399.66876686044</v>
      </c>
      <c r="BR180" s="126">
        <v>9941.8540676060693</v>
      </c>
      <c r="BS180" s="126">
        <v>11038.520723937576</v>
      </c>
      <c r="BT180" s="126">
        <v>55070.559995983582</v>
      </c>
      <c r="BU180" s="126">
        <v>0</v>
      </c>
      <c r="BV180" s="126">
        <v>429.71396383927322</v>
      </c>
      <c r="BW180" s="126">
        <v>66478.75804487108</v>
      </c>
      <c r="BX180" s="126">
        <v>235849.33641933554</v>
      </c>
      <c r="BY180" s="126">
        <v>207416.3646028832</v>
      </c>
      <c r="BZ180" s="126">
        <v>39486.675704174595</v>
      </c>
      <c r="CA180" s="137">
        <v>168979.58871187011</v>
      </c>
      <c r="CB180" s="126">
        <v>6012.5999999999995</v>
      </c>
      <c r="CC180" s="126">
        <v>161994.0814646878</v>
      </c>
      <c r="CD180" s="126">
        <v>0</v>
      </c>
      <c r="CE180" s="126">
        <v>0</v>
      </c>
      <c r="CF180" s="126">
        <v>972.90724718229217</v>
      </c>
      <c r="CG180" s="137">
        <v>0</v>
      </c>
      <c r="CH180" s="126">
        <v>0</v>
      </c>
      <c r="CI180" s="126">
        <v>0</v>
      </c>
      <c r="CJ180" s="120"/>
      <c r="CK180" s="138">
        <v>1618174.8422298322</v>
      </c>
      <c r="CL180" s="139">
        <v>34.77971307107002</v>
      </c>
      <c r="CM180" s="140">
        <v>1982846.88</v>
      </c>
      <c r="CN180" s="125">
        <v>1946.88</v>
      </c>
      <c r="CO180" s="125">
        <v>1946.88</v>
      </c>
      <c r="CP180" s="125">
        <v>0</v>
      </c>
      <c r="CQ180" s="125">
        <v>7585.4400000000005</v>
      </c>
      <c r="CR180" s="125">
        <v>4116.96</v>
      </c>
      <c r="CS180" s="125">
        <v>113399.63999999998</v>
      </c>
      <c r="CT180" s="125">
        <v>164936.46238087557</v>
      </c>
      <c r="CU180" s="141">
        <v>886.55421686746979</v>
      </c>
      <c r="CV180" s="142">
        <v>530495.05436791037</v>
      </c>
      <c r="CW180" s="143">
        <v>0.22536009598792961</v>
      </c>
      <c r="CX180" s="140">
        <v>1895384.0899999999</v>
      </c>
      <c r="CY180" s="140">
        <v>576195.5</v>
      </c>
    </row>
    <row r="181" spans="1:103" ht="12" customHeight="1" x14ac:dyDescent="0.25">
      <c r="A181" s="122">
        <v>177</v>
      </c>
      <c r="B181" s="123" t="s">
        <v>227</v>
      </c>
      <c r="C181" s="124">
        <v>3889</v>
      </c>
      <c r="D181" s="125">
        <v>3889</v>
      </c>
      <c r="E181" s="125">
        <v>0</v>
      </c>
      <c r="F181" s="125">
        <v>585.64</v>
      </c>
      <c r="G181" s="124">
        <v>3889</v>
      </c>
      <c r="H181" s="124">
        <v>3889</v>
      </c>
      <c r="I181" s="126">
        <v>1</v>
      </c>
      <c r="J181" s="126">
        <v>1</v>
      </c>
      <c r="K181" s="127">
        <v>3.8074327058252367E-3</v>
      </c>
      <c r="L181" s="127">
        <v>5.419101873541516E-3</v>
      </c>
      <c r="M181" s="127"/>
      <c r="N181" s="127"/>
      <c r="O181" s="128" t="s">
        <v>1489</v>
      </c>
      <c r="P181" s="129" t="s">
        <v>70</v>
      </c>
      <c r="Q181" s="130">
        <v>6.91</v>
      </c>
      <c r="R181" s="130">
        <v>3.15</v>
      </c>
      <c r="S181" s="130">
        <v>1.81</v>
      </c>
      <c r="T181" s="38">
        <v>0</v>
      </c>
      <c r="U181" s="131">
        <v>44.8</v>
      </c>
      <c r="V181" s="144">
        <v>1</v>
      </c>
      <c r="W181" s="132">
        <v>2.4096385542168672E-3</v>
      </c>
      <c r="X181" s="133">
        <v>300067.56754015078</v>
      </c>
      <c r="Y181" s="134">
        <v>16624.2</v>
      </c>
      <c r="Z181" s="134">
        <v>10402.854041518525</v>
      </c>
      <c r="AA181" s="134">
        <v>2447.1738848494178</v>
      </c>
      <c r="AB181" s="134">
        <v>1687.4496137828435</v>
      </c>
      <c r="AC181" s="126">
        <v>0</v>
      </c>
      <c r="AD181" s="126">
        <v>28150.77</v>
      </c>
      <c r="AE181" s="126">
        <v>0</v>
      </c>
      <c r="AF181" s="126">
        <v>0</v>
      </c>
      <c r="AG181" s="126">
        <v>0</v>
      </c>
      <c r="AH181" s="126">
        <v>0</v>
      </c>
      <c r="AI181" s="126">
        <v>0</v>
      </c>
      <c r="AJ181" s="126">
        <v>0</v>
      </c>
      <c r="AK181" s="126">
        <v>0</v>
      </c>
      <c r="AL181" s="126">
        <v>0</v>
      </c>
      <c r="AM181" s="126">
        <v>0</v>
      </c>
      <c r="AN181" s="126">
        <v>0</v>
      </c>
      <c r="AO181" s="126">
        <v>0</v>
      </c>
      <c r="AP181" s="126">
        <v>240755.12</v>
      </c>
      <c r="AQ181" s="126">
        <v>0</v>
      </c>
      <c r="AR181" s="126">
        <v>0</v>
      </c>
      <c r="AS181" s="126">
        <v>0</v>
      </c>
      <c r="AT181" s="126">
        <v>0</v>
      </c>
      <c r="AU181" s="126">
        <v>0</v>
      </c>
      <c r="AV181" s="126">
        <v>0</v>
      </c>
      <c r="AW181" s="135">
        <v>254210.46050135579</v>
      </c>
      <c r="AX181" s="136">
        <v>212226.21558165579</v>
      </c>
      <c r="AY181" s="136">
        <v>24909.577965943827</v>
      </c>
      <c r="AZ181" s="126">
        <v>0</v>
      </c>
      <c r="BA181" s="126">
        <v>7527.5096465507231</v>
      </c>
      <c r="BB181" s="126">
        <v>0</v>
      </c>
      <c r="BC181" s="126">
        <v>0</v>
      </c>
      <c r="BD181" s="126">
        <v>1670.6855940747237</v>
      </c>
      <c r="BE181" s="126">
        <v>0</v>
      </c>
      <c r="BF181" s="126">
        <v>2189.1191680248062</v>
      </c>
      <c r="BG181" s="126">
        <v>1096.0412228935138</v>
      </c>
      <c r="BH181" s="126">
        <v>4591.3113222123911</v>
      </c>
      <c r="BI181" s="137">
        <v>580213.84973212087</v>
      </c>
      <c r="BJ181" s="126">
        <v>4109.3757068662308</v>
      </c>
      <c r="BK181" s="126">
        <v>5847.3995792615324</v>
      </c>
      <c r="BL181" s="126">
        <v>6272.8483366914297</v>
      </c>
      <c r="BM181" s="126">
        <v>6216.5593159216551</v>
      </c>
      <c r="BN181" s="126">
        <v>104563.09812778569</v>
      </c>
      <c r="BO181" s="126">
        <v>60030.421401580847</v>
      </c>
      <c r="BP181" s="126">
        <v>49250.296333345694</v>
      </c>
      <c r="BQ181" s="126">
        <v>267210.4384180131</v>
      </c>
      <c r="BR181" s="126">
        <v>9972.1114383885288</v>
      </c>
      <c r="BS181" s="126">
        <v>11072.115726656668</v>
      </c>
      <c r="BT181" s="126">
        <v>55238.163577937725</v>
      </c>
      <c r="BU181" s="126">
        <v>0</v>
      </c>
      <c r="BV181" s="126">
        <v>431.02176967165315</v>
      </c>
      <c r="BW181" s="126">
        <v>66681.081717864348</v>
      </c>
      <c r="BX181" s="126">
        <v>236567.12816847104</v>
      </c>
      <c r="BY181" s="126">
        <v>208047.62249577345</v>
      </c>
      <c r="BZ181" s="126">
        <v>39606.850772086815</v>
      </c>
      <c r="CA181" s="137">
        <v>168982.54969028669</v>
      </c>
      <c r="CB181" s="126">
        <v>6012.5999999999995</v>
      </c>
      <c r="CC181" s="126">
        <v>161994.0814646878</v>
      </c>
      <c r="CD181" s="126">
        <v>0</v>
      </c>
      <c r="CE181" s="126">
        <v>0</v>
      </c>
      <c r="CF181" s="126">
        <v>975.86822559886889</v>
      </c>
      <c r="CG181" s="137">
        <v>0</v>
      </c>
      <c r="CH181" s="126">
        <v>0</v>
      </c>
      <c r="CI181" s="126">
        <v>0</v>
      </c>
      <c r="CJ181" s="120"/>
      <c r="CK181" s="138">
        <v>1854377.1106181098</v>
      </c>
      <c r="CL181" s="139">
        <v>39.735517069900354</v>
      </c>
      <c r="CM181" s="140">
        <v>2002454.6900000002</v>
      </c>
      <c r="CN181" s="125">
        <v>1965.8999999999999</v>
      </c>
      <c r="CO181" s="125">
        <v>1965.8999999999999</v>
      </c>
      <c r="CP181" s="125">
        <v>0</v>
      </c>
      <c r="CQ181" s="125">
        <v>7662.93</v>
      </c>
      <c r="CR181" s="125">
        <v>4158.83</v>
      </c>
      <c r="CS181" s="125">
        <v>114559.59</v>
      </c>
      <c r="CT181" s="125">
        <v>0</v>
      </c>
      <c r="CU181" s="141">
        <v>886.55421686746979</v>
      </c>
      <c r="CV181" s="142">
        <v>148964.13359875791</v>
      </c>
      <c r="CW181" s="143">
        <v>7.9853002139641527E-2</v>
      </c>
      <c r="CX181" s="140">
        <v>1959647.48</v>
      </c>
      <c r="CY181" s="140">
        <v>373602.75999999995</v>
      </c>
    </row>
    <row r="182" spans="1:103" ht="12" customHeight="1" x14ac:dyDescent="0.25">
      <c r="A182" s="122">
        <v>178</v>
      </c>
      <c r="B182" s="146" t="s">
        <v>228</v>
      </c>
      <c r="C182" s="124">
        <v>3895.5</v>
      </c>
      <c r="D182" s="125">
        <v>3895.5</v>
      </c>
      <c r="E182" s="125">
        <v>0</v>
      </c>
      <c r="F182" s="125">
        <v>771.6</v>
      </c>
      <c r="G182" s="124">
        <v>3895.5</v>
      </c>
      <c r="H182" s="124">
        <v>3895.5</v>
      </c>
      <c r="I182" s="126">
        <v>1</v>
      </c>
      <c r="J182" s="126">
        <v>1</v>
      </c>
      <c r="K182" s="127">
        <v>3.8074327058252367E-3</v>
      </c>
      <c r="L182" s="127">
        <v>5.419101873541516E-3</v>
      </c>
      <c r="M182" s="127"/>
      <c r="N182" s="127"/>
      <c r="O182" s="128" t="s">
        <v>1489</v>
      </c>
      <c r="P182" s="129" t="s">
        <v>70</v>
      </c>
      <c r="Q182" s="130">
        <v>6.91</v>
      </c>
      <c r="R182" s="130">
        <v>3.15</v>
      </c>
      <c r="S182" s="130">
        <v>1.81</v>
      </c>
      <c r="T182" s="38">
        <v>0</v>
      </c>
      <c r="U182" s="131">
        <v>44.8</v>
      </c>
      <c r="V182" s="131">
        <v>1</v>
      </c>
      <c r="W182" s="132">
        <v>2.4096385542168672E-3</v>
      </c>
      <c r="X182" s="133">
        <v>231048.17520124902</v>
      </c>
      <c r="Y182" s="134">
        <v>13983.53</v>
      </c>
      <c r="Z182" s="134">
        <v>10420.241172212756</v>
      </c>
      <c r="AA182" s="134">
        <v>2451.2640443381097</v>
      </c>
      <c r="AB182" s="134">
        <v>1690.26998469814</v>
      </c>
      <c r="AC182" s="126">
        <v>171057.82</v>
      </c>
      <c r="AD182" s="126">
        <v>0</v>
      </c>
      <c r="AE182" s="126">
        <v>0</v>
      </c>
      <c r="AF182" s="126">
        <v>0</v>
      </c>
      <c r="AG182" s="126">
        <v>0</v>
      </c>
      <c r="AH182" s="126">
        <v>0</v>
      </c>
      <c r="AI182" s="126">
        <v>0</v>
      </c>
      <c r="AJ182" s="126">
        <v>0</v>
      </c>
      <c r="AK182" s="126">
        <v>0</v>
      </c>
      <c r="AL182" s="126">
        <v>0</v>
      </c>
      <c r="AM182" s="126">
        <v>0</v>
      </c>
      <c r="AN182" s="126">
        <v>31445.05</v>
      </c>
      <c r="AO182" s="126">
        <v>0</v>
      </c>
      <c r="AP182" s="126">
        <v>0</v>
      </c>
      <c r="AQ182" s="126">
        <v>0</v>
      </c>
      <c r="AR182" s="126">
        <v>0</v>
      </c>
      <c r="AS182" s="126">
        <v>0</v>
      </c>
      <c r="AT182" s="126">
        <v>0</v>
      </c>
      <c r="AU182" s="126">
        <v>0</v>
      </c>
      <c r="AV182" s="126">
        <v>0</v>
      </c>
      <c r="AW182" s="135">
        <v>254635.34298869412</v>
      </c>
      <c r="AX182" s="136">
        <v>212580.92640739013</v>
      </c>
      <c r="AY182" s="136">
        <v>24951.211356732882</v>
      </c>
      <c r="AZ182" s="126">
        <v>0</v>
      </c>
      <c r="BA182" s="126">
        <v>7540.0909817789516</v>
      </c>
      <c r="BB182" s="126">
        <v>0</v>
      </c>
      <c r="BC182" s="126">
        <v>0</v>
      </c>
      <c r="BD182" s="126">
        <v>1673.4779459290528</v>
      </c>
      <c r="BE182" s="126">
        <v>0</v>
      </c>
      <c r="BF182" s="126">
        <v>2192.7780198098826</v>
      </c>
      <c r="BG182" s="126">
        <v>1097.8731251688566</v>
      </c>
      <c r="BH182" s="126">
        <v>4598.9851518843843</v>
      </c>
      <c r="BI182" s="137">
        <v>581183.60803072166</v>
      </c>
      <c r="BJ182" s="126">
        <v>4116.2440385953723</v>
      </c>
      <c r="BK182" s="126">
        <v>5857.1728107516847</v>
      </c>
      <c r="BL182" s="126">
        <v>6283.3326550736601</v>
      </c>
      <c r="BM182" s="126">
        <v>6226.9495539143245</v>
      </c>
      <c r="BN182" s="126">
        <v>104737.86288423481</v>
      </c>
      <c r="BO182" s="126">
        <v>60130.755096389352</v>
      </c>
      <c r="BP182" s="126">
        <v>49332.612333902842</v>
      </c>
      <c r="BQ182" s="126">
        <v>267657.04881907173</v>
      </c>
      <c r="BR182" s="126">
        <v>9988.778634158527</v>
      </c>
      <c r="BS182" s="126">
        <v>11090.621448493455</v>
      </c>
      <c r="BT182" s="126">
        <v>55330.487584946364</v>
      </c>
      <c r="BU182" s="126">
        <v>0</v>
      </c>
      <c r="BV182" s="126">
        <v>431.74217118948951</v>
      </c>
      <c r="BW182" s="126">
        <v>66792.531198750468</v>
      </c>
      <c r="BX182" s="126">
        <v>236962.52192858807</v>
      </c>
      <c r="BY182" s="126">
        <v>208395.34930117909</v>
      </c>
      <c r="BZ182" s="126">
        <v>39673.048902716429</v>
      </c>
      <c r="CA182" s="137">
        <v>168984.18073771952</v>
      </c>
      <c r="CB182" s="126">
        <v>6012.5999999999995</v>
      </c>
      <c r="CC182" s="126">
        <v>161994.0814646878</v>
      </c>
      <c r="CD182" s="126">
        <v>0</v>
      </c>
      <c r="CE182" s="126">
        <v>0</v>
      </c>
      <c r="CF182" s="126">
        <v>977.49927303172888</v>
      </c>
      <c r="CG182" s="137">
        <v>0</v>
      </c>
      <c r="CH182" s="126">
        <v>0</v>
      </c>
      <c r="CI182" s="126">
        <v>0</v>
      </c>
      <c r="CJ182" s="120"/>
      <c r="CK182" s="138">
        <v>1787674.7582896189</v>
      </c>
      <c r="CL182" s="139">
        <v>38.242304331699373</v>
      </c>
      <c r="CM182" s="147">
        <v>1993255.2608100786</v>
      </c>
      <c r="CN182" s="148">
        <v>2592.6627878623681</v>
      </c>
      <c r="CO182" s="148">
        <v>2592.6627878623681</v>
      </c>
      <c r="CP182" s="148">
        <v>0</v>
      </c>
      <c r="CQ182" s="148">
        <v>10103.241668924411</v>
      </c>
      <c r="CR182" s="148">
        <v>5483.4624221078302</v>
      </c>
      <c r="CS182" s="148">
        <v>150242.37031969655</v>
      </c>
      <c r="CT182" s="125">
        <v>0</v>
      </c>
      <c r="CU182" s="141">
        <v>886.55421686746979</v>
      </c>
      <c r="CV182" s="142">
        <v>206467.05673732725</v>
      </c>
      <c r="CW182" s="143">
        <v>0.11499882826401353</v>
      </c>
      <c r="CX182" s="147">
        <v>2020065.9964643726</v>
      </c>
      <c r="CY182" s="147">
        <v>235807.16778650772</v>
      </c>
    </row>
    <row r="183" spans="1:103" ht="12" customHeight="1" x14ac:dyDescent="0.25">
      <c r="A183" s="122">
        <v>179</v>
      </c>
      <c r="B183" s="146" t="s">
        <v>229</v>
      </c>
      <c r="C183" s="124">
        <v>3855.6</v>
      </c>
      <c r="D183" s="125">
        <v>3855.6</v>
      </c>
      <c r="E183" s="125">
        <v>0</v>
      </c>
      <c r="F183" s="125">
        <v>763.7</v>
      </c>
      <c r="G183" s="124">
        <v>3855.6</v>
      </c>
      <c r="H183" s="124">
        <v>3855.6</v>
      </c>
      <c r="I183" s="126">
        <v>1</v>
      </c>
      <c r="J183" s="126">
        <v>1</v>
      </c>
      <c r="K183" s="127">
        <v>3.9298600845125943E-3</v>
      </c>
      <c r="L183" s="127">
        <v>5.5933522118869284E-3</v>
      </c>
      <c r="M183" s="127"/>
      <c r="N183" s="127"/>
      <c r="O183" s="128" t="s">
        <v>1489</v>
      </c>
      <c r="P183" s="129" t="s">
        <v>70</v>
      </c>
      <c r="Q183" s="130">
        <v>6.91</v>
      </c>
      <c r="R183" s="130">
        <v>3.15</v>
      </c>
      <c r="S183" s="130">
        <v>1.81</v>
      </c>
      <c r="T183" s="38">
        <v>0</v>
      </c>
      <c r="U183" s="131">
        <v>44.8</v>
      </c>
      <c r="V183" s="131">
        <v>1</v>
      </c>
      <c r="W183" s="132">
        <v>2.4096385542168672E-3</v>
      </c>
      <c r="X183" s="133">
        <v>82560.694943123002</v>
      </c>
      <c r="Y183" s="134">
        <v>13571</v>
      </c>
      <c r="Z183" s="134">
        <v>10313.510939182006</v>
      </c>
      <c r="AA183" s="134">
        <v>2426.1567576306034</v>
      </c>
      <c r="AB183" s="134">
        <v>1672.9572463103962</v>
      </c>
      <c r="AC183" s="126">
        <v>34757.35</v>
      </c>
      <c r="AD183" s="126">
        <v>0</v>
      </c>
      <c r="AE183" s="126">
        <v>0</v>
      </c>
      <c r="AF183" s="126">
        <v>0</v>
      </c>
      <c r="AG183" s="126">
        <v>0</v>
      </c>
      <c r="AH183" s="126">
        <v>0</v>
      </c>
      <c r="AI183" s="126">
        <v>0</v>
      </c>
      <c r="AJ183" s="126">
        <v>0</v>
      </c>
      <c r="AK183" s="126">
        <v>0</v>
      </c>
      <c r="AL183" s="126">
        <v>0</v>
      </c>
      <c r="AM183" s="126">
        <v>0</v>
      </c>
      <c r="AN183" s="126">
        <v>19819.72</v>
      </c>
      <c r="AO183" s="126">
        <v>0</v>
      </c>
      <c r="AP183" s="126">
        <v>0</v>
      </c>
      <c r="AQ183" s="126">
        <v>0</v>
      </c>
      <c r="AR183" s="126">
        <v>0</v>
      </c>
      <c r="AS183" s="126">
        <v>0</v>
      </c>
      <c r="AT183" s="126">
        <v>0</v>
      </c>
      <c r="AU183" s="126">
        <v>0</v>
      </c>
      <c r="AV183" s="126">
        <v>0</v>
      </c>
      <c r="AW183" s="135">
        <v>252027.21818180184</v>
      </c>
      <c r="AX183" s="136">
        <v>210403.54764634406</v>
      </c>
      <c r="AY183" s="136">
        <v>24695.646388658526</v>
      </c>
      <c r="AZ183" s="126">
        <v>0</v>
      </c>
      <c r="BA183" s="126">
        <v>7462.8609393779807</v>
      </c>
      <c r="BB183" s="126">
        <v>0</v>
      </c>
      <c r="BC183" s="126">
        <v>0</v>
      </c>
      <c r="BD183" s="126">
        <v>1656.3372014694021</v>
      </c>
      <c r="BE183" s="126">
        <v>0</v>
      </c>
      <c r="BF183" s="126">
        <v>2170.3182988522608</v>
      </c>
      <c r="BG183" s="126">
        <v>1086.6280635094452</v>
      </c>
      <c r="BH183" s="126">
        <v>4551.8796435901504</v>
      </c>
      <c r="BI183" s="137">
        <v>575230.7840131562</v>
      </c>
      <c r="BJ183" s="126">
        <v>4074.0830484426428</v>
      </c>
      <c r="BK183" s="126">
        <v>5797.1802051429067</v>
      </c>
      <c r="BL183" s="126">
        <v>6218.9750699273527</v>
      </c>
      <c r="BM183" s="126">
        <v>6163.1694776208624</v>
      </c>
      <c r="BN183" s="126">
        <v>103665.07614849332</v>
      </c>
      <c r="BO183" s="126">
        <v>59514.860569795601</v>
      </c>
      <c r="BP183" s="126">
        <v>48827.31873048281</v>
      </c>
      <c r="BQ183" s="126">
        <v>264915.54804949631</v>
      </c>
      <c r="BR183" s="126">
        <v>9886.4676939703804</v>
      </c>
      <c r="BS183" s="126">
        <v>10977.024786756865</v>
      </c>
      <c r="BT183" s="126">
        <v>54763.760218847186</v>
      </c>
      <c r="BU183" s="126">
        <v>0</v>
      </c>
      <c r="BV183" s="126">
        <v>427.32001418000152</v>
      </c>
      <c r="BW183" s="126">
        <v>66108.402846849523</v>
      </c>
      <c r="BX183" s="126">
        <v>234535.41253956209</v>
      </c>
      <c r="BY183" s="126">
        <v>206260.84168030447</v>
      </c>
      <c r="BZ183" s="126">
        <v>39266.694223928498</v>
      </c>
      <c r="CA183" s="137">
        <v>174183.06192760821</v>
      </c>
      <c r="CB183" s="126">
        <v>6012.5999999999995</v>
      </c>
      <c r="CC183" s="126">
        <v>167202.9747765105</v>
      </c>
      <c r="CD183" s="126">
        <v>0</v>
      </c>
      <c r="CE183" s="126">
        <v>0</v>
      </c>
      <c r="CF183" s="126">
        <v>967.48715109771115</v>
      </c>
      <c r="CG183" s="137">
        <v>0</v>
      </c>
      <c r="CH183" s="126">
        <v>0</v>
      </c>
      <c r="CI183" s="126">
        <v>0</v>
      </c>
      <c r="CJ183" s="120"/>
      <c r="CK183" s="138">
        <v>1630173.1103563337</v>
      </c>
      <c r="CL183" s="139">
        <v>35.233882974468607</v>
      </c>
      <c r="CM183" s="147">
        <v>1972839.1691899213</v>
      </c>
      <c r="CN183" s="148">
        <v>2566.1072121376319</v>
      </c>
      <c r="CO183" s="148">
        <v>2566.1072121376319</v>
      </c>
      <c r="CP183" s="148">
        <v>0</v>
      </c>
      <c r="CQ183" s="148">
        <v>9999.758331075589</v>
      </c>
      <c r="CR183" s="148">
        <v>5427.29757789217</v>
      </c>
      <c r="CS183" s="148">
        <v>148703.49968030342</v>
      </c>
      <c r="CT183" s="125">
        <v>0</v>
      </c>
      <c r="CU183" s="141">
        <v>886.55421686746979</v>
      </c>
      <c r="CV183" s="142">
        <v>343552.61305045523</v>
      </c>
      <c r="CW183" s="143">
        <v>0.21020225193058528</v>
      </c>
      <c r="CX183" s="147">
        <v>1999375.293535627</v>
      </c>
      <c r="CY183" s="147">
        <v>233391.89221349228</v>
      </c>
    </row>
    <row r="184" spans="1:103" ht="12" customHeight="1" x14ac:dyDescent="0.25">
      <c r="A184" s="122">
        <v>180</v>
      </c>
      <c r="B184" s="146" t="s">
        <v>230</v>
      </c>
      <c r="C184" s="124">
        <v>3865.05</v>
      </c>
      <c r="D184" s="125">
        <v>3865.05</v>
      </c>
      <c r="E184" s="125">
        <v>0</v>
      </c>
      <c r="F184" s="125">
        <v>719.61</v>
      </c>
      <c r="G184" s="124">
        <v>3865.05</v>
      </c>
      <c r="H184" s="124">
        <v>3865.05</v>
      </c>
      <c r="I184" s="126">
        <v>1</v>
      </c>
      <c r="J184" s="126">
        <v>1</v>
      </c>
      <c r="K184" s="127">
        <v>3.8074327058252367E-3</v>
      </c>
      <c r="L184" s="127">
        <v>5.419101873541516E-3</v>
      </c>
      <c r="M184" s="127"/>
      <c r="N184" s="127"/>
      <c r="O184" s="128" t="s">
        <v>1489</v>
      </c>
      <c r="P184" s="129" t="s">
        <v>70</v>
      </c>
      <c r="Q184" s="130">
        <v>6.91</v>
      </c>
      <c r="R184" s="130">
        <v>3.15</v>
      </c>
      <c r="S184" s="130">
        <v>1.81</v>
      </c>
      <c r="T184" s="38">
        <v>0</v>
      </c>
      <c r="U184" s="131">
        <v>44.8</v>
      </c>
      <c r="V184" s="131">
        <v>1</v>
      </c>
      <c r="W184" s="132">
        <v>2.4096385542168672E-3</v>
      </c>
      <c r="X184" s="133">
        <v>22479.740004258114</v>
      </c>
      <c r="Y184" s="134">
        <v>8031.79</v>
      </c>
      <c r="Z184" s="134">
        <v>10338.789152268237</v>
      </c>
      <c r="AA184" s="134">
        <v>2432.1032202718548</v>
      </c>
      <c r="AB184" s="134">
        <v>1677.0576317180198</v>
      </c>
      <c r="AC184" s="126">
        <v>0</v>
      </c>
      <c r="AD184" s="126">
        <v>0</v>
      </c>
      <c r="AE184" s="126">
        <v>0</v>
      </c>
      <c r="AF184" s="126">
        <v>0</v>
      </c>
      <c r="AG184" s="126">
        <v>0</v>
      </c>
      <c r="AH184" s="126">
        <v>0</v>
      </c>
      <c r="AI184" s="126">
        <v>0</v>
      </c>
      <c r="AJ184" s="126">
        <v>0</v>
      </c>
      <c r="AK184" s="126">
        <v>0</v>
      </c>
      <c r="AL184" s="126">
        <v>0</v>
      </c>
      <c r="AM184" s="126">
        <v>0</v>
      </c>
      <c r="AN184" s="126">
        <v>0</v>
      </c>
      <c r="AO184" s="126">
        <v>0</v>
      </c>
      <c r="AP184" s="126">
        <v>0</v>
      </c>
      <c r="AQ184" s="126">
        <v>0</v>
      </c>
      <c r="AR184" s="126">
        <v>0</v>
      </c>
      <c r="AS184" s="126">
        <v>0</v>
      </c>
      <c r="AT184" s="126">
        <v>0</v>
      </c>
      <c r="AU184" s="126">
        <v>0</v>
      </c>
      <c r="AV184" s="126">
        <v>0</v>
      </c>
      <c r="AW184" s="135">
        <v>252644.93195185525</v>
      </c>
      <c r="AX184" s="136">
        <v>210919.24261606552</v>
      </c>
      <c r="AY184" s="136">
        <v>24756.174933728773</v>
      </c>
      <c r="AZ184" s="126">
        <v>0</v>
      </c>
      <c r="BA184" s="126">
        <v>7481.1522652097901</v>
      </c>
      <c r="BB184" s="126">
        <v>0</v>
      </c>
      <c r="BC184" s="126">
        <v>0</v>
      </c>
      <c r="BD184" s="126">
        <v>1660.3968514730036</v>
      </c>
      <c r="BE184" s="126">
        <v>0</v>
      </c>
      <c r="BF184" s="126">
        <v>2175.6377064474873</v>
      </c>
      <c r="BG184" s="126">
        <v>1089.2913675866741</v>
      </c>
      <c r="BH184" s="126">
        <v>4563.0362113440488</v>
      </c>
      <c r="BI184" s="137">
        <v>576640.66338573757</v>
      </c>
      <c r="BJ184" s="126">
        <v>4084.0685461103949</v>
      </c>
      <c r="BK184" s="126">
        <v>5811.3889801555124</v>
      </c>
      <c r="BL184" s="126">
        <v>6234.217655883057</v>
      </c>
      <c r="BM184" s="126">
        <v>6178.2752851640507</v>
      </c>
      <c r="BN184" s="126">
        <v>103919.15721748474</v>
      </c>
      <c r="BO184" s="126">
        <v>59660.730326094126</v>
      </c>
      <c r="BP184" s="126">
        <v>48946.993531292821</v>
      </c>
      <c r="BQ184" s="126">
        <v>265564.85086334316</v>
      </c>
      <c r="BR184" s="126">
        <v>9910.6992324359944</v>
      </c>
      <c r="BS184" s="126">
        <v>11003.929259273427</v>
      </c>
      <c r="BT184" s="126">
        <v>54897.985121344362</v>
      </c>
      <c r="BU184" s="126">
        <v>0</v>
      </c>
      <c r="BV184" s="126">
        <v>428.36736715593293</v>
      </c>
      <c r="BW184" s="126">
        <v>66270.433245983964</v>
      </c>
      <c r="BX184" s="126">
        <v>235110.254236963</v>
      </c>
      <c r="BY184" s="126">
        <v>206766.38295893266</v>
      </c>
      <c r="BZ184" s="126">
        <v>39362.936121536164</v>
      </c>
      <c r="CA184" s="137">
        <v>168976.53990782253</v>
      </c>
      <c r="CB184" s="126">
        <v>6012.5999999999995</v>
      </c>
      <c r="CC184" s="126">
        <v>161994.0814646878</v>
      </c>
      <c r="CD184" s="126">
        <v>0</v>
      </c>
      <c r="CE184" s="126">
        <v>0</v>
      </c>
      <c r="CF184" s="126">
        <v>969.85844313471546</v>
      </c>
      <c r="CG184" s="137">
        <v>0</v>
      </c>
      <c r="CH184" s="126">
        <v>0</v>
      </c>
      <c r="CI184" s="126">
        <v>0</v>
      </c>
      <c r="CJ184" s="120"/>
      <c r="CK184" s="138">
        <v>1568251.8818130894</v>
      </c>
      <c r="CL184" s="139">
        <v>33.812669129185245</v>
      </c>
      <c r="CM184" s="147">
        <v>1992064.7951970615</v>
      </c>
      <c r="CN184" s="148">
        <v>2417.8104839221737</v>
      </c>
      <c r="CO184" s="148">
        <v>2417.8104839221737</v>
      </c>
      <c r="CP184" s="148">
        <v>0</v>
      </c>
      <c r="CQ184" s="148">
        <v>9422.0394543970251</v>
      </c>
      <c r="CR184" s="148">
        <v>5114.2727847067899</v>
      </c>
      <c r="CS184" s="148">
        <v>140863.74972969297</v>
      </c>
      <c r="CT184" s="125">
        <v>0</v>
      </c>
      <c r="CU184" s="141">
        <v>886.55421686746979</v>
      </c>
      <c r="CV184" s="142">
        <v>424699.46760083968</v>
      </c>
      <c r="CW184" s="143">
        <v>0.27024543588877648</v>
      </c>
      <c r="CX184" s="147">
        <v>1925514.3953485419</v>
      </c>
      <c r="CY184" s="147">
        <v>397745.97666424786</v>
      </c>
    </row>
    <row r="185" spans="1:103" ht="12" customHeight="1" x14ac:dyDescent="0.25">
      <c r="A185" s="122">
        <v>181</v>
      </c>
      <c r="B185" s="146" t="s">
        <v>231</v>
      </c>
      <c r="C185" s="124">
        <v>3852.1</v>
      </c>
      <c r="D185" s="125">
        <v>3852.1</v>
      </c>
      <c r="E185" s="125">
        <v>0</v>
      </c>
      <c r="F185" s="125">
        <v>717.19</v>
      </c>
      <c r="G185" s="124">
        <v>3852.1</v>
      </c>
      <c r="H185" s="124">
        <v>3852.1</v>
      </c>
      <c r="I185" s="126">
        <v>1</v>
      </c>
      <c r="J185" s="126">
        <v>1</v>
      </c>
      <c r="K185" s="127">
        <v>3.8074327058252367E-3</v>
      </c>
      <c r="L185" s="127">
        <v>5.419101873541516E-3</v>
      </c>
      <c r="M185" s="127"/>
      <c r="N185" s="127"/>
      <c r="O185" s="128" t="s">
        <v>1489</v>
      </c>
      <c r="P185" s="129" t="s">
        <v>70</v>
      </c>
      <c r="Q185" s="130">
        <v>6.91</v>
      </c>
      <c r="R185" s="130">
        <v>3.15</v>
      </c>
      <c r="S185" s="130">
        <v>1.81</v>
      </c>
      <c r="T185" s="38">
        <v>0</v>
      </c>
      <c r="U185" s="131">
        <v>44.8</v>
      </c>
      <c r="V185" s="131">
        <v>1</v>
      </c>
      <c r="W185" s="132">
        <v>2.4096385542168672E-3</v>
      </c>
      <c r="X185" s="133">
        <v>20437.551587147038</v>
      </c>
      <c r="Y185" s="134">
        <v>6038.01</v>
      </c>
      <c r="Z185" s="134">
        <v>10304.148638038958</v>
      </c>
      <c r="AA185" s="134">
        <v>2423.9543640597694</v>
      </c>
      <c r="AB185" s="134">
        <v>1671.4385850483134</v>
      </c>
      <c r="AC185" s="126">
        <v>0</v>
      </c>
      <c r="AD185" s="126">
        <v>0</v>
      </c>
      <c r="AE185" s="126">
        <v>0</v>
      </c>
      <c r="AF185" s="126">
        <v>0</v>
      </c>
      <c r="AG185" s="126">
        <v>0</v>
      </c>
      <c r="AH185" s="126">
        <v>0</v>
      </c>
      <c r="AI185" s="126">
        <v>0</v>
      </c>
      <c r="AJ185" s="126">
        <v>0</v>
      </c>
      <c r="AK185" s="126">
        <v>0</v>
      </c>
      <c r="AL185" s="126">
        <v>0</v>
      </c>
      <c r="AM185" s="126">
        <v>0</v>
      </c>
      <c r="AN185" s="126">
        <v>0</v>
      </c>
      <c r="AO185" s="126">
        <v>0</v>
      </c>
      <c r="AP185" s="126">
        <v>0</v>
      </c>
      <c r="AQ185" s="126">
        <v>0</v>
      </c>
      <c r="AR185" s="126">
        <v>0</v>
      </c>
      <c r="AS185" s="126">
        <v>0</v>
      </c>
      <c r="AT185" s="126">
        <v>0</v>
      </c>
      <c r="AU185" s="126">
        <v>0</v>
      </c>
      <c r="AV185" s="126">
        <v>0</v>
      </c>
      <c r="AW185" s="135">
        <v>251798.43530400426</v>
      </c>
      <c r="AX185" s="136">
        <v>210212.54950941019</v>
      </c>
      <c r="AY185" s="136">
        <v>24673.228409002884</v>
      </c>
      <c r="AZ185" s="126">
        <v>0</v>
      </c>
      <c r="BA185" s="126">
        <v>7456.0863742550882</v>
      </c>
      <c r="BB185" s="126">
        <v>0</v>
      </c>
      <c r="BC185" s="126">
        <v>0</v>
      </c>
      <c r="BD185" s="126">
        <v>1654.833627393994</v>
      </c>
      <c r="BE185" s="126">
        <v>0</v>
      </c>
      <c r="BF185" s="126">
        <v>2168.3481478910662</v>
      </c>
      <c r="BG185" s="126">
        <v>1085.6416545919528</v>
      </c>
      <c r="BH185" s="126">
        <v>4547.747581459078</v>
      </c>
      <c r="BI185" s="137">
        <v>574708.60646775586</v>
      </c>
      <c r="BJ185" s="126">
        <v>4070.3847159731054</v>
      </c>
      <c r="BK185" s="126">
        <v>5791.9176958789785</v>
      </c>
      <c r="BL185" s="126">
        <v>6213.3296677215367</v>
      </c>
      <c r="BM185" s="126">
        <v>6157.5747340863481</v>
      </c>
      <c r="BN185" s="126">
        <v>103570.97204886687</v>
      </c>
      <c r="BO185" s="126">
        <v>59460.834734129487</v>
      </c>
      <c r="BP185" s="126">
        <v>48782.994730182807</v>
      </c>
      <c r="BQ185" s="126">
        <v>264675.06552584935</v>
      </c>
      <c r="BR185" s="126">
        <v>9877.4930500942264</v>
      </c>
      <c r="BS185" s="126">
        <v>10967.060167306287</v>
      </c>
      <c r="BT185" s="126">
        <v>54714.047291996379</v>
      </c>
      <c r="BU185" s="126">
        <v>0</v>
      </c>
      <c r="BV185" s="126">
        <v>426.93210567039728</v>
      </c>
      <c r="BW185" s="126">
        <v>66048.391587910839</v>
      </c>
      <c r="BX185" s="126">
        <v>234322.50820719139</v>
      </c>
      <c r="BY185" s="126">
        <v>206073.60416970143</v>
      </c>
      <c r="BZ185" s="126">
        <v>39231.049076666393</v>
      </c>
      <c r="CA185" s="137">
        <v>168973.2903594755</v>
      </c>
      <c r="CB185" s="126">
        <v>6012.5999999999995</v>
      </c>
      <c r="CC185" s="126">
        <v>161994.0814646878</v>
      </c>
      <c r="CD185" s="126">
        <v>0</v>
      </c>
      <c r="CE185" s="126">
        <v>0</v>
      </c>
      <c r="CF185" s="126">
        <v>966.60889478770957</v>
      </c>
      <c r="CG185" s="137">
        <v>0</v>
      </c>
      <c r="CH185" s="126">
        <v>0</v>
      </c>
      <c r="CI185" s="126">
        <v>0</v>
      </c>
      <c r="CJ185" s="120"/>
      <c r="CK185" s="138">
        <v>1561593.4367598526</v>
      </c>
      <c r="CL185" s="139">
        <v>33.782297031918795</v>
      </c>
      <c r="CM185" s="147">
        <v>1985390.3048029391</v>
      </c>
      <c r="CN185" s="148">
        <v>2409.7095160778267</v>
      </c>
      <c r="CO185" s="148">
        <v>2409.7095160778267</v>
      </c>
      <c r="CP185" s="148">
        <v>0</v>
      </c>
      <c r="CQ185" s="148">
        <v>9390.4705456029733</v>
      </c>
      <c r="CR185" s="148">
        <v>5097.1372152932108</v>
      </c>
      <c r="CS185" s="148">
        <v>140391.78027030706</v>
      </c>
      <c r="CT185" s="125">
        <v>0</v>
      </c>
      <c r="CU185" s="141">
        <v>886.55421686746979</v>
      </c>
      <c r="CV185" s="142">
        <v>424683.42225995404</v>
      </c>
      <c r="CW185" s="143">
        <v>0.27138745467733383</v>
      </c>
      <c r="CX185" s="147">
        <v>1919062.8846514579</v>
      </c>
      <c r="CY185" s="147">
        <v>396413.31333575223</v>
      </c>
    </row>
    <row r="186" spans="1:103" ht="12" customHeight="1" x14ac:dyDescent="0.25">
      <c r="A186" s="122">
        <v>181</v>
      </c>
      <c r="B186" s="123" t="s">
        <v>232</v>
      </c>
      <c r="C186" s="124">
        <v>16826.7</v>
      </c>
      <c r="D186" s="125">
        <v>16826.7</v>
      </c>
      <c r="E186" s="125">
        <v>0</v>
      </c>
      <c r="F186" s="125">
        <v>4544.6000000000004</v>
      </c>
      <c r="G186" s="124">
        <v>16826.7</v>
      </c>
      <c r="H186" s="124">
        <v>16826.7</v>
      </c>
      <c r="I186" s="126">
        <v>3</v>
      </c>
      <c r="J186" s="126">
        <v>6</v>
      </c>
      <c r="K186" s="127">
        <v>2.435113329892271E-2</v>
      </c>
      <c r="L186" s="127">
        <v>3.4658858679538898E-2</v>
      </c>
      <c r="M186" s="127"/>
      <c r="N186" s="127"/>
      <c r="O186" s="128" t="s">
        <v>1495</v>
      </c>
      <c r="P186" s="129" t="s">
        <v>1493</v>
      </c>
      <c r="Q186" s="130">
        <v>5.4</v>
      </c>
      <c r="R186" s="130">
        <v>2.67</v>
      </c>
      <c r="S186" s="130">
        <v>1.54</v>
      </c>
      <c r="T186" s="38">
        <v>0</v>
      </c>
      <c r="U186" s="131">
        <v>36.54</v>
      </c>
      <c r="V186" s="131"/>
      <c r="W186" s="132">
        <v>0</v>
      </c>
      <c r="X186" s="133">
        <v>491644.69612518128</v>
      </c>
      <c r="Y186" s="134">
        <v>386673.97</v>
      </c>
      <c r="Z186" s="134">
        <v>35988.756594598759</v>
      </c>
      <c r="AA186" s="134">
        <v>10588.290256671562</v>
      </c>
      <c r="AB186" s="134">
        <v>7301.1592739109728</v>
      </c>
      <c r="AC186" s="126">
        <v>0</v>
      </c>
      <c r="AD186" s="126">
        <v>0</v>
      </c>
      <c r="AE186" s="126">
        <v>0</v>
      </c>
      <c r="AF186" s="126">
        <v>0</v>
      </c>
      <c r="AG186" s="126">
        <v>0</v>
      </c>
      <c r="AH186" s="126">
        <v>0</v>
      </c>
      <c r="AI186" s="126">
        <v>0</v>
      </c>
      <c r="AJ186" s="126">
        <v>0</v>
      </c>
      <c r="AK186" s="126">
        <v>0</v>
      </c>
      <c r="AL186" s="126">
        <v>0</v>
      </c>
      <c r="AM186" s="126">
        <v>0</v>
      </c>
      <c r="AN186" s="126">
        <v>0</v>
      </c>
      <c r="AO186" s="126">
        <v>0</v>
      </c>
      <c r="AP186" s="126">
        <v>51092.52</v>
      </c>
      <c r="AQ186" s="126">
        <v>0</v>
      </c>
      <c r="AR186" s="126">
        <v>0</v>
      </c>
      <c r="AS186" s="126">
        <v>0</v>
      </c>
      <c r="AT186" s="126">
        <v>0</v>
      </c>
      <c r="AU186" s="126">
        <v>0</v>
      </c>
      <c r="AV186" s="126">
        <v>0</v>
      </c>
      <c r="AW186" s="135">
        <v>1308698.6164649839</v>
      </c>
      <c r="AX186" s="136">
        <v>1159613.2095684293</v>
      </c>
      <c r="AY186" s="136">
        <v>107777.31950618334</v>
      </c>
      <c r="AZ186" s="126">
        <v>0</v>
      </c>
      <c r="BA186" s="126">
        <v>0</v>
      </c>
      <c r="BB186" s="126">
        <v>0</v>
      </c>
      <c r="BC186" s="126">
        <v>0</v>
      </c>
      <c r="BD186" s="126">
        <v>7228.625684190577</v>
      </c>
      <c r="BE186" s="126">
        <v>0</v>
      </c>
      <c r="BF186" s="126">
        <v>9471.7540510678864</v>
      </c>
      <c r="BG186" s="126">
        <v>4742.2876948475932</v>
      </c>
      <c r="BH186" s="126">
        <v>19865.419960265172</v>
      </c>
      <c r="BI186" s="137">
        <v>3994142.4653061251</v>
      </c>
      <c r="BJ186" s="126">
        <v>17780.208847191054</v>
      </c>
      <c r="BK186" s="126">
        <v>25300.189894667019</v>
      </c>
      <c r="BL186" s="126">
        <v>27140.996941888836</v>
      </c>
      <c r="BM186" s="126">
        <v>26897.448866345825</v>
      </c>
      <c r="BN186" s="126">
        <v>452417.55805266433</v>
      </c>
      <c r="BO186" s="126">
        <v>259736.15114373373</v>
      </c>
      <c r="BP186" s="126">
        <v>213093.33024230084</v>
      </c>
      <c r="BQ186" s="126">
        <v>1156150.6516143947</v>
      </c>
      <c r="BR186" s="126">
        <v>43146.754317390652</v>
      </c>
      <c r="BS186" s="126">
        <v>47906.189174012281</v>
      </c>
      <c r="BT186" s="126">
        <v>239001.28749727044</v>
      </c>
      <c r="BU186" s="126">
        <v>1483706.7786803916</v>
      </c>
      <c r="BV186" s="126">
        <v>1864.9200338734909</v>
      </c>
      <c r="BW186" s="126">
        <v>288511.84308099461</v>
      </c>
      <c r="BX186" s="126">
        <v>1023564.9512862978</v>
      </c>
      <c r="BY186" s="126">
        <v>900168.40561831603</v>
      </c>
      <c r="BZ186" s="126">
        <v>171368.62841004712</v>
      </c>
      <c r="CA186" s="137">
        <v>1083246.723501483</v>
      </c>
      <c r="CB186" s="126">
        <v>42961.571999999993</v>
      </c>
      <c r="CC186" s="126">
        <v>1036062.8213724821</v>
      </c>
      <c r="CD186" s="126">
        <v>0</v>
      </c>
      <c r="CE186" s="126">
        <v>0</v>
      </c>
      <c r="CF186" s="126">
        <v>4222.3301290008967</v>
      </c>
      <c r="CG186" s="137">
        <v>0</v>
      </c>
      <c r="CH186" s="126">
        <v>0</v>
      </c>
      <c r="CI186" s="126">
        <v>0</v>
      </c>
      <c r="CJ186" s="120"/>
      <c r="CK186" s="138">
        <v>9261346.329793429</v>
      </c>
      <c r="CL186" s="150">
        <v>45.866323213471389</v>
      </c>
      <c r="CM186" s="140">
        <v>7260771.2200000007</v>
      </c>
      <c r="CN186" s="125">
        <v>12053.78</v>
      </c>
      <c r="CO186" s="125">
        <v>11968.369999999999</v>
      </c>
      <c r="CP186" s="125">
        <v>0</v>
      </c>
      <c r="CQ186" s="125">
        <v>46942.35</v>
      </c>
      <c r="CR186" s="125">
        <v>25773.75</v>
      </c>
      <c r="CS186" s="125">
        <v>879015.71</v>
      </c>
      <c r="CT186" s="125">
        <v>0</v>
      </c>
      <c r="CU186" s="141">
        <v>0</v>
      </c>
      <c r="CV186" s="142">
        <v>-2000575.1097934283</v>
      </c>
      <c r="CW186" s="143">
        <v>0</v>
      </c>
      <c r="CX186" s="140">
        <v>7318577.2100000009</v>
      </c>
      <c r="CY186" s="140">
        <v>1507529.78</v>
      </c>
    </row>
    <row r="187" spans="1:103" ht="12" customHeight="1" x14ac:dyDescent="0.25">
      <c r="A187" s="122">
        <v>182</v>
      </c>
      <c r="B187" s="123" t="s">
        <v>233</v>
      </c>
      <c r="C187" s="124">
        <v>30188.099999999984</v>
      </c>
      <c r="D187" s="125">
        <v>27705.999999999985</v>
      </c>
      <c r="E187" s="125">
        <v>2482.1</v>
      </c>
      <c r="F187" s="125">
        <v>4990</v>
      </c>
      <c r="G187" s="124">
        <v>30188.099999999984</v>
      </c>
      <c r="H187" s="124">
        <v>30188.099999999984</v>
      </c>
      <c r="I187" s="126">
        <v>8</v>
      </c>
      <c r="J187" s="126">
        <v>3</v>
      </c>
      <c r="K187" s="127">
        <v>3.0667409658528832E-2</v>
      </c>
      <c r="L187" s="127">
        <v>4.3648786459950899E-2</v>
      </c>
      <c r="M187" s="127"/>
      <c r="N187" s="127"/>
      <c r="O187" s="128" t="s">
        <v>1495</v>
      </c>
      <c r="P187" s="129" t="s">
        <v>1493</v>
      </c>
      <c r="Q187" s="130">
        <v>5.4</v>
      </c>
      <c r="R187" s="130">
        <v>2.67</v>
      </c>
      <c r="S187" s="130">
        <v>1.54</v>
      </c>
      <c r="T187" s="38">
        <v>0</v>
      </c>
      <c r="U187" s="131">
        <v>36.54</v>
      </c>
      <c r="V187" s="131"/>
      <c r="W187" s="132">
        <v>0</v>
      </c>
      <c r="X187" s="133">
        <v>1304691.2243762347</v>
      </c>
      <c r="Y187" s="134">
        <v>875234.05</v>
      </c>
      <c r="Z187" s="134">
        <v>64565.968547214019</v>
      </c>
      <c r="AA187" s="134">
        <v>18996.022101625786</v>
      </c>
      <c r="AB187" s="134">
        <v>13098.713727394659</v>
      </c>
      <c r="AC187" s="126">
        <v>0</v>
      </c>
      <c r="AD187" s="126">
        <v>0</v>
      </c>
      <c r="AE187" s="126">
        <v>15025.24</v>
      </c>
      <c r="AF187" s="126">
        <v>0</v>
      </c>
      <c r="AG187" s="126">
        <v>0</v>
      </c>
      <c r="AH187" s="126">
        <v>0</v>
      </c>
      <c r="AI187" s="126">
        <v>0</v>
      </c>
      <c r="AJ187" s="126">
        <v>0</v>
      </c>
      <c r="AK187" s="126">
        <v>4890.8</v>
      </c>
      <c r="AL187" s="126">
        <v>0</v>
      </c>
      <c r="AM187" s="126">
        <v>0</v>
      </c>
      <c r="AN187" s="126">
        <v>0</v>
      </c>
      <c r="AO187" s="126">
        <v>0</v>
      </c>
      <c r="AP187" s="126">
        <v>286685.09999999998</v>
      </c>
      <c r="AQ187" s="126">
        <v>0</v>
      </c>
      <c r="AR187" s="126">
        <v>19808.330000000002</v>
      </c>
      <c r="AS187" s="126">
        <v>6387</v>
      </c>
      <c r="AT187" s="126">
        <v>0</v>
      </c>
      <c r="AU187" s="126">
        <v>0</v>
      </c>
      <c r="AV187" s="126">
        <v>0</v>
      </c>
      <c r="AW187" s="135">
        <v>2347883.1086134864</v>
      </c>
      <c r="AX187" s="136">
        <v>2080415.0268188461</v>
      </c>
      <c r="AY187" s="136">
        <v>193358.91761216469</v>
      </c>
      <c r="AZ187" s="126">
        <v>0</v>
      </c>
      <c r="BA187" s="126">
        <v>0</v>
      </c>
      <c r="BB187" s="126">
        <v>0</v>
      </c>
      <c r="BC187" s="126">
        <v>0</v>
      </c>
      <c r="BD187" s="126">
        <v>12968.58415594938</v>
      </c>
      <c r="BE187" s="126">
        <v>0</v>
      </c>
      <c r="BF187" s="126">
        <v>16992.889780470461</v>
      </c>
      <c r="BG187" s="126">
        <v>8507.9460120420845</v>
      </c>
      <c r="BH187" s="126">
        <v>35639.744234013837</v>
      </c>
      <c r="BI187" s="137">
        <v>7165728.999560684</v>
      </c>
      <c r="BJ187" s="126">
        <v>31898.751549613884</v>
      </c>
      <c r="BK187" s="126">
        <v>45390.044545822828</v>
      </c>
      <c r="BL187" s="126">
        <v>48692.561808401755</v>
      </c>
      <c r="BM187" s="126">
        <v>48255.622084076735</v>
      </c>
      <c r="BN187" s="126">
        <v>811663.99140946404</v>
      </c>
      <c r="BO187" s="126">
        <v>465982.09419209609</v>
      </c>
      <c r="BP187" s="126">
        <v>382302.10098757327</v>
      </c>
      <c r="BQ187" s="126">
        <v>2074202.9920305521</v>
      </c>
      <c r="BR187" s="126">
        <v>77407.841942200204</v>
      </c>
      <c r="BS187" s="126">
        <v>85946.550981713546</v>
      </c>
      <c r="BT187" s="126">
        <v>428782.51630422758</v>
      </c>
      <c r="BU187" s="126">
        <v>2661858.1543310042</v>
      </c>
      <c r="BV187" s="126">
        <v>3345.7773939379854</v>
      </c>
      <c r="BW187" s="126">
        <v>517607.39599050133</v>
      </c>
      <c r="BX187" s="126">
        <v>1836336.3645828278</v>
      </c>
      <c r="BY187" s="126">
        <v>1614955.6268101453</v>
      </c>
      <c r="BZ187" s="126">
        <v>307445.5057322791</v>
      </c>
      <c r="CA187" s="137">
        <v>1363901.905620863</v>
      </c>
      <c r="CB187" s="126">
        <v>51526.619999999995</v>
      </c>
      <c r="CC187" s="126">
        <v>1304800.1743888748</v>
      </c>
      <c r="CD187" s="126">
        <v>0</v>
      </c>
      <c r="CE187" s="126">
        <v>0</v>
      </c>
      <c r="CF187" s="126">
        <v>7575.1112319879658</v>
      </c>
      <c r="CG187" s="137">
        <v>0</v>
      </c>
      <c r="CH187" s="126">
        <v>0</v>
      </c>
      <c r="CI187" s="126">
        <v>0</v>
      </c>
      <c r="CJ187" s="120"/>
      <c r="CK187" s="138">
        <v>16458550.131287022</v>
      </c>
      <c r="CL187" s="150">
        <v>45.433327843551574</v>
      </c>
      <c r="CM187" s="140">
        <v>11390318.209999999</v>
      </c>
      <c r="CN187" s="125">
        <v>10093.529999999999</v>
      </c>
      <c r="CO187" s="125">
        <v>10379.849999999999</v>
      </c>
      <c r="CP187" s="125">
        <v>0</v>
      </c>
      <c r="CQ187" s="125">
        <v>42414.98</v>
      </c>
      <c r="CR187" s="125">
        <v>23299.190000000002</v>
      </c>
      <c r="CS187" s="125">
        <v>742462.75</v>
      </c>
      <c r="CT187" s="125">
        <v>1284204.6889508171</v>
      </c>
      <c r="CU187" s="141">
        <v>0</v>
      </c>
      <c r="CV187" s="142">
        <v>-3784027.2323362064</v>
      </c>
      <c r="CW187" s="143">
        <v>0</v>
      </c>
      <c r="CX187" s="140">
        <v>11950294.699999999</v>
      </c>
      <c r="CY187" s="140">
        <v>3312856.1599999997</v>
      </c>
    </row>
    <row r="188" spans="1:103" ht="12" customHeight="1" x14ac:dyDescent="0.25">
      <c r="A188" s="122">
        <v>183</v>
      </c>
      <c r="B188" s="123" t="s">
        <v>234</v>
      </c>
      <c r="C188" s="124">
        <v>5090.8</v>
      </c>
      <c r="D188" s="125">
        <v>3431.6</v>
      </c>
      <c r="E188" s="125">
        <v>1659.2</v>
      </c>
      <c r="F188" s="125">
        <v>577.9</v>
      </c>
      <c r="G188" s="124">
        <v>5090.8</v>
      </c>
      <c r="H188" s="124">
        <v>5090.8</v>
      </c>
      <c r="I188" s="126">
        <v>2</v>
      </c>
      <c r="J188" s="126">
        <v>0</v>
      </c>
      <c r="K188" s="127">
        <v>3.708982375239572E-3</v>
      </c>
      <c r="L188" s="127">
        <v>5.2789779600941949E-3</v>
      </c>
      <c r="M188" s="127"/>
      <c r="N188" s="127"/>
      <c r="O188" s="128" t="s">
        <v>1488</v>
      </c>
      <c r="P188" s="129" t="s">
        <v>1493</v>
      </c>
      <c r="Q188" s="130">
        <v>6.91</v>
      </c>
      <c r="R188" s="130">
        <v>3.15</v>
      </c>
      <c r="S188" s="130">
        <v>1.81</v>
      </c>
      <c r="T188" s="38">
        <v>0.26</v>
      </c>
      <c r="U188" s="131">
        <v>45.06</v>
      </c>
      <c r="V188" s="144">
        <v>1</v>
      </c>
      <c r="W188" s="132">
        <v>2.4096385542168672E-3</v>
      </c>
      <c r="X188" s="133">
        <v>24052.313161230242</v>
      </c>
      <c r="Y188" s="134">
        <v>7751.84</v>
      </c>
      <c r="Z188" s="134">
        <v>10888.145748826766</v>
      </c>
      <c r="AA188" s="134">
        <v>3203.4129115431774</v>
      </c>
      <c r="AB188" s="134">
        <v>2208.9145008602982</v>
      </c>
      <c r="AC188" s="126">
        <v>0</v>
      </c>
      <c r="AD188" s="126">
        <v>0</v>
      </c>
      <c r="AE188" s="126">
        <v>0</v>
      </c>
      <c r="AF188" s="126">
        <v>0</v>
      </c>
      <c r="AG188" s="126">
        <v>0</v>
      </c>
      <c r="AH188" s="126">
        <v>0</v>
      </c>
      <c r="AI188" s="126">
        <v>0</v>
      </c>
      <c r="AJ188" s="126">
        <v>0</v>
      </c>
      <c r="AK188" s="126">
        <v>0</v>
      </c>
      <c r="AL188" s="126">
        <v>0</v>
      </c>
      <c r="AM188" s="126">
        <v>0</v>
      </c>
      <c r="AN188" s="126">
        <v>0</v>
      </c>
      <c r="AO188" s="126">
        <v>0</v>
      </c>
      <c r="AP188" s="126">
        <v>0</v>
      </c>
      <c r="AQ188" s="126">
        <v>0</v>
      </c>
      <c r="AR188" s="126">
        <v>0</v>
      </c>
      <c r="AS188" s="126">
        <v>0</v>
      </c>
      <c r="AT188" s="126">
        <v>0</v>
      </c>
      <c r="AU188" s="126">
        <v>0</v>
      </c>
      <c r="AV188" s="126">
        <v>0</v>
      </c>
      <c r="AW188" s="135">
        <v>395937.58233640221</v>
      </c>
      <c r="AX188" s="136">
        <v>350832.83871887886</v>
      </c>
      <c r="AY188" s="136">
        <v>32607.271665987872</v>
      </c>
      <c r="AZ188" s="126">
        <v>0</v>
      </c>
      <c r="BA188" s="126">
        <v>0</v>
      </c>
      <c r="BB188" s="126">
        <v>0</v>
      </c>
      <c r="BC188" s="126">
        <v>0</v>
      </c>
      <c r="BD188" s="126">
        <v>2186.9699723105177</v>
      </c>
      <c r="BE188" s="126">
        <v>0</v>
      </c>
      <c r="BF188" s="126">
        <v>2865.6127180716594</v>
      </c>
      <c r="BG188" s="126">
        <v>1434.7458620484188</v>
      </c>
      <c r="BH188" s="126">
        <v>6010.1433991048707</v>
      </c>
      <c r="BI188" s="137">
        <v>759514.69946420169</v>
      </c>
      <c r="BJ188" s="126">
        <v>5379.277410263463</v>
      </c>
      <c r="BK188" s="126">
        <v>7654.3949030868116</v>
      </c>
      <c r="BL188" s="126">
        <v>8211.3181569629032</v>
      </c>
      <c r="BM188" s="126">
        <v>8137.6343958585658</v>
      </c>
      <c r="BN188" s="126">
        <v>136875.75725094663</v>
      </c>
      <c r="BO188" s="126">
        <v>78581.34977402103</v>
      </c>
      <c r="BP188" s="126">
        <v>64469.891636357999</v>
      </c>
      <c r="BQ188" s="126">
        <v>349785.26610913372</v>
      </c>
      <c r="BR188" s="126">
        <v>13053.747727063081</v>
      </c>
      <c r="BS188" s="126">
        <v>14493.681342572323</v>
      </c>
      <c r="BT188" s="126">
        <v>72308.162289165703</v>
      </c>
      <c r="BU188" s="126">
        <v>0</v>
      </c>
      <c r="BV188" s="126">
        <v>564.21846876946563</v>
      </c>
      <c r="BW188" s="126">
        <v>87287.23343000871</v>
      </c>
      <c r="BX188" s="126">
        <v>309672.39292364428</v>
      </c>
      <c r="BY188" s="126">
        <v>272339.63399369596</v>
      </c>
      <c r="BZ188" s="126">
        <v>51846.375909112772</v>
      </c>
      <c r="CA188" s="137">
        <v>165095.3711952288</v>
      </c>
      <c r="CB188" s="126">
        <v>6012.5999999999995</v>
      </c>
      <c r="CC188" s="126">
        <v>157805.33484581282</v>
      </c>
      <c r="CD188" s="126">
        <v>0</v>
      </c>
      <c r="CE188" s="126">
        <v>0</v>
      </c>
      <c r="CF188" s="126">
        <v>1277.4363494159738</v>
      </c>
      <c r="CG188" s="137">
        <v>71591.481364540363</v>
      </c>
      <c r="CH188" s="126">
        <v>13920</v>
      </c>
      <c r="CI188" s="126">
        <v>57671.481364540363</v>
      </c>
      <c r="CJ188" s="120"/>
      <c r="CK188" s="138">
        <v>2137337.0837780652</v>
      </c>
      <c r="CL188" s="139">
        <v>34.986922222081418</v>
      </c>
      <c r="CM188" s="140">
        <v>1778314.49</v>
      </c>
      <c r="CN188" s="125">
        <v>1302.6599999999999</v>
      </c>
      <c r="CO188" s="125">
        <v>1300.3199999999997</v>
      </c>
      <c r="CP188" s="125">
        <v>0</v>
      </c>
      <c r="CQ188" s="125">
        <v>5080.7900000000009</v>
      </c>
      <c r="CR188" s="125">
        <v>2752.49</v>
      </c>
      <c r="CS188" s="125">
        <v>101163.13000000002</v>
      </c>
      <c r="CT188" s="125">
        <v>216563.12356560442</v>
      </c>
      <c r="CU188" s="141">
        <v>886.55421686746979</v>
      </c>
      <c r="CV188" s="142">
        <v>-141572.91599559318</v>
      </c>
      <c r="CW188" s="143">
        <v>0</v>
      </c>
      <c r="CX188" s="140">
        <v>1767030.19</v>
      </c>
      <c r="CY188" s="140">
        <v>518085.85</v>
      </c>
    </row>
    <row r="189" spans="1:103" ht="12" customHeight="1" x14ac:dyDescent="0.25">
      <c r="A189" s="122">
        <v>184</v>
      </c>
      <c r="B189" s="123" t="s">
        <v>235</v>
      </c>
      <c r="C189" s="124">
        <v>3571.9999999999991</v>
      </c>
      <c r="D189" s="125">
        <v>3571.9999999999991</v>
      </c>
      <c r="E189" s="125">
        <v>0</v>
      </c>
      <c r="F189" s="125">
        <v>577.9</v>
      </c>
      <c r="G189" s="124">
        <v>3571.9999999999991</v>
      </c>
      <c r="H189" s="124">
        <v>3571.9999999999991</v>
      </c>
      <c r="I189" s="126">
        <v>2</v>
      </c>
      <c r="J189" s="126">
        <v>0</v>
      </c>
      <c r="K189" s="127">
        <v>3.9341487298372923E-3</v>
      </c>
      <c r="L189" s="127">
        <v>5.5994562215201053E-3</v>
      </c>
      <c r="M189" s="127"/>
      <c r="N189" s="127"/>
      <c r="O189" s="128" t="s">
        <v>1489</v>
      </c>
      <c r="P189" s="129" t="s">
        <v>1493</v>
      </c>
      <c r="Q189" s="130">
        <v>6.91</v>
      </c>
      <c r="R189" s="130">
        <v>3.15</v>
      </c>
      <c r="S189" s="130">
        <v>1.81</v>
      </c>
      <c r="T189" s="38">
        <v>0.26</v>
      </c>
      <c r="U189" s="131">
        <v>45.06</v>
      </c>
      <c r="V189" s="144">
        <v>1</v>
      </c>
      <c r="W189" s="132">
        <v>2.4096385542168672E-3</v>
      </c>
      <c r="X189" s="133">
        <v>573481.75792829541</v>
      </c>
      <c r="Y189" s="134">
        <v>15156.98</v>
      </c>
      <c r="Z189" s="134">
        <v>7639.7534011961179</v>
      </c>
      <c r="AA189" s="134">
        <v>2247.6999528624633</v>
      </c>
      <c r="AB189" s="134">
        <v>1549.9022937599166</v>
      </c>
      <c r="AC189" s="126">
        <v>0</v>
      </c>
      <c r="AD189" s="126">
        <v>0</v>
      </c>
      <c r="AE189" s="126">
        <v>0</v>
      </c>
      <c r="AF189" s="126">
        <v>0</v>
      </c>
      <c r="AG189" s="126">
        <v>0</v>
      </c>
      <c r="AH189" s="126">
        <v>0</v>
      </c>
      <c r="AI189" s="126">
        <v>0</v>
      </c>
      <c r="AJ189" s="126">
        <v>0</v>
      </c>
      <c r="AK189" s="126">
        <v>0</v>
      </c>
      <c r="AL189" s="126">
        <v>0</v>
      </c>
      <c r="AM189" s="126">
        <v>0</v>
      </c>
      <c r="AN189" s="126">
        <v>0</v>
      </c>
      <c r="AO189" s="126">
        <v>0</v>
      </c>
      <c r="AP189" s="126">
        <v>0</v>
      </c>
      <c r="AQ189" s="126">
        <v>0</v>
      </c>
      <c r="AR189" s="126">
        <v>0</v>
      </c>
      <c r="AS189" s="126">
        <v>0</v>
      </c>
      <c r="AT189" s="126">
        <v>546887.42228047689</v>
      </c>
      <c r="AU189" s="126">
        <v>0</v>
      </c>
      <c r="AV189" s="126">
        <v>0</v>
      </c>
      <c r="AW189" s="135">
        <v>284726.65725608967</v>
      </c>
      <c r="AX189" s="136">
        <v>246164.63029461677</v>
      </c>
      <c r="AY189" s="136">
        <v>22879.14952284683</v>
      </c>
      <c r="AZ189" s="126">
        <v>0</v>
      </c>
      <c r="BA189" s="126">
        <v>6913.9276054202046</v>
      </c>
      <c r="BB189" s="126">
        <v>0</v>
      </c>
      <c r="BC189" s="126">
        <v>0</v>
      </c>
      <c r="BD189" s="126">
        <v>1534.5047421020599</v>
      </c>
      <c r="BE189" s="126">
        <v>0</v>
      </c>
      <c r="BF189" s="126">
        <v>2010.6797809680138</v>
      </c>
      <c r="BG189" s="126">
        <v>1006.7007580806455</v>
      </c>
      <c r="BH189" s="126">
        <v>4217.0645520551961</v>
      </c>
      <c r="BI189" s="137">
        <v>532919.48347727826</v>
      </c>
      <c r="BJ189" s="126">
        <v>3774.412451768108</v>
      </c>
      <c r="BK189" s="126">
        <v>5370.7665973572093</v>
      </c>
      <c r="BL189" s="126">
        <v>5761.5361940503417</v>
      </c>
      <c r="BM189" s="126">
        <v>5709.8354015099376</v>
      </c>
      <c r="BN189" s="126">
        <v>96039.955390190386</v>
      </c>
      <c r="BO189" s="126">
        <v>55137.224285535282</v>
      </c>
      <c r="BP189" s="126">
        <v>45235.808306174025</v>
      </c>
      <c r="BQ189" s="126">
        <v>245429.5927048451</v>
      </c>
      <c r="BR189" s="126">
        <v>9159.2651216055074</v>
      </c>
      <c r="BS189" s="126">
        <v>10169.605907847161</v>
      </c>
      <c r="BT189" s="126">
        <v>50735.592774593344</v>
      </c>
      <c r="BU189" s="126">
        <v>0</v>
      </c>
      <c r="BV189" s="126">
        <v>395.88834180178571</v>
      </c>
      <c r="BW189" s="126">
        <v>61245.776265418208</v>
      </c>
      <c r="BX189" s="126">
        <v>217284.07863661053</v>
      </c>
      <c r="BY189" s="126">
        <v>191089.25367829841</v>
      </c>
      <c r="BZ189" s="126">
        <v>36378.418862919534</v>
      </c>
      <c r="CA189" s="137">
        <v>174294.36621243512</v>
      </c>
      <c r="CB189" s="126">
        <v>6012.5999999999995</v>
      </c>
      <c r="CC189" s="126">
        <v>167385.44291548495</v>
      </c>
      <c r="CD189" s="126">
        <v>0</v>
      </c>
      <c r="CE189" s="126">
        <v>0</v>
      </c>
      <c r="CF189" s="126">
        <v>896.32329695015653</v>
      </c>
      <c r="CG189" s="137">
        <v>54655.650081350301</v>
      </c>
      <c r="CH189" s="126">
        <v>14190</v>
      </c>
      <c r="CI189" s="126">
        <v>40465.650081350301</v>
      </c>
      <c r="CJ189" s="120"/>
      <c r="CK189" s="138">
        <v>2126075.4423986953</v>
      </c>
      <c r="CL189" s="139">
        <v>49.600490910757181</v>
      </c>
      <c r="CM189" s="140">
        <v>1772129.9899999998</v>
      </c>
      <c r="CN189" s="125">
        <v>1941.46</v>
      </c>
      <c r="CO189" s="125">
        <v>1941.46</v>
      </c>
      <c r="CP189" s="125">
        <v>0</v>
      </c>
      <c r="CQ189" s="125">
        <v>7566.67</v>
      </c>
      <c r="CR189" s="125">
        <v>4106.8200000000006</v>
      </c>
      <c r="CS189" s="125">
        <v>146483.87</v>
      </c>
      <c r="CT189" s="125">
        <v>0</v>
      </c>
      <c r="CU189" s="141">
        <v>886.55421686746979</v>
      </c>
      <c r="CV189" s="142">
        <v>-353058.89818182797</v>
      </c>
      <c r="CW189" s="143">
        <v>0</v>
      </c>
      <c r="CX189" s="140">
        <v>1860443.36</v>
      </c>
      <c r="CY189" s="140">
        <v>698149.89999999991</v>
      </c>
    </row>
    <row r="190" spans="1:103" ht="12" customHeight="1" x14ac:dyDescent="0.25">
      <c r="A190" s="122">
        <v>185</v>
      </c>
      <c r="B190" s="123" t="s">
        <v>236</v>
      </c>
      <c r="C190" s="124">
        <v>5235.6000000000004</v>
      </c>
      <c r="D190" s="125">
        <v>5235.6000000000004</v>
      </c>
      <c r="E190" s="125">
        <v>0</v>
      </c>
      <c r="F190" s="125">
        <v>1025</v>
      </c>
      <c r="G190" s="124">
        <v>5235.6000000000004</v>
      </c>
      <c r="H190" s="124">
        <v>5235.6000000000004</v>
      </c>
      <c r="I190" s="126">
        <v>1</v>
      </c>
      <c r="J190" s="126">
        <v>1</v>
      </c>
      <c r="K190" s="127">
        <v>4.5682306241727954E-3</v>
      </c>
      <c r="L190" s="127">
        <v>6.5019421344858367E-3</v>
      </c>
      <c r="M190" s="127"/>
      <c r="N190" s="127"/>
      <c r="O190" s="128" t="s">
        <v>1489</v>
      </c>
      <c r="P190" s="129" t="s">
        <v>1493</v>
      </c>
      <c r="Q190" s="130">
        <v>6.91</v>
      </c>
      <c r="R190" s="130">
        <v>3.15</v>
      </c>
      <c r="S190" s="130">
        <v>1.81</v>
      </c>
      <c r="T190" s="38">
        <v>0</v>
      </c>
      <c r="U190" s="131">
        <v>44.8</v>
      </c>
      <c r="V190" s="144">
        <v>1</v>
      </c>
      <c r="W190" s="132">
        <v>2.4096385542168672E-3</v>
      </c>
      <c r="X190" s="133">
        <v>969959.50767004024</v>
      </c>
      <c r="Y190" s="134">
        <v>9702.18</v>
      </c>
      <c r="Z190" s="134">
        <v>11197.842359267192</v>
      </c>
      <c r="AA190" s="134">
        <v>3294.5290798451051</v>
      </c>
      <c r="AB190" s="134">
        <v>2271.7436867887518</v>
      </c>
      <c r="AC190" s="126">
        <v>0</v>
      </c>
      <c r="AD190" s="126">
        <v>33545.89</v>
      </c>
      <c r="AE190" s="126">
        <v>0</v>
      </c>
      <c r="AF190" s="126">
        <v>0</v>
      </c>
      <c r="AG190" s="126">
        <v>0</v>
      </c>
      <c r="AH190" s="126">
        <v>0</v>
      </c>
      <c r="AI190" s="126">
        <v>0</v>
      </c>
      <c r="AJ190" s="126">
        <v>0</v>
      </c>
      <c r="AK190" s="126">
        <v>65344.07</v>
      </c>
      <c r="AL190" s="126">
        <v>0</v>
      </c>
      <c r="AM190" s="126">
        <v>0</v>
      </c>
      <c r="AN190" s="126">
        <v>0</v>
      </c>
      <c r="AO190" s="126">
        <v>0</v>
      </c>
      <c r="AP190" s="126">
        <v>0</v>
      </c>
      <c r="AQ190" s="126">
        <v>0</v>
      </c>
      <c r="AR190" s="126">
        <v>0</v>
      </c>
      <c r="AS190" s="126">
        <v>9100</v>
      </c>
      <c r="AT190" s="126">
        <v>835503.25254413916</v>
      </c>
      <c r="AU190" s="126">
        <v>0</v>
      </c>
      <c r="AV190" s="126">
        <v>0</v>
      </c>
      <c r="AW190" s="135">
        <v>417333.39494120487</v>
      </c>
      <c r="AX190" s="136">
        <v>360811.74086520041</v>
      </c>
      <c r="AY190" s="136">
        <v>33534.735510027131</v>
      </c>
      <c r="AZ190" s="126">
        <v>0</v>
      </c>
      <c r="BA190" s="126">
        <v>10133.975187832597</v>
      </c>
      <c r="BB190" s="126">
        <v>0</v>
      </c>
      <c r="BC190" s="126">
        <v>0</v>
      </c>
      <c r="BD190" s="126">
        <v>2249.1749797731095</v>
      </c>
      <c r="BE190" s="126">
        <v>0</v>
      </c>
      <c r="BF190" s="126">
        <v>2947.1206778376641</v>
      </c>
      <c r="BG190" s="126">
        <v>1475.5550081206691</v>
      </c>
      <c r="BH190" s="126">
        <v>6181.0927124132677</v>
      </c>
      <c r="BI190" s="137">
        <v>781117.93048534112</v>
      </c>
      <c r="BJ190" s="126">
        <v>5532.2827078603341</v>
      </c>
      <c r="BK190" s="126">
        <v>7872.1124292058839</v>
      </c>
      <c r="BL190" s="126">
        <v>8444.8765110778222</v>
      </c>
      <c r="BM190" s="126">
        <v>8369.0969283721824</v>
      </c>
      <c r="BN190" s="126">
        <v>140768.97828692076</v>
      </c>
      <c r="BO190" s="126">
        <v>80816.475775293569</v>
      </c>
      <c r="BP190" s="126">
        <v>66303.638848769537</v>
      </c>
      <c r="BQ190" s="126">
        <v>359734.37165887101</v>
      </c>
      <c r="BR190" s="126">
        <v>13425.041565139363</v>
      </c>
      <c r="BS190" s="126">
        <v>14905.931884413385</v>
      </c>
      <c r="BT190" s="126">
        <v>74364.857091450453</v>
      </c>
      <c r="BU190" s="126">
        <v>0</v>
      </c>
      <c r="BV190" s="126">
        <v>580.26679796680571</v>
      </c>
      <c r="BW190" s="126">
        <v>89769.984942671799</v>
      </c>
      <c r="BX190" s="126">
        <v>318480.54930286633</v>
      </c>
      <c r="BY190" s="126">
        <v>280085.91728950152</v>
      </c>
      <c r="BZ190" s="126">
        <v>53321.066572984761</v>
      </c>
      <c r="CA190" s="137">
        <v>202783.74612729275</v>
      </c>
      <c r="CB190" s="126">
        <v>7106.3759999999993</v>
      </c>
      <c r="CC190" s="126">
        <v>194363.59905968016</v>
      </c>
      <c r="CD190" s="126">
        <v>0</v>
      </c>
      <c r="CE190" s="126">
        <v>0</v>
      </c>
      <c r="CF190" s="126">
        <v>1313.7710676126094</v>
      </c>
      <c r="CG190" s="137">
        <v>0</v>
      </c>
      <c r="CH190" s="126">
        <v>0</v>
      </c>
      <c r="CI190" s="126">
        <v>0</v>
      </c>
      <c r="CJ190" s="120"/>
      <c r="CK190" s="138">
        <v>3112852.0973319029</v>
      </c>
      <c r="CL190" s="139">
        <v>49.546249034365729</v>
      </c>
      <c r="CM190" s="140">
        <v>2688909.62</v>
      </c>
      <c r="CN190" s="125">
        <v>3440.8</v>
      </c>
      <c r="CO190" s="125">
        <v>3440.8</v>
      </c>
      <c r="CP190" s="125">
        <v>0</v>
      </c>
      <c r="CQ190" s="125">
        <v>13414.25</v>
      </c>
      <c r="CR190" s="125">
        <v>7279.18</v>
      </c>
      <c r="CS190" s="125">
        <v>200381.57</v>
      </c>
      <c r="CT190" s="125">
        <v>0</v>
      </c>
      <c r="CU190" s="141">
        <v>886.55421686746979</v>
      </c>
      <c r="CV190" s="142">
        <v>-423055.92311503552</v>
      </c>
      <c r="CW190" s="143">
        <v>0</v>
      </c>
      <c r="CX190" s="140">
        <v>2652503.52</v>
      </c>
      <c r="CY190" s="140">
        <v>444094.51</v>
      </c>
    </row>
    <row r="191" spans="1:103" ht="12" customHeight="1" x14ac:dyDescent="0.25">
      <c r="A191" s="122">
        <v>186</v>
      </c>
      <c r="B191" s="123" t="s">
        <v>237</v>
      </c>
      <c r="C191" s="124">
        <v>4185.8</v>
      </c>
      <c r="D191" s="125">
        <v>4185.8</v>
      </c>
      <c r="E191" s="125">
        <v>0</v>
      </c>
      <c r="F191" s="125">
        <v>712.9</v>
      </c>
      <c r="G191" s="124">
        <v>4185.8</v>
      </c>
      <c r="H191" s="124">
        <v>4185.8</v>
      </c>
      <c r="I191" s="126">
        <v>2</v>
      </c>
      <c r="J191" s="126">
        <v>0</v>
      </c>
      <c r="K191" s="127">
        <v>4.1860283270651333E-3</v>
      </c>
      <c r="L191" s="127">
        <v>5.9579553212299784E-3</v>
      </c>
      <c r="M191" s="127"/>
      <c r="N191" s="127"/>
      <c r="O191" s="128" t="s">
        <v>1489</v>
      </c>
      <c r="P191" s="129" t="s">
        <v>1493</v>
      </c>
      <c r="Q191" s="130">
        <v>6.91</v>
      </c>
      <c r="R191" s="130">
        <v>3.15</v>
      </c>
      <c r="S191" s="130">
        <v>1.81</v>
      </c>
      <c r="T191" s="38">
        <v>0.26</v>
      </c>
      <c r="U191" s="131">
        <v>45.06</v>
      </c>
      <c r="V191" s="144">
        <v>1</v>
      </c>
      <c r="W191" s="132">
        <v>2.4096385542168672E-3</v>
      </c>
      <c r="X191" s="133">
        <v>239610.5208820377</v>
      </c>
      <c r="Y191" s="134">
        <v>48470.14</v>
      </c>
      <c r="Z191" s="134">
        <v>8952.5419335741099</v>
      </c>
      <c r="AA191" s="134">
        <v>2633.9368596561312</v>
      </c>
      <c r="AB191" s="134">
        <v>1816.2320888074637</v>
      </c>
      <c r="AC191" s="126">
        <v>69353.600000000006</v>
      </c>
      <c r="AD191" s="126">
        <v>0</v>
      </c>
      <c r="AE191" s="126">
        <v>0</v>
      </c>
      <c r="AF191" s="126">
        <v>0</v>
      </c>
      <c r="AG191" s="126">
        <v>0</v>
      </c>
      <c r="AH191" s="126">
        <v>0</v>
      </c>
      <c r="AI191" s="126">
        <v>0</v>
      </c>
      <c r="AJ191" s="126">
        <v>0</v>
      </c>
      <c r="AK191" s="126">
        <v>68808.649999999994</v>
      </c>
      <c r="AL191" s="126">
        <v>0</v>
      </c>
      <c r="AM191" s="126">
        <v>0</v>
      </c>
      <c r="AN191" s="126">
        <v>39575.42</v>
      </c>
      <c r="AO191" s="126">
        <v>0</v>
      </c>
      <c r="AP191" s="126">
        <v>0</v>
      </c>
      <c r="AQ191" s="126">
        <v>0</v>
      </c>
      <c r="AR191" s="126">
        <v>0</v>
      </c>
      <c r="AS191" s="126">
        <v>0</v>
      </c>
      <c r="AT191" s="126">
        <v>0</v>
      </c>
      <c r="AU191" s="126">
        <v>0</v>
      </c>
      <c r="AV191" s="126">
        <v>0</v>
      </c>
      <c r="AW191" s="135">
        <v>333653.09124931152</v>
      </c>
      <c r="AX191" s="136">
        <v>288464.70030436933</v>
      </c>
      <c r="AY191" s="136">
        <v>26810.622640742524</v>
      </c>
      <c r="AZ191" s="126">
        <v>0</v>
      </c>
      <c r="BA191" s="126">
        <v>8101.9927689719771</v>
      </c>
      <c r="BB191" s="126">
        <v>0</v>
      </c>
      <c r="BC191" s="126">
        <v>0</v>
      </c>
      <c r="BD191" s="126">
        <v>1798.1886756693182</v>
      </c>
      <c r="BE191" s="126">
        <v>0</v>
      </c>
      <c r="BF191" s="126">
        <v>2356.1879695341308</v>
      </c>
      <c r="BG191" s="126">
        <v>1179.6886990968553</v>
      </c>
      <c r="BH191" s="126">
        <v>4941.7101909273924</v>
      </c>
      <c r="BI191" s="137">
        <v>624494.50558208057</v>
      </c>
      <c r="BJ191" s="126">
        <v>4422.9943002830214</v>
      </c>
      <c r="BK191" s="126">
        <v>6293.6603648426135</v>
      </c>
      <c r="BL191" s="126">
        <v>6751.5784437446609</v>
      </c>
      <c r="BM191" s="126">
        <v>6690.9935676484611</v>
      </c>
      <c r="BN191" s="126">
        <v>112543.12577610835</v>
      </c>
      <c r="BO191" s="126">
        <v>64611.812266067653</v>
      </c>
      <c r="BP191" s="126">
        <v>53008.97155878591</v>
      </c>
      <c r="BQ191" s="126">
        <v>287603.35642327572</v>
      </c>
      <c r="BR191" s="126">
        <v>10733.161239086321</v>
      </c>
      <c r="BS191" s="126">
        <v>11917.115456065694</v>
      </c>
      <c r="BT191" s="126">
        <v>59453.819774886026</v>
      </c>
      <c r="BU191" s="126">
        <v>0</v>
      </c>
      <c r="BV191" s="126">
        <v>463.91641128609047</v>
      </c>
      <c r="BW191" s="126">
        <v>71770.036475864385</v>
      </c>
      <c r="BX191" s="126">
        <v>254621.41555350635</v>
      </c>
      <c r="BY191" s="126">
        <v>223925.36339491091</v>
      </c>
      <c r="BZ191" s="126">
        <v>42629.559259912829</v>
      </c>
      <c r="CA191" s="137">
        <v>185711.94636275282</v>
      </c>
      <c r="CB191" s="126">
        <v>6559.4879999999994</v>
      </c>
      <c r="CC191" s="126">
        <v>178102.11400206579</v>
      </c>
      <c r="CD191" s="126">
        <v>0</v>
      </c>
      <c r="CE191" s="126">
        <v>0</v>
      </c>
      <c r="CF191" s="126">
        <v>1050.3443606870007</v>
      </c>
      <c r="CG191" s="137">
        <v>63979.126010782798</v>
      </c>
      <c r="CH191" s="126">
        <v>16560</v>
      </c>
      <c r="CI191" s="126">
        <v>47419.126010782798</v>
      </c>
      <c r="CJ191" s="120"/>
      <c r="CK191" s="138">
        <v>2040395.5647711603</v>
      </c>
      <c r="CL191" s="139">
        <v>40.621377927977925</v>
      </c>
      <c r="CM191" s="140">
        <v>2169918.7200000002</v>
      </c>
      <c r="CN191" s="125">
        <v>2395.33</v>
      </c>
      <c r="CO191" s="125">
        <v>2395.33</v>
      </c>
      <c r="CP191" s="125">
        <v>0</v>
      </c>
      <c r="CQ191" s="125">
        <v>9333.9600000000009</v>
      </c>
      <c r="CR191" s="125">
        <v>5065.68</v>
      </c>
      <c r="CS191" s="125">
        <v>187035.07</v>
      </c>
      <c r="CT191" s="125">
        <v>0</v>
      </c>
      <c r="CU191" s="141">
        <v>886.55421686746979</v>
      </c>
      <c r="CV191" s="142">
        <v>130409.70944570727</v>
      </c>
      <c r="CW191" s="143">
        <v>6.3479433824081388E-2</v>
      </c>
      <c r="CX191" s="140">
        <v>2135515.44</v>
      </c>
      <c r="CY191" s="140">
        <v>307852.40999999997</v>
      </c>
    </row>
    <row r="192" spans="1:103" ht="12" customHeight="1" x14ac:dyDescent="0.25">
      <c r="A192" s="122">
        <v>187</v>
      </c>
      <c r="B192" s="123" t="s">
        <v>238</v>
      </c>
      <c r="C192" s="124">
        <v>3577.7</v>
      </c>
      <c r="D192" s="125">
        <v>3577.7</v>
      </c>
      <c r="E192" s="125">
        <v>0</v>
      </c>
      <c r="F192" s="125">
        <v>577.9</v>
      </c>
      <c r="G192" s="124">
        <v>3577.7</v>
      </c>
      <c r="H192" s="124">
        <v>3577.7</v>
      </c>
      <c r="I192" s="126">
        <v>2</v>
      </c>
      <c r="J192" s="126">
        <v>0</v>
      </c>
      <c r="K192" s="127">
        <v>3.708982375239572E-3</v>
      </c>
      <c r="L192" s="127">
        <v>5.2789779600941949E-3</v>
      </c>
      <c r="M192" s="127"/>
      <c r="N192" s="127"/>
      <c r="O192" s="128" t="s">
        <v>1489</v>
      </c>
      <c r="P192" s="129" t="s">
        <v>1493</v>
      </c>
      <c r="Q192" s="130">
        <v>6.91</v>
      </c>
      <c r="R192" s="130">
        <v>3.15</v>
      </c>
      <c r="S192" s="130">
        <v>1.81</v>
      </c>
      <c r="T192" s="38">
        <v>0.26</v>
      </c>
      <c r="U192" s="131">
        <v>45.06</v>
      </c>
      <c r="V192" s="144">
        <v>1</v>
      </c>
      <c r="W192" s="132">
        <v>2.4096385542168672E-3</v>
      </c>
      <c r="X192" s="133">
        <v>1872404.3467472566</v>
      </c>
      <c r="Y192" s="134">
        <v>116875.35</v>
      </c>
      <c r="Z192" s="134">
        <v>7651.9444970490922</v>
      </c>
      <c r="AA192" s="134">
        <v>2251.2867081063932</v>
      </c>
      <c r="AB192" s="134">
        <v>1552.375542101023</v>
      </c>
      <c r="AC192" s="126">
        <v>48385.37</v>
      </c>
      <c r="AD192" s="126">
        <v>0</v>
      </c>
      <c r="AE192" s="126">
        <v>0</v>
      </c>
      <c r="AF192" s="126">
        <v>0</v>
      </c>
      <c r="AG192" s="126">
        <v>0</v>
      </c>
      <c r="AH192" s="126">
        <v>0</v>
      </c>
      <c r="AI192" s="126">
        <v>0</v>
      </c>
      <c r="AJ192" s="126">
        <v>0</v>
      </c>
      <c r="AK192" s="126">
        <v>0</v>
      </c>
      <c r="AL192" s="126">
        <v>0</v>
      </c>
      <c r="AM192" s="126">
        <v>0</v>
      </c>
      <c r="AN192" s="126">
        <v>0</v>
      </c>
      <c r="AO192" s="126">
        <v>0</v>
      </c>
      <c r="AP192" s="126">
        <v>1695688.02</v>
      </c>
      <c r="AQ192" s="126">
        <v>0</v>
      </c>
      <c r="AR192" s="126">
        <v>0</v>
      </c>
      <c r="AS192" s="126">
        <v>0</v>
      </c>
      <c r="AT192" s="126">
        <v>0</v>
      </c>
      <c r="AU192" s="126">
        <v>0</v>
      </c>
      <c r="AV192" s="126">
        <v>0</v>
      </c>
      <c r="AW192" s="135">
        <v>285181.00830490264</v>
      </c>
      <c r="AX192" s="136">
        <v>246557.44619402313</v>
      </c>
      <c r="AY192" s="136">
        <v>22915.658804000315</v>
      </c>
      <c r="AZ192" s="126">
        <v>0</v>
      </c>
      <c r="BA192" s="126">
        <v>6924.9604686203447</v>
      </c>
      <c r="BB192" s="126">
        <v>0</v>
      </c>
      <c r="BC192" s="126">
        <v>0</v>
      </c>
      <c r="BD192" s="126">
        <v>1536.9534198820104</v>
      </c>
      <c r="BE192" s="126">
        <v>0</v>
      </c>
      <c r="BF192" s="126">
        <v>2013.8883125333887</v>
      </c>
      <c r="BG192" s="126">
        <v>1008.3071954605617</v>
      </c>
      <c r="BH192" s="126">
        <v>4223.7939103829449</v>
      </c>
      <c r="BI192" s="137">
        <v>533769.88690835901</v>
      </c>
      <c r="BJ192" s="126">
        <v>3780.4354503613558</v>
      </c>
      <c r="BK192" s="126">
        <v>5379.336969587036</v>
      </c>
      <c r="BL192" s="126">
        <v>5770.73013478553</v>
      </c>
      <c r="BM192" s="126">
        <v>5718.9468409804331</v>
      </c>
      <c r="BN192" s="126">
        <v>96193.210638153483</v>
      </c>
      <c r="BO192" s="126">
        <v>55225.209217905831</v>
      </c>
      <c r="BP192" s="126">
        <v>45307.993106662609</v>
      </c>
      <c r="BQ192" s="126">
        <v>245821.23567192734</v>
      </c>
      <c r="BR192" s="126">
        <v>9173.8809702038143</v>
      </c>
      <c r="BS192" s="126">
        <v>10185.834002380961</v>
      </c>
      <c r="BT192" s="126">
        <v>50816.553826893236</v>
      </c>
      <c r="BU192" s="126">
        <v>0</v>
      </c>
      <c r="BV192" s="126">
        <v>396.52007851742695</v>
      </c>
      <c r="BW192" s="126">
        <v>61343.508887118354</v>
      </c>
      <c r="BX192" s="126">
        <v>217630.80854932856</v>
      </c>
      <c r="BY192" s="126">
        <v>191394.18333842341</v>
      </c>
      <c r="BZ192" s="126">
        <v>36436.469531317816</v>
      </c>
      <c r="CA192" s="137">
        <v>164715.68844589641</v>
      </c>
      <c r="CB192" s="126">
        <v>6012.5999999999995</v>
      </c>
      <c r="CC192" s="126">
        <v>157805.33484581282</v>
      </c>
      <c r="CD192" s="126">
        <v>0</v>
      </c>
      <c r="CE192" s="126">
        <v>0</v>
      </c>
      <c r="CF192" s="126">
        <v>897.7536000835878</v>
      </c>
      <c r="CG192" s="137">
        <v>54720.222927224808</v>
      </c>
      <c r="CH192" s="126">
        <v>14190</v>
      </c>
      <c r="CI192" s="126">
        <v>40530.222927224808</v>
      </c>
      <c r="CJ192" s="120"/>
      <c r="CK192" s="138">
        <v>3417596.1236398271</v>
      </c>
      <c r="CL192" s="139">
        <v>79.604124708607657</v>
      </c>
      <c r="CM192" s="140">
        <v>1854938.8800000001</v>
      </c>
      <c r="CN192" s="125">
        <v>1941.72</v>
      </c>
      <c r="CO192" s="125">
        <v>1941.72</v>
      </c>
      <c r="CP192" s="125">
        <v>0</v>
      </c>
      <c r="CQ192" s="125">
        <v>7566.24</v>
      </c>
      <c r="CR192" s="125">
        <v>4107.24</v>
      </c>
      <c r="CS192" s="125">
        <v>150748.08000000002</v>
      </c>
      <c r="CT192" s="125">
        <v>0</v>
      </c>
      <c r="CU192" s="141">
        <v>886.55421686746979</v>
      </c>
      <c r="CV192" s="142">
        <v>-1561770.6894229595</v>
      </c>
      <c r="CW192" s="143">
        <v>0</v>
      </c>
      <c r="CX192" s="140">
        <v>1925251.26</v>
      </c>
      <c r="CY192" s="140">
        <v>159871.01999999999</v>
      </c>
    </row>
    <row r="193" spans="1:103" ht="12" customHeight="1" x14ac:dyDescent="0.25">
      <c r="A193" s="122">
        <v>188</v>
      </c>
      <c r="B193" s="123" t="s">
        <v>239</v>
      </c>
      <c r="C193" s="124">
        <v>4230.2</v>
      </c>
      <c r="D193" s="125">
        <v>4230.2</v>
      </c>
      <c r="E193" s="125">
        <v>0</v>
      </c>
      <c r="F193" s="125">
        <v>712.9</v>
      </c>
      <c r="G193" s="124">
        <v>4230.2</v>
      </c>
      <c r="H193" s="124">
        <v>4230.2</v>
      </c>
      <c r="I193" s="126">
        <v>2</v>
      </c>
      <c r="J193" s="126">
        <v>0</v>
      </c>
      <c r="K193" s="127">
        <v>4.1860283270651333E-3</v>
      </c>
      <c r="L193" s="127">
        <v>5.9579553212299784E-3</v>
      </c>
      <c r="M193" s="127"/>
      <c r="N193" s="127"/>
      <c r="O193" s="128" t="s">
        <v>1489</v>
      </c>
      <c r="P193" s="129" t="s">
        <v>1493</v>
      </c>
      <c r="Q193" s="130">
        <v>6.91</v>
      </c>
      <c r="R193" s="130">
        <v>3.15</v>
      </c>
      <c r="S193" s="130">
        <v>1.81</v>
      </c>
      <c r="T193" s="38">
        <v>0.26</v>
      </c>
      <c r="U193" s="131">
        <v>45.06</v>
      </c>
      <c r="V193" s="144">
        <v>1</v>
      </c>
      <c r="W193" s="132">
        <v>2.4096385542168672E-3</v>
      </c>
      <c r="X193" s="133">
        <v>69543.307340817977</v>
      </c>
      <c r="Y193" s="134">
        <v>55998.43</v>
      </c>
      <c r="Z193" s="134">
        <v>9047.504153902526</v>
      </c>
      <c r="AA193" s="134">
        <v>2661.8757952404235</v>
      </c>
      <c r="AB193" s="134">
        <v>1835.497391675028</v>
      </c>
      <c r="AC193" s="126">
        <v>0</v>
      </c>
      <c r="AD193" s="126">
        <v>0</v>
      </c>
      <c r="AE193" s="126">
        <v>0</v>
      </c>
      <c r="AF193" s="126">
        <v>0</v>
      </c>
      <c r="AG193" s="126">
        <v>0</v>
      </c>
      <c r="AH193" s="126">
        <v>0</v>
      </c>
      <c r="AI193" s="126">
        <v>0</v>
      </c>
      <c r="AJ193" s="126">
        <v>0</v>
      </c>
      <c r="AK193" s="126">
        <v>0</v>
      </c>
      <c r="AL193" s="126">
        <v>0</v>
      </c>
      <c r="AM193" s="126">
        <v>0</v>
      </c>
      <c r="AN193" s="126">
        <v>0</v>
      </c>
      <c r="AO193" s="126">
        <v>0</v>
      </c>
      <c r="AP193" s="126">
        <v>0</v>
      </c>
      <c r="AQ193" s="126">
        <v>0</v>
      </c>
      <c r="AR193" s="126">
        <v>0</v>
      </c>
      <c r="AS193" s="126">
        <v>0</v>
      </c>
      <c r="AT193" s="126">
        <v>0</v>
      </c>
      <c r="AU193" s="126">
        <v>0</v>
      </c>
      <c r="AV193" s="126">
        <v>0</v>
      </c>
      <c r="AW193" s="135">
        <v>337192.24678743316</v>
      </c>
      <c r="AX193" s="136">
        <v>291524.52941553417</v>
      </c>
      <c r="AY193" s="136">
        <v>27095.01072551699</v>
      </c>
      <c r="AZ193" s="126">
        <v>0</v>
      </c>
      <c r="BA193" s="126">
        <v>8187.9329665309506</v>
      </c>
      <c r="BB193" s="126">
        <v>0</v>
      </c>
      <c r="BC193" s="126">
        <v>0</v>
      </c>
      <c r="BD193" s="126">
        <v>1817.2625867973504</v>
      </c>
      <c r="BE193" s="126">
        <v>0</v>
      </c>
      <c r="BF193" s="126">
        <v>2381.1807417275741</v>
      </c>
      <c r="BG193" s="126">
        <v>1192.2020007930425</v>
      </c>
      <c r="BH193" s="126">
        <v>4994.1283505330057</v>
      </c>
      <c r="BI193" s="137">
        <v>631118.70072944637</v>
      </c>
      <c r="BJ193" s="126">
        <v>4469.9102893251547</v>
      </c>
      <c r="BK193" s="126">
        <v>6360.4190537907261</v>
      </c>
      <c r="BL193" s="126">
        <v>6823.1944031555886</v>
      </c>
      <c r="BM193" s="126">
        <v>6761.9668856291555</v>
      </c>
      <c r="BN193" s="126">
        <v>113736.90349708384</v>
      </c>
      <c r="BO193" s="126">
        <v>65297.168581374972</v>
      </c>
      <c r="BP193" s="126">
        <v>53571.253162591653</v>
      </c>
      <c r="BQ193" s="126">
        <v>290654.04900896864</v>
      </c>
      <c r="BR193" s="126">
        <v>10847.011007115236</v>
      </c>
      <c r="BS193" s="126">
        <v>12043.523771381599</v>
      </c>
      <c r="BT193" s="126">
        <v>60084.463761221952</v>
      </c>
      <c r="BU193" s="126">
        <v>0</v>
      </c>
      <c r="BV193" s="126">
        <v>468.83730780792672</v>
      </c>
      <c r="BW193" s="126">
        <v>72531.322160686497</v>
      </c>
      <c r="BX193" s="126">
        <v>257322.25908415174</v>
      </c>
      <c r="BY193" s="126">
        <v>226300.60495798939</v>
      </c>
      <c r="BZ193" s="126">
        <v>43081.743413752025</v>
      </c>
      <c r="CA193" s="137">
        <v>185723.08767137112</v>
      </c>
      <c r="CB193" s="126">
        <v>6559.4879999999994</v>
      </c>
      <c r="CC193" s="126">
        <v>178102.11400206579</v>
      </c>
      <c r="CD193" s="126">
        <v>0</v>
      </c>
      <c r="CE193" s="126">
        <v>0</v>
      </c>
      <c r="CF193" s="126">
        <v>1061.4856693053059</v>
      </c>
      <c r="CG193" s="137">
        <v>64482.114494436755</v>
      </c>
      <c r="CH193" s="126">
        <v>16560</v>
      </c>
      <c r="CI193" s="126">
        <v>47922.114494436755</v>
      </c>
      <c r="CJ193" s="120"/>
      <c r="CK193" s="138">
        <v>1887295.3866400851</v>
      </c>
      <c r="CL193" s="139">
        <v>37.179002305645227</v>
      </c>
      <c r="CM193" s="140">
        <v>2127862.12</v>
      </c>
      <c r="CN193" s="125">
        <v>2395.0400000000004</v>
      </c>
      <c r="CO193" s="125">
        <v>2395.0400000000004</v>
      </c>
      <c r="CP193" s="125">
        <v>0</v>
      </c>
      <c r="CQ193" s="125">
        <v>9332.49</v>
      </c>
      <c r="CR193" s="125">
        <v>5063.6400000000003</v>
      </c>
      <c r="CS193" s="125">
        <v>182711.25000000003</v>
      </c>
      <c r="CT193" s="125">
        <v>0</v>
      </c>
      <c r="CU193" s="141">
        <v>886.55421686746979</v>
      </c>
      <c r="CV193" s="142">
        <v>241453.28757678228</v>
      </c>
      <c r="CW193" s="143">
        <v>0.12746639188695896</v>
      </c>
      <c r="CX193" s="140">
        <v>2134659.4299999997</v>
      </c>
      <c r="CY193" s="140">
        <v>686012.82000000007</v>
      </c>
    </row>
    <row r="194" spans="1:103" ht="12" customHeight="1" x14ac:dyDescent="0.25">
      <c r="A194" s="122">
        <v>189</v>
      </c>
      <c r="B194" s="123" t="s">
        <v>240</v>
      </c>
      <c r="C194" s="124">
        <v>5455.0599999999995</v>
      </c>
      <c r="D194" s="125">
        <v>5434.9</v>
      </c>
      <c r="E194" s="125">
        <v>20.16</v>
      </c>
      <c r="F194" s="125">
        <v>1224.5999999999999</v>
      </c>
      <c r="G194" s="124">
        <v>5455.0599999999995</v>
      </c>
      <c r="H194" s="124">
        <v>5455.0599999999995</v>
      </c>
      <c r="I194" s="126">
        <v>1</v>
      </c>
      <c r="J194" s="126">
        <v>1</v>
      </c>
      <c r="K194" s="127">
        <v>4.3053369429921244E-3</v>
      </c>
      <c r="L194" s="127">
        <v>6.1277667385428594E-3</v>
      </c>
      <c r="M194" s="127"/>
      <c r="N194" s="127"/>
      <c r="O194" s="128" t="s">
        <v>1489</v>
      </c>
      <c r="P194" s="129" t="s">
        <v>1493</v>
      </c>
      <c r="Q194" s="130">
        <v>6.91</v>
      </c>
      <c r="R194" s="130">
        <v>3.15</v>
      </c>
      <c r="S194" s="130">
        <v>1.81</v>
      </c>
      <c r="T194" s="38">
        <v>0.26</v>
      </c>
      <c r="U194" s="131">
        <v>45.06</v>
      </c>
      <c r="V194" s="144">
        <v>1</v>
      </c>
      <c r="W194" s="132">
        <v>2.4096385542168672E-3</v>
      </c>
      <c r="X194" s="133">
        <v>1056700.6189171688</v>
      </c>
      <c r="Y194" s="134">
        <v>124258.16</v>
      </c>
      <c r="Z194" s="134">
        <v>11667.220937494094</v>
      </c>
      <c r="AA194" s="134">
        <v>3432.6254492894486</v>
      </c>
      <c r="AB194" s="134">
        <v>2366.9680869535196</v>
      </c>
      <c r="AC194" s="126">
        <v>0</v>
      </c>
      <c r="AD194" s="126">
        <v>0</v>
      </c>
      <c r="AE194" s="126">
        <v>0</v>
      </c>
      <c r="AF194" s="126">
        <v>0</v>
      </c>
      <c r="AG194" s="126">
        <v>0</v>
      </c>
      <c r="AH194" s="126">
        <v>0</v>
      </c>
      <c r="AI194" s="126">
        <v>0</v>
      </c>
      <c r="AJ194" s="126">
        <v>0</v>
      </c>
      <c r="AK194" s="126">
        <v>0</v>
      </c>
      <c r="AL194" s="126">
        <v>0</v>
      </c>
      <c r="AM194" s="126">
        <v>0</v>
      </c>
      <c r="AN194" s="126">
        <v>0</v>
      </c>
      <c r="AO194" s="126">
        <v>0</v>
      </c>
      <c r="AP194" s="126">
        <v>0</v>
      </c>
      <c r="AQ194" s="126">
        <v>0</v>
      </c>
      <c r="AR194" s="126">
        <v>0</v>
      </c>
      <c r="AS194" s="126">
        <v>0</v>
      </c>
      <c r="AT194" s="126">
        <v>914975.64444343175</v>
      </c>
      <c r="AU194" s="126">
        <v>0</v>
      </c>
      <c r="AV194" s="126">
        <v>0</v>
      </c>
      <c r="AW194" s="135">
        <v>434826.70742760506</v>
      </c>
      <c r="AX194" s="136">
        <v>375935.84214304376</v>
      </c>
      <c r="AY194" s="136">
        <v>34940.406885806507</v>
      </c>
      <c r="AZ194" s="126">
        <v>0</v>
      </c>
      <c r="BA194" s="126">
        <v>10558.759776938283</v>
      </c>
      <c r="BB194" s="126">
        <v>0</v>
      </c>
      <c r="BC194" s="126">
        <v>0</v>
      </c>
      <c r="BD194" s="126">
        <v>2343.4533702271178</v>
      </c>
      <c r="BE194" s="126">
        <v>0</v>
      </c>
      <c r="BF194" s="126">
        <v>3070.654772107328</v>
      </c>
      <c r="BG194" s="126">
        <v>1537.4056655586246</v>
      </c>
      <c r="BH194" s="126">
        <v>6440.1848139233543</v>
      </c>
      <c r="BI194" s="137">
        <v>813859.95451779442</v>
      </c>
      <c r="BJ194" s="126">
        <v>5764.1787203645408</v>
      </c>
      <c r="BK194" s="126">
        <v>8202.0867957949122</v>
      </c>
      <c r="BL194" s="126">
        <v>8798.8593591030967</v>
      </c>
      <c r="BM194" s="126">
        <v>8719.9033329677495</v>
      </c>
      <c r="BN194" s="126">
        <v>146669.574202355</v>
      </c>
      <c r="BO194" s="126">
        <v>84204.050031089631</v>
      </c>
      <c r="BP194" s="126">
        <v>69082.880307580548</v>
      </c>
      <c r="BQ194" s="126">
        <v>374813.31298446038</v>
      </c>
      <c r="BR194" s="126">
        <v>13987.777378013814</v>
      </c>
      <c r="BS194" s="126">
        <v>15530.741994305919</v>
      </c>
      <c r="BT194" s="126">
        <v>77481.999641929797</v>
      </c>
      <c r="BU194" s="126">
        <v>0</v>
      </c>
      <c r="BV194" s="126">
        <v>604.5897698290172</v>
      </c>
      <c r="BW194" s="126">
        <v>93532.86233886682</v>
      </c>
      <c r="BX194" s="126">
        <v>331830.25924060156</v>
      </c>
      <c r="BY194" s="126">
        <v>291826.24416862789</v>
      </c>
      <c r="BZ194" s="126">
        <v>55556.119149596263</v>
      </c>
      <c r="CA194" s="137">
        <v>191106.64218306681</v>
      </c>
      <c r="CB194" s="126">
        <v>6559.4879999999994</v>
      </c>
      <c r="CC194" s="126">
        <v>183178.31393551335</v>
      </c>
      <c r="CD194" s="126">
        <v>0</v>
      </c>
      <c r="CE194" s="126">
        <v>0</v>
      </c>
      <c r="CF194" s="126">
        <v>1368.8402475534494</v>
      </c>
      <c r="CG194" s="137">
        <v>80698.026073004148</v>
      </c>
      <c r="CH194" s="126">
        <v>18900</v>
      </c>
      <c r="CI194" s="126">
        <v>61798.026073004148</v>
      </c>
      <c r="CJ194" s="120"/>
      <c r="CK194" s="138">
        <v>3349937.4340163325</v>
      </c>
      <c r="CL194" s="139">
        <v>51.174772199516489</v>
      </c>
      <c r="CM194" s="140">
        <v>2817097.03</v>
      </c>
      <c r="CN194" s="125">
        <v>4099.92</v>
      </c>
      <c r="CO194" s="125">
        <v>4099.92</v>
      </c>
      <c r="CP194" s="125">
        <v>0</v>
      </c>
      <c r="CQ194" s="125">
        <v>15974.16</v>
      </c>
      <c r="CR194" s="125">
        <v>8670.24</v>
      </c>
      <c r="CS194" s="125">
        <v>318225.12999999995</v>
      </c>
      <c r="CT194" s="125">
        <v>232058.77913840377</v>
      </c>
      <c r="CU194" s="141">
        <v>886.55421686746979</v>
      </c>
      <c r="CV194" s="142">
        <v>-299895.07066106144</v>
      </c>
      <c r="CW194" s="143">
        <v>0</v>
      </c>
      <c r="CX194" s="140">
        <v>2858874.9699999997</v>
      </c>
      <c r="CY194" s="140">
        <v>515775.92</v>
      </c>
    </row>
    <row r="195" spans="1:103" ht="12" customHeight="1" x14ac:dyDescent="0.25">
      <c r="A195" s="122">
        <v>190</v>
      </c>
      <c r="B195" s="123" t="s">
        <v>241</v>
      </c>
      <c r="C195" s="124">
        <v>4167.5</v>
      </c>
      <c r="D195" s="125">
        <v>4167.5</v>
      </c>
      <c r="E195" s="125">
        <v>0</v>
      </c>
      <c r="F195" s="125">
        <v>1164.5999999999999</v>
      </c>
      <c r="G195" s="124">
        <v>4167.5</v>
      </c>
      <c r="H195" s="124">
        <v>4167.5</v>
      </c>
      <c r="I195" s="126">
        <v>2</v>
      </c>
      <c r="J195" s="126">
        <v>0</v>
      </c>
      <c r="K195" s="127">
        <v>3.9379633232224159E-3</v>
      </c>
      <c r="L195" s="127">
        <v>5.6048855151563373E-3</v>
      </c>
      <c r="M195" s="127"/>
      <c r="N195" s="127"/>
      <c r="O195" s="128" t="s">
        <v>1489</v>
      </c>
      <c r="P195" s="129" t="s">
        <v>1493</v>
      </c>
      <c r="Q195" s="130">
        <v>6.91</v>
      </c>
      <c r="R195" s="130">
        <v>3.15</v>
      </c>
      <c r="S195" s="130">
        <v>1.81</v>
      </c>
      <c r="T195" s="38">
        <v>0.26</v>
      </c>
      <c r="U195" s="131">
        <v>45.06</v>
      </c>
      <c r="V195" s="144">
        <v>1</v>
      </c>
      <c r="W195" s="132">
        <v>2.4096385542168672E-3</v>
      </c>
      <c r="X195" s="133">
        <v>105974.5152469999</v>
      </c>
      <c r="Y195" s="134">
        <v>66743.13</v>
      </c>
      <c r="Z195" s="134">
        <v>8913.4020995198298</v>
      </c>
      <c r="AA195" s="134">
        <v>2622.4214875571997</v>
      </c>
      <c r="AB195" s="134">
        <v>1808.2916599228595</v>
      </c>
      <c r="AC195" s="126">
        <v>25887.27</v>
      </c>
      <c r="AD195" s="126">
        <v>0</v>
      </c>
      <c r="AE195" s="126">
        <v>0</v>
      </c>
      <c r="AF195" s="126">
        <v>0</v>
      </c>
      <c r="AG195" s="126">
        <v>0</v>
      </c>
      <c r="AH195" s="126">
        <v>0</v>
      </c>
      <c r="AI195" s="126">
        <v>0</v>
      </c>
      <c r="AJ195" s="126">
        <v>0</v>
      </c>
      <c r="AK195" s="126">
        <v>0</v>
      </c>
      <c r="AL195" s="126">
        <v>0</v>
      </c>
      <c r="AM195" s="126">
        <v>0</v>
      </c>
      <c r="AN195" s="126">
        <v>0</v>
      </c>
      <c r="AO195" s="126">
        <v>0</v>
      </c>
      <c r="AP195" s="126">
        <v>0</v>
      </c>
      <c r="AQ195" s="126">
        <v>0</v>
      </c>
      <c r="AR195" s="126">
        <v>0</v>
      </c>
      <c r="AS195" s="126">
        <v>0</v>
      </c>
      <c r="AT195" s="126">
        <v>0</v>
      </c>
      <c r="AU195" s="126">
        <v>0</v>
      </c>
      <c r="AV195" s="126">
        <v>0</v>
      </c>
      <c r="AW195" s="135">
        <v>332194.38525049115</v>
      </c>
      <c r="AX195" s="136">
        <v>287203.55452206486</v>
      </c>
      <c r="AY195" s="136">
        <v>26693.408632828719</v>
      </c>
      <c r="AZ195" s="126">
        <v>0</v>
      </c>
      <c r="BA195" s="126">
        <v>8066.5714713294265</v>
      </c>
      <c r="BB195" s="126">
        <v>0</v>
      </c>
      <c r="BC195" s="126">
        <v>0</v>
      </c>
      <c r="BD195" s="126">
        <v>1790.3271312178995</v>
      </c>
      <c r="BE195" s="126">
        <v>0</v>
      </c>
      <c r="BF195" s="126">
        <v>2345.8868945084546</v>
      </c>
      <c r="BG195" s="126">
        <v>1174.5311896139674</v>
      </c>
      <c r="BH195" s="126">
        <v>4920.1054089277814</v>
      </c>
      <c r="BI195" s="137">
        <v>621764.26298755826</v>
      </c>
      <c r="BJ195" s="126">
        <v>4403.6573047994389</v>
      </c>
      <c r="BK195" s="126">
        <v>6266.1449592626477</v>
      </c>
      <c r="BL195" s="126">
        <v>6722.0610550685351</v>
      </c>
      <c r="BM195" s="126">
        <v>6661.741051453715</v>
      </c>
      <c r="BN195" s="126">
        <v>112051.09576949007</v>
      </c>
      <c r="BO195" s="126">
        <v>64329.334325299089</v>
      </c>
      <c r="BP195" s="126">
        <v>52777.220357217324</v>
      </c>
      <c r="BQ195" s="126">
        <v>286345.97637106443</v>
      </c>
      <c r="BR195" s="126">
        <v>10686.236672533863</v>
      </c>
      <c r="BS195" s="126">
        <v>11865.014731509813</v>
      </c>
      <c r="BT195" s="126">
        <v>59193.892185923243</v>
      </c>
      <c r="BU195" s="126">
        <v>0</v>
      </c>
      <c r="BV195" s="126">
        <v>461.88820393587412</v>
      </c>
      <c r="BW195" s="126">
        <v>71456.26332198501</v>
      </c>
      <c r="BX195" s="126">
        <v>253508.23004425381</v>
      </c>
      <c r="BY195" s="126">
        <v>222946.37869661502</v>
      </c>
      <c r="BZ195" s="126">
        <v>42443.186061370994</v>
      </c>
      <c r="CA195" s="137">
        <v>175152.98199578395</v>
      </c>
      <c r="CB195" s="126">
        <v>6559.4879999999994</v>
      </c>
      <c r="CC195" s="126">
        <v>167547.74166094637</v>
      </c>
      <c r="CD195" s="126">
        <v>0</v>
      </c>
      <c r="CE195" s="126">
        <v>0</v>
      </c>
      <c r="CF195" s="126">
        <v>1045.7523348375639</v>
      </c>
      <c r="CG195" s="137">
        <v>63941.81718981731</v>
      </c>
      <c r="CH195" s="126">
        <v>16730.004000000001</v>
      </c>
      <c r="CI195" s="126">
        <v>47211.813189817309</v>
      </c>
      <c r="CJ195" s="120"/>
      <c r="CK195" s="138">
        <v>1889382.0207948755</v>
      </c>
      <c r="CL195" s="139">
        <v>37.780084399017703</v>
      </c>
      <c r="CM195" s="140">
        <v>2165317.3200000003</v>
      </c>
      <c r="CN195" s="125">
        <v>3917.8</v>
      </c>
      <c r="CO195" s="125">
        <v>3917.8</v>
      </c>
      <c r="CP195" s="125">
        <v>0</v>
      </c>
      <c r="CQ195" s="125">
        <v>15266.779999999999</v>
      </c>
      <c r="CR195" s="125">
        <v>8286.81</v>
      </c>
      <c r="CS195" s="125">
        <v>304204.62</v>
      </c>
      <c r="CT195" s="125">
        <v>0</v>
      </c>
      <c r="CU195" s="141">
        <v>886.55421686746979</v>
      </c>
      <c r="CV195" s="142">
        <v>276821.85342199216</v>
      </c>
      <c r="CW195" s="143">
        <v>0.14604526568376941</v>
      </c>
      <c r="CX195" s="140">
        <v>2144412.0699999998</v>
      </c>
      <c r="CY195" s="140">
        <v>195595.68</v>
      </c>
    </row>
    <row r="196" spans="1:103" ht="12" customHeight="1" x14ac:dyDescent="0.25">
      <c r="A196" s="122">
        <v>191</v>
      </c>
      <c r="B196" s="123" t="s">
        <v>242</v>
      </c>
      <c r="C196" s="124">
        <v>4184.8</v>
      </c>
      <c r="D196" s="125">
        <v>4184.8</v>
      </c>
      <c r="E196" s="125">
        <v>0</v>
      </c>
      <c r="F196" s="125">
        <v>1100.4000000000001</v>
      </c>
      <c r="G196" s="124">
        <v>4184.8</v>
      </c>
      <c r="H196" s="124">
        <v>4184.8</v>
      </c>
      <c r="I196" s="126">
        <v>2</v>
      </c>
      <c r="J196" s="126">
        <v>0</v>
      </c>
      <c r="K196" s="127">
        <v>4.1860283270651333E-3</v>
      </c>
      <c r="L196" s="127">
        <v>5.9579553212299784E-3</v>
      </c>
      <c r="M196" s="127"/>
      <c r="N196" s="127"/>
      <c r="O196" s="128" t="s">
        <v>1489</v>
      </c>
      <c r="P196" s="129" t="s">
        <v>1493</v>
      </c>
      <c r="Q196" s="130">
        <v>6.91</v>
      </c>
      <c r="R196" s="130">
        <v>3.15</v>
      </c>
      <c r="S196" s="130">
        <v>1.81</v>
      </c>
      <c r="T196" s="38">
        <v>0.26</v>
      </c>
      <c r="U196" s="131">
        <v>45.06</v>
      </c>
      <c r="V196" s="144">
        <v>1</v>
      </c>
      <c r="W196" s="132">
        <v>2.4096385542168672E-3</v>
      </c>
      <c r="X196" s="133">
        <v>907364.80495026056</v>
      </c>
      <c r="Y196" s="134">
        <v>101479.12</v>
      </c>
      <c r="Z196" s="134">
        <v>8950.4031448279748</v>
      </c>
      <c r="AA196" s="134">
        <v>2633.3076043501787</v>
      </c>
      <c r="AB196" s="134">
        <v>1815.7981855897258</v>
      </c>
      <c r="AC196" s="126">
        <v>0</v>
      </c>
      <c r="AD196" s="126">
        <v>0</v>
      </c>
      <c r="AE196" s="126">
        <v>0</v>
      </c>
      <c r="AF196" s="126">
        <v>0</v>
      </c>
      <c r="AG196" s="126">
        <v>0</v>
      </c>
      <c r="AH196" s="126">
        <v>0</v>
      </c>
      <c r="AI196" s="126">
        <v>0</v>
      </c>
      <c r="AJ196" s="126">
        <v>0</v>
      </c>
      <c r="AK196" s="126">
        <v>65546.23</v>
      </c>
      <c r="AL196" s="126">
        <v>0</v>
      </c>
      <c r="AM196" s="126">
        <v>0</v>
      </c>
      <c r="AN196" s="126">
        <v>0</v>
      </c>
      <c r="AO196" s="126">
        <v>0</v>
      </c>
      <c r="AP196" s="126">
        <v>0</v>
      </c>
      <c r="AQ196" s="126">
        <v>0</v>
      </c>
      <c r="AR196" s="126">
        <v>0</v>
      </c>
      <c r="AS196" s="126">
        <v>0</v>
      </c>
      <c r="AT196" s="126">
        <v>726939.94601549266</v>
      </c>
      <c r="AU196" s="126">
        <v>0</v>
      </c>
      <c r="AV196" s="126">
        <v>0</v>
      </c>
      <c r="AW196" s="135">
        <v>333573.38053899346</v>
      </c>
      <c r="AX196" s="136">
        <v>288395.78523429803</v>
      </c>
      <c r="AY196" s="136">
        <v>26804.217503698052</v>
      </c>
      <c r="AZ196" s="126">
        <v>0</v>
      </c>
      <c r="BA196" s="126">
        <v>8100.0571789368651</v>
      </c>
      <c r="BB196" s="126">
        <v>0</v>
      </c>
      <c r="BC196" s="126">
        <v>0</v>
      </c>
      <c r="BD196" s="126">
        <v>1797.7590830763445</v>
      </c>
      <c r="BE196" s="126">
        <v>0</v>
      </c>
      <c r="BF196" s="126">
        <v>2355.6250692595036</v>
      </c>
      <c r="BG196" s="126">
        <v>1179.4068679775719</v>
      </c>
      <c r="BH196" s="126">
        <v>4940.5296017470855</v>
      </c>
      <c r="BI196" s="137">
        <v>624345.31199768046</v>
      </c>
      <c r="BJ196" s="126">
        <v>4421.9376338631537</v>
      </c>
      <c r="BK196" s="126">
        <v>6292.1567907672052</v>
      </c>
      <c r="BL196" s="126">
        <v>6749.9654716858558</v>
      </c>
      <c r="BM196" s="126">
        <v>6689.395069495743</v>
      </c>
      <c r="BN196" s="126">
        <v>112516.2388905008</v>
      </c>
      <c r="BO196" s="126">
        <v>64596.376313020191</v>
      </c>
      <c r="BP196" s="126">
        <v>52996.307558700195</v>
      </c>
      <c r="BQ196" s="126">
        <v>287534.64713080518</v>
      </c>
      <c r="BR196" s="126">
        <v>10730.597055121707</v>
      </c>
      <c r="BS196" s="126">
        <v>11914.268421936957</v>
      </c>
      <c r="BT196" s="126">
        <v>59439.616081500084</v>
      </c>
      <c r="BU196" s="126">
        <v>0</v>
      </c>
      <c r="BV196" s="126">
        <v>463.80558028334639</v>
      </c>
      <c r="BW196" s="126">
        <v>71752.890401881916</v>
      </c>
      <c r="BX196" s="126">
        <v>254560.58574425755</v>
      </c>
      <c r="BY196" s="126">
        <v>223871.86696331005</v>
      </c>
      <c r="BZ196" s="126">
        <v>42619.374932123661</v>
      </c>
      <c r="CA196" s="137">
        <v>185711.69543237853</v>
      </c>
      <c r="CB196" s="126">
        <v>6559.4879999999994</v>
      </c>
      <c r="CC196" s="126">
        <v>178102.11400206579</v>
      </c>
      <c r="CD196" s="126">
        <v>0</v>
      </c>
      <c r="CE196" s="126">
        <v>0</v>
      </c>
      <c r="CF196" s="126">
        <v>1050.0934303127144</v>
      </c>
      <c r="CG196" s="137">
        <v>63967.797441331131</v>
      </c>
      <c r="CH196" s="126">
        <v>16560</v>
      </c>
      <c r="CI196" s="126">
        <v>47407.797441331131</v>
      </c>
      <c r="CJ196" s="120"/>
      <c r="CK196" s="138">
        <v>2707767.7084022178</v>
      </c>
      <c r="CL196" s="139">
        <v>53.920691319422225</v>
      </c>
      <c r="CM196" s="140">
        <v>2167183.21</v>
      </c>
      <c r="CN196" s="125">
        <v>3693.46</v>
      </c>
      <c r="CO196" s="125">
        <v>3693.46</v>
      </c>
      <c r="CP196" s="125">
        <v>0</v>
      </c>
      <c r="CQ196" s="125">
        <v>14397.330000000002</v>
      </c>
      <c r="CR196" s="125">
        <v>7812.63</v>
      </c>
      <c r="CS196" s="125">
        <v>286726.03999999998</v>
      </c>
      <c r="CT196" s="125">
        <v>0</v>
      </c>
      <c r="CU196" s="141">
        <v>886.55421686746979</v>
      </c>
      <c r="CV196" s="142">
        <v>-539697.94418535056</v>
      </c>
      <c r="CW196" s="143">
        <v>0</v>
      </c>
      <c r="CX196" s="140">
        <v>2148507.4299999997</v>
      </c>
      <c r="CY196" s="140">
        <v>423078.87</v>
      </c>
    </row>
    <row r="197" spans="1:103" ht="12" customHeight="1" x14ac:dyDescent="0.25">
      <c r="A197" s="122">
        <v>192</v>
      </c>
      <c r="B197" s="123" t="s">
        <v>243</v>
      </c>
      <c r="C197" s="124">
        <v>5377.9</v>
      </c>
      <c r="D197" s="125">
        <v>5377.9</v>
      </c>
      <c r="E197" s="125">
        <v>0</v>
      </c>
      <c r="F197" s="125">
        <v>1226.3</v>
      </c>
      <c r="G197" s="124">
        <v>5377.9</v>
      </c>
      <c r="H197" s="124">
        <v>5377.9</v>
      </c>
      <c r="I197" s="126">
        <v>1</v>
      </c>
      <c r="J197" s="126">
        <v>1</v>
      </c>
      <c r="K197" s="127">
        <v>4.3053369429921244E-3</v>
      </c>
      <c r="L197" s="127">
        <v>6.1277667385428594E-3</v>
      </c>
      <c r="M197" s="127"/>
      <c r="N197" s="127"/>
      <c r="O197" s="128" t="s">
        <v>1489</v>
      </c>
      <c r="P197" s="129" t="s">
        <v>1493</v>
      </c>
      <c r="Q197" s="130">
        <v>6.91</v>
      </c>
      <c r="R197" s="130">
        <v>3.15</v>
      </c>
      <c r="S197" s="130">
        <v>1.81</v>
      </c>
      <c r="T197" s="38">
        <v>0.26</v>
      </c>
      <c r="U197" s="131">
        <v>45.06</v>
      </c>
      <c r="V197" s="144">
        <v>1</v>
      </c>
      <c r="W197" s="132">
        <v>2.4096385542168672E-3</v>
      </c>
      <c r="X197" s="133">
        <v>184920.08222239729</v>
      </c>
      <c r="Y197" s="134">
        <v>28549.38</v>
      </c>
      <c r="Z197" s="134">
        <v>11502.191997842276</v>
      </c>
      <c r="AA197" s="134">
        <v>3384.0721098821509</v>
      </c>
      <c r="AB197" s="134">
        <v>2333.4881146728603</v>
      </c>
      <c r="AC197" s="126">
        <v>0</v>
      </c>
      <c r="AD197" s="126">
        <v>0</v>
      </c>
      <c r="AE197" s="126">
        <v>0</v>
      </c>
      <c r="AF197" s="126">
        <v>0</v>
      </c>
      <c r="AG197" s="126">
        <v>0</v>
      </c>
      <c r="AH197" s="126">
        <v>0</v>
      </c>
      <c r="AI197" s="126">
        <v>0</v>
      </c>
      <c r="AJ197" s="126">
        <v>0</v>
      </c>
      <c r="AK197" s="126">
        <v>0</v>
      </c>
      <c r="AL197" s="126">
        <v>0</v>
      </c>
      <c r="AM197" s="126">
        <v>0</v>
      </c>
      <c r="AN197" s="126">
        <v>0</v>
      </c>
      <c r="AO197" s="126">
        <v>0</v>
      </c>
      <c r="AP197" s="126">
        <v>139150.95000000001</v>
      </c>
      <c r="AQ197" s="126">
        <v>0</v>
      </c>
      <c r="AR197" s="126">
        <v>0</v>
      </c>
      <c r="AS197" s="126">
        <v>0</v>
      </c>
      <c r="AT197" s="126">
        <v>0</v>
      </c>
      <c r="AU197" s="126">
        <v>0</v>
      </c>
      <c r="AV197" s="126">
        <v>0</v>
      </c>
      <c r="AW197" s="135">
        <v>428676.22901946394</v>
      </c>
      <c r="AX197" s="136">
        <v>370618.35533634369</v>
      </c>
      <c r="AY197" s="136">
        <v>34446.186511455206</v>
      </c>
      <c r="AZ197" s="126">
        <v>0</v>
      </c>
      <c r="BA197" s="126">
        <v>10409.409649829038</v>
      </c>
      <c r="BB197" s="126">
        <v>0</v>
      </c>
      <c r="BC197" s="126">
        <v>0</v>
      </c>
      <c r="BD197" s="126">
        <v>2310.3060057532671</v>
      </c>
      <c r="BE197" s="126">
        <v>0</v>
      </c>
      <c r="BF197" s="126">
        <v>3027.2213869171005</v>
      </c>
      <c r="BG197" s="126">
        <v>1515.6595763947103</v>
      </c>
      <c r="BH197" s="126">
        <v>6349.0905527708974</v>
      </c>
      <c r="BI197" s="137">
        <v>802348.17754548008</v>
      </c>
      <c r="BJ197" s="126">
        <v>5682.6463394075345</v>
      </c>
      <c r="BK197" s="126">
        <v>8086.0710201364345</v>
      </c>
      <c r="BL197" s="126">
        <v>8674.4024350457275</v>
      </c>
      <c r="BM197" s="126">
        <v>8596.5632155040021</v>
      </c>
      <c r="BN197" s="126">
        <v>144594.98210887596</v>
      </c>
      <c r="BO197" s="126">
        <v>83013.011893947449</v>
      </c>
      <c r="BP197" s="126">
        <v>68105.726060966772</v>
      </c>
      <c r="BQ197" s="126">
        <v>369511.70397743187</v>
      </c>
      <c r="BR197" s="126">
        <v>13789.924943304104</v>
      </c>
      <c r="BS197" s="126">
        <v>15311.064840932602</v>
      </c>
      <c r="BT197" s="126">
        <v>76386.042660270323</v>
      </c>
      <c r="BU197" s="126">
        <v>0</v>
      </c>
      <c r="BV197" s="126">
        <v>596.03804965728546</v>
      </c>
      <c r="BW197" s="126">
        <v>92209.871270378673</v>
      </c>
      <c r="BX197" s="126">
        <v>327136.63115896645</v>
      </c>
      <c r="BY197" s="126">
        <v>287698.45950630493</v>
      </c>
      <c r="BZ197" s="126">
        <v>54770.296417383819</v>
      </c>
      <c r="CA197" s="137">
        <v>191087.28039538689</v>
      </c>
      <c r="CB197" s="126">
        <v>6559.4879999999994</v>
      </c>
      <c r="CC197" s="126">
        <v>183178.31393551335</v>
      </c>
      <c r="CD197" s="126">
        <v>0</v>
      </c>
      <c r="CE197" s="126">
        <v>0</v>
      </c>
      <c r="CF197" s="126">
        <v>1349.4784598735296</v>
      </c>
      <c r="CG197" s="137">
        <v>79823.913654113625</v>
      </c>
      <c r="CH197" s="126">
        <v>18900</v>
      </c>
      <c r="CI197" s="126">
        <v>60923.913654113618</v>
      </c>
      <c r="CJ197" s="120"/>
      <c r="CK197" s="138">
        <v>2448670.9411898758</v>
      </c>
      <c r="CL197" s="139">
        <v>37.943418763053053</v>
      </c>
      <c r="CM197" s="140">
        <v>2790105.02</v>
      </c>
      <c r="CN197" s="125">
        <v>4121.18</v>
      </c>
      <c r="CO197" s="125">
        <v>4121.18</v>
      </c>
      <c r="CP197" s="125">
        <v>0</v>
      </c>
      <c r="CQ197" s="125">
        <v>16058.36</v>
      </c>
      <c r="CR197" s="125">
        <v>8714.4000000000015</v>
      </c>
      <c r="CS197" s="125">
        <v>320005.15999999997</v>
      </c>
      <c r="CT197" s="125">
        <v>0</v>
      </c>
      <c r="CU197" s="141">
        <v>886.55421686746979</v>
      </c>
      <c r="CV197" s="142">
        <v>342320.63302699151</v>
      </c>
      <c r="CW197" s="143">
        <v>0.13943648902216821</v>
      </c>
      <c r="CX197" s="140">
        <v>2854355.53</v>
      </c>
      <c r="CY197" s="140">
        <v>369664.9</v>
      </c>
    </row>
    <row r="198" spans="1:103" ht="12" customHeight="1" x14ac:dyDescent="0.25">
      <c r="A198" s="122">
        <v>193</v>
      </c>
      <c r="B198" s="123" t="s">
        <v>244</v>
      </c>
      <c r="C198" s="124">
        <v>5357</v>
      </c>
      <c r="D198" s="125">
        <v>5357</v>
      </c>
      <c r="E198" s="125">
        <v>0</v>
      </c>
      <c r="F198" s="125">
        <v>1216.7</v>
      </c>
      <c r="G198" s="124">
        <v>5357</v>
      </c>
      <c r="H198" s="124">
        <v>5357</v>
      </c>
      <c r="I198" s="126">
        <v>1</v>
      </c>
      <c r="J198" s="126">
        <v>1</v>
      </c>
      <c r="K198" s="127">
        <v>4.3053369429921244E-3</v>
      </c>
      <c r="L198" s="127">
        <v>6.1277667385428594E-3</v>
      </c>
      <c r="M198" s="127"/>
      <c r="N198" s="127"/>
      <c r="O198" s="128" t="s">
        <v>1489</v>
      </c>
      <c r="P198" s="129" t="s">
        <v>1493</v>
      </c>
      <c r="Q198" s="130">
        <v>6.91</v>
      </c>
      <c r="R198" s="130">
        <v>3.15</v>
      </c>
      <c r="S198" s="130">
        <v>1.81</v>
      </c>
      <c r="T198" s="38">
        <v>0.26</v>
      </c>
      <c r="U198" s="131">
        <v>45.06</v>
      </c>
      <c r="V198" s="144">
        <v>1</v>
      </c>
      <c r="W198" s="132">
        <v>2.4096385542168672E-3</v>
      </c>
      <c r="X198" s="133">
        <v>216777.3315244579</v>
      </c>
      <c r="Y198" s="134">
        <v>26913.02</v>
      </c>
      <c r="Z198" s="134">
        <v>11457.491313048045</v>
      </c>
      <c r="AA198" s="134">
        <v>3370.9206739877432</v>
      </c>
      <c r="AB198" s="134">
        <v>2324.4195374221376</v>
      </c>
      <c r="AC198" s="126">
        <v>0</v>
      </c>
      <c r="AD198" s="126">
        <v>0</v>
      </c>
      <c r="AE198" s="126">
        <v>10739.93</v>
      </c>
      <c r="AF198" s="126">
        <v>0</v>
      </c>
      <c r="AG198" s="126">
        <v>0</v>
      </c>
      <c r="AH198" s="126">
        <v>0</v>
      </c>
      <c r="AI198" s="126">
        <v>0</v>
      </c>
      <c r="AJ198" s="126">
        <v>0</v>
      </c>
      <c r="AK198" s="126">
        <v>0</v>
      </c>
      <c r="AL198" s="126">
        <v>0</v>
      </c>
      <c r="AM198" s="126">
        <v>0</v>
      </c>
      <c r="AN198" s="126">
        <v>0</v>
      </c>
      <c r="AO198" s="126">
        <v>0</v>
      </c>
      <c r="AP198" s="126">
        <v>161971.54999999999</v>
      </c>
      <c r="AQ198" s="126">
        <v>0</v>
      </c>
      <c r="AR198" s="126">
        <v>0</v>
      </c>
      <c r="AS198" s="126">
        <v>0</v>
      </c>
      <c r="AT198" s="126">
        <v>0</v>
      </c>
      <c r="AU198" s="126">
        <v>0</v>
      </c>
      <c r="AV198" s="126">
        <v>0</v>
      </c>
      <c r="AW198" s="135">
        <v>427010.2751738166</v>
      </c>
      <c r="AX198" s="136">
        <v>369178.03037185397</v>
      </c>
      <c r="AY198" s="136">
        <v>34312.319147225782</v>
      </c>
      <c r="AZ198" s="126">
        <v>0</v>
      </c>
      <c r="BA198" s="126">
        <v>10368.955818095197</v>
      </c>
      <c r="BB198" s="126">
        <v>0</v>
      </c>
      <c r="BC198" s="126">
        <v>0</v>
      </c>
      <c r="BD198" s="126">
        <v>2301.3275205601167</v>
      </c>
      <c r="BE198" s="126">
        <v>0</v>
      </c>
      <c r="BF198" s="126">
        <v>3015.4567711773943</v>
      </c>
      <c r="BG198" s="126">
        <v>1509.7693060016852</v>
      </c>
      <c r="BH198" s="126">
        <v>6324.4162389024896</v>
      </c>
      <c r="BI198" s="137">
        <v>799230.03163151734</v>
      </c>
      <c r="BJ198" s="126">
        <v>5660.5620112322958</v>
      </c>
      <c r="BK198" s="126">
        <v>8054.6463219604084</v>
      </c>
      <c r="BL198" s="126">
        <v>8640.6913190167106</v>
      </c>
      <c r="BM198" s="126">
        <v>8563.1546041121892</v>
      </c>
      <c r="BN198" s="126">
        <v>144033.04619967807</v>
      </c>
      <c r="BO198" s="126">
        <v>82690.40047525549</v>
      </c>
      <c r="BP198" s="126">
        <v>67841.048459175334</v>
      </c>
      <c r="BQ198" s="126">
        <v>368075.67976479715</v>
      </c>
      <c r="BR198" s="126">
        <v>13736.333498443648</v>
      </c>
      <c r="BS198" s="126">
        <v>15251.561827642008</v>
      </c>
      <c r="BT198" s="126">
        <v>76089.185468504089</v>
      </c>
      <c r="BU198" s="126">
        <v>0</v>
      </c>
      <c r="BV198" s="126">
        <v>593.72168169993461</v>
      </c>
      <c r="BW198" s="126">
        <v>91851.518324144854</v>
      </c>
      <c r="BX198" s="126">
        <v>325865.28814566712</v>
      </c>
      <c r="BY198" s="126">
        <v>286580.38408584683</v>
      </c>
      <c r="BZ198" s="126">
        <v>54557.443966590145</v>
      </c>
      <c r="CA198" s="137">
        <v>191082.03595056431</v>
      </c>
      <c r="CB198" s="126">
        <v>6559.4879999999994</v>
      </c>
      <c r="CC198" s="126">
        <v>183178.31393551335</v>
      </c>
      <c r="CD198" s="126">
        <v>0</v>
      </c>
      <c r="CE198" s="126">
        <v>0</v>
      </c>
      <c r="CF198" s="126">
        <v>1344.234015050949</v>
      </c>
      <c r="CG198" s="137">
        <v>79437.146552573802</v>
      </c>
      <c r="CH198" s="126">
        <v>18750</v>
      </c>
      <c r="CI198" s="126">
        <v>60687.146552573802</v>
      </c>
      <c r="CJ198" s="120"/>
      <c r="CK198" s="138">
        <v>2472391.4553551795</v>
      </c>
      <c r="CL198" s="139">
        <v>38.460448250811702</v>
      </c>
      <c r="CM198" s="140">
        <v>2776767.41</v>
      </c>
      <c r="CN198" s="125">
        <v>2139.6400000000003</v>
      </c>
      <c r="CO198" s="125">
        <v>2043.13</v>
      </c>
      <c r="CP198" s="125">
        <v>0</v>
      </c>
      <c r="CQ198" s="125">
        <v>15917.65</v>
      </c>
      <c r="CR198" s="125">
        <v>8638.66</v>
      </c>
      <c r="CS198" s="125">
        <v>317224.84999999998</v>
      </c>
      <c r="CT198" s="125">
        <v>0</v>
      </c>
      <c r="CU198" s="141">
        <v>886.55421686746979</v>
      </c>
      <c r="CV198" s="142">
        <v>305262.50886168797</v>
      </c>
      <c r="CW198" s="143">
        <v>0.12310993632725298</v>
      </c>
      <c r="CX198" s="140">
        <v>2797054.85</v>
      </c>
      <c r="CY198" s="140">
        <v>397630.93</v>
      </c>
    </row>
    <row r="199" spans="1:103" ht="12" customHeight="1" x14ac:dyDescent="0.25">
      <c r="A199" s="122">
        <v>194</v>
      </c>
      <c r="B199" s="123" t="s">
        <v>245</v>
      </c>
      <c r="C199" s="124">
        <v>5375</v>
      </c>
      <c r="D199" s="125">
        <v>5375</v>
      </c>
      <c r="E199" s="125">
        <v>0</v>
      </c>
      <c r="F199" s="125">
        <v>2019.6</v>
      </c>
      <c r="G199" s="124">
        <v>5375</v>
      </c>
      <c r="H199" s="124">
        <v>5375</v>
      </c>
      <c r="I199" s="126">
        <v>1</v>
      </c>
      <c r="J199" s="126">
        <v>1</v>
      </c>
      <c r="K199" s="127">
        <v>4.3053369429921244E-3</v>
      </c>
      <c r="L199" s="127">
        <v>6.1277667385428594E-3</v>
      </c>
      <c r="M199" s="127"/>
      <c r="N199" s="127"/>
      <c r="O199" s="128" t="s">
        <v>1489</v>
      </c>
      <c r="P199" s="129" t="s">
        <v>1493</v>
      </c>
      <c r="Q199" s="130">
        <v>6.91</v>
      </c>
      <c r="R199" s="130">
        <v>3.15</v>
      </c>
      <c r="S199" s="130">
        <v>1.81</v>
      </c>
      <c r="T199" s="38">
        <v>0.26</v>
      </c>
      <c r="U199" s="131">
        <v>45.06</v>
      </c>
      <c r="V199" s="144">
        <v>1</v>
      </c>
      <c r="W199" s="132">
        <v>2.4096385542168672E-3</v>
      </c>
      <c r="X199" s="133">
        <v>928857.19747888809</v>
      </c>
      <c r="Y199" s="134">
        <v>4768.4399999999996</v>
      </c>
      <c r="Z199" s="134">
        <v>11495.989510478485</v>
      </c>
      <c r="AA199" s="134">
        <v>3382.2472694948888</v>
      </c>
      <c r="AB199" s="134">
        <v>2332.2297953414204</v>
      </c>
      <c r="AC199" s="126">
        <v>0</v>
      </c>
      <c r="AD199" s="126">
        <v>0</v>
      </c>
      <c r="AE199" s="126">
        <v>0</v>
      </c>
      <c r="AF199" s="126">
        <v>0</v>
      </c>
      <c r="AG199" s="126">
        <v>0</v>
      </c>
      <c r="AH199" s="126">
        <v>0</v>
      </c>
      <c r="AI199" s="126">
        <v>0</v>
      </c>
      <c r="AJ199" s="126">
        <v>0</v>
      </c>
      <c r="AK199" s="126">
        <v>0</v>
      </c>
      <c r="AL199" s="126">
        <v>0</v>
      </c>
      <c r="AM199" s="126">
        <v>0</v>
      </c>
      <c r="AN199" s="126">
        <v>0</v>
      </c>
      <c r="AO199" s="126">
        <v>0</v>
      </c>
      <c r="AP199" s="126">
        <v>0</v>
      </c>
      <c r="AQ199" s="126">
        <v>0</v>
      </c>
      <c r="AR199" s="126">
        <v>0</v>
      </c>
      <c r="AS199" s="126">
        <v>0</v>
      </c>
      <c r="AT199" s="126">
        <v>906878.29090357327</v>
      </c>
      <c r="AU199" s="126">
        <v>0</v>
      </c>
      <c r="AV199" s="126">
        <v>0</v>
      </c>
      <c r="AW199" s="135">
        <v>428445.06795954163</v>
      </c>
      <c r="AX199" s="136">
        <v>370418.501633137</v>
      </c>
      <c r="AY199" s="136">
        <v>34427.611614026246</v>
      </c>
      <c r="AZ199" s="126">
        <v>0</v>
      </c>
      <c r="BA199" s="126">
        <v>10403.796438727215</v>
      </c>
      <c r="BB199" s="126">
        <v>0</v>
      </c>
      <c r="BC199" s="126">
        <v>0</v>
      </c>
      <c r="BD199" s="126">
        <v>2309.0601872336433</v>
      </c>
      <c r="BE199" s="126">
        <v>0</v>
      </c>
      <c r="BF199" s="126">
        <v>3025.5889761206822</v>
      </c>
      <c r="BG199" s="126">
        <v>1514.8422661487882</v>
      </c>
      <c r="BH199" s="126">
        <v>6345.6668441480087</v>
      </c>
      <c r="BI199" s="137">
        <v>801915.51615071984</v>
      </c>
      <c r="BJ199" s="126">
        <v>5679.5820067899176</v>
      </c>
      <c r="BK199" s="126">
        <v>8081.7106553177518</v>
      </c>
      <c r="BL199" s="126">
        <v>8669.7248160751951</v>
      </c>
      <c r="BM199" s="126">
        <v>8591.9275708611203</v>
      </c>
      <c r="BN199" s="126">
        <v>144517.01014061406</v>
      </c>
      <c r="BO199" s="126">
        <v>82968.247630109807</v>
      </c>
      <c r="BP199" s="126">
        <v>68069.000460718205</v>
      </c>
      <c r="BQ199" s="126">
        <v>369312.44702926726</v>
      </c>
      <c r="BR199" s="126">
        <v>13782.488809806722</v>
      </c>
      <c r="BS199" s="126">
        <v>15302.808441959267</v>
      </c>
      <c r="BT199" s="126">
        <v>76344.851949451084</v>
      </c>
      <c r="BU199" s="126">
        <v>0</v>
      </c>
      <c r="BV199" s="126">
        <v>595.71663974932778</v>
      </c>
      <c r="BW199" s="126">
        <v>92160.147655829482</v>
      </c>
      <c r="BX199" s="126">
        <v>326960.22471214499</v>
      </c>
      <c r="BY199" s="126">
        <v>287543.31985466246</v>
      </c>
      <c r="BZ199" s="126">
        <v>54740.761866795227</v>
      </c>
      <c r="CA199" s="137">
        <v>191086.55269730146</v>
      </c>
      <c r="CB199" s="126">
        <v>6559.4879999999994</v>
      </c>
      <c r="CC199" s="126">
        <v>183178.31393551335</v>
      </c>
      <c r="CD199" s="126">
        <v>0</v>
      </c>
      <c r="CE199" s="126">
        <v>0</v>
      </c>
      <c r="CF199" s="126">
        <v>1348.7507617880999</v>
      </c>
      <c r="CG199" s="137">
        <v>79791.060802703782</v>
      </c>
      <c r="CH199" s="126">
        <v>18900</v>
      </c>
      <c r="CI199" s="126">
        <v>60891.060802703789</v>
      </c>
      <c r="CJ199" s="120"/>
      <c r="CK199" s="138">
        <v>3191499.8491785866</v>
      </c>
      <c r="CL199" s="139">
        <v>49.48061781672228</v>
      </c>
      <c r="CM199" s="140">
        <v>2786687.9800000004</v>
      </c>
      <c r="CN199" s="125">
        <v>6786.44</v>
      </c>
      <c r="CO199" s="125">
        <v>6786.44</v>
      </c>
      <c r="CP199" s="125">
        <v>0</v>
      </c>
      <c r="CQ199" s="125">
        <v>26444.29</v>
      </c>
      <c r="CR199" s="125">
        <v>14353.16</v>
      </c>
      <c r="CS199" s="125">
        <v>526849.02</v>
      </c>
      <c r="CT199" s="125">
        <v>0</v>
      </c>
      <c r="CU199" s="141">
        <v>886.55421686746979</v>
      </c>
      <c r="CV199" s="142">
        <v>-403925.31496171886</v>
      </c>
      <c r="CW199" s="143">
        <v>0</v>
      </c>
      <c r="CX199" s="140">
        <v>2674944.1799999997</v>
      </c>
      <c r="CY199" s="140">
        <v>530719.11</v>
      </c>
    </row>
    <row r="200" spans="1:103" ht="12" customHeight="1" x14ac:dyDescent="0.25">
      <c r="A200" s="122">
        <v>195</v>
      </c>
      <c r="B200" s="123" t="s">
        <v>246</v>
      </c>
      <c r="C200" s="124">
        <v>4210.2</v>
      </c>
      <c r="D200" s="125">
        <v>4210.2</v>
      </c>
      <c r="E200" s="125">
        <v>0</v>
      </c>
      <c r="F200" s="125">
        <v>1155.4000000000001</v>
      </c>
      <c r="G200" s="124">
        <v>4210.2</v>
      </c>
      <c r="H200" s="124">
        <v>4210.2</v>
      </c>
      <c r="I200" s="126">
        <v>2</v>
      </c>
      <c r="J200" s="126">
        <v>0</v>
      </c>
      <c r="K200" s="127">
        <v>3.9379633232224159E-3</v>
      </c>
      <c r="L200" s="127">
        <v>5.6048855151563373E-3</v>
      </c>
      <c r="M200" s="127"/>
      <c r="N200" s="127"/>
      <c r="O200" s="128" t="s">
        <v>1489</v>
      </c>
      <c r="P200" s="129" t="s">
        <v>1493</v>
      </c>
      <c r="Q200" s="130">
        <v>6.91</v>
      </c>
      <c r="R200" s="130">
        <v>3.15</v>
      </c>
      <c r="S200" s="130">
        <v>1.81</v>
      </c>
      <c r="T200" s="38">
        <v>0.26</v>
      </c>
      <c r="U200" s="131">
        <v>45.06</v>
      </c>
      <c r="V200" s="144">
        <v>1</v>
      </c>
      <c r="W200" s="132">
        <v>2.4096385542168672E-3</v>
      </c>
      <c r="X200" s="133">
        <v>13480.838395421459</v>
      </c>
      <c r="Y200" s="134">
        <v>0</v>
      </c>
      <c r="Z200" s="134">
        <v>9004.7283789798166</v>
      </c>
      <c r="AA200" s="134">
        <v>2649.2906891213729</v>
      </c>
      <c r="AB200" s="134">
        <v>1826.8193273202692</v>
      </c>
      <c r="AC200" s="126">
        <v>0</v>
      </c>
      <c r="AD200" s="126">
        <v>0</v>
      </c>
      <c r="AE200" s="126">
        <v>0</v>
      </c>
      <c r="AF200" s="126">
        <v>0</v>
      </c>
      <c r="AG200" s="126">
        <v>0</v>
      </c>
      <c r="AH200" s="126">
        <v>0</v>
      </c>
      <c r="AI200" s="126">
        <v>0</v>
      </c>
      <c r="AJ200" s="126">
        <v>0</v>
      </c>
      <c r="AK200" s="126">
        <v>0</v>
      </c>
      <c r="AL200" s="126">
        <v>0</v>
      </c>
      <c r="AM200" s="126">
        <v>0</v>
      </c>
      <c r="AN200" s="126">
        <v>0</v>
      </c>
      <c r="AO200" s="126">
        <v>0</v>
      </c>
      <c r="AP200" s="126">
        <v>0</v>
      </c>
      <c r="AQ200" s="126">
        <v>0</v>
      </c>
      <c r="AR200" s="126">
        <v>0</v>
      </c>
      <c r="AS200" s="126">
        <v>0</v>
      </c>
      <c r="AT200" s="126">
        <v>0</v>
      </c>
      <c r="AU200" s="126">
        <v>0</v>
      </c>
      <c r="AV200" s="126">
        <v>0</v>
      </c>
      <c r="AW200" s="135">
        <v>335598.03258107195</v>
      </c>
      <c r="AX200" s="136">
        <v>290146.22801410855</v>
      </c>
      <c r="AY200" s="136">
        <v>26966.907984627589</v>
      </c>
      <c r="AZ200" s="126">
        <v>0</v>
      </c>
      <c r="BA200" s="126">
        <v>8149.2211658287097</v>
      </c>
      <c r="BB200" s="126">
        <v>0</v>
      </c>
      <c r="BC200" s="126">
        <v>0</v>
      </c>
      <c r="BD200" s="126">
        <v>1808.6707349378764</v>
      </c>
      <c r="BE200" s="126">
        <v>0</v>
      </c>
      <c r="BF200" s="126">
        <v>2369.9227362350316</v>
      </c>
      <c r="BG200" s="126">
        <v>1186.5653784073725</v>
      </c>
      <c r="BH200" s="126">
        <v>4970.5165669268736</v>
      </c>
      <c r="BI200" s="137">
        <v>628134.82904144377</v>
      </c>
      <c r="BJ200" s="126">
        <v>4448.7769609277975</v>
      </c>
      <c r="BK200" s="126">
        <v>6330.3475722825669</v>
      </c>
      <c r="BL200" s="126">
        <v>6790.9349619794948</v>
      </c>
      <c r="BM200" s="126">
        <v>6729.9969225747882</v>
      </c>
      <c r="BN200" s="126">
        <v>113199.16578493272</v>
      </c>
      <c r="BO200" s="126">
        <v>64988.449520425733</v>
      </c>
      <c r="BP200" s="126">
        <v>53317.973160877358</v>
      </c>
      <c r="BQ200" s="126">
        <v>289279.8631595574</v>
      </c>
      <c r="BR200" s="126">
        <v>10795.727327822931</v>
      </c>
      <c r="BS200" s="126">
        <v>11986.583088806867</v>
      </c>
      <c r="BT200" s="126">
        <v>59800.389893503067</v>
      </c>
      <c r="BU200" s="126">
        <v>0</v>
      </c>
      <c r="BV200" s="126">
        <v>466.6206877530455</v>
      </c>
      <c r="BW200" s="126">
        <v>72188.400681036888</v>
      </c>
      <c r="BX200" s="126">
        <v>256105.66289917633</v>
      </c>
      <c r="BY200" s="126">
        <v>225230.67632597205</v>
      </c>
      <c r="BZ200" s="126">
        <v>42878.056857968601</v>
      </c>
      <c r="CA200" s="137">
        <v>175163.69672276598</v>
      </c>
      <c r="CB200" s="126">
        <v>6559.4879999999994</v>
      </c>
      <c r="CC200" s="126">
        <v>167547.74166094637</v>
      </c>
      <c r="CD200" s="126">
        <v>0</v>
      </c>
      <c r="CE200" s="126">
        <v>0</v>
      </c>
      <c r="CF200" s="126">
        <v>1056.4670618195828</v>
      </c>
      <c r="CG200" s="137">
        <v>64255.543105403434</v>
      </c>
      <c r="CH200" s="126">
        <v>16560</v>
      </c>
      <c r="CI200" s="126">
        <v>47695.543105403434</v>
      </c>
      <c r="CJ200" s="120"/>
      <c r="CK200" s="138">
        <v>1813035.7366102606</v>
      </c>
      <c r="CL200" s="139">
        <v>35.885780101702622</v>
      </c>
      <c r="CM200" s="140">
        <v>2180674.36</v>
      </c>
      <c r="CN200" s="125">
        <v>3878.96</v>
      </c>
      <c r="CO200" s="125">
        <v>3878.96</v>
      </c>
      <c r="CP200" s="125">
        <v>0</v>
      </c>
      <c r="CQ200" s="125">
        <v>15118.93</v>
      </c>
      <c r="CR200" s="125">
        <v>8205.18</v>
      </c>
      <c r="CS200" s="125">
        <v>301263.52</v>
      </c>
      <c r="CT200" s="125">
        <v>0</v>
      </c>
      <c r="CU200" s="141">
        <v>886.55421686746979</v>
      </c>
      <c r="CV200" s="142">
        <v>368525.17760660662</v>
      </c>
      <c r="CW200" s="143">
        <v>0.20277516651552285</v>
      </c>
      <c r="CX200" s="140">
        <v>2090624.31</v>
      </c>
      <c r="CY200" s="140">
        <v>1328647.77</v>
      </c>
    </row>
    <row r="201" spans="1:103" ht="12" customHeight="1" x14ac:dyDescent="0.25">
      <c r="A201" s="122">
        <v>196</v>
      </c>
      <c r="B201" s="123" t="s">
        <v>247</v>
      </c>
      <c r="C201" s="124">
        <v>6338.79</v>
      </c>
      <c r="D201" s="125">
        <v>6313.5</v>
      </c>
      <c r="E201" s="125">
        <v>25.29</v>
      </c>
      <c r="F201" s="125">
        <v>1427.1</v>
      </c>
      <c r="G201" s="124">
        <v>6338.79</v>
      </c>
      <c r="H201" s="124">
        <v>6338.79</v>
      </c>
      <c r="I201" s="126">
        <v>4</v>
      </c>
      <c r="J201" s="126">
        <v>0</v>
      </c>
      <c r="K201" s="127">
        <v>8.3720566541302666E-3</v>
      </c>
      <c r="L201" s="127">
        <v>1.1915910642459957E-2</v>
      </c>
      <c r="M201" s="127"/>
      <c r="N201" s="127"/>
      <c r="O201" s="128" t="s">
        <v>1488</v>
      </c>
      <c r="P201" s="129" t="s">
        <v>1493</v>
      </c>
      <c r="Q201" s="130">
        <v>6.91</v>
      </c>
      <c r="R201" s="130">
        <v>3.15</v>
      </c>
      <c r="S201" s="130">
        <v>1.81</v>
      </c>
      <c r="T201" s="38">
        <v>0</v>
      </c>
      <c r="U201" s="131">
        <v>44.8</v>
      </c>
      <c r="V201" s="144">
        <v>2</v>
      </c>
      <c r="W201" s="132">
        <v>4.8192771084337345E-3</v>
      </c>
      <c r="X201" s="133">
        <v>623734.80133450043</v>
      </c>
      <c r="Y201" s="134">
        <v>42308.31</v>
      </c>
      <c r="Z201" s="134">
        <v>13557.332716116449</v>
      </c>
      <c r="AA201" s="134">
        <v>3988.7172408188849</v>
      </c>
      <c r="AB201" s="134">
        <v>2750.4213775650683</v>
      </c>
      <c r="AC201" s="126">
        <v>42517.23</v>
      </c>
      <c r="AD201" s="126">
        <v>0</v>
      </c>
      <c r="AE201" s="126">
        <v>0</v>
      </c>
      <c r="AF201" s="126">
        <v>0</v>
      </c>
      <c r="AG201" s="126">
        <v>0</v>
      </c>
      <c r="AH201" s="126">
        <v>0</v>
      </c>
      <c r="AI201" s="126">
        <v>0</v>
      </c>
      <c r="AJ201" s="126">
        <v>0</v>
      </c>
      <c r="AK201" s="126">
        <v>257016.57</v>
      </c>
      <c r="AL201" s="126">
        <v>0</v>
      </c>
      <c r="AM201" s="126">
        <v>0</v>
      </c>
      <c r="AN201" s="126">
        <v>0</v>
      </c>
      <c r="AO201" s="126">
        <v>0</v>
      </c>
      <c r="AP201" s="126">
        <v>261596.22</v>
      </c>
      <c r="AQ201" s="126">
        <v>0</v>
      </c>
      <c r="AR201" s="126">
        <v>0</v>
      </c>
      <c r="AS201" s="126">
        <v>0</v>
      </c>
      <c r="AT201" s="126">
        <v>0</v>
      </c>
      <c r="AU201" s="126">
        <v>0</v>
      </c>
      <c r="AV201" s="126">
        <v>0</v>
      </c>
      <c r="AW201" s="135">
        <v>502867.75469831121</v>
      </c>
      <c r="AX201" s="136">
        <v>436838.15701713722</v>
      </c>
      <c r="AY201" s="136">
        <v>40600.818646115986</v>
      </c>
      <c r="AZ201" s="126">
        <v>0</v>
      </c>
      <c r="BA201" s="126">
        <v>0</v>
      </c>
      <c r="BB201" s="126">
        <v>0</v>
      </c>
      <c r="BC201" s="126">
        <v>9867.6</v>
      </c>
      <c r="BD201" s="126">
        <v>2723.0972324157669</v>
      </c>
      <c r="BE201" s="126">
        <v>0</v>
      </c>
      <c r="BF201" s="126">
        <v>3568.1066318035387</v>
      </c>
      <c r="BG201" s="126">
        <v>1786.4682806030282</v>
      </c>
      <c r="BH201" s="126">
        <v>7483.5068902357125</v>
      </c>
      <c r="BI201" s="137">
        <v>945706.80085972464</v>
      </c>
      <c r="BJ201" s="126">
        <v>6697.986535594393</v>
      </c>
      <c r="BK201" s="126">
        <v>9530.8403134551845</v>
      </c>
      <c r="BL201" s="126">
        <v>10224.291156630565</v>
      </c>
      <c r="BM201" s="126">
        <v>10132.544105469537</v>
      </c>
      <c r="BN201" s="126">
        <v>170430.32162032058</v>
      </c>
      <c r="BO201" s="126">
        <v>97845.264817723481</v>
      </c>
      <c r="BP201" s="126">
        <v>80274.437103329474</v>
      </c>
      <c r="BQ201" s="126">
        <v>435533.7760194696</v>
      </c>
      <c r="BR201" s="126">
        <v>16253.823673063209</v>
      </c>
      <c r="BS201" s="126">
        <v>18046.751464894322</v>
      </c>
      <c r="BT201" s="126">
        <v>90034.229597890429</v>
      </c>
      <c r="BU201" s="126">
        <v>0</v>
      </c>
      <c r="BV201" s="126">
        <v>702.53445188402623</v>
      </c>
      <c r="BW201" s="126">
        <v>108685.3622994038</v>
      </c>
      <c r="BX201" s="126">
        <v>385587.38656801818</v>
      </c>
      <c r="BY201" s="126">
        <v>339102.64566726249</v>
      </c>
      <c r="BZ201" s="126">
        <v>64556.315146720539</v>
      </c>
      <c r="CA201" s="137">
        <v>370913.79895135295</v>
      </c>
      <c r="CB201" s="126">
        <v>13118.975999999999</v>
      </c>
      <c r="CC201" s="126">
        <v>356204.22800413158</v>
      </c>
      <c r="CD201" s="126">
        <v>0</v>
      </c>
      <c r="CE201" s="126">
        <v>0</v>
      </c>
      <c r="CF201" s="126">
        <v>1590.5949472213561</v>
      </c>
      <c r="CG201" s="137">
        <v>0</v>
      </c>
      <c r="CH201" s="126">
        <v>0</v>
      </c>
      <c r="CI201" s="126">
        <v>0</v>
      </c>
      <c r="CJ201" s="120"/>
      <c r="CK201" s="138">
        <v>3341154.8655252941</v>
      </c>
      <c r="CL201" s="139">
        <v>43.924719406559909</v>
      </c>
      <c r="CM201" s="140">
        <v>3253925.2800000003</v>
      </c>
      <c r="CN201" s="125">
        <v>4775.38</v>
      </c>
      <c r="CO201" s="125">
        <v>4775.38</v>
      </c>
      <c r="CP201" s="125">
        <v>0</v>
      </c>
      <c r="CQ201" s="125">
        <v>18610.43</v>
      </c>
      <c r="CR201" s="125">
        <v>10100.539999999999</v>
      </c>
      <c r="CS201" s="125">
        <v>278194.90000000002</v>
      </c>
      <c r="CT201" s="125">
        <v>269652.73867101787</v>
      </c>
      <c r="CU201" s="141">
        <v>1773.1084337349396</v>
      </c>
      <c r="CV201" s="142">
        <v>184196.26157945907</v>
      </c>
      <c r="CW201" s="143">
        <v>-2.6107615191784839E-2</v>
      </c>
      <c r="CX201" s="140">
        <v>3200732.96</v>
      </c>
      <c r="CY201" s="140">
        <v>432025.43</v>
      </c>
    </row>
    <row r="202" spans="1:103" ht="12" customHeight="1" x14ac:dyDescent="0.25">
      <c r="A202" s="122">
        <v>197</v>
      </c>
      <c r="B202" s="123" t="s">
        <v>248</v>
      </c>
      <c r="C202" s="124">
        <v>28921.599999999984</v>
      </c>
      <c r="D202" s="125">
        <v>23865.599999999984</v>
      </c>
      <c r="E202" s="125">
        <v>5056</v>
      </c>
      <c r="F202" s="125">
        <v>5071.5</v>
      </c>
      <c r="G202" s="124">
        <v>28921.599999999984</v>
      </c>
      <c r="H202" s="124">
        <v>28921.599999999984</v>
      </c>
      <c r="I202" s="126">
        <v>2</v>
      </c>
      <c r="J202" s="126">
        <v>5</v>
      </c>
      <c r="K202" s="127">
        <v>1.9098144350850423E-2</v>
      </c>
      <c r="L202" s="127">
        <v>2.7182303097443194E-2</v>
      </c>
      <c r="M202" s="127"/>
      <c r="N202" s="127"/>
      <c r="O202" s="128" t="s">
        <v>1495</v>
      </c>
      <c r="P202" s="129" t="s">
        <v>1493</v>
      </c>
      <c r="Q202" s="130">
        <v>5.4</v>
      </c>
      <c r="R202" s="130">
        <v>2.67</v>
      </c>
      <c r="S202" s="130">
        <v>1.54</v>
      </c>
      <c r="T202" s="38">
        <v>0</v>
      </c>
      <c r="U202" s="131">
        <v>36.54</v>
      </c>
      <c r="V202" s="144">
        <v>0</v>
      </c>
      <c r="W202" s="132">
        <v>0</v>
      </c>
      <c r="X202" s="133">
        <v>574772.03815899987</v>
      </c>
      <c r="Y202" s="134">
        <v>316709.46000000002</v>
      </c>
      <c r="Z202" s="134">
        <v>61857.192600233364</v>
      </c>
      <c r="AA202" s="134">
        <v>18199.070256636896</v>
      </c>
      <c r="AB202" s="134">
        <v>12549.175302129559</v>
      </c>
      <c r="AC202" s="126">
        <v>0</v>
      </c>
      <c r="AD202" s="126">
        <v>0</v>
      </c>
      <c r="AE202" s="126">
        <v>26893.39</v>
      </c>
      <c r="AF202" s="126">
        <v>0</v>
      </c>
      <c r="AG202" s="126">
        <v>0</v>
      </c>
      <c r="AH202" s="126">
        <v>0</v>
      </c>
      <c r="AI202" s="126">
        <v>0</v>
      </c>
      <c r="AJ202" s="126">
        <v>0</v>
      </c>
      <c r="AK202" s="126">
        <v>0</v>
      </c>
      <c r="AL202" s="126">
        <v>0</v>
      </c>
      <c r="AM202" s="126">
        <v>0</v>
      </c>
      <c r="AN202" s="126">
        <v>0</v>
      </c>
      <c r="AO202" s="126">
        <v>0</v>
      </c>
      <c r="AP202" s="126">
        <v>138563.75</v>
      </c>
      <c r="AQ202" s="126">
        <v>0</v>
      </c>
      <c r="AR202" s="126">
        <v>0</v>
      </c>
      <c r="AS202" s="126">
        <v>0</v>
      </c>
      <c r="AT202" s="126">
        <v>0</v>
      </c>
      <c r="AU202" s="126">
        <v>0</v>
      </c>
      <c r="AV202" s="126">
        <v>0</v>
      </c>
      <c r="AW202" s="135">
        <v>2249380.9187751403</v>
      </c>
      <c r="AX202" s="136">
        <v>1993134.0905735684</v>
      </c>
      <c r="AY202" s="136">
        <v>185246.81154534343</v>
      </c>
      <c r="AZ202" s="126">
        <v>0</v>
      </c>
      <c r="BA202" s="126">
        <v>0</v>
      </c>
      <c r="BB202" s="126">
        <v>0</v>
      </c>
      <c r="BC202" s="126">
        <v>0</v>
      </c>
      <c r="BD202" s="126">
        <v>12424.505136948188</v>
      </c>
      <c r="BE202" s="126">
        <v>0</v>
      </c>
      <c r="BF202" s="126">
        <v>16279.976582655232</v>
      </c>
      <c r="BG202" s="126">
        <v>8151.0068994695384</v>
      </c>
      <c r="BH202" s="126">
        <v>34144.52803715552</v>
      </c>
      <c r="BI202" s="137">
        <v>6865100.7461116891</v>
      </c>
      <c r="BJ202" s="126">
        <v>30560.4835288512</v>
      </c>
      <c r="BK202" s="126">
        <v>43485.767979318654</v>
      </c>
      <c r="BL202" s="126">
        <v>46649.732695925624</v>
      </c>
      <c r="BM202" s="126">
        <v>46231.124173658944</v>
      </c>
      <c r="BN202" s="126">
        <v>777611.75078749424</v>
      </c>
      <c r="BO202" s="126">
        <v>446432.45965748513</v>
      </c>
      <c r="BP202" s="126">
        <v>366263.14487901516</v>
      </c>
      <c r="BQ202" s="126">
        <v>1987182.6731165862</v>
      </c>
      <c r="BR202" s="126">
        <v>74160.302951015037</v>
      </c>
      <c r="BS202" s="126">
        <v>82340.78225766863</v>
      </c>
      <c r="BT202" s="126">
        <v>410793.53863092902</v>
      </c>
      <c r="BU202" s="126">
        <v>2550183.5755247786</v>
      </c>
      <c r="BV202" s="126">
        <v>3205.409928962632</v>
      </c>
      <c r="BW202" s="126">
        <v>495891.89329169056</v>
      </c>
      <c r="BX202" s="126">
        <v>1759295.4111692591</v>
      </c>
      <c r="BY202" s="126">
        <v>1547202.3961876465</v>
      </c>
      <c r="BZ202" s="126">
        <v>294547.05458729377</v>
      </c>
      <c r="CA202" s="137">
        <v>850710.24212005315</v>
      </c>
      <c r="CB202" s="126">
        <v>30887.988000000001</v>
      </c>
      <c r="CC202" s="126">
        <v>812564.94620709855</v>
      </c>
      <c r="CD202" s="126">
        <v>0</v>
      </c>
      <c r="CE202" s="126">
        <v>0</v>
      </c>
      <c r="CF202" s="126">
        <v>7257.3079129545467</v>
      </c>
      <c r="CG202" s="137">
        <v>0</v>
      </c>
      <c r="CH202" s="126">
        <v>0</v>
      </c>
      <c r="CI202" s="126">
        <v>0</v>
      </c>
      <c r="CJ202" s="120"/>
      <c r="CK202" s="138">
        <v>14636900.700401774</v>
      </c>
      <c r="CL202" s="150">
        <v>42.174074914025567</v>
      </c>
      <c r="CM202" s="140">
        <v>10576970.449999999</v>
      </c>
      <c r="CN202" s="125">
        <v>10284.960000000001</v>
      </c>
      <c r="CO202" s="125">
        <v>10297.4</v>
      </c>
      <c r="CP202" s="125">
        <v>0</v>
      </c>
      <c r="CQ202" s="125">
        <v>33867.03</v>
      </c>
      <c r="CR202" s="125">
        <v>18996.97</v>
      </c>
      <c r="CS202" s="125">
        <v>735159.5</v>
      </c>
      <c r="CT202" s="125">
        <v>1230327.6566580855</v>
      </c>
      <c r="CU202" s="141">
        <v>0</v>
      </c>
      <c r="CV202" s="142">
        <v>-2829602.5937436894</v>
      </c>
      <c r="CW202" s="143">
        <v>0</v>
      </c>
      <c r="CX202" s="140">
        <v>11022995.92</v>
      </c>
      <c r="CY202" s="140">
        <v>2746264.96</v>
      </c>
    </row>
    <row r="203" spans="1:103" ht="12" customHeight="1" x14ac:dyDescent="0.25">
      <c r="A203" s="122">
        <v>198</v>
      </c>
      <c r="B203" s="123" t="s">
        <v>249</v>
      </c>
      <c r="C203" s="124">
        <v>3534.12</v>
      </c>
      <c r="D203" s="125">
        <v>3534.12</v>
      </c>
      <c r="E203" s="125">
        <v>0</v>
      </c>
      <c r="F203" s="125">
        <v>596</v>
      </c>
      <c r="G203" s="124">
        <v>3534.12</v>
      </c>
      <c r="H203" s="124"/>
      <c r="I203" s="126">
        <v>0</v>
      </c>
      <c r="J203" s="126">
        <v>0</v>
      </c>
      <c r="K203" s="127">
        <v>0</v>
      </c>
      <c r="L203" s="127">
        <v>0</v>
      </c>
      <c r="M203" s="127"/>
      <c r="N203" s="127"/>
      <c r="O203" s="128" t="s">
        <v>1488</v>
      </c>
      <c r="P203" s="129" t="s">
        <v>1493</v>
      </c>
      <c r="Q203" s="130">
        <v>6.92</v>
      </c>
      <c r="R203" s="130">
        <v>3.15</v>
      </c>
      <c r="S203" s="130">
        <v>0</v>
      </c>
      <c r="T203" s="38">
        <v>0.26</v>
      </c>
      <c r="U203" s="131">
        <v>31</v>
      </c>
      <c r="V203" s="144">
        <v>0</v>
      </c>
      <c r="W203" s="132">
        <v>0</v>
      </c>
      <c r="X203" s="133">
        <v>441374.72809214657</v>
      </c>
      <c r="Y203" s="134">
        <v>53974.65</v>
      </c>
      <c r="Z203" s="134">
        <v>7558.7360834925057</v>
      </c>
      <c r="AA203" s="134">
        <v>2223.8637618729813</v>
      </c>
      <c r="AB203" s="134">
        <v>1533.4660398720036</v>
      </c>
      <c r="AC203" s="126">
        <v>0</v>
      </c>
      <c r="AD203" s="126">
        <v>0</v>
      </c>
      <c r="AE203" s="126">
        <v>0</v>
      </c>
      <c r="AF203" s="126">
        <v>0</v>
      </c>
      <c r="AG203" s="126">
        <v>0</v>
      </c>
      <c r="AH203" s="126">
        <v>0</v>
      </c>
      <c r="AI203" s="126">
        <v>0</v>
      </c>
      <c r="AJ203" s="126">
        <v>0</v>
      </c>
      <c r="AK203" s="126">
        <v>0</v>
      </c>
      <c r="AL203" s="126">
        <v>0</v>
      </c>
      <c r="AM203" s="126">
        <v>0</v>
      </c>
      <c r="AN203" s="126">
        <v>0</v>
      </c>
      <c r="AO203" s="126">
        <v>0</v>
      </c>
      <c r="AP203" s="126">
        <v>0</v>
      </c>
      <c r="AQ203" s="126">
        <v>0</v>
      </c>
      <c r="AR203" s="126">
        <v>0</v>
      </c>
      <c r="AS203" s="126">
        <v>0</v>
      </c>
      <c r="AT203" s="126">
        <v>376084.01220690907</v>
      </c>
      <c r="AU203" s="126">
        <v>0</v>
      </c>
      <c r="AV203" s="126">
        <v>0</v>
      </c>
      <c r="AW203" s="135">
        <v>335314.86809435167</v>
      </c>
      <c r="AX203" s="136">
        <v>243554.12744031669</v>
      </c>
      <c r="AY203" s="136">
        <v>22636.522931602314</v>
      </c>
      <c r="AZ203" s="126">
        <v>0</v>
      </c>
      <c r="BA203" s="126">
        <v>0</v>
      </c>
      <c r="BB203" s="126">
        <v>0</v>
      </c>
      <c r="BC203" s="126">
        <v>60448.26</v>
      </c>
      <c r="BD203" s="126">
        <v>1518.2317746802166</v>
      </c>
      <c r="BE203" s="126">
        <v>0</v>
      </c>
      <c r="BF203" s="126">
        <v>1989.3571185651397</v>
      </c>
      <c r="BG203" s="126">
        <v>996.02499528218698</v>
      </c>
      <c r="BH203" s="126">
        <v>4172.3438339051827</v>
      </c>
      <c r="BI203" s="137">
        <v>527268.03050020128</v>
      </c>
      <c r="BJ203" s="126">
        <v>3734.3859277835131</v>
      </c>
      <c r="BK203" s="126">
        <v>5313.8112113807574</v>
      </c>
      <c r="BL203" s="126">
        <v>5700.4368124628218</v>
      </c>
      <c r="BM203" s="126">
        <v>5649.284291484968</v>
      </c>
      <c r="BN203" s="126">
        <v>95021.480163376182</v>
      </c>
      <c r="BO203" s="126">
        <v>54552.510384097426</v>
      </c>
      <c r="BP203" s="126">
        <v>44756.095982927145</v>
      </c>
      <c r="BQ203" s="126">
        <v>242826.88470606029</v>
      </c>
      <c r="BR203" s="126">
        <v>9062.1338330258841</v>
      </c>
      <c r="BS203" s="126">
        <v>10061.76025505062</v>
      </c>
      <c r="BT203" s="126">
        <v>50197.556869133783</v>
      </c>
      <c r="BU203" s="126">
        <v>0</v>
      </c>
      <c r="BV203" s="126">
        <v>391.69006341784075</v>
      </c>
      <c r="BW203" s="126">
        <v>60596.282982961879</v>
      </c>
      <c r="BX203" s="126">
        <v>214979.84546226711</v>
      </c>
      <c r="BY203" s="126">
        <v>189062.80884925759</v>
      </c>
      <c r="BZ203" s="126">
        <v>0</v>
      </c>
      <c r="CA203" s="137">
        <v>0</v>
      </c>
      <c r="CB203" s="126">
        <v>0</v>
      </c>
      <c r="CC203" s="126">
        <v>0</v>
      </c>
      <c r="CD203" s="126">
        <v>0</v>
      </c>
      <c r="CE203" s="126">
        <v>0</v>
      </c>
      <c r="CF203" s="126">
        <v>0</v>
      </c>
      <c r="CG203" s="137">
        <v>53556.527870521211</v>
      </c>
      <c r="CH203" s="126">
        <v>13520.003999999999</v>
      </c>
      <c r="CI203" s="126">
        <v>40036.52387052121</v>
      </c>
      <c r="CJ203" s="120"/>
      <c r="CK203" s="138">
        <v>1822153.0918517073</v>
      </c>
      <c r="CL203" s="139">
        <v>42.965742812253772</v>
      </c>
      <c r="CM203" s="140">
        <v>1260408.54</v>
      </c>
      <c r="CN203" s="125">
        <v>3719.76</v>
      </c>
      <c r="CO203" s="125">
        <v>3719.76</v>
      </c>
      <c r="CP203" s="125">
        <v>0</v>
      </c>
      <c r="CQ203" s="125">
        <v>14508.24</v>
      </c>
      <c r="CR203" s="125">
        <v>7866</v>
      </c>
      <c r="CS203" s="125">
        <v>32875.199999999997</v>
      </c>
      <c r="CT203" s="125">
        <v>0</v>
      </c>
      <c r="CU203" s="141">
        <v>0</v>
      </c>
      <c r="CV203" s="142">
        <v>-561744.55185170728</v>
      </c>
      <c r="CW203" s="143">
        <v>0</v>
      </c>
      <c r="CX203" s="140">
        <v>1237697.8599999999</v>
      </c>
      <c r="CY203" s="140">
        <v>264794.37</v>
      </c>
    </row>
    <row r="204" spans="1:103" ht="12" customHeight="1" x14ac:dyDescent="0.25">
      <c r="A204" s="122">
        <v>199</v>
      </c>
      <c r="B204" s="123" t="s">
        <v>250</v>
      </c>
      <c r="C204" s="124">
        <v>7052.6</v>
      </c>
      <c r="D204" s="125">
        <v>6966.3</v>
      </c>
      <c r="E204" s="125">
        <v>86.3</v>
      </c>
      <c r="F204" s="125">
        <v>638</v>
      </c>
      <c r="G204" s="124">
        <v>7052.6</v>
      </c>
      <c r="H204" s="124"/>
      <c r="I204" s="126">
        <v>0</v>
      </c>
      <c r="J204" s="126">
        <v>0</v>
      </c>
      <c r="K204" s="127">
        <v>0</v>
      </c>
      <c r="L204" s="127">
        <v>0</v>
      </c>
      <c r="M204" s="127"/>
      <c r="N204" s="127"/>
      <c r="O204" s="128" t="s">
        <v>1488</v>
      </c>
      <c r="P204" s="129" t="s">
        <v>1493</v>
      </c>
      <c r="Q204" s="130">
        <v>6.92</v>
      </c>
      <c r="R204" s="130">
        <v>3.15</v>
      </c>
      <c r="S204" s="130">
        <v>0</v>
      </c>
      <c r="T204" s="38">
        <v>0.26</v>
      </c>
      <c r="U204" s="131">
        <v>31</v>
      </c>
      <c r="V204" s="144">
        <v>0</v>
      </c>
      <c r="W204" s="132">
        <v>0</v>
      </c>
      <c r="X204" s="133">
        <v>90139.453315174906</v>
      </c>
      <c r="Y204" s="134">
        <v>46909.55</v>
      </c>
      <c r="Z204" s="134">
        <v>15084.021510995453</v>
      </c>
      <c r="AA204" s="134">
        <v>4437.8859707608653</v>
      </c>
      <c r="AB204" s="134">
        <v>3060.1458334185863</v>
      </c>
      <c r="AC204" s="126">
        <v>0</v>
      </c>
      <c r="AD204" s="126">
        <v>0</v>
      </c>
      <c r="AE204" s="126">
        <v>0</v>
      </c>
      <c r="AF204" s="126">
        <v>0</v>
      </c>
      <c r="AG204" s="126">
        <v>0</v>
      </c>
      <c r="AH204" s="126">
        <v>0</v>
      </c>
      <c r="AI204" s="126">
        <v>0</v>
      </c>
      <c r="AJ204" s="126">
        <v>0</v>
      </c>
      <c r="AK204" s="126">
        <v>0</v>
      </c>
      <c r="AL204" s="126">
        <v>0</v>
      </c>
      <c r="AM204" s="126">
        <v>0</v>
      </c>
      <c r="AN204" s="126">
        <v>0</v>
      </c>
      <c r="AO204" s="126">
        <v>0</v>
      </c>
      <c r="AP204" s="126">
        <v>20647.849999999999</v>
      </c>
      <c r="AQ204" s="126">
        <v>0</v>
      </c>
      <c r="AR204" s="126">
        <v>0</v>
      </c>
      <c r="AS204" s="126">
        <v>0</v>
      </c>
      <c r="AT204" s="126">
        <v>0</v>
      </c>
      <c r="AU204" s="126">
        <v>0</v>
      </c>
      <c r="AV204" s="126">
        <v>0</v>
      </c>
      <c r="AW204" s="135">
        <v>653220.90530747827</v>
      </c>
      <c r="AX204" s="136">
        <v>486030.42318471859</v>
      </c>
      <c r="AY204" s="136">
        <v>45172.869519829117</v>
      </c>
      <c r="AZ204" s="126">
        <v>0</v>
      </c>
      <c r="BA204" s="126">
        <v>0</v>
      </c>
      <c r="BB204" s="126">
        <v>0</v>
      </c>
      <c r="BC204" s="126">
        <v>104704.092</v>
      </c>
      <c r="BD204" s="126">
        <v>3029.7447212063248</v>
      </c>
      <c r="BE204" s="126">
        <v>0</v>
      </c>
      <c r="BF204" s="126">
        <v>3969.9104768351117</v>
      </c>
      <c r="BG204" s="126">
        <v>1987.6421518587802</v>
      </c>
      <c r="BH204" s="126">
        <v>8326.2232530303718</v>
      </c>
      <c r="BI204" s="137">
        <v>1052202.6733403841</v>
      </c>
      <c r="BJ204" s="126">
        <v>7452.2455927602932</v>
      </c>
      <c r="BK204" s="126">
        <v>10604.106524222136</v>
      </c>
      <c r="BL204" s="126">
        <v>11375.646741925939</v>
      </c>
      <c r="BM204" s="126">
        <v>11273.568071861422</v>
      </c>
      <c r="BN204" s="126">
        <v>189622.4494358502</v>
      </c>
      <c r="BO204" s="126">
        <v>108863.60246253255</v>
      </c>
      <c r="BP204" s="126">
        <v>89314.127004513721</v>
      </c>
      <c r="BQ204" s="126">
        <v>484579.15607788099</v>
      </c>
      <c r="BR204" s="126">
        <v>18084.16382884519</v>
      </c>
      <c r="BS204" s="126">
        <v>20078.992896327803</v>
      </c>
      <c r="BT204" s="126">
        <v>100172.96797371141</v>
      </c>
      <c r="BU204" s="126">
        <v>0</v>
      </c>
      <c r="BV204" s="126">
        <v>781.64672995276453</v>
      </c>
      <c r="BW204" s="126">
        <v>120924.40136883779</v>
      </c>
      <c r="BX204" s="126">
        <v>429008.31270788354</v>
      </c>
      <c r="BY204" s="126">
        <v>377288.9335082777</v>
      </c>
      <c r="BZ204" s="126">
        <v>0</v>
      </c>
      <c r="CA204" s="137">
        <v>0</v>
      </c>
      <c r="CB204" s="126">
        <v>0</v>
      </c>
      <c r="CC204" s="126">
        <v>0</v>
      </c>
      <c r="CD204" s="126">
        <v>0</v>
      </c>
      <c r="CE204" s="126">
        <v>0</v>
      </c>
      <c r="CF204" s="126">
        <v>0</v>
      </c>
      <c r="CG204" s="137">
        <v>106935.86491481838</v>
      </c>
      <c r="CH204" s="126">
        <v>27039.996000000003</v>
      </c>
      <c r="CI204" s="126">
        <v>79895.868914818377</v>
      </c>
      <c r="CJ204" s="120"/>
      <c r="CK204" s="138">
        <v>2829720.5444628545</v>
      </c>
      <c r="CL204" s="139">
        <v>33.435902414982351</v>
      </c>
      <c r="CM204" s="140">
        <v>2478158.0700000003</v>
      </c>
      <c r="CN204" s="125">
        <v>3931.29</v>
      </c>
      <c r="CO204" s="125">
        <v>3931.29</v>
      </c>
      <c r="CP204" s="125">
        <v>0</v>
      </c>
      <c r="CQ204" s="125">
        <v>15336.98</v>
      </c>
      <c r="CR204" s="125">
        <v>8315.2999999999993</v>
      </c>
      <c r="CS204" s="125">
        <v>34673.58</v>
      </c>
      <c r="CT204" s="125">
        <v>300018.28499622492</v>
      </c>
      <c r="CU204" s="141">
        <v>0</v>
      </c>
      <c r="CV204" s="142">
        <v>-51544.189466629177</v>
      </c>
      <c r="CW204" s="143">
        <v>0</v>
      </c>
      <c r="CX204" s="140">
        <v>2447951.19</v>
      </c>
      <c r="CY204" s="140">
        <v>576595.31999999995</v>
      </c>
    </row>
    <row r="205" spans="1:103" ht="12" customHeight="1" x14ac:dyDescent="0.25">
      <c r="A205" s="122">
        <v>200</v>
      </c>
      <c r="B205" s="123" t="s">
        <v>251</v>
      </c>
      <c r="C205" s="124">
        <v>3498.85</v>
      </c>
      <c r="D205" s="125">
        <v>3498.85</v>
      </c>
      <c r="E205" s="125">
        <v>0</v>
      </c>
      <c r="F205" s="125">
        <v>300.8</v>
      </c>
      <c r="G205" s="124">
        <v>3498.85</v>
      </c>
      <c r="H205" s="124"/>
      <c r="I205" s="126">
        <v>0</v>
      </c>
      <c r="J205" s="126">
        <v>0</v>
      </c>
      <c r="K205" s="127">
        <v>0</v>
      </c>
      <c r="L205" s="127">
        <v>0</v>
      </c>
      <c r="M205" s="127"/>
      <c r="N205" s="127"/>
      <c r="O205" s="128" t="s">
        <v>1488</v>
      </c>
      <c r="P205" s="129" t="s">
        <v>1493</v>
      </c>
      <c r="Q205" s="130">
        <v>6.92</v>
      </c>
      <c r="R205" s="130">
        <v>3.15</v>
      </c>
      <c r="S205" s="130">
        <v>0</v>
      </c>
      <c r="T205" s="38">
        <v>0.26</v>
      </c>
      <c r="U205" s="131">
        <v>31</v>
      </c>
      <c r="V205" s="144">
        <v>4</v>
      </c>
      <c r="W205" s="132">
        <v>9.638554216867469E-3</v>
      </c>
      <c r="X205" s="133">
        <v>489134.52253721061</v>
      </c>
      <c r="Y205" s="134">
        <v>64963.54</v>
      </c>
      <c r="Z205" s="134">
        <v>7483.3010044163057</v>
      </c>
      <c r="AA205" s="134">
        <v>2201.6699272320357</v>
      </c>
      <c r="AB205" s="134">
        <v>1518.1622733823867</v>
      </c>
      <c r="AC205" s="126">
        <v>0</v>
      </c>
      <c r="AD205" s="126">
        <v>0</v>
      </c>
      <c r="AE205" s="126">
        <v>0</v>
      </c>
      <c r="AF205" s="126">
        <v>0</v>
      </c>
      <c r="AG205" s="126">
        <v>0</v>
      </c>
      <c r="AH205" s="126">
        <v>0</v>
      </c>
      <c r="AI205" s="126">
        <v>0</v>
      </c>
      <c r="AJ205" s="126">
        <v>0</v>
      </c>
      <c r="AK205" s="126">
        <v>35617.019999999997</v>
      </c>
      <c r="AL205" s="126">
        <v>0</v>
      </c>
      <c r="AM205" s="126">
        <v>0</v>
      </c>
      <c r="AN205" s="126">
        <v>0</v>
      </c>
      <c r="AO205" s="126">
        <v>0</v>
      </c>
      <c r="AP205" s="126">
        <v>0</v>
      </c>
      <c r="AQ205" s="126">
        <v>0</v>
      </c>
      <c r="AR205" s="126">
        <v>0</v>
      </c>
      <c r="AS205" s="126">
        <v>0</v>
      </c>
      <c r="AT205" s="126">
        <v>377350.82933217991</v>
      </c>
      <c r="AU205" s="126">
        <v>0</v>
      </c>
      <c r="AV205" s="126">
        <v>0</v>
      </c>
      <c r="AW205" s="135">
        <v>272123.47960197233</v>
      </c>
      <c r="AX205" s="136">
        <v>241123.4929189026</v>
      </c>
      <c r="AY205" s="136">
        <v>22410.613748043856</v>
      </c>
      <c r="AZ205" s="126">
        <v>0</v>
      </c>
      <c r="BA205" s="126">
        <v>0</v>
      </c>
      <c r="BB205" s="126">
        <v>0</v>
      </c>
      <c r="BC205" s="126">
        <v>0</v>
      </c>
      <c r="BD205" s="126">
        <v>1503.080043926034</v>
      </c>
      <c r="BE205" s="126">
        <v>0</v>
      </c>
      <c r="BF205" s="126">
        <v>1969.5036258790417</v>
      </c>
      <c r="BG205" s="126">
        <v>986.08481170505809</v>
      </c>
      <c r="BH205" s="126">
        <v>4130.7044535157693</v>
      </c>
      <c r="BI205" s="137">
        <v>522005.9727784085</v>
      </c>
      <c r="BJ205" s="126">
        <v>3697.1173031547728</v>
      </c>
      <c r="BK205" s="126">
        <v>5260.7801537411187</v>
      </c>
      <c r="BL205" s="126">
        <v>5643.5472879487806</v>
      </c>
      <c r="BM205" s="126">
        <v>5592.9052616385916</v>
      </c>
      <c r="BN205" s="126">
        <v>94073.179707997682</v>
      </c>
      <c r="BO205" s="126">
        <v>54008.084320113434</v>
      </c>
      <c r="BP205" s="126">
        <v>44309.436699903978</v>
      </c>
      <c r="BQ205" s="126">
        <v>240403.50796062357</v>
      </c>
      <c r="BR205" s="126">
        <v>8971.6950645939069</v>
      </c>
      <c r="BS205" s="126">
        <v>9961.3453613300808</v>
      </c>
      <c r="BT205" s="126">
        <v>49696.592603411525</v>
      </c>
      <c r="BU205" s="126">
        <v>0</v>
      </c>
      <c r="BV205" s="126">
        <v>387.78105395105774</v>
      </c>
      <c r="BW205" s="126">
        <v>59991.540953599811</v>
      </c>
      <c r="BX205" s="126">
        <v>212834.37809006299</v>
      </c>
      <c r="BY205" s="126">
        <v>187175.98970669502</v>
      </c>
      <c r="BZ205" s="126">
        <v>0</v>
      </c>
      <c r="CA205" s="137">
        <v>0</v>
      </c>
      <c r="CB205" s="126">
        <v>0</v>
      </c>
      <c r="CC205" s="126">
        <v>0</v>
      </c>
      <c r="CD205" s="126">
        <v>0</v>
      </c>
      <c r="CE205" s="126">
        <v>0</v>
      </c>
      <c r="CF205" s="126">
        <v>0</v>
      </c>
      <c r="CG205" s="137">
        <v>53156.969225960958</v>
      </c>
      <c r="CH205" s="126">
        <v>13520.003999999999</v>
      </c>
      <c r="CI205" s="126">
        <v>39636.965225960957</v>
      </c>
      <c r="CJ205" s="120"/>
      <c r="CK205" s="138">
        <v>1796422.8528939106</v>
      </c>
      <c r="CL205" s="139">
        <v>42.786030955264124</v>
      </c>
      <c r="CM205" s="140">
        <v>1248164.4000000001</v>
      </c>
      <c r="CN205" s="125">
        <v>1876.56</v>
      </c>
      <c r="CO205" s="125">
        <v>1876.56</v>
      </c>
      <c r="CP205" s="125">
        <v>0</v>
      </c>
      <c r="CQ205" s="125">
        <v>7322.16</v>
      </c>
      <c r="CR205" s="125">
        <v>3971.2799999999997</v>
      </c>
      <c r="CS205" s="125">
        <v>16728.96</v>
      </c>
      <c r="CT205" s="125">
        <v>0</v>
      </c>
      <c r="CU205" s="141">
        <v>3546.2168674698792</v>
      </c>
      <c r="CV205" s="142">
        <v>-544712.23602644051</v>
      </c>
      <c r="CW205" s="143">
        <v>0</v>
      </c>
      <c r="CX205" s="140">
        <v>1229173.6300000001</v>
      </c>
      <c r="CY205" s="140">
        <v>460540.85000000003</v>
      </c>
    </row>
    <row r="206" spans="1:103" ht="12" customHeight="1" x14ac:dyDescent="0.25">
      <c r="A206" s="122">
        <v>201</v>
      </c>
      <c r="B206" s="123" t="s">
        <v>252</v>
      </c>
      <c r="C206" s="124">
        <v>3501.4</v>
      </c>
      <c r="D206" s="125">
        <v>3501.4</v>
      </c>
      <c r="E206" s="125">
        <v>0</v>
      </c>
      <c r="F206" s="125">
        <v>300</v>
      </c>
      <c r="G206" s="124">
        <v>3501.4</v>
      </c>
      <c r="H206" s="124"/>
      <c r="I206" s="126">
        <v>0</v>
      </c>
      <c r="J206" s="126">
        <v>0</v>
      </c>
      <c r="K206" s="127">
        <v>0</v>
      </c>
      <c r="L206" s="127">
        <v>0</v>
      </c>
      <c r="M206" s="127"/>
      <c r="N206" s="127"/>
      <c r="O206" s="128" t="s">
        <v>1489</v>
      </c>
      <c r="P206" s="129" t="s">
        <v>1493</v>
      </c>
      <c r="Q206" s="130">
        <v>6.92</v>
      </c>
      <c r="R206" s="130">
        <v>3.15</v>
      </c>
      <c r="S206" s="130">
        <v>0</v>
      </c>
      <c r="T206" s="38">
        <v>0.26</v>
      </c>
      <c r="U206" s="131">
        <v>31</v>
      </c>
      <c r="V206" s="144">
        <v>4</v>
      </c>
      <c r="W206" s="132">
        <v>9.638554216867469E-3</v>
      </c>
      <c r="X206" s="133">
        <v>94687.80817056878</v>
      </c>
      <c r="Y206" s="134">
        <v>53883.14</v>
      </c>
      <c r="Z206" s="134">
        <v>7488.7549157189515</v>
      </c>
      <c r="AA206" s="134">
        <v>2203.2745282622145</v>
      </c>
      <c r="AB206" s="134">
        <v>1519.2687265876184</v>
      </c>
      <c r="AC206" s="126">
        <v>26535.07</v>
      </c>
      <c r="AD206" s="126">
        <v>0</v>
      </c>
      <c r="AE206" s="126">
        <v>0</v>
      </c>
      <c r="AF206" s="126">
        <v>0</v>
      </c>
      <c r="AG206" s="126">
        <v>0</v>
      </c>
      <c r="AH206" s="126">
        <v>0</v>
      </c>
      <c r="AI206" s="126">
        <v>3058.3</v>
      </c>
      <c r="AJ206" s="126">
        <v>0</v>
      </c>
      <c r="AK206" s="126">
        <v>0</v>
      </c>
      <c r="AL206" s="126">
        <v>0</v>
      </c>
      <c r="AM206" s="126">
        <v>0</v>
      </c>
      <c r="AN206" s="126">
        <v>0</v>
      </c>
      <c r="AO206" s="126">
        <v>0</v>
      </c>
      <c r="AP206" s="126">
        <v>0</v>
      </c>
      <c r="AQ206" s="126">
        <v>0</v>
      </c>
      <c r="AR206" s="126">
        <v>0</v>
      </c>
      <c r="AS206" s="126">
        <v>0</v>
      </c>
      <c r="AT206" s="126">
        <v>0</v>
      </c>
      <c r="AU206" s="126">
        <v>0</v>
      </c>
      <c r="AV206" s="126">
        <v>0</v>
      </c>
      <c r="AW206" s="135">
        <v>279099.08110763511</v>
      </c>
      <c r="AX206" s="136">
        <v>241299.22634758436</v>
      </c>
      <c r="AY206" s="136">
        <v>22426.946847507257</v>
      </c>
      <c r="AZ206" s="126">
        <v>0</v>
      </c>
      <c r="BA206" s="126">
        <v>6777.2749489412963</v>
      </c>
      <c r="BB206" s="126">
        <v>0</v>
      </c>
      <c r="BC206" s="126">
        <v>0</v>
      </c>
      <c r="BD206" s="126">
        <v>1504.1755050381171</v>
      </c>
      <c r="BE206" s="126">
        <v>0</v>
      </c>
      <c r="BF206" s="126">
        <v>1970.939021579341</v>
      </c>
      <c r="BG206" s="126">
        <v>986.8034810592311</v>
      </c>
      <c r="BH206" s="126">
        <v>4133.7149559255513</v>
      </c>
      <c r="BI206" s="137">
        <v>522386.41641862883</v>
      </c>
      <c r="BJ206" s="126">
        <v>3699.8118025254362</v>
      </c>
      <c r="BK206" s="126">
        <v>5264.6142676334093</v>
      </c>
      <c r="BL206" s="126">
        <v>5647.660366698733</v>
      </c>
      <c r="BM206" s="126">
        <v>5596.981431928024</v>
      </c>
      <c r="BN206" s="126">
        <v>94141.741266296958</v>
      </c>
      <c r="BO206" s="126">
        <v>54047.446000384465</v>
      </c>
      <c r="BP206" s="126">
        <v>44341.729900122555</v>
      </c>
      <c r="BQ206" s="126">
        <v>240578.71665642352</v>
      </c>
      <c r="BR206" s="126">
        <v>8978.2337337036752</v>
      </c>
      <c r="BS206" s="126">
        <v>9968.6052983583595</v>
      </c>
      <c r="BT206" s="126">
        <v>49732.812021545687</v>
      </c>
      <c r="BU206" s="126">
        <v>0</v>
      </c>
      <c r="BV206" s="126">
        <v>388.0636730080551</v>
      </c>
      <c r="BW206" s="126">
        <v>60035.263442255142</v>
      </c>
      <c r="BX206" s="126">
        <v>212989.49410364733</v>
      </c>
      <c r="BY206" s="126">
        <v>187312.40560727724</v>
      </c>
      <c r="BZ206" s="126">
        <v>0</v>
      </c>
      <c r="CA206" s="137">
        <v>0</v>
      </c>
      <c r="CB206" s="126">
        <v>0</v>
      </c>
      <c r="CC206" s="126">
        <v>0</v>
      </c>
      <c r="CD206" s="126">
        <v>0</v>
      </c>
      <c r="CE206" s="126">
        <v>0</v>
      </c>
      <c r="CF206" s="126">
        <v>0</v>
      </c>
      <c r="CG206" s="137">
        <v>53185.857078062705</v>
      </c>
      <c r="CH206" s="126">
        <v>13520.003999999999</v>
      </c>
      <c r="CI206" s="126">
        <v>39665.853078062704</v>
      </c>
      <c r="CJ206" s="120"/>
      <c r="CK206" s="138">
        <v>1409696.325928075</v>
      </c>
      <c r="CL206" s="139">
        <v>33.55077792521265</v>
      </c>
      <c r="CM206" s="140">
        <v>1248739.3199999998</v>
      </c>
      <c r="CN206" s="125">
        <v>1871.52</v>
      </c>
      <c r="CO206" s="125">
        <v>1871.52</v>
      </c>
      <c r="CP206" s="125">
        <v>0</v>
      </c>
      <c r="CQ206" s="125">
        <v>7302.48</v>
      </c>
      <c r="CR206" s="125">
        <v>3958.32</v>
      </c>
      <c r="CS206" s="125">
        <v>16548.870000000003</v>
      </c>
      <c r="CT206" s="125">
        <v>0</v>
      </c>
      <c r="CU206" s="141">
        <v>3546.2168674698792</v>
      </c>
      <c r="CV206" s="142">
        <v>-157410.78906060522</v>
      </c>
      <c r="CW206" s="143">
        <v>0</v>
      </c>
      <c r="CX206" s="140">
        <v>1240539.5</v>
      </c>
      <c r="CY206" s="140">
        <v>315063.7</v>
      </c>
    </row>
    <row r="207" spans="1:103" ht="12" customHeight="1" x14ac:dyDescent="0.25">
      <c r="A207" s="122">
        <v>202</v>
      </c>
      <c r="B207" s="123" t="s">
        <v>253</v>
      </c>
      <c r="C207" s="124">
        <v>3514.1</v>
      </c>
      <c r="D207" s="125">
        <v>3514.1</v>
      </c>
      <c r="E207" s="125">
        <v>0</v>
      </c>
      <c r="F207" s="125">
        <v>299.7</v>
      </c>
      <c r="G207" s="124">
        <v>3514.1</v>
      </c>
      <c r="H207" s="124"/>
      <c r="I207" s="126">
        <v>0</v>
      </c>
      <c r="J207" s="126">
        <v>0</v>
      </c>
      <c r="K207" s="127">
        <v>0</v>
      </c>
      <c r="L207" s="127">
        <v>0</v>
      </c>
      <c r="M207" s="127"/>
      <c r="N207" s="127"/>
      <c r="O207" s="128" t="s">
        <v>1489</v>
      </c>
      <c r="P207" s="129" t="s">
        <v>1493</v>
      </c>
      <c r="Q207" s="130">
        <v>6.92</v>
      </c>
      <c r="R207" s="130">
        <v>3.15</v>
      </c>
      <c r="S207" s="130">
        <v>0</v>
      </c>
      <c r="T207" s="38">
        <v>0.26</v>
      </c>
      <c r="U207" s="131">
        <v>31</v>
      </c>
      <c r="V207" s="144">
        <v>4</v>
      </c>
      <c r="W207" s="132">
        <v>9.638554216867469E-3</v>
      </c>
      <c r="X207" s="133">
        <v>74077.752900895575</v>
      </c>
      <c r="Y207" s="134">
        <v>21888.19</v>
      </c>
      <c r="Z207" s="134">
        <v>7515.9175327948724</v>
      </c>
      <c r="AA207" s="134">
        <v>2211.2660706478118</v>
      </c>
      <c r="AB207" s="134">
        <v>1524.7792974528902</v>
      </c>
      <c r="AC207" s="126">
        <v>40937.599999999999</v>
      </c>
      <c r="AD207" s="126">
        <v>0</v>
      </c>
      <c r="AE207" s="126">
        <v>0</v>
      </c>
      <c r="AF207" s="126">
        <v>0</v>
      </c>
      <c r="AG207" s="126">
        <v>0</v>
      </c>
      <c r="AH207" s="126">
        <v>0</v>
      </c>
      <c r="AI207" s="126">
        <v>0</v>
      </c>
      <c r="AJ207" s="126">
        <v>0</v>
      </c>
      <c r="AK207" s="126">
        <v>0</v>
      </c>
      <c r="AL207" s="126">
        <v>0</v>
      </c>
      <c r="AM207" s="126">
        <v>0</v>
      </c>
      <c r="AN207" s="126">
        <v>0</v>
      </c>
      <c r="AO207" s="126">
        <v>0</v>
      </c>
      <c r="AP207" s="126">
        <v>0</v>
      </c>
      <c r="AQ207" s="126">
        <v>0</v>
      </c>
      <c r="AR207" s="126">
        <v>0</v>
      </c>
      <c r="AS207" s="126">
        <v>0</v>
      </c>
      <c r="AT207" s="126">
        <v>0</v>
      </c>
      <c r="AU207" s="126">
        <v>0</v>
      </c>
      <c r="AV207" s="126">
        <v>0</v>
      </c>
      <c r="AW207" s="135">
        <v>280111.40712867444</v>
      </c>
      <c r="AX207" s="136">
        <v>242174.44773748962</v>
      </c>
      <c r="AY207" s="136">
        <v>22508.292087972022</v>
      </c>
      <c r="AZ207" s="126">
        <v>0</v>
      </c>
      <c r="BA207" s="126">
        <v>6801.8569423872195</v>
      </c>
      <c r="BB207" s="126">
        <v>0</v>
      </c>
      <c r="BC207" s="126">
        <v>0</v>
      </c>
      <c r="BD207" s="126">
        <v>1509.631330968883</v>
      </c>
      <c r="BE207" s="126">
        <v>0</v>
      </c>
      <c r="BF207" s="126">
        <v>1978.087855067105</v>
      </c>
      <c r="BG207" s="126">
        <v>990.38273627413139</v>
      </c>
      <c r="BH207" s="126">
        <v>4148.7084385154449</v>
      </c>
      <c r="BI207" s="137">
        <v>524281.17494051054</v>
      </c>
      <c r="BJ207" s="126">
        <v>3713.2314660577581</v>
      </c>
      <c r="BK207" s="126">
        <v>5283.7096583910907</v>
      </c>
      <c r="BL207" s="126">
        <v>5668.1451118455516</v>
      </c>
      <c r="BM207" s="126">
        <v>5617.2823584675461</v>
      </c>
      <c r="BN207" s="126">
        <v>94483.204713512911</v>
      </c>
      <c r="BO207" s="126">
        <v>54243.482604087229</v>
      </c>
      <c r="BP207" s="126">
        <v>44502.562701211136</v>
      </c>
      <c r="BQ207" s="126">
        <v>241451.32467079963</v>
      </c>
      <c r="BR207" s="126">
        <v>9010.7988700542883</v>
      </c>
      <c r="BS207" s="126">
        <v>10004.762631793314</v>
      </c>
      <c r="BT207" s="126">
        <v>49913.198927547179</v>
      </c>
      <c r="BU207" s="126">
        <v>0</v>
      </c>
      <c r="BV207" s="126">
        <v>389.47122674290466</v>
      </c>
      <c r="BW207" s="126">
        <v>60253.018581832635</v>
      </c>
      <c r="BX207" s="126">
        <v>213762.03268110674</v>
      </c>
      <c r="BY207" s="126">
        <v>187991.81028860825</v>
      </c>
      <c r="BZ207" s="126">
        <v>0</v>
      </c>
      <c r="CA207" s="137">
        <v>0</v>
      </c>
      <c r="CB207" s="126">
        <v>0</v>
      </c>
      <c r="CC207" s="126">
        <v>0</v>
      </c>
      <c r="CD207" s="126">
        <v>0</v>
      </c>
      <c r="CE207" s="126">
        <v>0</v>
      </c>
      <c r="CF207" s="126">
        <v>0</v>
      </c>
      <c r="CG207" s="137">
        <v>53329.72991009886</v>
      </c>
      <c r="CH207" s="126">
        <v>13520.003999999999</v>
      </c>
      <c r="CI207" s="126">
        <v>39809.725910098859</v>
      </c>
      <c r="CJ207" s="120"/>
      <c r="CK207" s="138">
        <v>1393806.9264317271</v>
      </c>
      <c r="CL207" s="139">
        <v>33.052723941448427</v>
      </c>
      <c r="CM207" s="140">
        <v>1253225.3199999998</v>
      </c>
      <c r="CN207" s="125">
        <v>1869.6399999999999</v>
      </c>
      <c r="CO207" s="125">
        <v>1869.6399999999999</v>
      </c>
      <c r="CP207" s="125">
        <v>0</v>
      </c>
      <c r="CQ207" s="125">
        <v>7295.82</v>
      </c>
      <c r="CR207" s="125">
        <v>3954.96</v>
      </c>
      <c r="CS207" s="125">
        <v>16530.920000000002</v>
      </c>
      <c r="CT207" s="125">
        <v>0</v>
      </c>
      <c r="CU207" s="141">
        <v>3546.2168674698792</v>
      </c>
      <c r="CV207" s="142">
        <v>-137035.38956425735</v>
      </c>
      <c r="CW207" s="143">
        <v>0</v>
      </c>
      <c r="CX207" s="140">
        <v>1172000.6100000001</v>
      </c>
      <c r="CY207" s="140">
        <v>429079.24</v>
      </c>
    </row>
    <row r="208" spans="1:103" ht="12" customHeight="1" x14ac:dyDescent="0.25">
      <c r="A208" s="122">
        <v>203</v>
      </c>
      <c r="B208" s="123" t="s">
        <v>254</v>
      </c>
      <c r="C208" s="124">
        <v>3480.8300000000008</v>
      </c>
      <c r="D208" s="125">
        <v>3480.8300000000008</v>
      </c>
      <c r="E208" s="125">
        <v>0</v>
      </c>
      <c r="F208" s="125">
        <v>304.2</v>
      </c>
      <c r="G208" s="124">
        <v>3480.8300000000008</v>
      </c>
      <c r="H208" s="124"/>
      <c r="I208" s="126">
        <v>0</v>
      </c>
      <c r="J208" s="126">
        <v>0</v>
      </c>
      <c r="K208" s="127">
        <v>0</v>
      </c>
      <c r="L208" s="127">
        <v>0</v>
      </c>
      <c r="M208" s="127"/>
      <c r="N208" s="127"/>
      <c r="O208" s="128" t="s">
        <v>1489</v>
      </c>
      <c r="P208" s="129" t="s">
        <v>1493</v>
      </c>
      <c r="Q208" s="130">
        <v>6.92</v>
      </c>
      <c r="R208" s="130">
        <v>3.15</v>
      </c>
      <c r="S208" s="130">
        <v>0</v>
      </c>
      <c r="T208" s="38">
        <v>0.26</v>
      </c>
      <c r="U208" s="131">
        <v>31</v>
      </c>
      <c r="V208" s="144">
        <v>4</v>
      </c>
      <c r="W208" s="132">
        <v>9.638554216867469E-3</v>
      </c>
      <c r="X208" s="133">
        <v>160517.27411522844</v>
      </c>
      <c r="Y208" s="134">
        <v>60258.720000000001</v>
      </c>
      <c r="Z208" s="134">
        <v>7444.7600312109453</v>
      </c>
      <c r="AA208" s="134">
        <v>2190.3307466187712</v>
      </c>
      <c r="AB208" s="134">
        <v>1510.3433373987493</v>
      </c>
      <c r="AC208" s="126">
        <v>0</v>
      </c>
      <c r="AD208" s="126">
        <v>0</v>
      </c>
      <c r="AE208" s="126">
        <v>0</v>
      </c>
      <c r="AF208" s="126">
        <v>0</v>
      </c>
      <c r="AG208" s="126">
        <v>0</v>
      </c>
      <c r="AH208" s="126">
        <v>0</v>
      </c>
      <c r="AI208" s="126">
        <v>0</v>
      </c>
      <c r="AJ208" s="126">
        <v>0</v>
      </c>
      <c r="AK208" s="126">
        <v>3579.42</v>
      </c>
      <c r="AL208" s="126">
        <v>0</v>
      </c>
      <c r="AM208" s="126">
        <v>0</v>
      </c>
      <c r="AN208" s="126">
        <v>0</v>
      </c>
      <c r="AO208" s="126">
        <v>0</v>
      </c>
      <c r="AP208" s="126">
        <v>85533.7</v>
      </c>
      <c r="AQ208" s="126">
        <v>0</v>
      </c>
      <c r="AR208" s="126">
        <v>0</v>
      </c>
      <c r="AS208" s="126">
        <v>0</v>
      </c>
      <c r="AT208" s="126">
        <v>0</v>
      </c>
      <c r="AU208" s="126">
        <v>0</v>
      </c>
      <c r="AV208" s="126">
        <v>0</v>
      </c>
      <c r="AW208" s="135">
        <v>277459.43179639289</v>
      </c>
      <c r="AX208" s="136">
        <v>239881.64335621818</v>
      </c>
      <c r="AY208" s="136">
        <v>22295.193178502512</v>
      </c>
      <c r="AZ208" s="126">
        <v>0</v>
      </c>
      <c r="BA208" s="126">
        <v>6737.4598619190438</v>
      </c>
      <c r="BB208" s="126">
        <v>0</v>
      </c>
      <c r="BC208" s="126">
        <v>0</v>
      </c>
      <c r="BD208" s="126">
        <v>1495.3387854006485</v>
      </c>
      <c r="BE208" s="126">
        <v>0</v>
      </c>
      <c r="BF208" s="126">
        <v>1959.3601629302618</v>
      </c>
      <c r="BG208" s="126">
        <v>981.0062149355698</v>
      </c>
      <c r="BH208" s="126">
        <v>4109.4302364866453</v>
      </c>
      <c r="BI208" s="137">
        <v>519317.50438751827</v>
      </c>
      <c r="BJ208" s="126">
        <v>3678.0761742687541</v>
      </c>
      <c r="BK208" s="126">
        <v>5233.6857489022696</v>
      </c>
      <c r="BL208" s="126">
        <v>5614.4815314491216</v>
      </c>
      <c r="BM208" s="126">
        <v>5564.1003249266087</v>
      </c>
      <c r="BN208" s="126">
        <v>93588.678029349539</v>
      </c>
      <c r="BO208" s="126">
        <v>53729.928446198173</v>
      </c>
      <c r="BP208" s="126">
        <v>44081.231418359406</v>
      </c>
      <c r="BQ208" s="126">
        <v>239165.36651030413</v>
      </c>
      <c r="BR208" s="126">
        <v>8925.4884695515429</v>
      </c>
      <c r="BS208" s="126">
        <v>9910.0418063302495</v>
      </c>
      <c r="BT208" s="126">
        <v>49440.642048596819</v>
      </c>
      <c r="BU208" s="126">
        <v>0</v>
      </c>
      <c r="BV208" s="126">
        <v>385.78387928160987</v>
      </c>
      <c r="BW208" s="126">
        <v>59682.568700435542</v>
      </c>
      <c r="BX208" s="126">
        <v>211738.22492740018</v>
      </c>
      <c r="BY208" s="126">
        <v>186211.98400924742</v>
      </c>
      <c r="BZ208" s="126">
        <v>0</v>
      </c>
      <c r="CA208" s="137">
        <v>0</v>
      </c>
      <c r="CB208" s="126">
        <v>0</v>
      </c>
      <c r="CC208" s="126">
        <v>0</v>
      </c>
      <c r="CD208" s="126">
        <v>0</v>
      </c>
      <c r="CE208" s="126">
        <v>0</v>
      </c>
      <c r="CF208" s="126">
        <v>0</v>
      </c>
      <c r="CG208" s="137">
        <v>52952.828404441949</v>
      </c>
      <c r="CH208" s="126">
        <v>13520.003999999999</v>
      </c>
      <c r="CI208" s="126">
        <v>39432.824404441948</v>
      </c>
      <c r="CJ208" s="120"/>
      <c r="CK208" s="138">
        <v>1467879.8163406649</v>
      </c>
      <c r="CL208" s="139">
        <v>35.141997175497998</v>
      </c>
      <c r="CM208" s="140">
        <v>1241402.82</v>
      </c>
      <c r="CN208" s="125">
        <v>1899</v>
      </c>
      <c r="CO208" s="125">
        <v>1899</v>
      </c>
      <c r="CP208" s="125">
        <v>0</v>
      </c>
      <c r="CQ208" s="125">
        <v>7404.4699999999993</v>
      </c>
      <c r="CR208" s="125">
        <v>4016.76</v>
      </c>
      <c r="CS208" s="125">
        <v>16779.829999999998</v>
      </c>
      <c r="CT208" s="125">
        <v>0</v>
      </c>
      <c r="CU208" s="141">
        <v>3546.2168674698792</v>
      </c>
      <c r="CV208" s="142">
        <v>-222930.77947319485</v>
      </c>
      <c r="CW208" s="143">
        <v>0</v>
      </c>
      <c r="CX208" s="140">
        <v>1324314.58</v>
      </c>
      <c r="CY208" s="140">
        <v>138177.91</v>
      </c>
    </row>
    <row r="209" spans="1:103" ht="12" customHeight="1" x14ac:dyDescent="0.25">
      <c r="A209" s="122">
        <v>204</v>
      </c>
      <c r="B209" s="123" t="s">
        <v>255</v>
      </c>
      <c r="C209" s="124">
        <v>6969.63</v>
      </c>
      <c r="D209" s="125">
        <v>6969.63</v>
      </c>
      <c r="E209" s="125">
        <v>0</v>
      </c>
      <c r="F209" s="125">
        <v>608.5</v>
      </c>
      <c r="G209" s="124">
        <v>6969.63</v>
      </c>
      <c r="H209" s="124"/>
      <c r="I209" s="126">
        <v>0</v>
      </c>
      <c r="J209" s="126">
        <v>0</v>
      </c>
      <c r="K209" s="127">
        <v>0</v>
      </c>
      <c r="L209" s="127">
        <v>0</v>
      </c>
      <c r="M209" s="127"/>
      <c r="N209" s="127"/>
      <c r="O209" s="128" t="s">
        <v>1488</v>
      </c>
      <c r="P209" s="129" t="s">
        <v>1493</v>
      </c>
      <c r="Q209" s="130">
        <v>6.92</v>
      </c>
      <c r="R209" s="130">
        <v>3.15</v>
      </c>
      <c r="S209" s="130">
        <v>0</v>
      </c>
      <c r="T209" s="38">
        <v>0.26</v>
      </c>
      <c r="U209" s="131">
        <v>31</v>
      </c>
      <c r="V209" s="144">
        <v>8</v>
      </c>
      <c r="W209" s="132">
        <v>1.9277108433734938E-2</v>
      </c>
      <c r="X209" s="133">
        <v>330606.22775019746</v>
      </c>
      <c r="Y209" s="134">
        <v>25674.68</v>
      </c>
      <c r="Z209" s="134">
        <v>14906.566208728587</v>
      </c>
      <c r="AA209" s="134">
        <v>4385.6766580259837</v>
      </c>
      <c r="AB209" s="134">
        <v>3024.1448834428693</v>
      </c>
      <c r="AC209" s="126">
        <v>0</v>
      </c>
      <c r="AD209" s="126">
        <v>0</v>
      </c>
      <c r="AE209" s="126">
        <v>0</v>
      </c>
      <c r="AF209" s="126">
        <v>0</v>
      </c>
      <c r="AG209" s="126">
        <v>0</v>
      </c>
      <c r="AH209" s="126">
        <v>0</v>
      </c>
      <c r="AI209" s="126">
        <v>34663.269999999997</v>
      </c>
      <c r="AJ209" s="126">
        <v>0</v>
      </c>
      <c r="AK209" s="126">
        <v>0</v>
      </c>
      <c r="AL209" s="126">
        <v>0</v>
      </c>
      <c r="AM209" s="126">
        <v>0</v>
      </c>
      <c r="AN209" s="126">
        <v>0</v>
      </c>
      <c r="AO209" s="126">
        <v>0</v>
      </c>
      <c r="AP209" s="126">
        <v>247951.89</v>
      </c>
      <c r="AQ209" s="126">
        <v>0</v>
      </c>
      <c r="AR209" s="126">
        <v>0</v>
      </c>
      <c r="AS209" s="126">
        <v>0</v>
      </c>
      <c r="AT209" s="126">
        <v>0</v>
      </c>
      <c r="AU209" s="126">
        <v>0</v>
      </c>
      <c r="AV209" s="126">
        <v>0</v>
      </c>
      <c r="AW209" s="135">
        <v>542063.81157760252</v>
      </c>
      <c r="AX209" s="136">
        <v>480312.53982090432</v>
      </c>
      <c r="AY209" s="136">
        <v>44641.435299249439</v>
      </c>
      <c r="AZ209" s="126">
        <v>0</v>
      </c>
      <c r="BA209" s="126">
        <v>0</v>
      </c>
      <c r="BB209" s="126">
        <v>0</v>
      </c>
      <c r="BC209" s="126">
        <v>0</v>
      </c>
      <c r="BD209" s="126">
        <v>2994.1014237672966</v>
      </c>
      <c r="BE209" s="126">
        <v>0</v>
      </c>
      <c r="BF209" s="126">
        <v>3923.2066410493007</v>
      </c>
      <c r="BG209" s="126">
        <v>1964.2586238918286</v>
      </c>
      <c r="BH209" s="126">
        <v>8228.2697687403324</v>
      </c>
      <c r="BI209" s="137">
        <v>1039824.0816427054</v>
      </c>
      <c r="BJ209" s="126">
        <v>7364.5739799038538</v>
      </c>
      <c r="BK209" s="126">
        <v>10479.354983185538</v>
      </c>
      <c r="BL209" s="126">
        <v>11241.818450206914</v>
      </c>
      <c r="BM209" s="126">
        <v>11140.940680130379</v>
      </c>
      <c r="BN209" s="126">
        <v>187391.64453699125</v>
      </c>
      <c r="BO209" s="126">
        <v>107582.8814381846</v>
      </c>
      <c r="BP209" s="126">
        <v>88263.394917401936</v>
      </c>
      <c r="BQ209" s="126">
        <v>478878.34608159855</v>
      </c>
      <c r="BR209" s="126">
        <v>17871.413485301066</v>
      </c>
      <c r="BS209" s="126">
        <v>19842.774474666523</v>
      </c>
      <c r="BT209" s="126">
        <v>98994.487533479594</v>
      </c>
      <c r="BU209" s="126">
        <v>0</v>
      </c>
      <c r="BV209" s="126">
        <v>772.45108165508975</v>
      </c>
      <c r="BW209" s="126">
        <v>119501.79161051143</v>
      </c>
      <c r="BX209" s="126">
        <v>423961.26343451295</v>
      </c>
      <c r="BY209" s="126">
        <v>372850.33457835368</v>
      </c>
      <c r="BZ209" s="126">
        <v>0</v>
      </c>
      <c r="CA209" s="137">
        <v>0</v>
      </c>
      <c r="CB209" s="126">
        <v>0</v>
      </c>
      <c r="CC209" s="126">
        <v>0</v>
      </c>
      <c r="CD209" s="126">
        <v>0</v>
      </c>
      <c r="CE209" s="126">
        <v>0</v>
      </c>
      <c r="CF209" s="126">
        <v>0</v>
      </c>
      <c r="CG209" s="137">
        <v>105995.93350741366</v>
      </c>
      <c r="CH209" s="126">
        <v>27039.996000000003</v>
      </c>
      <c r="CI209" s="126">
        <v>78955.937507413662</v>
      </c>
      <c r="CJ209" s="120"/>
      <c r="CK209" s="138">
        <v>2934803.4441012973</v>
      </c>
      <c r="CL209" s="139">
        <v>35.090378352237941</v>
      </c>
      <c r="CM209" s="140">
        <v>2476941.5999999996</v>
      </c>
      <c r="CN209" s="125">
        <v>3796.12</v>
      </c>
      <c r="CO209" s="125">
        <v>3796.12</v>
      </c>
      <c r="CP209" s="125">
        <v>0</v>
      </c>
      <c r="CQ209" s="125">
        <v>14813.210000000001</v>
      </c>
      <c r="CR209" s="125">
        <v>8027.5099999999993</v>
      </c>
      <c r="CS209" s="125">
        <v>33469.83</v>
      </c>
      <c r="CT209" s="125">
        <v>0</v>
      </c>
      <c r="CU209" s="141">
        <v>7092.4337349397583</v>
      </c>
      <c r="CV209" s="142">
        <v>-450769.41036635777</v>
      </c>
      <c r="CW209" s="143">
        <v>0</v>
      </c>
      <c r="CX209" s="140">
        <v>2379931.0700000003</v>
      </c>
      <c r="CY209" s="140">
        <v>597455.04</v>
      </c>
    </row>
    <row r="210" spans="1:103" ht="12" customHeight="1" x14ac:dyDescent="0.25">
      <c r="A210" s="122">
        <v>205</v>
      </c>
      <c r="B210" s="123" t="s">
        <v>256</v>
      </c>
      <c r="C210" s="124">
        <v>3030.3</v>
      </c>
      <c r="D210" s="125">
        <v>3030.3</v>
      </c>
      <c r="E210" s="125">
        <v>0</v>
      </c>
      <c r="F210" s="125">
        <v>352.32</v>
      </c>
      <c r="G210" s="124">
        <v>3030.3</v>
      </c>
      <c r="H210" s="124">
        <v>3030.3</v>
      </c>
      <c r="I210" s="126">
        <v>1</v>
      </c>
      <c r="J210" s="126">
        <v>0</v>
      </c>
      <c r="K210" s="127">
        <v>1.7151947676908054E-3</v>
      </c>
      <c r="L210" s="127">
        <v>2.4412290110501791E-3</v>
      </c>
      <c r="M210" s="127"/>
      <c r="N210" s="127"/>
      <c r="O210" s="128" t="s">
        <v>1489</v>
      </c>
      <c r="P210" s="129" t="s">
        <v>1493</v>
      </c>
      <c r="Q210" s="130">
        <v>6.91</v>
      </c>
      <c r="R210" s="130">
        <v>3.15</v>
      </c>
      <c r="S210" s="130">
        <v>1.81</v>
      </c>
      <c r="T210" s="38">
        <v>0.26</v>
      </c>
      <c r="U210" s="131">
        <v>45.06</v>
      </c>
      <c r="V210" s="144">
        <v>1</v>
      </c>
      <c r="W210" s="132">
        <v>2.4096385542168672E-3</v>
      </c>
      <c r="X210" s="133">
        <v>827521.35540187452</v>
      </c>
      <c r="Y210" s="151">
        <v>20414.471655445348</v>
      </c>
      <c r="Z210" s="134">
        <v>6481.1715374145024</v>
      </c>
      <c r="AA210" s="134">
        <v>1906.8323536279743</v>
      </c>
      <c r="AB210" s="134">
        <v>1314.8569207112755</v>
      </c>
      <c r="AC210" s="126">
        <v>0</v>
      </c>
      <c r="AD210" s="126">
        <v>0</v>
      </c>
      <c r="AE210" s="145">
        <v>132426.06066605359</v>
      </c>
      <c r="AF210" s="126">
        <v>0</v>
      </c>
      <c r="AG210" s="126">
        <v>0</v>
      </c>
      <c r="AH210" s="126">
        <v>0</v>
      </c>
      <c r="AI210" s="126">
        <v>0</v>
      </c>
      <c r="AJ210" s="126">
        <v>0</v>
      </c>
      <c r="AK210" s="126">
        <v>0</v>
      </c>
      <c r="AL210" s="126">
        <v>0</v>
      </c>
      <c r="AM210" s="126">
        <v>0</v>
      </c>
      <c r="AN210" s="145">
        <v>17397.378460818447</v>
      </c>
      <c r="AO210" s="126">
        <v>0</v>
      </c>
      <c r="AP210" s="145">
        <v>647580.58380780346</v>
      </c>
      <c r="AQ210" s="126">
        <v>0</v>
      </c>
      <c r="AR210" s="126">
        <v>0</v>
      </c>
      <c r="AS210" s="126">
        <v>0</v>
      </c>
      <c r="AT210" s="126">
        <v>0</v>
      </c>
      <c r="AU210" s="126">
        <v>0</v>
      </c>
      <c r="AV210" s="126">
        <v>0</v>
      </c>
      <c r="AW210" s="135">
        <v>241547.36547679984</v>
      </c>
      <c r="AX210" s="136">
        <v>208833.33683700376</v>
      </c>
      <c r="AY210" s="136">
        <v>19409.48678585744</v>
      </c>
      <c r="AZ210" s="126">
        <v>0</v>
      </c>
      <c r="BA210" s="126">
        <v>5865.4184834000143</v>
      </c>
      <c r="BB210" s="126">
        <v>0</v>
      </c>
      <c r="BC210" s="126">
        <v>0</v>
      </c>
      <c r="BD210" s="126">
        <v>1301.7944344882067</v>
      </c>
      <c r="BE210" s="126">
        <v>0</v>
      </c>
      <c r="BF210" s="126">
        <v>1705.7567022025123</v>
      </c>
      <c r="BG210" s="126">
        <v>854.03284076477632</v>
      </c>
      <c r="BH210" s="126">
        <v>3577.5393930831092</v>
      </c>
      <c r="BI210" s="137">
        <v>452101.31880772585</v>
      </c>
      <c r="BJ210" s="126">
        <v>3202.0162521256725</v>
      </c>
      <c r="BK210" s="126">
        <v>4556.2805207087231</v>
      </c>
      <c r="BL210" s="126">
        <v>4887.7892297958442</v>
      </c>
      <c r="BM210" s="126">
        <v>4843.9289521824103</v>
      </c>
      <c r="BN210" s="126">
        <v>81475.329456577267</v>
      </c>
      <c r="BO210" s="126">
        <v>46775.568519724977</v>
      </c>
      <c r="BP210" s="126">
        <v>38375.719459742213</v>
      </c>
      <c r="BQ210" s="126">
        <v>208209.76897354209</v>
      </c>
      <c r="BR210" s="126">
        <v>7770.2466679734534</v>
      </c>
      <c r="BS210" s="126">
        <v>8627.3675203105431</v>
      </c>
      <c r="BT210" s="126">
        <v>43041.452067427286</v>
      </c>
      <c r="BU210" s="126">
        <v>0</v>
      </c>
      <c r="BV210" s="126">
        <v>335.851187615328</v>
      </c>
      <c r="BW210" s="126">
        <v>51957.747989108859</v>
      </c>
      <c r="BX210" s="126">
        <v>184332.57096655125</v>
      </c>
      <c r="BY210" s="126">
        <v>162110.23668010859</v>
      </c>
      <c r="BZ210" s="126">
        <v>30861.568499525503</v>
      </c>
      <c r="CA210" s="137">
        <v>76184.156372222234</v>
      </c>
      <c r="CB210" s="145">
        <v>2447.7116878612715</v>
      </c>
      <c r="CC210" s="126">
        <v>72976.050371161618</v>
      </c>
      <c r="CD210" s="126">
        <v>0</v>
      </c>
      <c r="CE210" s="126">
        <v>0</v>
      </c>
      <c r="CF210" s="126">
        <v>760.39431319934499</v>
      </c>
      <c r="CG210" s="137">
        <v>46441.011802735535</v>
      </c>
      <c r="CH210" s="145">
        <v>12112.0477933526</v>
      </c>
      <c r="CI210" s="126">
        <v>34328.964009382937</v>
      </c>
      <c r="CJ210" s="120"/>
      <c r="CK210" s="138">
        <v>2073057.3319966521</v>
      </c>
      <c r="CL210" s="139">
        <v>57.009133639041572</v>
      </c>
      <c r="CM210" s="140">
        <v>1570054.3800000001</v>
      </c>
      <c r="CN210" s="125">
        <v>2021.9200000000003</v>
      </c>
      <c r="CO210" s="125">
        <v>2021.9200000000003</v>
      </c>
      <c r="CP210" s="125">
        <v>0</v>
      </c>
      <c r="CQ210" s="125">
        <v>7893.05</v>
      </c>
      <c r="CR210" s="125">
        <v>4292.28</v>
      </c>
      <c r="CS210" s="125">
        <v>91865.540000000008</v>
      </c>
      <c r="CT210" s="125">
        <v>0</v>
      </c>
      <c r="CU210" s="141">
        <v>886.55421686746979</v>
      </c>
      <c r="CV210" s="142">
        <v>-502116.3977797844</v>
      </c>
      <c r="CW210" s="143">
        <v>0</v>
      </c>
      <c r="CX210" s="140">
        <v>1493131.8000000003</v>
      </c>
      <c r="CY210" s="140">
        <v>365039.95</v>
      </c>
    </row>
    <row r="211" spans="1:103" ht="12" customHeight="1" x14ac:dyDescent="0.25">
      <c r="A211" s="122">
        <v>206</v>
      </c>
      <c r="B211" s="123" t="s">
        <v>257</v>
      </c>
      <c r="C211" s="124">
        <v>3059.3</v>
      </c>
      <c r="D211" s="125">
        <v>3059.3</v>
      </c>
      <c r="E211" s="125">
        <v>0</v>
      </c>
      <c r="F211" s="125">
        <v>361.28</v>
      </c>
      <c r="G211" s="124">
        <v>3059.3</v>
      </c>
      <c r="H211" s="124">
        <v>3059.3</v>
      </c>
      <c r="I211" s="126">
        <v>1</v>
      </c>
      <c r="J211" s="126">
        <v>0</v>
      </c>
      <c r="K211" s="127">
        <v>1.7151947676908054E-3</v>
      </c>
      <c r="L211" s="127">
        <v>2.4412290110501791E-3</v>
      </c>
      <c r="M211" s="127"/>
      <c r="N211" s="127"/>
      <c r="O211" s="128" t="s">
        <v>1489</v>
      </c>
      <c r="P211" s="129" t="s">
        <v>1493</v>
      </c>
      <c r="Q211" s="130">
        <v>6.91</v>
      </c>
      <c r="R211" s="130">
        <v>3.15</v>
      </c>
      <c r="S211" s="130">
        <v>1.81</v>
      </c>
      <c r="T211" s="38">
        <v>0.26</v>
      </c>
      <c r="U211" s="131">
        <v>45.06</v>
      </c>
      <c r="V211" s="144">
        <v>1</v>
      </c>
      <c r="W211" s="132">
        <v>2.4096385542168672E-3</v>
      </c>
      <c r="X211" s="133">
        <v>835440.74269245786</v>
      </c>
      <c r="Y211" s="151">
        <v>20609.83834455465</v>
      </c>
      <c r="Z211" s="134">
        <v>6543.1964110524332</v>
      </c>
      <c r="AA211" s="134">
        <v>1925.0807575005979</v>
      </c>
      <c r="AB211" s="134">
        <v>1327.4401140256759</v>
      </c>
      <c r="AC211" s="126">
        <v>0</v>
      </c>
      <c r="AD211" s="126">
        <v>0</v>
      </c>
      <c r="AE211" s="145">
        <v>133693.37933394639</v>
      </c>
      <c r="AF211" s="126">
        <v>0</v>
      </c>
      <c r="AG211" s="126">
        <v>0</v>
      </c>
      <c r="AH211" s="126">
        <v>0</v>
      </c>
      <c r="AI211" s="126">
        <v>0</v>
      </c>
      <c r="AJ211" s="126">
        <v>0</v>
      </c>
      <c r="AK211" s="126">
        <v>0</v>
      </c>
      <c r="AL211" s="126">
        <v>0</v>
      </c>
      <c r="AM211" s="126">
        <v>0</v>
      </c>
      <c r="AN211" s="145">
        <v>17563.871539181557</v>
      </c>
      <c r="AO211" s="126">
        <v>0</v>
      </c>
      <c r="AP211" s="145">
        <v>653777.93619219656</v>
      </c>
      <c r="AQ211" s="126">
        <v>0</v>
      </c>
      <c r="AR211" s="126">
        <v>0</v>
      </c>
      <c r="AS211" s="126">
        <v>0</v>
      </c>
      <c r="AT211" s="126">
        <v>0</v>
      </c>
      <c r="AU211" s="126">
        <v>0</v>
      </c>
      <c r="AV211" s="126">
        <v>0</v>
      </c>
      <c r="AW211" s="135">
        <v>243858.97607602336</v>
      </c>
      <c r="AX211" s="136">
        <v>210831.8738690709</v>
      </c>
      <c r="AY211" s="136">
        <v>19595.235760147069</v>
      </c>
      <c r="AZ211" s="126">
        <v>0</v>
      </c>
      <c r="BA211" s="126">
        <v>5921.5505944182642</v>
      </c>
      <c r="BB211" s="126">
        <v>0</v>
      </c>
      <c r="BC211" s="126">
        <v>0</v>
      </c>
      <c r="BD211" s="126">
        <v>1314.252619684444</v>
      </c>
      <c r="BE211" s="126">
        <v>0</v>
      </c>
      <c r="BF211" s="126">
        <v>1722.0808101666985</v>
      </c>
      <c r="BG211" s="126">
        <v>862.20594322399779</v>
      </c>
      <c r="BH211" s="126">
        <v>3611.7764793120004</v>
      </c>
      <c r="BI211" s="137">
        <v>456427.93275532965</v>
      </c>
      <c r="BJ211" s="126">
        <v>3232.6595783018411</v>
      </c>
      <c r="BK211" s="126">
        <v>4599.8841688955536</v>
      </c>
      <c r="BL211" s="126">
        <v>4934.5654195011803</v>
      </c>
      <c r="BM211" s="126">
        <v>4890.2853986112423</v>
      </c>
      <c r="BN211" s="126">
        <v>82255.049139196402</v>
      </c>
      <c r="BO211" s="126">
        <v>47223.211158101389</v>
      </c>
      <c r="BP211" s="126">
        <v>38742.975462227951</v>
      </c>
      <c r="BQ211" s="126">
        <v>210202.33845518835</v>
      </c>
      <c r="BR211" s="126">
        <v>7844.6080029472942</v>
      </c>
      <c r="BS211" s="126">
        <v>8709.9315100439053</v>
      </c>
      <c r="BT211" s="126">
        <v>43453.359175619669</v>
      </c>
      <c r="BU211" s="126">
        <v>0</v>
      </c>
      <c r="BV211" s="126">
        <v>339.06528669490575</v>
      </c>
      <c r="BW211" s="126">
        <v>52454.984134600774</v>
      </c>
      <c r="BX211" s="126">
        <v>186096.63543476563</v>
      </c>
      <c r="BY211" s="126">
        <v>163661.63319653374</v>
      </c>
      <c r="BZ211" s="126">
        <v>31156.914005411469</v>
      </c>
      <c r="CA211" s="137">
        <v>76214.857977353982</v>
      </c>
      <c r="CB211" s="145">
        <v>2471.136312138728</v>
      </c>
      <c r="CC211" s="126">
        <v>72976.050371161618</v>
      </c>
      <c r="CD211" s="126">
        <v>0</v>
      </c>
      <c r="CE211" s="126">
        <v>0</v>
      </c>
      <c r="CF211" s="126">
        <v>767.67129405364358</v>
      </c>
      <c r="CG211" s="137">
        <v>46885.452730128643</v>
      </c>
      <c r="CH211" s="145">
        <v>12227.9602066474</v>
      </c>
      <c r="CI211" s="126">
        <v>34657.492523481247</v>
      </c>
      <c r="CJ211" s="120"/>
      <c r="CK211" s="138">
        <v>2092198.1290026049</v>
      </c>
      <c r="CL211" s="139">
        <v>56.990110183228317</v>
      </c>
      <c r="CM211" s="140">
        <v>1586949.0799999998</v>
      </c>
      <c r="CN211" s="125">
        <v>2082.35</v>
      </c>
      <c r="CO211" s="125">
        <v>2082.35</v>
      </c>
      <c r="CP211" s="125">
        <v>0</v>
      </c>
      <c r="CQ211" s="125">
        <v>8121.4100000000008</v>
      </c>
      <c r="CR211" s="125">
        <v>4403.99</v>
      </c>
      <c r="CS211" s="125">
        <v>94294.89</v>
      </c>
      <c r="CT211" s="125">
        <v>0</v>
      </c>
      <c r="CU211" s="141">
        <v>886.55421686746979</v>
      </c>
      <c r="CV211" s="142">
        <v>-504362.49478573748</v>
      </c>
      <c r="CW211" s="143">
        <v>0</v>
      </c>
      <c r="CX211" s="140">
        <v>1605589.5200000003</v>
      </c>
      <c r="CY211" s="140">
        <v>283511.69</v>
      </c>
    </row>
    <row r="212" spans="1:103" ht="12" customHeight="1" x14ac:dyDescent="0.25">
      <c r="A212" s="122">
        <v>207</v>
      </c>
      <c r="B212" s="123" t="s">
        <v>258</v>
      </c>
      <c r="C212" s="124">
        <v>6991.3</v>
      </c>
      <c r="D212" s="125">
        <v>6991.3</v>
      </c>
      <c r="E212" s="125">
        <v>0</v>
      </c>
      <c r="F212" s="125">
        <v>619.5</v>
      </c>
      <c r="G212" s="124">
        <v>6991.3</v>
      </c>
      <c r="H212" s="124"/>
      <c r="I212" s="126">
        <v>0</v>
      </c>
      <c r="J212" s="126">
        <v>0</v>
      </c>
      <c r="K212" s="127">
        <v>0</v>
      </c>
      <c r="L212" s="127">
        <v>0</v>
      </c>
      <c r="M212" s="127"/>
      <c r="N212" s="127"/>
      <c r="O212" s="128" t="s">
        <v>1488</v>
      </c>
      <c r="P212" s="129" t="s">
        <v>1493</v>
      </c>
      <c r="Q212" s="130">
        <v>6.92</v>
      </c>
      <c r="R212" s="130">
        <v>3.15</v>
      </c>
      <c r="S212" s="130">
        <v>0</v>
      </c>
      <c r="T212" s="38">
        <v>0.26</v>
      </c>
      <c r="U212" s="131">
        <v>31</v>
      </c>
      <c r="V212" s="144">
        <v>6</v>
      </c>
      <c r="W212" s="132">
        <v>1.4457831325301205E-2</v>
      </c>
      <c r="X212" s="133">
        <v>202530.14394753458</v>
      </c>
      <c r="Y212" s="134">
        <v>105409.73999999999</v>
      </c>
      <c r="Z212" s="134">
        <v>14952.913760857346</v>
      </c>
      <c r="AA212" s="134">
        <v>4399.3126205059752</v>
      </c>
      <c r="AB212" s="134">
        <v>3033.5475661712508</v>
      </c>
      <c r="AC212" s="126">
        <v>31028.13</v>
      </c>
      <c r="AD212" s="126">
        <v>0</v>
      </c>
      <c r="AE212" s="126">
        <v>0</v>
      </c>
      <c r="AF212" s="126">
        <v>0</v>
      </c>
      <c r="AG212" s="126">
        <v>0</v>
      </c>
      <c r="AH212" s="126">
        <v>0</v>
      </c>
      <c r="AI212" s="126">
        <v>17046.29</v>
      </c>
      <c r="AJ212" s="126">
        <v>0</v>
      </c>
      <c r="AK212" s="126">
        <v>26660.21</v>
      </c>
      <c r="AL212" s="126">
        <v>0</v>
      </c>
      <c r="AM212" s="126">
        <v>0</v>
      </c>
      <c r="AN212" s="126">
        <v>0</v>
      </c>
      <c r="AO212" s="126">
        <v>0</v>
      </c>
      <c r="AP212" s="126">
        <v>0</v>
      </c>
      <c r="AQ212" s="126">
        <v>0</v>
      </c>
      <c r="AR212" s="126">
        <v>0</v>
      </c>
      <c r="AS212" s="126">
        <v>0</v>
      </c>
      <c r="AT212" s="126">
        <v>0</v>
      </c>
      <c r="AU212" s="126">
        <v>0</v>
      </c>
      <c r="AV212" s="126">
        <v>0</v>
      </c>
      <c r="AW212" s="135">
        <v>583845.65043413383</v>
      </c>
      <c r="AX212" s="136">
        <v>481805.92938934901</v>
      </c>
      <c r="AY212" s="136">
        <v>44780.234619003109</v>
      </c>
      <c r="AZ212" s="126">
        <v>0</v>
      </c>
      <c r="BA212" s="126">
        <v>0</v>
      </c>
      <c r="BB212" s="126">
        <v>0</v>
      </c>
      <c r="BC212" s="126">
        <v>40096.451999999997</v>
      </c>
      <c r="BD212" s="126">
        <v>3003.4106952570369</v>
      </c>
      <c r="BE212" s="126">
        <v>0</v>
      </c>
      <c r="BF212" s="126">
        <v>3935.4046900004701</v>
      </c>
      <c r="BG212" s="126">
        <v>1970.365904246702</v>
      </c>
      <c r="BH212" s="126">
        <v>8253.8531362775757</v>
      </c>
      <c r="BI212" s="137">
        <v>1043057.1066166562</v>
      </c>
      <c r="BJ212" s="126">
        <v>7387.4719412223913</v>
      </c>
      <c r="BK212" s="126">
        <v>10511.937433399627</v>
      </c>
      <c r="BL212" s="126">
        <v>11276.771554721212</v>
      </c>
      <c r="BM212" s="126">
        <v>11175.580135099786</v>
      </c>
      <c r="BN212" s="126">
        <v>187974.28334810701</v>
      </c>
      <c r="BO212" s="126">
        <v>107917.3785407231</v>
      </c>
      <c r="BP212" s="126">
        <v>88537.823799259393</v>
      </c>
      <c r="BQ212" s="126">
        <v>480367.27644943557</v>
      </c>
      <c r="BR212" s="126">
        <v>17926.979351814276</v>
      </c>
      <c r="BS212" s="126">
        <v>19904.469704236246</v>
      </c>
      <c r="BT212" s="126">
        <v>99302.281569153012</v>
      </c>
      <c r="BU212" s="126">
        <v>0</v>
      </c>
      <c r="BV212" s="126">
        <v>774.85278948455357</v>
      </c>
      <c r="BW212" s="126">
        <v>119873.34703371176</v>
      </c>
      <c r="BX212" s="126">
        <v>425279.44540093379</v>
      </c>
      <c r="BY212" s="126">
        <v>374009.60225114448</v>
      </c>
      <c r="BZ212" s="126">
        <v>0</v>
      </c>
      <c r="CA212" s="137">
        <v>0</v>
      </c>
      <c r="CB212" s="126">
        <v>0</v>
      </c>
      <c r="CC212" s="126">
        <v>0</v>
      </c>
      <c r="CD212" s="126">
        <v>0</v>
      </c>
      <c r="CE212" s="126">
        <v>0</v>
      </c>
      <c r="CF212" s="126">
        <v>0</v>
      </c>
      <c r="CG212" s="137">
        <v>106241.42360743125</v>
      </c>
      <c r="CH212" s="126">
        <v>27039.996000000003</v>
      </c>
      <c r="CI212" s="126">
        <v>79201.427607431251</v>
      </c>
      <c r="CJ212" s="120"/>
      <c r="CK212" s="138">
        <v>2854836.7192915464</v>
      </c>
      <c r="CL212" s="139">
        <v>34.02844391471718</v>
      </c>
      <c r="CM212" s="140">
        <v>2486839.1799999997</v>
      </c>
      <c r="CN212" s="125">
        <v>3865.18</v>
      </c>
      <c r="CO212" s="125">
        <v>17564.11</v>
      </c>
      <c r="CP212" s="125">
        <v>0</v>
      </c>
      <c r="CQ212" s="125">
        <v>15076.970000000001</v>
      </c>
      <c r="CR212" s="125">
        <v>8176.5699999999988</v>
      </c>
      <c r="CS212" s="125">
        <v>34096.54</v>
      </c>
      <c r="CT212" s="125">
        <v>0</v>
      </c>
      <c r="CU212" s="141">
        <v>5319.3253012048199</v>
      </c>
      <c r="CV212" s="142">
        <v>-362678.21399034187</v>
      </c>
      <c r="CW212" s="143">
        <v>0</v>
      </c>
      <c r="CX212" s="140">
        <v>2369005.5</v>
      </c>
      <c r="CY212" s="140">
        <v>582295.93000000005</v>
      </c>
    </row>
    <row r="213" spans="1:103" ht="12" customHeight="1" x14ac:dyDescent="0.25">
      <c r="A213" s="122">
        <v>208</v>
      </c>
      <c r="B213" s="154" t="s">
        <v>259</v>
      </c>
      <c r="C213" s="124">
        <v>8371.2500000000018</v>
      </c>
      <c r="D213" s="125">
        <v>7665.5500000000011</v>
      </c>
      <c r="E213" s="125">
        <v>705.7</v>
      </c>
      <c r="F213" s="125">
        <v>5042</v>
      </c>
      <c r="G213" s="124">
        <v>8371.2500000000018</v>
      </c>
      <c r="H213" s="124">
        <v>8371.2500000000018</v>
      </c>
      <c r="I213" s="126">
        <v>0</v>
      </c>
      <c r="J213" s="126">
        <v>4</v>
      </c>
      <c r="K213" s="127">
        <v>9.2497790675391128E-3</v>
      </c>
      <c r="L213" s="127">
        <v>1.3165169012194512E-2</v>
      </c>
      <c r="M213" s="127"/>
      <c r="N213" s="127"/>
      <c r="O213" s="128" t="s">
        <v>1488</v>
      </c>
      <c r="P213" s="155" t="s">
        <v>51</v>
      </c>
      <c r="Q213" s="130">
        <v>6.91</v>
      </c>
      <c r="R213" s="130">
        <v>3.15</v>
      </c>
      <c r="S213" s="130">
        <v>1.81</v>
      </c>
      <c r="T213" s="38">
        <v>0</v>
      </c>
      <c r="U213" s="131">
        <v>44.8</v>
      </c>
      <c r="V213" s="144">
        <v>0</v>
      </c>
      <c r="W213" s="132">
        <v>0</v>
      </c>
      <c r="X213" s="133">
        <v>81755.927701980676</v>
      </c>
      <c r="Y213" s="134">
        <v>39298.22</v>
      </c>
      <c r="Z213" s="134">
        <v>27031.23191053679</v>
      </c>
      <c r="AA213" s="134">
        <v>5267.65347995518</v>
      </c>
      <c r="AB213" s="134">
        <v>3632.3123114887198</v>
      </c>
      <c r="AC213" s="126">
        <v>0</v>
      </c>
      <c r="AD213" s="126">
        <v>0</v>
      </c>
      <c r="AE213" s="126">
        <v>0</v>
      </c>
      <c r="AF213" s="126">
        <v>0</v>
      </c>
      <c r="AG213" s="126">
        <v>0</v>
      </c>
      <c r="AH213" s="126">
        <v>0</v>
      </c>
      <c r="AI213" s="126">
        <v>0</v>
      </c>
      <c r="AJ213" s="126">
        <v>0</v>
      </c>
      <c r="AK213" s="126">
        <v>6526.51</v>
      </c>
      <c r="AL213" s="126">
        <v>0</v>
      </c>
      <c r="AM213" s="126">
        <v>0</v>
      </c>
      <c r="AN213" s="126">
        <v>0</v>
      </c>
      <c r="AO213" s="126">
        <v>0</v>
      </c>
      <c r="AP213" s="126">
        <v>0</v>
      </c>
      <c r="AQ213" s="126">
        <v>0</v>
      </c>
      <c r="AR213" s="126">
        <v>0</v>
      </c>
      <c r="AS213" s="126">
        <v>0</v>
      </c>
      <c r="AT213" s="126">
        <v>0</v>
      </c>
      <c r="AU213" s="126">
        <v>0</v>
      </c>
      <c r="AV213" s="126">
        <v>0</v>
      </c>
      <c r="AW213" s="135">
        <v>877204.49765002204</v>
      </c>
      <c r="AX213" s="136">
        <v>803034.80231565551</v>
      </c>
      <c r="AY213" s="136">
        <v>53619.003483519489</v>
      </c>
      <c r="AZ213" s="126">
        <v>0</v>
      </c>
      <c r="BA213" s="126">
        <v>0</v>
      </c>
      <c r="BB213" s="126">
        <v>0</v>
      </c>
      <c r="BC213" s="126">
        <v>0</v>
      </c>
      <c r="BD213" s="126">
        <v>3596.2269939310963</v>
      </c>
      <c r="BE213" s="126">
        <v>0</v>
      </c>
      <c r="BF213" s="126">
        <v>4712.1789239721429</v>
      </c>
      <c r="BG213" s="126">
        <v>2359.2787573019618</v>
      </c>
      <c r="BH213" s="126">
        <v>9883.0071756416801</v>
      </c>
      <c r="BI213" s="137">
        <v>1248936.7934096213</v>
      </c>
      <c r="BJ213" s="126">
        <v>8845.6187673190907</v>
      </c>
      <c r="BK213" s="126">
        <v>12586.794478758837</v>
      </c>
      <c r="BL213" s="126">
        <v>13502.592347268743</v>
      </c>
      <c r="BM213" s="126">
        <v>13381.427660943473</v>
      </c>
      <c r="BN213" s="126">
        <v>225076.8411422541</v>
      </c>
      <c r="BO213" s="126">
        <v>129218.22194856872</v>
      </c>
      <c r="BP213" s="126">
        <v>106013.51071754184</v>
      </c>
      <c r="BQ213" s="126">
        <v>575182.66459418682</v>
      </c>
      <c r="BR213" s="126">
        <v>21465.425013785032</v>
      </c>
      <c r="BS213" s="126">
        <v>23833.234450186334</v>
      </c>
      <c r="BT213" s="126">
        <v>118902.66825708699</v>
      </c>
      <c r="BU213" s="126">
        <v>0</v>
      </c>
      <c r="BV213" s="126">
        <v>927.79403172122068</v>
      </c>
      <c r="BW213" s="126">
        <v>143534.07182583492</v>
      </c>
      <c r="BX213" s="126">
        <v>509221.54067377566</v>
      </c>
      <c r="BY213" s="126">
        <v>447832.00303876161</v>
      </c>
      <c r="BZ213" s="126">
        <v>85255.55400509946</v>
      </c>
      <c r="CA213" s="137">
        <v>409861.86171240103</v>
      </c>
      <c r="CB213" s="126">
        <v>14212.751999999999</v>
      </c>
      <c r="CC213" s="126">
        <v>393548.50881665805</v>
      </c>
      <c r="CD213" s="126">
        <v>0</v>
      </c>
      <c r="CE213" s="126">
        <v>0</v>
      </c>
      <c r="CF213" s="126">
        <v>2100.6008957430017</v>
      </c>
      <c r="CG213" s="137">
        <v>0</v>
      </c>
      <c r="CH213" s="126">
        <v>0</v>
      </c>
      <c r="CI213" s="126">
        <v>0</v>
      </c>
      <c r="CJ213" s="120"/>
      <c r="CK213" s="138">
        <v>3803602.2500174968</v>
      </c>
      <c r="CL213" s="139">
        <v>37.863742471927686</v>
      </c>
      <c r="CM213" s="140">
        <v>3888518.6500000004</v>
      </c>
      <c r="CN213" s="125">
        <v>15475.720000000001</v>
      </c>
      <c r="CO213" s="125">
        <v>15475.720000000001</v>
      </c>
      <c r="CP213" s="125">
        <v>0</v>
      </c>
      <c r="CQ213" s="125">
        <v>60118.75</v>
      </c>
      <c r="CR213" s="125">
        <v>32628.22</v>
      </c>
      <c r="CS213" s="125">
        <v>900908.97</v>
      </c>
      <c r="CT213" s="125">
        <v>356113.78332453966</v>
      </c>
      <c r="CU213" s="141">
        <v>0</v>
      </c>
      <c r="CV213" s="142">
        <v>441030.18330704328</v>
      </c>
      <c r="CW213" s="143">
        <v>2.2325257584994151E-2</v>
      </c>
      <c r="CX213" s="140">
        <v>3807082.61</v>
      </c>
      <c r="CY213" s="140">
        <v>1343482.52</v>
      </c>
    </row>
    <row r="214" spans="1:103" ht="12" customHeight="1" x14ac:dyDescent="0.25">
      <c r="A214" s="122">
        <v>209</v>
      </c>
      <c r="B214" s="123" t="s">
        <v>260</v>
      </c>
      <c r="C214" s="124">
        <v>635.79999999999995</v>
      </c>
      <c r="D214" s="125">
        <v>635.79999999999995</v>
      </c>
      <c r="E214" s="125">
        <v>0</v>
      </c>
      <c r="F214" s="125">
        <v>74.2</v>
      </c>
      <c r="G214" s="124">
        <v>635.79999999999995</v>
      </c>
      <c r="H214" s="124"/>
      <c r="I214" s="126">
        <v>0</v>
      </c>
      <c r="J214" s="126">
        <v>0</v>
      </c>
      <c r="K214" s="127">
        <v>0</v>
      </c>
      <c r="L214" s="127">
        <v>0</v>
      </c>
      <c r="M214" s="127"/>
      <c r="N214" s="127"/>
      <c r="O214" s="128" t="s">
        <v>1488</v>
      </c>
      <c r="P214" s="129" t="s">
        <v>74</v>
      </c>
      <c r="Q214" s="130">
        <v>5.31</v>
      </c>
      <c r="R214" s="130">
        <v>2.67</v>
      </c>
      <c r="S214" s="130">
        <v>0</v>
      </c>
      <c r="T214" s="38">
        <v>0.22</v>
      </c>
      <c r="U214" s="131">
        <v>25.29</v>
      </c>
      <c r="V214" s="144">
        <v>0</v>
      </c>
      <c r="W214" s="132">
        <v>0</v>
      </c>
      <c r="X214" s="133">
        <v>2790.8873088248279</v>
      </c>
      <c r="Y214" s="134">
        <v>0</v>
      </c>
      <c r="Z214" s="134">
        <v>2114.9311194624229</v>
      </c>
      <c r="AA214" s="134">
        <v>400.08052352462329</v>
      </c>
      <c r="AB214" s="134">
        <v>275.87566583778136</v>
      </c>
      <c r="AC214" s="126">
        <v>0</v>
      </c>
      <c r="AD214" s="126">
        <v>0</v>
      </c>
      <c r="AE214" s="126">
        <v>0</v>
      </c>
      <c r="AF214" s="126">
        <v>0</v>
      </c>
      <c r="AG214" s="126">
        <v>0</v>
      </c>
      <c r="AH214" s="126">
        <v>0</v>
      </c>
      <c r="AI214" s="126">
        <v>0</v>
      </c>
      <c r="AJ214" s="126">
        <v>0</v>
      </c>
      <c r="AK214" s="126">
        <v>0</v>
      </c>
      <c r="AL214" s="126">
        <v>0</v>
      </c>
      <c r="AM214" s="126">
        <v>0</v>
      </c>
      <c r="AN214" s="126">
        <v>0</v>
      </c>
      <c r="AO214" s="126">
        <v>0</v>
      </c>
      <c r="AP214" s="126">
        <v>0</v>
      </c>
      <c r="AQ214" s="126">
        <v>0</v>
      </c>
      <c r="AR214" s="126">
        <v>0</v>
      </c>
      <c r="AS214" s="126">
        <v>0</v>
      </c>
      <c r="AT214" s="126">
        <v>0</v>
      </c>
      <c r="AU214" s="126">
        <v>0</v>
      </c>
      <c r="AV214" s="126">
        <v>0</v>
      </c>
      <c r="AW214" s="135">
        <v>124519.36771700002</v>
      </c>
      <c r="AX214" s="136">
        <v>96901.487792426007</v>
      </c>
      <c r="AY214" s="136">
        <v>4072.386132874025</v>
      </c>
      <c r="AZ214" s="126">
        <v>0</v>
      </c>
      <c r="BA214" s="126">
        <v>0</v>
      </c>
      <c r="BB214" s="126">
        <v>0</v>
      </c>
      <c r="BC214" s="126">
        <v>21984.66</v>
      </c>
      <c r="BD214" s="126">
        <v>273.13497061267913</v>
      </c>
      <c r="BE214" s="126">
        <v>0</v>
      </c>
      <c r="BF214" s="126">
        <v>357.89199460791252</v>
      </c>
      <c r="BG214" s="126">
        <v>179.1882256404464</v>
      </c>
      <c r="BH214" s="126">
        <v>750.61860083894021</v>
      </c>
      <c r="BI214" s="137">
        <v>94857.280961605138</v>
      </c>
      <c r="BJ214" s="126">
        <v>671.82850975200552</v>
      </c>
      <c r="BK214" s="126">
        <v>955.97239714437694</v>
      </c>
      <c r="BL214" s="126">
        <v>1025.5276349880203</v>
      </c>
      <c r="BM214" s="126">
        <v>1016.3251254983255</v>
      </c>
      <c r="BN214" s="126">
        <v>17094.68186928417</v>
      </c>
      <c r="BO214" s="126">
        <v>9814.1789475765236</v>
      </c>
      <c r="BP214" s="126">
        <v>8051.7712544976057</v>
      </c>
      <c r="BQ214" s="126">
        <v>43685.368152782903</v>
      </c>
      <c r="BR214" s="126">
        <v>1630.3081647023466</v>
      </c>
      <c r="BS214" s="126">
        <v>1810.1442990507351</v>
      </c>
      <c r="BT214" s="126">
        <v>9030.7082547834416</v>
      </c>
      <c r="BU214" s="126">
        <v>0</v>
      </c>
      <c r="BV214" s="126">
        <v>70.466351544673969</v>
      </c>
      <c r="BW214" s="126">
        <v>10901.473838060723</v>
      </c>
      <c r="BX214" s="126">
        <v>38675.592720368702</v>
      </c>
      <c r="BY214" s="126">
        <v>34013.031211831512</v>
      </c>
      <c r="BZ214" s="126">
        <v>0</v>
      </c>
      <c r="CA214" s="137">
        <v>0</v>
      </c>
      <c r="CB214" s="126">
        <v>0</v>
      </c>
      <c r="CC214" s="126">
        <v>0</v>
      </c>
      <c r="CD214" s="126">
        <v>0</v>
      </c>
      <c r="CE214" s="126">
        <v>0</v>
      </c>
      <c r="CF214" s="126">
        <v>0</v>
      </c>
      <c r="CG214" s="137">
        <v>9902.7044573691273</v>
      </c>
      <c r="CH214" s="126">
        <v>2700</v>
      </c>
      <c r="CI214" s="126">
        <v>7202.7044573691282</v>
      </c>
      <c r="CJ214" s="120"/>
      <c r="CK214" s="138">
        <v>315660.33821506001</v>
      </c>
      <c r="CL214" s="139">
        <v>41.373117622819024</v>
      </c>
      <c r="CM214" s="140">
        <v>192952.56</v>
      </c>
      <c r="CN214" s="125">
        <v>462.96</v>
      </c>
      <c r="CO214" s="125">
        <v>462.96</v>
      </c>
      <c r="CP214" s="125">
        <v>0</v>
      </c>
      <c r="CQ214" s="125">
        <v>1806.2400000000002</v>
      </c>
      <c r="CR214" s="125">
        <v>979.08</v>
      </c>
      <c r="CS214" s="125">
        <v>4092.84</v>
      </c>
      <c r="CT214" s="125">
        <v>0</v>
      </c>
      <c r="CU214" s="141">
        <v>0</v>
      </c>
      <c r="CV214" s="142">
        <v>-122707.77821506001</v>
      </c>
      <c r="CW214" s="143">
        <v>0</v>
      </c>
      <c r="CX214" s="140">
        <v>186788.09</v>
      </c>
      <c r="CY214" s="140">
        <v>103437.24</v>
      </c>
    </row>
    <row r="215" spans="1:103" ht="12" customHeight="1" x14ac:dyDescent="0.25">
      <c r="A215" s="122">
        <v>210</v>
      </c>
      <c r="B215" s="123" t="s">
        <v>261</v>
      </c>
      <c r="C215" s="124">
        <v>2472.5</v>
      </c>
      <c r="D215" s="125">
        <v>2472.5</v>
      </c>
      <c r="E215" s="125">
        <v>0</v>
      </c>
      <c r="F215" s="125">
        <v>220.8</v>
      </c>
      <c r="G215" s="124">
        <v>2472.5</v>
      </c>
      <c r="H215" s="124"/>
      <c r="I215" s="126">
        <v>0</v>
      </c>
      <c r="J215" s="126">
        <v>0</v>
      </c>
      <c r="K215" s="127">
        <v>0</v>
      </c>
      <c r="L215" s="127">
        <v>0</v>
      </c>
      <c r="M215" s="127"/>
      <c r="N215" s="127"/>
      <c r="O215" s="128" t="s">
        <v>1489</v>
      </c>
      <c r="P215" s="129" t="s">
        <v>74</v>
      </c>
      <c r="Q215" s="130">
        <v>5.31</v>
      </c>
      <c r="R215" s="130">
        <v>2.67</v>
      </c>
      <c r="S215" s="130">
        <v>0</v>
      </c>
      <c r="T215" s="38">
        <v>0.22</v>
      </c>
      <c r="U215" s="131">
        <v>25.29</v>
      </c>
      <c r="V215" s="144">
        <v>0</v>
      </c>
      <c r="W215" s="132">
        <v>0</v>
      </c>
      <c r="X215" s="133">
        <v>50176.266780543228</v>
      </c>
      <c r="Y215" s="134">
        <v>39323.06</v>
      </c>
      <c r="Z215" s="134">
        <v>8224.5473307185293</v>
      </c>
      <c r="AA215" s="134">
        <v>1555.8337439676488</v>
      </c>
      <c r="AB215" s="134">
        <v>1072.8257058570534</v>
      </c>
      <c r="AC215" s="126">
        <v>0</v>
      </c>
      <c r="AD215" s="126">
        <v>0</v>
      </c>
      <c r="AE215" s="126">
        <v>0</v>
      </c>
      <c r="AF215" s="126">
        <v>0</v>
      </c>
      <c r="AG215" s="126">
        <v>0</v>
      </c>
      <c r="AH215" s="126">
        <v>0</v>
      </c>
      <c r="AI215" s="126">
        <v>0</v>
      </c>
      <c r="AJ215" s="126">
        <v>0</v>
      </c>
      <c r="AK215" s="126">
        <v>0</v>
      </c>
      <c r="AL215" s="126">
        <v>0</v>
      </c>
      <c r="AM215" s="126">
        <v>0</v>
      </c>
      <c r="AN215" s="126">
        <v>0</v>
      </c>
      <c r="AO215" s="126">
        <v>0</v>
      </c>
      <c r="AP215" s="126">
        <v>0</v>
      </c>
      <c r="AQ215" s="126">
        <v>0</v>
      </c>
      <c r="AR215" s="126">
        <v>0</v>
      </c>
      <c r="AS215" s="126">
        <v>0</v>
      </c>
      <c r="AT215" s="126">
        <v>0</v>
      </c>
      <c r="AU215" s="126">
        <v>0</v>
      </c>
      <c r="AV215" s="126">
        <v>0</v>
      </c>
      <c r="AW215" s="135">
        <v>403522.87254973926</v>
      </c>
      <c r="AX215" s="136">
        <v>376830.65203959314</v>
      </c>
      <c r="AY215" s="136">
        <v>15836.701342452072</v>
      </c>
      <c r="AZ215" s="126">
        <v>0</v>
      </c>
      <c r="BA215" s="126">
        <v>4785.7463618145184</v>
      </c>
      <c r="BB215" s="126">
        <v>0</v>
      </c>
      <c r="BC215" s="126">
        <v>0</v>
      </c>
      <c r="BD215" s="126">
        <v>1062.1676861274759</v>
      </c>
      <c r="BE215" s="126">
        <v>0</v>
      </c>
      <c r="BF215" s="126">
        <v>1391.770929015514</v>
      </c>
      <c r="BG215" s="126">
        <v>696.82744242844251</v>
      </c>
      <c r="BH215" s="126">
        <v>2919.0067483080838</v>
      </c>
      <c r="BI215" s="137">
        <v>368881.1374293312</v>
      </c>
      <c r="BJ215" s="126">
        <v>2612.6077231233621</v>
      </c>
      <c r="BK215" s="126">
        <v>3717.5869014461659</v>
      </c>
      <c r="BL215" s="126">
        <v>3988.0734153945896</v>
      </c>
      <c r="BM215" s="126">
        <v>3952.2866825961155</v>
      </c>
      <c r="BN215" s="126">
        <v>66477.82466468247</v>
      </c>
      <c r="BO215" s="126">
        <v>38165.393909850514</v>
      </c>
      <c r="BP215" s="126">
        <v>31311.740211930377</v>
      </c>
      <c r="BQ215" s="126">
        <v>169883.72563346295</v>
      </c>
      <c r="BR215" s="126">
        <v>6339.944852511092</v>
      </c>
      <c r="BS215" s="126">
        <v>7039.2918833012627</v>
      </c>
      <c r="BT215" s="126">
        <v>35118.631896747502</v>
      </c>
      <c r="BU215" s="126">
        <v>0</v>
      </c>
      <c r="BV215" s="126">
        <v>274.02965428469076</v>
      </c>
      <c r="BW215" s="126">
        <v>42393.667921681568</v>
      </c>
      <c r="BX215" s="126">
        <v>150401.70336758668</v>
      </c>
      <c r="BY215" s="126">
        <v>132269.92713314472</v>
      </c>
      <c r="BZ215" s="126">
        <v>0</v>
      </c>
      <c r="CA215" s="137">
        <v>0</v>
      </c>
      <c r="CB215" s="126">
        <v>0</v>
      </c>
      <c r="CC215" s="126">
        <v>0</v>
      </c>
      <c r="CD215" s="126">
        <v>0</v>
      </c>
      <c r="CE215" s="126">
        <v>0</v>
      </c>
      <c r="CF215" s="126">
        <v>0</v>
      </c>
      <c r="CG215" s="137">
        <v>38149.887969243748</v>
      </c>
      <c r="CH215" s="126">
        <v>10140</v>
      </c>
      <c r="CI215" s="126">
        <v>28009.887969243744</v>
      </c>
      <c r="CJ215" s="120"/>
      <c r="CK215" s="138">
        <v>1185795.4631512705</v>
      </c>
      <c r="CL215" s="139">
        <v>39.966143011502204</v>
      </c>
      <c r="CM215" s="140">
        <v>750355.44000000006</v>
      </c>
      <c r="CN215" s="125">
        <v>1377.84</v>
      </c>
      <c r="CO215" s="125">
        <v>1377.84</v>
      </c>
      <c r="CP215" s="125">
        <v>0</v>
      </c>
      <c r="CQ215" s="125">
        <v>5374.68</v>
      </c>
      <c r="CR215" s="125">
        <v>2913.6000000000004</v>
      </c>
      <c r="CS215" s="125">
        <v>12179.52</v>
      </c>
      <c r="CT215" s="125">
        <v>0</v>
      </c>
      <c r="CU215" s="141">
        <v>0</v>
      </c>
      <c r="CV215" s="142">
        <v>-435440.02315127046</v>
      </c>
      <c r="CW215" s="143">
        <v>0</v>
      </c>
      <c r="CX215" s="140">
        <v>741916.69000000006</v>
      </c>
      <c r="CY215" s="140">
        <v>115216.73</v>
      </c>
    </row>
    <row r="216" spans="1:103" ht="12" customHeight="1" x14ac:dyDescent="0.25">
      <c r="A216" s="122">
        <v>211</v>
      </c>
      <c r="B216" s="123" t="s">
        <v>262</v>
      </c>
      <c r="C216" s="124">
        <v>632.29999999999995</v>
      </c>
      <c r="D216" s="125">
        <v>632.29999999999995</v>
      </c>
      <c r="E216" s="125">
        <v>0</v>
      </c>
      <c r="F216" s="125">
        <v>41.3</v>
      </c>
      <c r="G216" s="124">
        <v>632.29999999999995</v>
      </c>
      <c r="H216" s="124"/>
      <c r="I216" s="126">
        <v>0</v>
      </c>
      <c r="J216" s="126">
        <v>0</v>
      </c>
      <c r="K216" s="127">
        <v>0</v>
      </c>
      <c r="L216" s="127">
        <v>0</v>
      </c>
      <c r="M216" s="127"/>
      <c r="N216" s="127"/>
      <c r="O216" s="128" t="s">
        <v>1488</v>
      </c>
      <c r="P216" s="129" t="s">
        <v>74</v>
      </c>
      <c r="Q216" s="130">
        <v>5.31</v>
      </c>
      <c r="R216" s="130">
        <v>2.67</v>
      </c>
      <c r="S216" s="130">
        <v>0</v>
      </c>
      <c r="T216" s="38">
        <v>0.22</v>
      </c>
      <c r="U216" s="131">
        <v>25.29</v>
      </c>
      <c r="V216" s="144">
        <v>0</v>
      </c>
      <c r="W216" s="132">
        <v>0</v>
      </c>
      <c r="X216" s="133">
        <v>31624.503820965609</v>
      </c>
      <c r="Y216" s="134">
        <v>28848.979999999996</v>
      </c>
      <c r="Z216" s="134">
        <v>2103.288686436128</v>
      </c>
      <c r="AA216" s="134">
        <v>397.87812995378937</v>
      </c>
      <c r="AB216" s="134">
        <v>274.35700457569862</v>
      </c>
      <c r="AC216" s="126">
        <v>0</v>
      </c>
      <c r="AD216" s="126">
        <v>0</v>
      </c>
      <c r="AE216" s="126">
        <v>0</v>
      </c>
      <c r="AF216" s="126">
        <v>0</v>
      </c>
      <c r="AG216" s="126">
        <v>0</v>
      </c>
      <c r="AH216" s="126">
        <v>0</v>
      </c>
      <c r="AI216" s="126">
        <v>0</v>
      </c>
      <c r="AJ216" s="126">
        <v>0</v>
      </c>
      <c r="AK216" s="126">
        <v>0</v>
      </c>
      <c r="AL216" s="126">
        <v>0</v>
      </c>
      <c r="AM216" s="126">
        <v>0</v>
      </c>
      <c r="AN216" s="126">
        <v>0</v>
      </c>
      <c r="AO216" s="126">
        <v>0</v>
      </c>
      <c r="AP216" s="126">
        <v>0</v>
      </c>
      <c r="AQ216" s="126">
        <v>0</v>
      </c>
      <c r="AR216" s="126">
        <v>0</v>
      </c>
      <c r="AS216" s="126">
        <v>0</v>
      </c>
      <c r="AT216" s="126">
        <v>0</v>
      </c>
      <c r="AU216" s="126">
        <v>0</v>
      </c>
      <c r="AV216" s="126">
        <v>0</v>
      </c>
      <c r="AW216" s="135">
        <v>101970.2668912537</v>
      </c>
      <c r="AX216" s="136">
        <v>96368.057142420526</v>
      </c>
      <c r="AY216" s="136">
        <v>4049.9681532183799</v>
      </c>
      <c r="AZ216" s="126">
        <v>0</v>
      </c>
      <c r="BA216" s="126">
        <v>0</v>
      </c>
      <c r="BB216" s="126">
        <v>0</v>
      </c>
      <c r="BC216" s="126">
        <v>0</v>
      </c>
      <c r="BD216" s="126">
        <v>271.6313965372712</v>
      </c>
      <c r="BE216" s="126">
        <v>0</v>
      </c>
      <c r="BF216" s="126">
        <v>355.9218436467176</v>
      </c>
      <c r="BG216" s="126">
        <v>178.20181672295416</v>
      </c>
      <c r="BH216" s="126">
        <v>746.486538707867</v>
      </c>
      <c r="BI216" s="137">
        <v>94335.103416204685</v>
      </c>
      <c r="BJ216" s="126">
        <v>668.13017728246791</v>
      </c>
      <c r="BK216" s="126">
        <v>950.70988788044917</v>
      </c>
      <c r="BL216" s="126">
        <v>1019.8822327822038</v>
      </c>
      <c r="BM216" s="126">
        <v>1010.7303819638113</v>
      </c>
      <c r="BN216" s="126">
        <v>17000.577769657724</v>
      </c>
      <c r="BO216" s="126">
        <v>9760.1531119104056</v>
      </c>
      <c r="BP216" s="126">
        <v>8007.4472541976038</v>
      </c>
      <c r="BQ216" s="126">
        <v>43444.885629135941</v>
      </c>
      <c r="BR216" s="126">
        <v>1621.3335208261933</v>
      </c>
      <c r="BS216" s="126">
        <v>1800.179679600157</v>
      </c>
      <c r="BT216" s="126">
        <v>8980.9953279326364</v>
      </c>
      <c r="BU216" s="126">
        <v>0</v>
      </c>
      <c r="BV216" s="126">
        <v>70.078443035069753</v>
      </c>
      <c r="BW216" s="126">
        <v>10841.462579122042</v>
      </c>
      <c r="BX216" s="126">
        <v>38462.688387998001</v>
      </c>
      <c r="BY216" s="126">
        <v>33825.793701228475</v>
      </c>
      <c r="BZ216" s="126">
        <v>0</v>
      </c>
      <c r="CA216" s="137">
        <v>0</v>
      </c>
      <c r="CB216" s="126">
        <v>0</v>
      </c>
      <c r="CC216" s="126">
        <v>0</v>
      </c>
      <c r="CD216" s="126">
        <v>0</v>
      </c>
      <c r="CE216" s="126">
        <v>0</v>
      </c>
      <c r="CF216" s="126">
        <v>0</v>
      </c>
      <c r="CG216" s="137">
        <v>10203.050464288297</v>
      </c>
      <c r="CH216" s="126">
        <v>3039.9959999999996</v>
      </c>
      <c r="CI216" s="126">
        <v>7163.0544642882978</v>
      </c>
      <c r="CJ216" s="120"/>
      <c r="CK216" s="138">
        <v>321262.86926106078</v>
      </c>
      <c r="CL216" s="139">
        <v>42.340512054017189</v>
      </c>
      <c r="CM216" s="140">
        <v>191890.44</v>
      </c>
      <c r="CN216" s="125">
        <v>257.64</v>
      </c>
      <c r="CO216" s="125">
        <v>257.64</v>
      </c>
      <c r="CP216" s="125">
        <v>0</v>
      </c>
      <c r="CQ216" s="125">
        <v>1005.47</v>
      </c>
      <c r="CR216" s="125">
        <v>545.04</v>
      </c>
      <c r="CS216" s="125">
        <v>2278.44</v>
      </c>
      <c r="CT216" s="125">
        <v>0</v>
      </c>
      <c r="CU216" s="141">
        <v>0</v>
      </c>
      <c r="CV216" s="142">
        <v>-129372.42926106078</v>
      </c>
      <c r="CW216" s="143">
        <v>0</v>
      </c>
      <c r="CX216" s="140">
        <v>207981.69999999998</v>
      </c>
      <c r="CY216" s="140">
        <v>13403.84</v>
      </c>
    </row>
    <row r="217" spans="1:103" ht="12" customHeight="1" x14ac:dyDescent="0.25">
      <c r="A217" s="122">
        <v>212</v>
      </c>
      <c r="B217" s="123" t="s">
        <v>263</v>
      </c>
      <c r="C217" s="124">
        <v>651.9</v>
      </c>
      <c r="D217" s="125">
        <v>651.9</v>
      </c>
      <c r="E217" s="125">
        <v>0</v>
      </c>
      <c r="F217" s="125">
        <v>53.7</v>
      </c>
      <c r="G217" s="124">
        <v>651.9</v>
      </c>
      <c r="H217" s="124"/>
      <c r="I217" s="126">
        <v>0</v>
      </c>
      <c r="J217" s="126">
        <v>0</v>
      </c>
      <c r="K217" s="127">
        <v>0</v>
      </c>
      <c r="L217" s="127">
        <v>0</v>
      </c>
      <c r="M217" s="127"/>
      <c r="N217" s="127"/>
      <c r="O217" s="128" t="s">
        <v>1488</v>
      </c>
      <c r="P217" s="129" t="s">
        <v>74</v>
      </c>
      <c r="Q217" s="130">
        <v>5.31</v>
      </c>
      <c r="R217" s="130">
        <v>2.67</v>
      </c>
      <c r="S217" s="130">
        <v>0</v>
      </c>
      <c r="T217" s="38">
        <v>0.22</v>
      </c>
      <c r="U217" s="131">
        <v>25.29</v>
      </c>
      <c r="V217" s="144">
        <v>0</v>
      </c>
      <c r="W217" s="132">
        <v>0</v>
      </c>
      <c r="X217" s="133">
        <v>22194.199352977204</v>
      </c>
      <c r="Y217" s="134">
        <v>19332.64</v>
      </c>
      <c r="Z217" s="134">
        <v>2168.4863113833808</v>
      </c>
      <c r="AA217" s="134">
        <v>410.21153395045911</v>
      </c>
      <c r="AB217" s="134">
        <v>282.86150764336219</v>
      </c>
      <c r="AC217" s="126">
        <v>0</v>
      </c>
      <c r="AD217" s="126">
        <v>0</v>
      </c>
      <c r="AE217" s="126">
        <v>0</v>
      </c>
      <c r="AF217" s="126">
        <v>0</v>
      </c>
      <c r="AG217" s="126">
        <v>0</v>
      </c>
      <c r="AH217" s="126">
        <v>0</v>
      </c>
      <c r="AI217" s="126">
        <v>0</v>
      </c>
      <c r="AJ217" s="126">
        <v>0</v>
      </c>
      <c r="AK217" s="126">
        <v>0</v>
      </c>
      <c r="AL217" s="126">
        <v>0</v>
      </c>
      <c r="AM217" s="126">
        <v>0</v>
      </c>
      <c r="AN217" s="126">
        <v>0</v>
      </c>
      <c r="AO217" s="126">
        <v>0</v>
      </c>
      <c r="AP217" s="126">
        <v>0</v>
      </c>
      <c r="AQ217" s="126">
        <v>0</v>
      </c>
      <c r="AR217" s="126">
        <v>0</v>
      </c>
      <c r="AS217" s="126">
        <v>0</v>
      </c>
      <c r="AT217" s="126">
        <v>0</v>
      </c>
      <c r="AU217" s="126">
        <v>0</v>
      </c>
      <c r="AV217" s="126">
        <v>0</v>
      </c>
      <c r="AW217" s="135">
        <v>105131.13551543302</v>
      </c>
      <c r="AX217" s="136">
        <v>99355.268782451269</v>
      </c>
      <c r="AY217" s="136">
        <v>4175.5088392899925</v>
      </c>
      <c r="AZ217" s="126">
        <v>0</v>
      </c>
      <c r="BA217" s="126">
        <v>0</v>
      </c>
      <c r="BB217" s="126">
        <v>0</v>
      </c>
      <c r="BC217" s="126">
        <v>0</v>
      </c>
      <c r="BD217" s="126">
        <v>280.05141135955574</v>
      </c>
      <c r="BE217" s="126">
        <v>0</v>
      </c>
      <c r="BF217" s="126">
        <v>366.95468902940888</v>
      </c>
      <c r="BG217" s="126">
        <v>183.7257066609107</v>
      </c>
      <c r="BH217" s="126">
        <v>769.62608664187655</v>
      </c>
      <c r="BI217" s="137">
        <v>97259.297670447297</v>
      </c>
      <c r="BJ217" s="126">
        <v>688.84083911187861</v>
      </c>
      <c r="BK217" s="126">
        <v>980.17993975844513</v>
      </c>
      <c r="BL217" s="126">
        <v>1051.4964851347756</v>
      </c>
      <c r="BM217" s="126">
        <v>1042.0609457570911</v>
      </c>
      <c r="BN217" s="126">
        <v>17527.560727565826</v>
      </c>
      <c r="BO217" s="126">
        <v>10062.697791640667</v>
      </c>
      <c r="BP217" s="126">
        <v>8255.6616558776186</v>
      </c>
      <c r="BQ217" s="126">
        <v>44791.587761558942</v>
      </c>
      <c r="BR217" s="126">
        <v>1671.5915265326514</v>
      </c>
      <c r="BS217" s="126">
        <v>1855.9815485233946</v>
      </c>
      <c r="BT217" s="126">
        <v>9259.3877182971464</v>
      </c>
      <c r="BU217" s="126">
        <v>0</v>
      </c>
      <c r="BV217" s="126">
        <v>72.250730688853352</v>
      </c>
      <c r="BW217" s="126">
        <v>11177.52562917865</v>
      </c>
      <c r="BX217" s="126">
        <v>39654.952649273917</v>
      </c>
      <c r="BY217" s="126">
        <v>34874.323760605475</v>
      </c>
      <c r="BZ217" s="126">
        <v>0</v>
      </c>
      <c r="CA217" s="137">
        <v>0</v>
      </c>
      <c r="CB217" s="126">
        <v>0</v>
      </c>
      <c r="CC217" s="126">
        <v>0</v>
      </c>
      <c r="CD217" s="126">
        <v>0</v>
      </c>
      <c r="CE217" s="126">
        <v>0</v>
      </c>
      <c r="CF217" s="126">
        <v>0</v>
      </c>
      <c r="CG217" s="137">
        <v>10765.098425540949</v>
      </c>
      <c r="CH217" s="126">
        <v>3380.0039999999999</v>
      </c>
      <c r="CI217" s="126">
        <v>7385.0944255409486</v>
      </c>
      <c r="CJ217" s="120"/>
      <c r="CK217" s="138">
        <v>321056.53300345654</v>
      </c>
      <c r="CL217" s="139">
        <v>41.041127601812214</v>
      </c>
      <c r="CM217" s="140">
        <v>197838.84</v>
      </c>
      <c r="CN217" s="125">
        <v>335.28000000000003</v>
      </c>
      <c r="CO217" s="125">
        <v>335.28000000000003</v>
      </c>
      <c r="CP217" s="125">
        <v>0</v>
      </c>
      <c r="CQ217" s="125">
        <v>1307.1600000000001</v>
      </c>
      <c r="CR217" s="125">
        <v>708.96</v>
      </c>
      <c r="CS217" s="125">
        <v>2962.08</v>
      </c>
      <c r="CT217" s="125">
        <v>0</v>
      </c>
      <c r="CU217" s="141">
        <v>0</v>
      </c>
      <c r="CV217" s="142">
        <v>-123217.69300345654</v>
      </c>
      <c r="CW217" s="143">
        <v>0</v>
      </c>
      <c r="CX217" s="140">
        <v>169706.38999999998</v>
      </c>
      <c r="CY217" s="140">
        <v>125597.39</v>
      </c>
    </row>
    <row r="218" spans="1:103" ht="12" customHeight="1" x14ac:dyDescent="0.25">
      <c r="A218" s="122">
        <v>213</v>
      </c>
      <c r="B218" s="123" t="s">
        <v>264</v>
      </c>
      <c r="C218" s="124">
        <v>639.5</v>
      </c>
      <c r="D218" s="125">
        <v>639.5</v>
      </c>
      <c r="E218" s="125">
        <v>0</v>
      </c>
      <c r="F218" s="125">
        <v>53.7</v>
      </c>
      <c r="G218" s="124">
        <v>639.5</v>
      </c>
      <c r="H218" s="124"/>
      <c r="I218" s="126">
        <v>0</v>
      </c>
      <c r="J218" s="126">
        <v>0</v>
      </c>
      <c r="K218" s="127">
        <v>0</v>
      </c>
      <c r="L218" s="127">
        <v>0</v>
      </c>
      <c r="M218" s="127"/>
      <c r="N218" s="127"/>
      <c r="O218" s="128" t="s">
        <v>1488</v>
      </c>
      <c r="P218" s="129" t="s">
        <v>74</v>
      </c>
      <c r="Q218" s="130">
        <v>5.31</v>
      </c>
      <c r="R218" s="130">
        <v>2.67</v>
      </c>
      <c r="S218" s="130">
        <v>0</v>
      </c>
      <c r="T218" s="38">
        <v>0.22</v>
      </c>
      <c r="U218" s="131">
        <v>25.29</v>
      </c>
      <c r="V218" s="144">
        <v>0</v>
      </c>
      <c r="W218" s="132">
        <v>0</v>
      </c>
      <c r="X218" s="133">
        <v>23145.768710275996</v>
      </c>
      <c r="Y218" s="134">
        <v>20338.64</v>
      </c>
      <c r="Z218" s="134">
        <v>2127.2388343759353</v>
      </c>
      <c r="AA218" s="134">
        <v>402.40876815664768</v>
      </c>
      <c r="AB218" s="134">
        <v>277.48110774341177</v>
      </c>
      <c r="AC218" s="126">
        <v>0</v>
      </c>
      <c r="AD218" s="126">
        <v>0</v>
      </c>
      <c r="AE218" s="126">
        <v>0</v>
      </c>
      <c r="AF218" s="126">
        <v>0</v>
      </c>
      <c r="AG218" s="126">
        <v>0</v>
      </c>
      <c r="AH218" s="126">
        <v>0</v>
      </c>
      <c r="AI218" s="126">
        <v>0</v>
      </c>
      <c r="AJ218" s="126">
        <v>0</v>
      </c>
      <c r="AK218" s="126">
        <v>0</v>
      </c>
      <c r="AL218" s="126">
        <v>0</v>
      </c>
      <c r="AM218" s="126">
        <v>0</v>
      </c>
      <c r="AN218" s="126">
        <v>0</v>
      </c>
      <c r="AO218" s="126">
        <v>0</v>
      </c>
      <c r="AP218" s="126">
        <v>0</v>
      </c>
      <c r="AQ218" s="126">
        <v>0</v>
      </c>
      <c r="AR218" s="126">
        <v>0</v>
      </c>
      <c r="AS218" s="126">
        <v>0</v>
      </c>
      <c r="AT218" s="126">
        <v>0</v>
      </c>
      <c r="AU218" s="126">
        <v>0</v>
      </c>
      <c r="AV218" s="126">
        <v>0</v>
      </c>
      <c r="AW218" s="135">
        <v>115737.37830421755</v>
      </c>
      <c r="AX218" s="136">
        <v>97465.400193860391</v>
      </c>
      <c r="AY218" s="136">
        <v>4096.0851399385647</v>
      </c>
      <c r="AZ218" s="126">
        <v>0</v>
      </c>
      <c r="BA218" s="126">
        <v>0</v>
      </c>
      <c r="BB218" s="126">
        <v>0</v>
      </c>
      <c r="BC218" s="126">
        <v>12605.975999999999</v>
      </c>
      <c r="BD218" s="126">
        <v>274.72446320668189</v>
      </c>
      <c r="BE218" s="126">
        <v>0</v>
      </c>
      <c r="BF218" s="126">
        <v>359.97472562403283</v>
      </c>
      <c r="BG218" s="126">
        <v>180.23100078179536</v>
      </c>
      <c r="BH218" s="126">
        <v>754.98678080607465</v>
      </c>
      <c r="BI218" s="137">
        <v>95409.297223885616</v>
      </c>
      <c r="BJ218" s="126">
        <v>675.73817550551678</v>
      </c>
      <c r="BK218" s="126">
        <v>961.53562122338644</v>
      </c>
      <c r="BL218" s="126">
        <v>1031.4956316055975</v>
      </c>
      <c r="BM218" s="126">
        <v>1022.2395686633835</v>
      </c>
      <c r="BN218" s="126">
        <v>17194.163346032128</v>
      </c>
      <c r="BO218" s="126">
        <v>9871.2919738521341</v>
      </c>
      <c r="BP218" s="126">
        <v>8098.6280548147524</v>
      </c>
      <c r="BQ218" s="126">
        <v>43939.592534923984</v>
      </c>
      <c r="BR218" s="126">
        <v>1639.795645371423</v>
      </c>
      <c r="BS218" s="126">
        <v>1820.6783253270607</v>
      </c>
      <c r="BT218" s="126">
        <v>9083.2619203114373</v>
      </c>
      <c r="BU218" s="126">
        <v>0</v>
      </c>
      <c r="BV218" s="126">
        <v>70.876426254826995</v>
      </c>
      <c r="BW218" s="126">
        <v>10964.914311795899</v>
      </c>
      <c r="BX218" s="126">
        <v>38900.663014589161</v>
      </c>
      <c r="BY218" s="126">
        <v>34210.968008754724</v>
      </c>
      <c r="BZ218" s="126">
        <v>0</v>
      </c>
      <c r="CA218" s="137">
        <v>0</v>
      </c>
      <c r="CB218" s="126">
        <v>0</v>
      </c>
      <c r="CC218" s="126">
        <v>0</v>
      </c>
      <c r="CD218" s="126">
        <v>0</v>
      </c>
      <c r="CE218" s="126">
        <v>0</v>
      </c>
      <c r="CF218" s="126">
        <v>0</v>
      </c>
      <c r="CG218" s="137">
        <v>10624.624164340294</v>
      </c>
      <c r="CH218" s="126">
        <v>3380.0039999999999</v>
      </c>
      <c r="CI218" s="126">
        <v>7244.6201643402928</v>
      </c>
      <c r="CJ218" s="120"/>
      <c r="CK218" s="138">
        <v>328993.61373785924</v>
      </c>
      <c r="CL218" s="139">
        <v>42.871203249655878</v>
      </c>
      <c r="CM218" s="140">
        <v>194075.51999999999</v>
      </c>
      <c r="CN218" s="125">
        <v>335.28000000000003</v>
      </c>
      <c r="CO218" s="125">
        <v>335.28000000000003</v>
      </c>
      <c r="CP218" s="125">
        <v>0</v>
      </c>
      <c r="CQ218" s="125">
        <v>1307.3900000000001</v>
      </c>
      <c r="CR218" s="125">
        <v>708.72</v>
      </c>
      <c r="CS218" s="125">
        <v>2962.1899999999996</v>
      </c>
      <c r="CT218" s="125">
        <v>0</v>
      </c>
      <c r="CU218" s="141">
        <v>0</v>
      </c>
      <c r="CV218" s="142">
        <v>-134918.09373785925</v>
      </c>
      <c r="CW218" s="143">
        <v>0</v>
      </c>
      <c r="CX218" s="140">
        <v>204531.21000000002</v>
      </c>
      <c r="CY218" s="140">
        <v>24658.68</v>
      </c>
    </row>
    <row r="219" spans="1:103" ht="12" customHeight="1" x14ac:dyDescent="0.25">
      <c r="A219" s="122">
        <v>214</v>
      </c>
      <c r="B219" s="123" t="s">
        <v>265</v>
      </c>
      <c r="C219" s="124">
        <v>4849.7999999999993</v>
      </c>
      <c r="D219" s="125">
        <v>4090.5999999999995</v>
      </c>
      <c r="E219" s="125">
        <v>759.2</v>
      </c>
      <c r="F219" s="125">
        <v>370.5</v>
      </c>
      <c r="G219" s="124">
        <v>4849.7999999999993</v>
      </c>
      <c r="H219" s="124"/>
      <c r="I219" s="126">
        <v>0</v>
      </c>
      <c r="J219" s="126">
        <v>0</v>
      </c>
      <c r="K219" s="127">
        <v>0</v>
      </c>
      <c r="L219" s="127">
        <v>0</v>
      </c>
      <c r="M219" s="127"/>
      <c r="N219" s="127"/>
      <c r="O219" s="128" t="s">
        <v>1489</v>
      </c>
      <c r="P219" s="129" t="s">
        <v>74</v>
      </c>
      <c r="Q219" s="130">
        <v>5.31</v>
      </c>
      <c r="R219" s="130">
        <v>2.67</v>
      </c>
      <c r="S219" s="130">
        <v>0</v>
      </c>
      <c r="T219" s="38">
        <v>0.22</v>
      </c>
      <c r="U219" s="131">
        <v>25.29</v>
      </c>
      <c r="V219" s="144">
        <v>0</v>
      </c>
      <c r="W219" s="132">
        <v>0</v>
      </c>
      <c r="X219" s="133">
        <v>446978.31041859952</v>
      </c>
      <c r="Y219" s="134">
        <v>45134.59</v>
      </c>
      <c r="Z219" s="134">
        <v>16132.420483121829</v>
      </c>
      <c r="AA219" s="134">
        <v>3051.7623828086157</v>
      </c>
      <c r="AB219" s="134">
        <v>2104.3438253854547</v>
      </c>
      <c r="AC219" s="126">
        <v>0</v>
      </c>
      <c r="AD219" s="126">
        <v>0</v>
      </c>
      <c r="AE219" s="126">
        <v>0</v>
      </c>
      <c r="AF219" s="126">
        <v>0</v>
      </c>
      <c r="AG219" s="126">
        <v>0</v>
      </c>
      <c r="AH219" s="126">
        <v>0</v>
      </c>
      <c r="AI219" s="126">
        <v>0</v>
      </c>
      <c r="AJ219" s="126">
        <v>0</v>
      </c>
      <c r="AK219" s="126">
        <v>0</v>
      </c>
      <c r="AL219" s="126">
        <v>0</v>
      </c>
      <c r="AM219" s="126">
        <v>0</v>
      </c>
      <c r="AN219" s="126">
        <v>0</v>
      </c>
      <c r="AO219" s="126">
        <v>0</v>
      </c>
      <c r="AP219" s="126">
        <v>0</v>
      </c>
      <c r="AQ219" s="126">
        <v>0</v>
      </c>
      <c r="AR219" s="126">
        <v>0</v>
      </c>
      <c r="AS219" s="126">
        <v>0</v>
      </c>
      <c r="AT219" s="126">
        <v>380555.19372728362</v>
      </c>
      <c r="AU219" s="126">
        <v>0</v>
      </c>
      <c r="AV219" s="126">
        <v>0</v>
      </c>
      <c r="AW219" s="135">
        <v>791508.68646783615</v>
      </c>
      <c r="AX219" s="136">
        <v>739151.99039903691</v>
      </c>
      <c r="AY219" s="136">
        <v>31063.633638270596</v>
      </c>
      <c r="AZ219" s="126">
        <v>0</v>
      </c>
      <c r="BA219" s="126">
        <v>9387.2245522863686</v>
      </c>
      <c r="BB219" s="126">
        <v>0</v>
      </c>
      <c r="BC219" s="126">
        <v>0</v>
      </c>
      <c r="BD219" s="126">
        <v>2083.4381574038553</v>
      </c>
      <c r="BE219" s="126">
        <v>0</v>
      </c>
      <c r="BF219" s="126">
        <v>2729.9537518865272</v>
      </c>
      <c r="BG219" s="126">
        <v>1366.8245623010962</v>
      </c>
      <c r="BH219" s="126">
        <v>5725.6214066509783</v>
      </c>
      <c r="BI219" s="137">
        <v>723559.0456237694</v>
      </c>
      <c r="BJ219" s="126">
        <v>5124.6208030753005</v>
      </c>
      <c r="BK219" s="126">
        <v>7292.0335509134939</v>
      </c>
      <c r="BL219" s="126">
        <v>7822.5918907909718</v>
      </c>
      <c r="BM219" s="126">
        <v>7752.3963410534425</v>
      </c>
      <c r="BN219" s="126">
        <v>130396.01781952559</v>
      </c>
      <c r="BO219" s="126">
        <v>74861.285089582598</v>
      </c>
      <c r="BP219" s="126">
        <v>61417.86761570067</v>
      </c>
      <c r="BQ219" s="126">
        <v>333226.32662372838</v>
      </c>
      <c r="BR219" s="126">
        <v>12435.779391590815</v>
      </c>
      <c r="BS219" s="126">
        <v>13807.546117546799</v>
      </c>
      <c r="BT219" s="126">
        <v>68885.072183153083</v>
      </c>
      <c r="BU219" s="126">
        <v>0</v>
      </c>
      <c r="BV219" s="126">
        <v>537.50819710814687</v>
      </c>
      <c r="BW219" s="126">
        <v>83155.029600231035</v>
      </c>
      <c r="BX219" s="126">
        <v>295012.40889469034</v>
      </c>
      <c r="BY219" s="126">
        <v>259446.99397788683</v>
      </c>
      <c r="BZ219" s="126">
        <v>0</v>
      </c>
      <c r="CA219" s="137">
        <v>0</v>
      </c>
      <c r="CB219" s="126">
        <v>0</v>
      </c>
      <c r="CC219" s="126">
        <v>0</v>
      </c>
      <c r="CD219" s="126">
        <v>0</v>
      </c>
      <c r="CE219" s="126">
        <v>0</v>
      </c>
      <c r="CF219" s="126">
        <v>0</v>
      </c>
      <c r="CG219" s="137">
        <v>69811.30012668889</v>
      </c>
      <c r="CH219" s="126">
        <v>14870.003999999999</v>
      </c>
      <c r="CI219" s="126">
        <v>54941.296126688889</v>
      </c>
      <c r="CJ219" s="120"/>
      <c r="CK219" s="138">
        <v>2669471.7751097018</v>
      </c>
      <c r="CL219" s="139">
        <v>45.869104140199973</v>
      </c>
      <c r="CM219" s="140">
        <v>1241415.24</v>
      </c>
      <c r="CN219" s="125">
        <v>1999.1999999999998</v>
      </c>
      <c r="CO219" s="125">
        <v>1999.1999999999998</v>
      </c>
      <c r="CP219" s="125">
        <v>0</v>
      </c>
      <c r="CQ219" s="125">
        <v>7798.08</v>
      </c>
      <c r="CR219" s="125">
        <v>4228.2000000000007</v>
      </c>
      <c r="CS219" s="125">
        <v>17670.36</v>
      </c>
      <c r="CT219" s="125">
        <v>206310.96029474112</v>
      </c>
      <c r="CU219" s="141">
        <v>0</v>
      </c>
      <c r="CV219" s="142">
        <v>-1221745.5748149606</v>
      </c>
      <c r="CW219" s="143">
        <v>0</v>
      </c>
      <c r="CX219" s="140">
        <v>1225702.6299999999</v>
      </c>
      <c r="CY219" s="140">
        <v>185260.28999999998</v>
      </c>
    </row>
    <row r="220" spans="1:103" ht="12" customHeight="1" x14ac:dyDescent="0.25">
      <c r="A220" s="122">
        <v>215</v>
      </c>
      <c r="B220" s="123" t="s">
        <v>266</v>
      </c>
      <c r="C220" s="124">
        <v>637.70000000000005</v>
      </c>
      <c r="D220" s="125">
        <v>637.70000000000005</v>
      </c>
      <c r="E220" s="125">
        <v>0</v>
      </c>
      <c r="F220" s="125">
        <v>56</v>
      </c>
      <c r="G220" s="124">
        <v>637.70000000000005</v>
      </c>
      <c r="H220" s="124"/>
      <c r="I220" s="126">
        <v>0</v>
      </c>
      <c r="J220" s="126">
        <v>0</v>
      </c>
      <c r="K220" s="127">
        <v>0</v>
      </c>
      <c r="L220" s="127">
        <v>0</v>
      </c>
      <c r="M220" s="127"/>
      <c r="N220" s="127"/>
      <c r="O220" s="128" t="s">
        <v>1488</v>
      </c>
      <c r="P220" s="129" t="s">
        <v>74</v>
      </c>
      <c r="Q220" s="130">
        <v>5.31</v>
      </c>
      <c r="R220" s="130">
        <v>2.67</v>
      </c>
      <c r="S220" s="130">
        <v>0</v>
      </c>
      <c r="T220" s="38">
        <v>0.22</v>
      </c>
      <c r="U220" s="131">
        <v>25.29</v>
      </c>
      <c r="V220" s="144">
        <v>0</v>
      </c>
      <c r="W220" s="132">
        <v>0</v>
      </c>
      <c r="X220" s="133">
        <v>108711.21748794839</v>
      </c>
      <c r="Y220" s="134">
        <v>105911.98999999999</v>
      </c>
      <c r="Z220" s="134">
        <v>2121.2512973909834</v>
      </c>
      <c r="AA220" s="134">
        <v>401.27610860593313</v>
      </c>
      <c r="AB220" s="134">
        <v>276.70008195148353</v>
      </c>
      <c r="AC220" s="126">
        <v>0</v>
      </c>
      <c r="AD220" s="126">
        <v>0</v>
      </c>
      <c r="AE220" s="126">
        <v>0</v>
      </c>
      <c r="AF220" s="126">
        <v>0</v>
      </c>
      <c r="AG220" s="126">
        <v>0</v>
      </c>
      <c r="AH220" s="126">
        <v>0</v>
      </c>
      <c r="AI220" s="126">
        <v>0</v>
      </c>
      <c r="AJ220" s="126">
        <v>0</v>
      </c>
      <c r="AK220" s="126">
        <v>0</v>
      </c>
      <c r="AL220" s="126">
        <v>0</v>
      </c>
      <c r="AM220" s="126">
        <v>0</v>
      </c>
      <c r="AN220" s="126">
        <v>0</v>
      </c>
      <c r="AO220" s="126">
        <v>0</v>
      </c>
      <c r="AP220" s="126">
        <v>0</v>
      </c>
      <c r="AQ220" s="126">
        <v>0</v>
      </c>
      <c r="AR220" s="126">
        <v>0</v>
      </c>
      <c r="AS220" s="126">
        <v>0</v>
      </c>
      <c r="AT220" s="126">
        <v>0</v>
      </c>
      <c r="AU220" s="126">
        <v>0</v>
      </c>
      <c r="AV220" s="126">
        <v>0</v>
      </c>
      <c r="AW220" s="135">
        <v>122168.81045097657</v>
      </c>
      <c r="AX220" s="136">
        <v>97191.064431000428</v>
      </c>
      <c r="AY220" s="136">
        <v>4084.5558932585186</v>
      </c>
      <c r="AZ220" s="126">
        <v>0</v>
      </c>
      <c r="BA220" s="126">
        <v>0</v>
      </c>
      <c r="BB220" s="126">
        <v>0</v>
      </c>
      <c r="BC220" s="126">
        <v>19327.691999999999</v>
      </c>
      <c r="BD220" s="126">
        <v>273.9511965393292</v>
      </c>
      <c r="BE220" s="126">
        <v>0</v>
      </c>
      <c r="BF220" s="126">
        <v>358.96150512970405</v>
      </c>
      <c r="BG220" s="126">
        <v>179.72370476708508</v>
      </c>
      <c r="BH220" s="126">
        <v>752.86172028152282</v>
      </c>
      <c r="BI220" s="137">
        <v>95140.748771965402</v>
      </c>
      <c r="BJ220" s="126">
        <v>673.83617594975453</v>
      </c>
      <c r="BK220" s="126">
        <v>958.82918788765221</v>
      </c>
      <c r="BL220" s="126">
        <v>1028.5922818997492</v>
      </c>
      <c r="BM220" s="126">
        <v>1019.3622719884905</v>
      </c>
      <c r="BN220" s="126">
        <v>17145.766951938531</v>
      </c>
      <c r="BO220" s="126">
        <v>9843.5072583667024</v>
      </c>
      <c r="BP220" s="126">
        <v>8075.8328546604662</v>
      </c>
      <c r="BQ220" s="126">
        <v>43815.915808476973</v>
      </c>
      <c r="BR220" s="126">
        <v>1635.1801142351158</v>
      </c>
      <c r="BS220" s="126">
        <v>1815.5536638953349</v>
      </c>
      <c r="BT220" s="126">
        <v>9057.6952722167371</v>
      </c>
      <c r="BU220" s="126">
        <v>0</v>
      </c>
      <c r="BV220" s="126">
        <v>70.676930449887692</v>
      </c>
      <c r="BW220" s="126">
        <v>10934.051378627437</v>
      </c>
      <c r="BX220" s="126">
        <v>38791.169357941377</v>
      </c>
      <c r="BY220" s="126">
        <v>34114.674431873165</v>
      </c>
      <c r="BZ220" s="126">
        <v>0</v>
      </c>
      <c r="CA220" s="137">
        <v>0</v>
      </c>
      <c r="CB220" s="126">
        <v>0</v>
      </c>
      <c r="CC220" s="126">
        <v>0</v>
      </c>
      <c r="CD220" s="126">
        <v>0</v>
      </c>
      <c r="CE220" s="126">
        <v>0</v>
      </c>
      <c r="CF220" s="126">
        <v>0</v>
      </c>
      <c r="CG220" s="137">
        <v>10604.232739327294</v>
      </c>
      <c r="CH220" s="126">
        <v>3380.0039999999999</v>
      </c>
      <c r="CI220" s="126">
        <v>7224.2287393272945</v>
      </c>
      <c r="CJ220" s="120"/>
      <c r="CK220" s="138">
        <v>420464.90461865958</v>
      </c>
      <c r="CL220" s="139">
        <v>54.94549482759129</v>
      </c>
      <c r="CM220" s="140">
        <v>193529.16</v>
      </c>
      <c r="CN220" s="125">
        <v>349.44</v>
      </c>
      <c r="CO220" s="125">
        <v>349.44</v>
      </c>
      <c r="CP220" s="125">
        <v>0</v>
      </c>
      <c r="CQ220" s="125">
        <v>1363.08</v>
      </c>
      <c r="CR220" s="125">
        <v>739.43999999999994</v>
      </c>
      <c r="CS220" s="125">
        <v>3089.16</v>
      </c>
      <c r="CT220" s="125">
        <v>0</v>
      </c>
      <c r="CU220" s="141">
        <v>0</v>
      </c>
      <c r="CV220" s="142">
        <v>-226935.74461865958</v>
      </c>
      <c r="CW220" s="143">
        <v>0</v>
      </c>
      <c r="CX220" s="140">
        <v>176976.19</v>
      </c>
      <c r="CY220" s="140">
        <v>84124.29</v>
      </c>
    </row>
    <row r="221" spans="1:103" ht="12" customHeight="1" x14ac:dyDescent="0.25">
      <c r="A221" s="122">
        <v>216</v>
      </c>
      <c r="B221" s="123" t="s">
        <v>267</v>
      </c>
      <c r="C221" s="124">
        <v>655.20000000000005</v>
      </c>
      <c r="D221" s="125">
        <v>655.20000000000005</v>
      </c>
      <c r="E221" s="125">
        <v>0</v>
      </c>
      <c r="F221" s="125">
        <v>56</v>
      </c>
      <c r="G221" s="124">
        <v>655.20000000000005</v>
      </c>
      <c r="H221" s="124"/>
      <c r="I221" s="126">
        <v>0</v>
      </c>
      <c r="J221" s="126">
        <v>0</v>
      </c>
      <c r="K221" s="127">
        <v>0</v>
      </c>
      <c r="L221" s="127">
        <v>0</v>
      </c>
      <c r="M221" s="127"/>
      <c r="N221" s="127"/>
      <c r="O221" s="128" t="s">
        <v>1488</v>
      </c>
      <c r="P221" s="129" t="s">
        <v>74</v>
      </c>
      <c r="Q221" s="130">
        <v>5.31</v>
      </c>
      <c r="R221" s="130">
        <v>2.67</v>
      </c>
      <c r="S221" s="130">
        <v>0</v>
      </c>
      <c r="T221" s="38">
        <v>0.22</v>
      </c>
      <c r="U221" s="131">
        <v>25.29</v>
      </c>
      <c r="V221" s="144">
        <v>0</v>
      </c>
      <c r="W221" s="132">
        <v>0</v>
      </c>
      <c r="X221" s="133">
        <v>31533.534927244462</v>
      </c>
      <c r="Y221" s="134">
        <v>13216.29</v>
      </c>
      <c r="Z221" s="134">
        <v>2179.4634625224594</v>
      </c>
      <c r="AA221" s="134">
        <v>412.28807646010256</v>
      </c>
      <c r="AB221" s="134">
        <v>284.29338826189741</v>
      </c>
      <c r="AC221" s="126">
        <v>0</v>
      </c>
      <c r="AD221" s="126">
        <v>0</v>
      </c>
      <c r="AE221" s="126">
        <v>0</v>
      </c>
      <c r="AF221" s="126">
        <v>0</v>
      </c>
      <c r="AG221" s="126">
        <v>0</v>
      </c>
      <c r="AH221" s="126">
        <v>0</v>
      </c>
      <c r="AI221" s="126">
        <v>0</v>
      </c>
      <c r="AJ221" s="126">
        <v>15441.2</v>
      </c>
      <c r="AK221" s="126">
        <v>0</v>
      </c>
      <c r="AL221" s="126">
        <v>0</v>
      </c>
      <c r="AM221" s="126">
        <v>0</v>
      </c>
      <c r="AN221" s="126">
        <v>0</v>
      </c>
      <c r="AO221" s="126">
        <v>0</v>
      </c>
      <c r="AP221" s="126">
        <v>0</v>
      </c>
      <c r="AQ221" s="126">
        <v>0</v>
      </c>
      <c r="AR221" s="126">
        <v>0</v>
      </c>
      <c r="AS221" s="126">
        <v>0</v>
      </c>
      <c r="AT221" s="126">
        <v>0</v>
      </c>
      <c r="AU221" s="126">
        <v>0</v>
      </c>
      <c r="AV221" s="126">
        <v>0</v>
      </c>
      <c r="AW221" s="135">
        <v>105663.32257970811</v>
      </c>
      <c r="AX221" s="136">
        <v>99858.217681027891</v>
      </c>
      <c r="AY221" s="136">
        <v>4196.6457915367437</v>
      </c>
      <c r="AZ221" s="126">
        <v>0</v>
      </c>
      <c r="BA221" s="126">
        <v>0</v>
      </c>
      <c r="BB221" s="126">
        <v>0</v>
      </c>
      <c r="BC221" s="126">
        <v>0</v>
      </c>
      <c r="BD221" s="126">
        <v>281.469066916369</v>
      </c>
      <c r="BE221" s="126">
        <v>0</v>
      </c>
      <c r="BF221" s="126">
        <v>368.81225993567836</v>
      </c>
      <c r="BG221" s="126">
        <v>184.65574935454623</v>
      </c>
      <c r="BH221" s="126">
        <v>773.52203093688843</v>
      </c>
      <c r="BI221" s="137">
        <v>97751.636498967739</v>
      </c>
      <c r="BJ221" s="126">
        <v>692.32783829744267</v>
      </c>
      <c r="BK221" s="126">
        <v>985.14173420729139</v>
      </c>
      <c r="BL221" s="126">
        <v>1056.8192929288314</v>
      </c>
      <c r="BM221" s="126">
        <v>1047.3359896610616</v>
      </c>
      <c r="BN221" s="126">
        <v>17616.287450070762</v>
      </c>
      <c r="BO221" s="126">
        <v>10113.636436697292</v>
      </c>
      <c r="BP221" s="126">
        <v>8297.4528561604784</v>
      </c>
      <c r="BQ221" s="126">
        <v>45018.3284267118</v>
      </c>
      <c r="BR221" s="126">
        <v>1680.0533336158819</v>
      </c>
      <c r="BS221" s="126">
        <v>1865.3767611482256</v>
      </c>
      <c r="BT221" s="126">
        <v>9306.2599064707647</v>
      </c>
      <c r="BU221" s="126">
        <v>0</v>
      </c>
      <c r="BV221" s="126">
        <v>72.616472997908758</v>
      </c>
      <c r="BW221" s="126">
        <v>11234.107673320834</v>
      </c>
      <c r="BX221" s="126">
        <v>39855.691019794867</v>
      </c>
      <c r="BY221" s="126">
        <v>35050.861984888346</v>
      </c>
      <c r="BZ221" s="126">
        <v>0</v>
      </c>
      <c r="CA221" s="137">
        <v>0</v>
      </c>
      <c r="CB221" s="126">
        <v>0</v>
      </c>
      <c r="CC221" s="126">
        <v>0</v>
      </c>
      <c r="CD221" s="126">
        <v>0</v>
      </c>
      <c r="CE221" s="126">
        <v>0</v>
      </c>
      <c r="CF221" s="126">
        <v>0</v>
      </c>
      <c r="CG221" s="137">
        <v>10802.482704731447</v>
      </c>
      <c r="CH221" s="126">
        <v>3380.0039999999999</v>
      </c>
      <c r="CI221" s="126">
        <v>7422.4787047314467</v>
      </c>
      <c r="CJ221" s="120"/>
      <c r="CK221" s="138">
        <v>331891.6373886558</v>
      </c>
      <c r="CL221" s="139">
        <v>42.212509842879498</v>
      </c>
      <c r="CM221" s="140">
        <v>198840.48</v>
      </c>
      <c r="CN221" s="125">
        <v>349.44</v>
      </c>
      <c r="CO221" s="125">
        <v>349.44</v>
      </c>
      <c r="CP221" s="125">
        <v>0</v>
      </c>
      <c r="CQ221" s="125">
        <v>1363.1999999999998</v>
      </c>
      <c r="CR221" s="125">
        <v>738.84</v>
      </c>
      <c r="CS221" s="125">
        <v>3088.7999999999997</v>
      </c>
      <c r="CT221" s="125">
        <v>0</v>
      </c>
      <c r="CU221" s="141">
        <v>0</v>
      </c>
      <c r="CV221" s="142">
        <v>-133051.15738865579</v>
      </c>
      <c r="CW221" s="143">
        <v>0</v>
      </c>
      <c r="CX221" s="140">
        <v>191871.28000000003</v>
      </c>
      <c r="CY221" s="140">
        <v>20052.97</v>
      </c>
    </row>
    <row r="222" spans="1:103" ht="12" customHeight="1" x14ac:dyDescent="0.25">
      <c r="A222" s="122">
        <v>217</v>
      </c>
      <c r="B222" s="123" t="s">
        <v>268</v>
      </c>
      <c r="C222" s="124">
        <v>228.2</v>
      </c>
      <c r="D222" s="125">
        <v>228.2</v>
      </c>
      <c r="E222" s="125">
        <v>0</v>
      </c>
      <c r="F222" s="125">
        <v>0</v>
      </c>
      <c r="G222" s="124">
        <v>228.2</v>
      </c>
      <c r="H222" s="124"/>
      <c r="I222" s="126">
        <v>0</v>
      </c>
      <c r="J222" s="126">
        <v>0</v>
      </c>
      <c r="K222" s="127">
        <v>0</v>
      </c>
      <c r="L222" s="127">
        <v>0</v>
      </c>
      <c r="M222" s="127"/>
      <c r="N222" s="127"/>
      <c r="O222" s="128" t="s">
        <v>1488</v>
      </c>
      <c r="P222" s="129" t="s">
        <v>74</v>
      </c>
      <c r="Q222" s="130">
        <v>4</v>
      </c>
      <c r="R222" s="156">
        <v>0</v>
      </c>
      <c r="S222" s="130">
        <v>0</v>
      </c>
      <c r="T222" s="38">
        <v>0</v>
      </c>
      <c r="U222" s="131">
        <v>16.02</v>
      </c>
      <c r="V222" s="144">
        <v>0</v>
      </c>
      <c r="W222" s="132">
        <v>0</v>
      </c>
      <c r="X222" s="133">
        <v>24253.229408420615</v>
      </c>
      <c r="Y222" s="134">
        <v>23251.53</v>
      </c>
      <c r="Z222" s="134">
        <v>759.08663331444632</v>
      </c>
      <c r="AA222" s="134">
        <v>143.59606081836904</v>
      </c>
      <c r="AB222" s="134">
        <v>99.016714287797598</v>
      </c>
      <c r="AC222" s="126">
        <v>0</v>
      </c>
      <c r="AD222" s="126">
        <v>0</v>
      </c>
      <c r="AE222" s="126">
        <v>0</v>
      </c>
      <c r="AF222" s="126">
        <v>0</v>
      </c>
      <c r="AG222" s="126">
        <v>0</v>
      </c>
      <c r="AH222" s="126">
        <v>0</v>
      </c>
      <c r="AI222" s="126">
        <v>0</v>
      </c>
      <c r="AJ222" s="126">
        <v>0</v>
      </c>
      <c r="AK222" s="126">
        <v>0</v>
      </c>
      <c r="AL222" s="126">
        <v>0</v>
      </c>
      <c r="AM222" s="126">
        <v>0</v>
      </c>
      <c r="AN222" s="126">
        <v>0</v>
      </c>
      <c r="AO222" s="126">
        <v>0</v>
      </c>
      <c r="AP222" s="126">
        <v>0</v>
      </c>
      <c r="AQ222" s="126">
        <v>0</v>
      </c>
      <c r="AR222" s="126">
        <v>0</v>
      </c>
      <c r="AS222" s="126">
        <v>0</v>
      </c>
      <c r="AT222" s="126">
        <v>0</v>
      </c>
      <c r="AU222" s="126">
        <v>0</v>
      </c>
      <c r="AV222" s="126">
        <v>0</v>
      </c>
      <c r="AW222" s="135">
        <v>36801.541838659017</v>
      </c>
      <c r="AX222" s="136">
        <v>34779.678380357997</v>
      </c>
      <c r="AY222" s="136">
        <v>1461.6522735480537</v>
      </c>
      <c r="AZ222" s="126">
        <v>0</v>
      </c>
      <c r="BA222" s="126">
        <v>0</v>
      </c>
      <c r="BB222" s="126">
        <v>0</v>
      </c>
      <c r="BC222" s="126">
        <v>0</v>
      </c>
      <c r="BD222" s="126">
        <v>98.033029716598591</v>
      </c>
      <c r="BE222" s="126">
        <v>0</v>
      </c>
      <c r="BF222" s="126">
        <v>128.45384266990504</v>
      </c>
      <c r="BG222" s="126">
        <v>64.313861420493666</v>
      </c>
      <c r="BH222" s="126">
        <v>269.41045094596751</v>
      </c>
      <c r="BI222" s="137">
        <v>34045.975960110554</v>
      </c>
      <c r="BJ222" s="126">
        <v>241.13127701385287</v>
      </c>
      <c r="BK222" s="126">
        <v>343.11560400809503</v>
      </c>
      <c r="BL222" s="126">
        <v>368.08022381922967</v>
      </c>
      <c r="BM222" s="126">
        <v>364.777278450327</v>
      </c>
      <c r="BN222" s="126">
        <v>6135.5872956443027</v>
      </c>
      <c r="BO222" s="126">
        <v>3522.4844854308944</v>
      </c>
      <c r="BP222" s="126">
        <v>2889.9248195601663</v>
      </c>
      <c r="BQ222" s="126">
        <v>15679.4605417821</v>
      </c>
      <c r="BR222" s="126">
        <v>585.1467807251895</v>
      </c>
      <c r="BS222" s="126">
        <v>649.69318817769386</v>
      </c>
      <c r="BT222" s="126">
        <v>3241.2828306725091</v>
      </c>
      <c r="BU222" s="126">
        <v>0</v>
      </c>
      <c r="BV222" s="126">
        <v>25.291634826194713</v>
      </c>
      <c r="BW222" s="126">
        <v>3912.7340828019142</v>
      </c>
      <c r="BX222" s="126">
        <v>13881.362470569578</v>
      </c>
      <c r="BY222" s="145">
        <v>0</v>
      </c>
      <c r="BZ222" s="126">
        <v>0</v>
      </c>
      <c r="CA222" s="137">
        <v>0</v>
      </c>
      <c r="CB222" s="126">
        <v>0</v>
      </c>
      <c r="CC222" s="126">
        <v>0</v>
      </c>
      <c r="CD222" s="126">
        <v>0</v>
      </c>
      <c r="CE222" s="126">
        <v>0</v>
      </c>
      <c r="CF222" s="126">
        <v>0</v>
      </c>
      <c r="CG222" s="137">
        <v>0</v>
      </c>
      <c r="CH222" s="126">
        <v>0</v>
      </c>
      <c r="CI222" s="126">
        <v>0</v>
      </c>
      <c r="CJ222" s="120"/>
      <c r="CK222" s="138">
        <v>112894.84376056168</v>
      </c>
      <c r="CL222" s="139">
        <v>41.226571633275519</v>
      </c>
      <c r="CM222" s="140">
        <v>43869.120000000003</v>
      </c>
      <c r="CN222" s="125">
        <v>0</v>
      </c>
      <c r="CO222" s="125">
        <v>0</v>
      </c>
      <c r="CP222" s="125">
        <v>0</v>
      </c>
      <c r="CQ222" s="125">
        <v>0</v>
      </c>
      <c r="CR222" s="125">
        <v>0</v>
      </c>
      <c r="CS222" s="125">
        <v>0</v>
      </c>
      <c r="CT222" s="125">
        <v>0</v>
      </c>
      <c r="CU222" s="141">
        <v>0</v>
      </c>
      <c r="CV222" s="142">
        <v>-69025.723760561668</v>
      </c>
      <c r="CW222" s="143">
        <v>0</v>
      </c>
      <c r="CX222" s="140">
        <v>39303.719999999994</v>
      </c>
      <c r="CY222" s="140">
        <v>7892.76</v>
      </c>
    </row>
    <row r="223" spans="1:103" ht="12" customHeight="1" x14ac:dyDescent="0.25">
      <c r="A223" s="122">
        <v>218</v>
      </c>
      <c r="B223" s="123" t="s">
        <v>269</v>
      </c>
      <c r="C223" s="124">
        <v>4601.2</v>
      </c>
      <c r="D223" s="125">
        <v>4601.2</v>
      </c>
      <c r="E223" s="125">
        <v>0</v>
      </c>
      <c r="F223" s="125">
        <v>1142.4000000000001</v>
      </c>
      <c r="G223" s="124">
        <v>4601.2</v>
      </c>
      <c r="H223" s="124">
        <v>4601.2</v>
      </c>
      <c r="I223" s="126">
        <v>2</v>
      </c>
      <c r="J223" s="126">
        <v>0</v>
      </c>
      <c r="K223" s="127">
        <v>3.7298850163179353E-3</v>
      </c>
      <c r="L223" s="127">
        <v>5.3087285952811069E-3</v>
      </c>
      <c r="M223" s="127"/>
      <c r="N223" s="127"/>
      <c r="O223" s="128" t="s">
        <v>1488</v>
      </c>
      <c r="P223" s="129" t="s">
        <v>74</v>
      </c>
      <c r="Q223" s="130">
        <v>5.4</v>
      </c>
      <c r="R223" s="130">
        <v>2.67</v>
      </c>
      <c r="S223" s="130">
        <v>1.54</v>
      </c>
      <c r="T223" s="38">
        <v>0.22</v>
      </c>
      <c r="U223" s="131">
        <v>36.75</v>
      </c>
      <c r="V223" s="144">
        <v>1</v>
      </c>
      <c r="W223" s="132">
        <v>2.4096385542168672E-3</v>
      </c>
      <c r="X223" s="133">
        <v>221197.3100965159</v>
      </c>
      <c r="Y223" s="134">
        <v>28720.739999999998</v>
      </c>
      <c r="Z223" s="134">
        <v>15305.475097311264</v>
      </c>
      <c r="AA223" s="134">
        <v>2895.3295137488149</v>
      </c>
      <c r="AB223" s="134">
        <v>1996.4754854558032</v>
      </c>
      <c r="AC223" s="126">
        <v>0</v>
      </c>
      <c r="AD223" s="126">
        <v>0</v>
      </c>
      <c r="AE223" s="126">
        <v>0</v>
      </c>
      <c r="AF223" s="126">
        <v>0</v>
      </c>
      <c r="AG223" s="126">
        <v>0</v>
      </c>
      <c r="AH223" s="126">
        <v>0</v>
      </c>
      <c r="AI223" s="126">
        <v>0</v>
      </c>
      <c r="AJ223" s="126">
        <v>0</v>
      </c>
      <c r="AK223" s="126">
        <v>0</v>
      </c>
      <c r="AL223" s="126">
        <v>0</v>
      </c>
      <c r="AM223" s="126">
        <v>0</v>
      </c>
      <c r="AN223" s="126">
        <v>0</v>
      </c>
      <c r="AO223" s="126">
        <v>0</v>
      </c>
      <c r="AP223" s="126">
        <v>172279.29</v>
      </c>
      <c r="AQ223" s="126">
        <v>0</v>
      </c>
      <c r="AR223" s="126">
        <v>0</v>
      </c>
      <c r="AS223" s="126">
        <v>0</v>
      </c>
      <c r="AT223" s="126">
        <v>0</v>
      </c>
      <c r="AU223" s="126">
        <v>0</v>
      </c>
      <c r="AV223" s="126">
        <v>0</v>
      </c>
      <c r="AW223" s="135">
        <v>742030.03640682669</v>
      </c>
      <c r="AX223" s="136">
        <v>701263.17337293259</v>
      </c>
      <c r="AY223" s="136">
        <v>29471.316569015358</v>
      </c>
      <c r="AZ223" s="126">
        <v>0</v>
      </c>
      <c r="BA223" s="126">
        <v>0</v>
      </c>
      <c r="BB223" s="126">
        <v>0</v>
      </c>
      <c r="BC223" s="126">
        <v>0</v>
      </c>
      <c r="BD223" s="126">
        <v>1976.6414387905934</v>
      </c>
      <c r="BE223" s="126">
        <v>0</v>
      </c>
      <c r="BF223" s="126">
        <v>2590.0167436142292</v>
      </c>
      <c r="BG223" s="126">
        <v>1296.7613460472194</v>
      </c>
      <c r="BH223" s="126">
        <v>5432.1269364267564</v>
      </c>
      <c r="BI223" s="137">
        <v>686469.52054189623</v>
      </c>
      <c r="BJ223" s="126">
        <v>4861.9335310961433</v>
      </c>
      <c r="BK223" s="126">
        <v>6918.2450357670768</v>
      </c>
      <c r="BL223" s="126">
        <v>7421.6070369721274</v>
      </c>
      <c r="BM223" s="126">
        <v>7355.0097002876619</v>
      </c>
      <c r="BN223" s="126">
        <v>123711.93805748715</v>
      </c>
      <c r="BO223" s="126">
        <v>71023.907161983487</v>
      </c>
      <c r="BP223" s="126">
        <v>58269.597194391928</v>
      </c>
      <c r="BQ223" s="126">
        <v>316145.19651554688</v>
      </c>
      <c r="BR223" s="126">
        <v>11798.323257987477</v>
      </c>
      <c r="BS223" s="126">
        <v>13099.77343314288</v>
      </c>
      <c r="BT223" s="126">
        <v>65354.034007407317</v>
      </c>
      <c r="BU223" s="126">
        <v>0</v>
      </c>
      <c r="BV223" s="126">
        <v>509.95560982597334</v>
      </c>
      <c r="BW223" s="126">
        <v>78892.515608186528</v>
      </c>
      <c r="BX223" s="126">
        <v>279890.1183154459</v>
      </c>
      <c r="BY223" s="126">
        <v>246147.78108191121</v>
      </c>
      <c r="BZ223" s="126">
        <v>46860.129023534544</v>
      </c>
      <c r="CA223" s="137">
        <v>165861.85619326553</v>
      </c>
      <c r="CB223" s="126">
        <v>6012.5999999999995</v>
      </c>
      <c r="CC223" s="126">
        <v>158694.67535510004</v>
      </c>
      <c r="CD223" s="126">
        <v>0</v>
      </c>
      <c r="CE223" s="126">
        <v>0</v>
      </c>
      <c r="CF223" s="126">
        <v>1154.5808381654706</v>
      </c>
      <c r="CG223" s="137">
        <v>68345.017761004769</v>
      </c>
      <c r="CH223" s="126">
        <v>16220.003999999999</v>
      </c>
      <c r="CI223" s="126">
        <v>52125.013761004775</v>
      </c>
      <c r="CJ223" s="120"/>
      <c r="CK223" s="138">
        <v>2535694.2850285876</v>
      </c>
      <c r="CL223" s="139">
        <v>45.924510363756333</v>
      </c>
      <c r="CM223" s="140">
        <v>2029131.84</v>
      </c>
      <c r="CN223" s="125">
        <v>3838.44</v>
      </c>
      <c r="CO223" s="125">
        <v>3838.44</v>
      </c>
      <c r="CP223" s="125">
        <v>0</v>
      </c>
      <c r="CQ223" s="125">
        <v>14957.52</v>
      </c>
      <c r="CR223" s="125">
        <v>8118.12</v>
      </c>
      <c r="CS223" s="125">
        <v>298000.44</v>
      </c>
      <c r="CT223" s="125">
        <v>0</v>
      </c>
      <c r="CU223" s="141">
        <v>886.55421686746979</v>
      </c>
      <c r="CV223" s="142">
        <v>-505675.89081171993</v>
      </c>
      <c r="CW223" s="143">
        <v>0</v>
      </c>
      <c r="CX223" s="140">
        <v>1883467.58</v>
      </c>
      <c r="CY223" s="140">
        <v>670105.01</v>
      </c>
    </row>
    <row r="224" spans="1:103" ht="12" customHeight="1" x14ac:dyDescent="0.25">
      <c r="A224" s="122">
        <v>219</v>
      </c>
      <c r="B224" s="123" t="s">
        <v>270</v>
      </c>
      <c r="C224" s="124">
        <v>6918.95</v>
      </c>
      <c r="D224" s="125">
        <v>6614.75</v>
      </c>
      <c r="E224" s="125">
        <v>304.2</v>
      </c>
      <c r="F224" s="125">
        <v>962.4</v>
      </c>
      <c r="G224" s="124">
        <v>6918.95</v>
      </c>
      <c r="H224" s="124">
        <v>6918.95</v>
      </c>
      <c r="I224" s="126">
        <v>4</v>
      </c>
      <c r="J224" s="126">
        <v>0</v>
      </c>
      <c r="K224" s="127">
        <v>8.3723449664210026E-3</v>
      </c>
      <c r="L224" s="127">
        <v>1.1916320996048741E-2</v>
      </c>
      <c r="M224" s="127"/>
      <c r="N224" s="127"/>
      <c r="O224" s="128" t="s">
        <v>1489</v>
      </c>
      <c r="P224" s="129" t="s">
        <v>74</v>
      </c>
      <c r="Q224" s="130">
        <v>5.4</v>
      </c>
      <c r="R224" s="130">
        <v>2.67</v>
      </c>
      <c r="S224" s="130">
        <v>1.54</v>
      </c>
      <c r="T224" s="38">
        <v>0</v>
      </c>
      <c r="U224" s="131">
        <v>36.54</v>
      </c>
      <c r="V224" s="144">
        <v>2</v>
      </c>
      <c r="W224" s="132">
        <v>4.8192771084337345E-3</v>
      </c>
      <c r="X224" s="133">
        <v>116181.47123528396</v>
      </c>
      <c r="Y224" s="134">
        <v>30783.37</v>
      </c>
      <c r="Z224" s="134">
        <v>23015.26056779574</v>
      </c>
      <c r="AA224" s="134">
        <v>4353.7859991203086</v>
      </c>
      <c r="AB224" s="134">
        <v>3002.1546683679107</v>
      </c>
      <c r="AC224" s="126">
        <v>41176.42</v>
      </c>
      <c r="AD224" s="126">
        <v>0</v>
      </c>
      <c r="AE224" s="126">
        <v>0</v>
      </c>
      <c r="AF224" s="126">
        <v>0</v>
      </c>
      <c r="AG224" s="126">
        <v>0</v>
      </c>
      <c r="AH224" s="126">
        <v>0</v>
      </c>
      <c r="AI224" s="126">
        <v>0</v>
      </c>
      <c r="AJ224" s="126">
        <v>0</v>
      </c>
      <c r="AK224" s="126">
        <v>13850.48</v>
      </c>
      <c r="AL224" s="126">
        <v>0</v>
      </c>
      <c r="AM224" s="126">
        <v>0</v>
      </c>
      <c r="AN224" s="126">
        <v>0</v>
      </c>
      <c r="AO224" s="126">
        <v>0</v>
      </c>
      <c r="AP224" s="126">
        <v>0</v>
      </c>
      <c r="AQ224" s="126">
        <v>0</v>
      </c>
      <c r="AR224" s="126">
        <v>0</v>
      </c>
      <c r="AS224" s="126">
        <v>0</v>
      </c>
      <c r="AT224" s="126">
        <v>0</v>
      </c>
      <c r="AU224" s="126">
        <v>0</v>
      </c>
      <c r="AV224" s="126">
        <v>0</v>
      </c>
      <c r="AW224" s="135">
        <v>1129203.0653298355</v>
      </c>
      <c r="AX224" s="136">
        <v>1054508.5702444259</v>
      </c>
      <c r="AY224" s="136">
        <v>44316.822953835697</v>
      </c>
      <c r="AZ224" s="126">
        <v>0</v>
      </c>
      <c r="BA224" s="126">
        <v>13392.250673438448</v>
      </c>
      <c r="BB224" s="126">
        <v>0</v>
      </c>
      <c r="BC224" s="126">
        <v>0</v>
      </c>
      <c r="BD224" s="126">
        <v>2972.3296711553894</v>
      </c>
      <c r="BE224" s="126">
        <v>0</v>
      </c>
      <c r="BF224" s="126">
        <v>3894.6788551311988</v>
      </c>
      <c r="BG224" s="126">
        <v>1949.975422766541</v>
      </c>
      <c r="BH224" s="126">
        <v>8168.4375090823924</v>
      </c>
      <c r="BI224" s="137">
        <v>1032262.9507853065</v>
      </c>
      <c r="BJ224" s="126">
        <v>7311.0221257449493</v>
      </c>
      <c r="BK224" s="126">
        <v>10403.153849043862</v>
      </c>
      <c r="BL224" s="126">
        <v>11160.073026266691</v>
      </c>
      <c r="BM224" s="126">
        <v>11059.928793750612</v>
      </c>
      <c r="BN224" s="126">
        <v>186029.0171744003</v>
      </c>
      <c r="BO224" s="126">
        <v>106800.58733773921</v>
      </c>
      <c r="BP224" s="126">
        <v>87621.583393057896</v>
      </c>
      <c r="BQ224" s="126">
        <v>475396.15913919045</v>
      </c>
      <c r="BR224" s="126">
        <v>17741.460641974365</v>
      </c>
      <c r="BS224" s="126">
        <v>19698.486785022153</v>
      </c>
      <c r="BT224" s="126">
        <v>98274.644352679927</v>
      </c>
      <c r="BU224" s="126">
        <v>0</v>
      </c>
      <c r="BV224" s="126">
        <v>766.83416643602072</v>
      </c>
      <c r="BW224" s="126">
        <v>118632.82858107933</v>
      </c>
      <c r="BX224" s="126">
        <v>420878.40870178526</v>
      </c>
      <c r="BY224" s="126">
        <v>370139.1354248217</v>
      </c>
      <c r="BZ224" s="126">
        <v>70464.85475688611</v>
      </c>
      <c r="CA224" s="137">
        <v>371071.64548294409</v>
      </c>
      <c r="CB224" s="126">
        <v>13118.975999999999</v>
      </c>
      <c r="CC224" s="126">
        <v>356216.49476977688</v>
      </c>
      <c r="CD224" s="126">
        <v>0</v>
      </c>
      <c r="CE224" s="126">
        <v>0</v>
      </c>
      <c r="CF224" s="126">
        <v>1736.1747131672137</v>
      </c>
      <c r="CG224" s="137">
        <v>0</v>
      </c>
      <c r="CH224" s="126">
        <v>0</v>
      </c>
      <c r="CI224" s="126">
        <v>0</v>
      </c>
      <c r="CJ224" s="120"/>
      <c r="CK224" s="138">
        <v>3628834.3602979425</v>
      </c>
      <c r="CL224" s="139">
        <v>43.706467507087332</v>
      </c>
      <c r="CM224" s="140">
        <v>2901623.86</v>
      </c>
      <c r="CN224" s="125">
        <v>3091.76</v>
      </c>
      <c r="CO224" s="125">
        <v>3091.76</v>
      </c>
      <c r="CP224" s="125">
        <v>0</v>
      </c>
      <c r="CQ224" s="125">
        <v>12046.849999999999</v>
      </c>
      <c r="CR224" s="125">
        <v>6538.32</v>
      </c>
      <c r="CS224" s="125">
        <v>180087.97999999998</v>
      </c>
      <c r="CT224" s="125">
        <v>294332.80109103455</v>
      </c>
      <c r="CU224" s="141">
        <v>1773.1084337349396</v>
      </c>
      <c r="CV224" s="142">
        <v>-431104.59077317314</v>
      </c>
      <c r="CW224" s="143">
        <v>0</v>
      </c>
      <c r="CX224" s="140">
        <v>2848324.8200000003</v>
      </c>
      <c r="CY224" s="140">
        <v>354787.09</v>
      </c>
    </row>
    <row r="225" spans="1:103" ht="12" customHeight="1" x14ac:dyDescent="0.25">
      <c r="A225" s="122">
        <v>220</v>
      </c>
      <c r="B225" s="123" t="s">
        <v>271</v>
      </c>
      <c r="C225" s="124">
        <v>17410.200000000004</v>
      </c>
      <c r="D225" s="125">
        <v>16699.800000000003</v>
      </c>
      <c r="E225" s="125">
        <v>710.4</v>
      </c>
      <c r="F225" s="125">
        <v>4474.6000000000004</v>
      </c>
      <c r="G225" s="124">
        <v>17410.200000000004</v>
      </c>
      <c r="H225" s="124">
        <v>17410.200000000004</v>
      </c>
      <c r="I225" s="126">
        <v>4</v>
      </c>
      <c r="J225" s="126">
        <v>4</v>
      </c>
      <c r="K225" s="127">
        <v>1.7703283943802311E-2</v>
      </c>
      <c r="L225" s="127">
        <v>2.519700454348623E-2</v>
      </c>
      <c r="M225" s="127"/>
      <c r="N225" s="127"/>
      <c r="O225" s="128" t="s">
        <v>1489</v>
      </c>
      <c r="P225" s="129" t="s">
        <v>74</v>
      </c>
      <c r="Q225" s="130">
        <v>5.4</v>
      </c>
      <c r="R225" s="130">
        <v>2.67</v>
      </c>
      <c r="S225" s="130">
        <v>1.54</v>
      </c>
      <c r="T225" s="38">
        <v>0</v>
      </c>
      <c r="U225" s="131">
        <v>36.54</v>
      </c>
      <c r="V225" s="144">
        <v>4</v>
      </c>
      <c r="W225" s="132">
        <v>9.638554216867469E-3</v>
      </c>
      <c r="X225" s="133">
        <v>1482474.1760932715</v>
      </c>
      <c r="Y225" s="134">
        <v>402240.44000000006</v>
      </c>
      <c r="Z225" s="134">
        <v>57913.453564115589</v>
      </c>
      <c r="AA225" s="134">
        <v>10955.46072769487</v>
      </c>
      <c r="AB225" s="134">
        <v>7554.3418014610616</v>
      </c>
      <c r="AC225" s="126">
        <v>242017.05</v>
      </c>
      <c r="AD225" s="126">
        <v>0</v>
      </c>
      <c r="AE225" s="126">
        <v>0</v>
      </c>
      <c r="AF225" s="126">
        <v>0</v>
      </c>
      <c r="AG225" s="126">
        <v>0</v>
      </c>
      <c r="AH225" s="126">
        <v>0</v>
      </c>
      <c r="AI225" s="126">
        <v>0</v>
      </c>
      <c r="AJ225" s="126">
        <v>0</v>
      </c>
      <c r="AK225" s="126">
        <v>0</v>
      </c>
      <c r="AL225" s="126">
        <v>761793.43</v>
      </c>
      <c r="AM225" s="126">
        <v>0</v>
      </c>
      <c r="AN225" s="126">
        <v>0</v>
      </c>
      <c r="AO225" s="126">
        <v>0</v>
      </c>
      <c r="AP225" s="126">
        <v>0</v>
      </c>
      <c r="AQ225" s="126">
        <v>0</v>
      </c>
      <c r="AR225" s="126">
        <v>0</v>
      </c>
      <c r="AS225" s="126">
        <v>0</v>
      </c>
      <c r="AT225" s="126">
        <v>0</v>
      </c>
      <c r="AU225" s="126">
        <v>0</v>
      </c>
      <c r="AV225" s="126">
        <v>0</v>
      </c>
      <c r="AW225" s="135">
        <v>2872522.1898309439</v>
      </c>
      <c r="AX225" s="136">
        <v>2653466.9436358851</v>
      </c>
      <c r="AY225" s="136">
        <v>111514.71697163161</v>
      </c>
      <c r="AZ225" s="126">
        <v>0</v>
      </c>
      <c r="BA225" s="145">
        <v>64800</v>
      </c>
      <c r="BB225" s="126">
        <v>0</v>
      </c>
      <c r="BC225" s="126">
        <v>0</v>
      </c>
      <c r="BD225" s="126">
        <v>7479.2929621907333</v>
      </c>
      <c r="BE225" s="126">
        <v>0</v>
      </c>
      <c r="BF225" s="126">
        <v>9800.206361312803</v>
      </c>
      <c r="BG225" s="126">
        <v>4906.7361529495138</v>
      </c>
      <c r="BH225" s="126">
        <v>20554.293746974079</v>
      </c>
      <c r="BI225" s="137">
        <v>2597490.1431232118</v>
      </c>
      <c r="BJ225" s="126">
        <v>18396.773703183972</v>
      </c>
      <c r="BK225" s="126">
        <v>26177.525367667564</v>
      </c>
      <c r="BL225" s="126">
        <v>28082.166138201377</v>
      </c>
      <c r="BM225" s="126">
        <v>27830.172538456987</v>
      </c>
      <c r="BN225" s="126">
        <v>468106.05580467347</v>
      </c>
      <c r="BO225" s="126">
        <v>268743.02974692802</v>
      </c>
      <c r="BP225" s="126">
        <v>220482.77429231562</v>
      </c>
      <c r="BQ225" s="126">
        <v>1196242.5237709675</v>
      </c>
      <c r="BR225" s="126">
        <v>44642.955660743639</v>
      </c>
      <c r="BS225" s="126">
        <v>49567.433588130101</v>
      </c>
      <c r="BT225" s="126">
        <v>247289.14258796905</v>
      </c>
      <c r="BU225" s="126">
        <v>0</v>
      </c>
      <c r="BV225" s="126">
        <v>1929.5899239746509</v>
      </c>
      <c r="BW225" s="126">
        <v>298516.57724977174</v>
      </c>
      <c r="BX225" s="126">
        <v>1059059.1449829559</v>
      </c>
      <c r="BY225" s="126">
        <v>931383.57345742243</v>
      </c>
      <c r="BZ225" s="126">
        <v>177311.18367502856</v>
      </c>
      <c r="CA225" s="137">
        <v>787106.07811799541</v>
      </c>
      <c r="CB225" s="126">
        <v>29519.232</v>
      </c>
      <c r="CC225" s="126">
        <v>753218.09811559855</v>
      </c>
      <c r="CD225" s="126">
        <v>0</v>
      </c>
      <c r="CE225" s="126">
        <v>0</v>
      </c>
      <c r="CF225" s="126">
        <v>4368.748002396871</v>
      </c>
      <c r="CG225" s="137">
        <v>0</v>
      </c>
      <c r="CH225" s="126">
        <v>0</v>
      </c>
      <c r="CI225" s="126">
        <v>0</v>
      </c>
      <c r="CJ225" s="120"/>
      <c r="CK225" s="138">
        <v>10205863.066530598</v>
      </c>
      <c r="CL225" s="139">
        <v>48.850018315559254</v>
      </c>
      <c r="CM225" s="140">
        <v>7322180.4500000002</v>
      </c>
      <c r="CN225" s="125">
        <v>12381.220000000001</v>
      </c>
      <c r="CO225" s="125">
        <v>12381.220000000001</v>
      </c>
      <c r="CP225" s="125">
        <v>0</v>
      </c>
      <c r="CQ225" s="125">
        <v>48228</v>
      </c>
      <c r="CR225" s="125">
        <v>26186.92</v>
      </c>
      <c r="CS225" s="125">
        <v>841510.01</v>
      </c>
      <c r="CT225" s="125">
        <v>740631.58912192332</v>
      </c>
      <c r="CU225" s="141">
        <v>3546.2168674698792</v>
      </c>
      <c r="CV225" s="142">
        <v>-2139504.8105412042</v>
      </c>
      <c r="CW225" s="143">
        <v>0</v>
      </c>
      <c r="CX225" s="140">
        <v>7233972.29</v>
      </c>
      <c r="CY225" s="140">
        <v>896754.17999999993</v>
      </c>
    </row>
    <row r="226" spans="1:103" ht="12" customHeight="1" x14ac:dyDescent="0.25">
      <c r="A226" s="122">
        <v>221</v>
      </c>
      <c r="B226" s="123" t="s">
        <v>272</v>
      </c>
      <c r="C226" s="124">
        <v>8733.14</v>
      </c>
      <c r="D226" s="125">
        <v>8733.14</v>
      </c>
      <c r="E226" s="125">
        <v>0</v>
      </c>
      <c r="F226" s="125">
        <v>2063.9</v>
      </c>
      <c r="G226" s="124">
        <v>8733.14</v>
      </c>
      <c r="H226" s="124">
        <v>8733.14</v>
      </c>
      <c r="I226" s="126">
        <v>2</v>
      </c>
      <c r="J226" s="126">
        <v>2</v>
      </c>
      <c r="K226" s="127">
        <v>7.6566762382743285E-3</v>
      </c>
      <c r="L226" s="127">
        <v>1.0897712908872025E-2</v>
      </c>
      <c r="M226" s="127"/>
      <c r="N226" s="127"/>
      <c r="O226" s="128" t="s">
        <v>1489</v>
      </c>
      <c r="P226" s="129" t="s">
        <v>74</v>
      </c>
      <c r="Q226" s="130">
        <v>5.4</v>
      </c>
      <c r="R226" s="130">
        <v>2.67</v>
      </c>
      <c r="S226" s="130">
        <v>1.54</v>
      </c>
      <c r="T226" s="38">
        <v>0.22</v>
      </c>
      <c r="U226" s="131">
        <v>36.75</v>
      </c>
      <c r="V226" s="144">
        <v>2</v>
      </c>
      <c r="W226" s="132">
        <v>4.8192771084337345E-3</v>
      </c>
      <c r="X226" s="133">
        <v>334546.59153222782</v>
      </c>
      <c r="Y226" s="134">
        <v>188998.87</v>
      </c>
      <c r="Z226" s="134">
        <v>29049.999302645589</v>
      </c>
      <c r="AA226" s="134">
        <v>5495.3746826263423</v>
      </c>
      <c r="AB226" s="134">
        <v>3789.3375469559014</v>
      </c>
      <c r="AC226" s="126">
        <v>21055.18</v>
      </c>
      <c r="AD226" s="126">
        <v>0</v>
      </c>
      <c r="AE226" s="126">
        <v>0</v>
      </c>
      <c r="AF226" s="126">
        <v>0</v>
      </c>
      <c r="AG226" s="126">
        <v>0</v>
      </c>
      <c r="AH226" s="126">
        <v>0</v>
      </c>
      <c r="AI226" s="126">
        <v>0</v>
      </c>
      <c r="AJ226" s="126">
        <v>0</v>
      </c>
      <c r="AK226" s="126">
        <v>82459.73</v>
      </c>
      <c r="AL226" s="126">
        <v>3698.1</v>
      </c>
      <c r="AM226" s="126">
        <v>0</v>
      </c>
      <c r="AN226" s="126">
        <v>0</v>
      </c>
      <c r="AO226" s="126">
        <v>0</v>
      </c>
      <c r="AP226" s="126">
        <v>0</v>
      </c>
      <c r="AQ226" s="126">
        <v>0</v>
      </c>
      <c r="AR226" s="126">
        <v>0</v>
      </c>
      <c r="AS226" s="126">
        <v>0</v>
      </c>
      <c r="AT226" s="126">
        <v>0</v>
      </c>
      <c r="AU226" s="126">
        <v>0</v>
      </c>
      <c r="AV226" s="126">
        <v>0</v>
      </c>
      <c r="AW226" s="135">
        <v>1425286.8510329744</v>
      </c>
      <c r="AX226" s="136">
        <v>1331007.013368272</v>
      </c>
      <c r="AY226" s="136">
        <v>55936.958528542724</v>
      </c>
      <c r="AZ226" s="126">
        <v>0</v>
      </c>
      <c r="BA226" s="126">
        <v>16903.778759238357</v>
      </c>
      <c r="BB226" s="126">
        <v>0</v>
      </c>
      <c r="BC226" s="126">
        <v>0</v>
      </c>
      <c r="BD226" s="126">
        <v>3751.6922574023479</v>
      </c>
      <c r="BE226" s="126">
        <v>0</v>
      </c>
      <c r="BF226" s="126">
        <v>4915.8869043569439</v>
      </c>
      <c r="BG226" s="126">
        <v>2461.2706210594656</v>
      </c>
      <c r="BH226" s="126">
        <v>10310.250594102834</v>
      </c>
      <c r="BI226" s="137">
        <v>1302928.4596681853</v>
      </c>
      <c r="BJ226" s="126">
        <v>9228.0157780050795</v>
      </c>
      <c r="BK226" s="126">
        <v>13130.922900908217</v>
      </c>
      <c r="BL226" s="126">
        <v>14086.310805629568</v>
      </c>
      <c r="BM226" s="126">
        <v>13959.908157430713</v>
      </c>
      <c r="BN226" s="126">
        <v>234806.93617477251</v>
      </c>
      <c r="BO226" s="126">
        <v>134804.3389969148</v>
      </c>
      <c r="BP226" s="126">
        <v>110596.48570856122</v>
      </c>
      <c r="BQ226" s="126">
        <v>600047.87044635811</v>
      </c>
      <c r="BR226" s="126">
        <v>22393.37754873962</v>
      </c>
      <c r="BS226" s="126">
        <v>24863.547631034817</v>
      </c>
      <c r="BT226" s="126">
        <v>124042.84285652637</v>
      </c>
      <c r="BU226" s="126">
        <v>0</v>
      </c>
      <c r="BV226" s="126">
        <v>967.90266330426857</v>
      </c>
      <c r="BW226" s="126">
        <v>149739.06453935456</v>
      </c>
      <c r="BX226" s="126">
        <v>531235.24034281331</v>
      </c>
      <c r="BY226" s="126">
        <v>467191.82667079935</v>
      </c>
      <c r="BZ226" s="126">
        <v>88941.160388722608</v>
      </c>
      <c r="CA226" s="137">
        <v>342989.98993618286</v>
      </c>
      <c r="CB226" s="126">
        <v>15031.5</v>
      </c>
      <c r="CC226" s="126">
        <v>325767.07984728942</v>
      </c>
      <c r="CD226" s="126">
        <v>0</v>
      </c>
      <c r="CE226" s="126">
        <v>0</v>
      </c>
      <c r="CF226" s="126">
        <v>2191.4100888934186</v>
      </c>
      <c r="CG226" s="137">
        <v>135093.97902112085</v>
      </c>
      <c r="CH226" s="126">
        <v>36159.995999999999</v>
      </c>
      <c r="CI226" s="126">
        <v>98933.983021120846</v>
      </c>
      <c r="CJ226" s="120"/>
      <c r="CK226" s="138">
        <v>4777953.1631323816</v>
      </c>
      <c r="CL226" s="139">
        <v>45.592165428971157</v>
      </c>
      <c r="CM226" s="140">
        <v>3852663.6499999994</v>
      </c>
      <c r="CN226" s="125">
        <v>6936.57</v>
      </c>
      <c r="CO226" s="125">
        <v>6936.57</v>
      </c>
      <c r="CP226" s="125">
        <v>0</v>
      </c>
      <c r="CQ226" s="125">
        <v>27022.44</v>
      </c>
      <c r="CR226" s="125">
        <v>14666.76</v>
      </c>
      <c r="CS226" s="125">
        <v>537322.84000000008</v>
      </c>
      <c r="CT226" s="125">
        <v>0</v>
      </c>
      <c r="CU226" s="141">
        <v>1773.1084337349396</v>
      </c>
      <c r="CV226" s="142">
        <v>-923516.40469864709</v>
      </c>
      <c r="CW226" s="143">
        <v>0</v>
      </c>
      <c r="CX226" s="140">
        <v>3801967.7399999998</v>
      </c>
      <c r="CY226" s="140">
        <v>666787.24</v>
      </c>
    </row>
    <row r="227" spans="1:103" ht="12" customHeight="1" x14ac:dyDescent="0.25">
      <c r="A227" s="122">
        <v>222</v>
      </c>
      <c r="B227" s="123" t="s">
        <v>273</v>
      </c>
      <c r="C227" s="124">
        <v>9293.3900000000012</v>
      </c>
      <c r="D227" s="125">
        <v>8850.19</v>
      </c>
      <c r="E227" s="125">
        <v>443.2</v>
      </c>
      <c r="F227" s="125">
        <v>1859</v>
      </c>
      <c r="G227" s="124">
        <v>9293.3900000000012</v>
      </c>
      <c r="H227" s="124">
        <v>9293.3900000000012</v>
      </c>
      <c r="I227" s="126">
        <v>3</v>
      </c>
      <c r="J227" s="126">
        <v>3</v>
      </c>
      <c r="K227" s="127">
        <v>1.1485014357411493E-2</v>
      </c>
      <c r="L227" s="127">
        <v>1.6346569363308038E-2</v>
      </c>
      <c r="M227" s="127"/>
      <c r="N227" s="127"/>
      <c r="O227" s="128" t="s">
        <v>1489</v>
      </c>
      <c r="P227" s="129" t="s">
        <v>74</v>
      </c>
      <c r="Q227" s="130">
        <v>5.4</v>
      </c>
      <c r="R227" s="130">
        <v>2.67</v>
      </c>
      <c r="S227" s="130">
        <v>1.54</v>
      </c>
      <c r="T227" s="38">
        <v>0</v>
      </c>
      <c r="U227" s="131">
        <v>36.54</v>
      </c>
      <c r="V227" s="144">
        <v>3</v>
      </c>
      <c r="W227" s="132">
        <v>7.2289156626506026E-3</v>
      </c>
      <c r="X227" s="133">
        <v>351772.2669816917</v>
      </c>
      <c r="Y227" s="134">
        <v>146709.07</v>
      </c>
      <c r="Z227" s="134">
        <v>30913.620189211844</v>
      </c>
      <c r="AA227" s="134">
        <v>5847.9149677862524</v>
      </c>
      <c r="AB227" s="134">
        <v>4032.4318246935823</v>
      </c>
      <c r="AC227" s="126">
        <v>0</v>
      </c>
      <c r="AD227" s="126">
        <v>0</v>
      </c>
      <c r="AE227" s="126">
        <v>0</v>
      </c>
      <c r="AF227" s="126">
        <v>0</v>
      </c>
      <c r="AG227" s="126">
        <v>0</v>
      </c>
      <c r="AH227" s="126">
        <v>0</v>
      </c>
      <c r="AI227" s="126">
        <v>0</v>
      </c>
      <c r="AJ227" s="126">
        <v>0</v>
      </c>
      <c r="AK227" s="126">
        <v>164269.23000000001</v>
      </c>
      <c r="AL227" s="126">
        <v>0</v>
      </c>
      <c r="AM227" s="126">
        <v>0</v>
      </c>
      <c r="AN227" s="126">
        <v>0</v>
      </c>
      <c r="AO227" s="126">
        <v>0</v>
      </c>
      <c r="AP227" s="126">
        <v>0</v>
      </c>
      <c r="AQ227" s="126">
        <v>0</v>
      </c>
      <c r="AR227" s="126">
        <v>0</v>
      </c>
      <c r="AS227" s="126">
        <v>0</v>
      </c>
      <c r="AT227" s="126">
        <v>0</v>
      </c>
      <c r="AU227" s="126">
        <v>0</v>
      </c>
      <c r="AV227" s="126">
        <v>0</v>
      </c>
      <c r="AW227" s="135">
        <v>1516722.1146713942</v>
      </c>
      <c r="AX227" s="136">
        <v>1416394.0195584369</v>
      </c>
      <c r="AY227" s="136">
        <v>59525.436557707049</v>
      </c>
      <c r="AZ227" s="126">
        <v>0</v>
      </c>
      <c r="BA227" s="126">
        <v>17988.193076409883</v>
      </c>
      <c r="BB227" s="126">
        <v>0</v>
      </c>
      <c r="BC227" s="126">
        <v>0</v>
      </c>
      <c r="BD227" s="126">
        <v>3992.3715076158646</v>
      </c>
      <c r="BE227" s="126">
        <v>0</v>
      </c>
      <c r="BF227" s="126">
        <v>5231.2517832167796</v>
      </c>
      <c r="BG227" s="126">
        <v>2619.1665056380443</v>
      </c>
      <c r="BH227" s="126">
        <v>10971.675682369612</v>
      </c>
      <c r="BI227" s="137">
        <v>1386514.1653283609</v>
      </c>
      <c r="BJ227" s="126">
        <v>9820.0131397360674</v>
      </c>
      <c r="BK227" s="126">
        <v>13973.300276655526</v>
      </c>
      <c r="BL227" s="126">
        <v>14989.978401574896</v>
      </c>
      <c r="BM227" s="126">
        <v>14855.466747491169</v>
      </c>
      <c r="BN227" s="126">
        <v>249870.31383640587</v>
      </c>
      <c r="BO227" s="126">
        <v>143452.33169175559</v>
      </c>
      <c r="BP227" s="126">
        <v>117691.49175658308</v>
      </c>
      <c r="BQ227" s="126">
        <v>638542.25155299029</v>
      </c>
      <c r="BR227" s="126">
        <v>23829.961614915293</v>
      </c>
      <c r="BS227" s="126">
        <v>26458.598501659508</v>
      </c>
      <c r="BT227" s="126">
        <v>132000.46207600174</v>
      </c>
      <c r="BU227" s="126">
        <v>0</v>
      </c>
      <c r="BV227" s="126">
        <v>1029.9957325916289</v>
      </c>
      <c r="BW227" s="126">
        <v>159345.15248803893</v>
      </c>
      <c r="BX227" s="126">
        <v>565315.14097443747</v>
      </c>
      <c r="BY227" s="126">
        <v>497163.20247518545</v>
      </c>
      <c r="BZ227" s="126">
        <v>94646.9300326058</v>
      </c>
      <c r="CA227" s="137">
        <v>506014.11360202142</v>
      </c>
      <c r="CB227" s="126">
        <v>15031.5</v>
      </c>
      <c r="CC227" s="126">
        <v>488650.61977093416</v>
      </c>
      <c r="CD227" s="126">
        <v>0</v>
      </c>
      <c r="CE227" s="126">
        <v>0</v>
      </c>
      <c r="CF227" s="126">
        <v>2331.9938310872394</v>
      </c>
      <c r="CG227" s="137">
        <v>0</v>
      </c>
      <c r="CH227" s="126">
        <v>0</v>
      </c>
      <c r="CI227" s="126">
        <v>0</v>
      </c>
      <c r="CJ227" s="120"/>
      <c r="CK227" s="138">
        <v>5077493.0865537357</v>
      </c>
      <c r="CL227" s="139">
        <v>45.529610172335168</v>
      </c>
      <c r="CM227" s="140">
        <v>3880361.52</v>
      </c>
      <c r="CN227" s="125">
        <v>5925.8</v>
      </c>
      <c r="CO227" s="125">
        <v>5925.8</v>
      </c>
      <c r="CP227" s="125">
        <v>0</v>
      </c>
      <c r="CQ227" s="125">
        <v>23087</v>
      </c>
      <c r="CR227" s="125">
        <v>12530.989999999998</v>
      </c>
      <c r="CS227" s="125">
        <v>345153.26</v>
      </c>
      <c r="CT227" s="125">
        <v>395341.70796600782</v>
      </c>
      <c r="CU227" s="141">
        <v>2659.6626506024099</v>
      </c>
      <c r="CV227" s="142">
        <v>-799130.19593712501</v>
      </c>
      <c r="CW227" s="143">
        <v>0</v>
      </c>
      <c r="CX227" s="140">
        <v>3846384.5900000003</v>
      </c>
      <c r="CY227" s="140">
        <v>656625.06000000006</v>
      </c>
    </row>
    <row r="228" spans="1:103" ht="12" customHeight="1" x14ac:dyDescent="0.25">
      <c r="A228" s="122">
        <v>223</v>
      </c>
      <c r="B228" s="123" t="s">
        <v>274</v>
      </c>
      <c r="C228" s="124">
        <v>3385.67</v>
      </c>
      <c r="D228" s="125">
        <v>3385.67</v>
      </c>
      <c r="E228" s="125">
        <v>0</v>
      </c>
      <c r="F228" s="125">
        <v>310.8</v>
      </c>
      <c r="G228" s="124">
        <v>3385.67</v>
      </c>
      <c r="H228" s="124"/>
      <c r="I228" s="126">
        <v>0</v>
      </c>
      <c r="J228" s="126">
        <v>0</v>
      </c>
      <c r="K228" s="127">
        <v>0</v>
      </c>
      <c r="L228" s="127">
        <v>0</v>
      </c>
      <c r="M228" s="127"/>
      <c r="N228" s="127"/>
      <c r="O228" s="128" t="s">
        <v>1489</v>
      </c>
      <c r="P228" s="129" t="s">
        <v>74</v>
      </c>
      <c r="Q228" s="130">
        <v>5.31</v>
      </c>
      <c r="R228" s="130">
        <v>2.67</v>
      </c>
      <c r="S228" s="130">
        <v>0</v>
      </c>
      <c r="T228" s="38">
        <v>0.22</v>
      </c>
      <c r="U228" s="131">
        <v>25.29</v>
      </c>
      <c r="V228" s="144">
        <v>0</v>
      </c>
      <c r="W228" s="132">
        <v>0</v>
      </c>
      <c r="X228" s="133">
        <v>337433.77816832444</v>
      </c>
      <c r="Y228" s="134">
        <v>65474.879999999997</v>
      </c>
      <c r="Z228" s="134">
        <v>11262.124635467666</v>
      </c>
      <c r="AA228" s="134">
        <v>2130.4508117043274</v>
      </c>
      <c r="AB228" s="134">
        <v>1469.0531071988069</v>
      </c>
      <c r="AC228" s="126">
        <v>0</v>
      </c>
      <c r="AD228" s="126">
        <v>0</v>
      </c>
      <c r="AE228" s="126">
        <v>0</v>
      </c>
      <c r="AF228" s="126">
        <v>0</v>
      </c>
      <c r="AG228" s="126">
        <v>0</v>
      </c>
      <c r="AH228" s="126">
        <v>0</v>
      </c>
      <c r="AI228" s="126">
        <v>0</v>
      </c>
      <c r="AJ228" s="126">
        <v>0</v>
      </c>
      <c r="AK228" s="126">
        <v>0</v>
      </c>
      <c r="AL228" s="126">
        <v>0</v>
      </c>
      <c r="AM228" s="126">
        <v>0</v>
      </c>
      <c r="AN228" s="126">
        <v>0</v>
      </c>
      <c r="AO228" s="126">
        <v>0</v>
      </c>
      <c r="AP228" s="126">
        <v>0</v>
      </c>
      <c r="AQ228" s="126">
        <v>0</v>
      </c>
      <c r="AR228" s="126">
        <v>0</v>
      </c>
      <c r="AS228" s="126">
        <v>0</v>
      </c>
      <c r="AT228" s="126">
        <v>257097.26961395363</v>
      </c>
      <c r="AU228" s="126">
        <v>0</v>
      </c>
      <c r="AV228" s="126">
        <v>0</v>
      </c>
      <c r="AW228" s="135">
        <v>552556.23211546044</v>
      </c>
      <c r="AX228" s="136">
        <v>516005.75680116861</v>
      </c>
      <c r="AY228" s="136">
        <v>21685.680337350743</v>
      </c>
      <c r="AZ228" s="126">
        <v>0</v>
      </c>
      <c r="BA228" s="126">
        <v>6553.2691141777805</v>
      </c>
      <c r="BB228" s="126">
        <v>0</v>
      </c>
      <c r="BC228" s="126">
        <v>0</v>
      </c>
      <c r="BD228" s="126">
        <v>1454.4587542532706</v>
      </c>
      <c r="BE228" s="126">
        <v>0</v>
      </c>
      <c r="BF228" s="126">
        <v>1905.7945727967463</v>
      </c>
      <c r="BG228" s="126">
        <v>954.18716562455211</v>
      </c>
      <c r="BH228" s="126">
        <v>3997.0853700886673</v>
      </c>
      <c r="BI228" s="137">
        <v>505120.24289600138</v>
      </c>
      <c r="BJ228" s="126">
        <v>3577.5237977541246</v>
      </c>
      <c r="BK228" s="126">
        <v>5090.6056398864475</v>
      </c>
      <c r="BL228" s="126">
        <v>5460.9911103332661</v>
      </c>
      <c r="BM228" s="126">
        <v>5411.9872407139292</v>
      </c>
      <c r="BN228" s="126">
        <v>91030.121994934481</v>
      </c>
      <c r="BO228" s="126">
        <v>52261.043154201652</v>
      </c>
      <c r="BP228" s="126">
        <v>42876.125170202758</v>
      </c>
      <c r="BQ228" s="126">
        <v>232626.99023880545</v>
      </c>
      <c r="BR228" s="126">
        <v>8681.4807234787586</v>
      </c>
      <c r="BS228" s="126">
        <v>9639.1180386396718</v>
      </c>
      <c r="BT228" s="126">
        <v>48089.018585990343</v>
      </c>
      <c r="BU228" s="126">
        <v>0</v>
      </c>
      <c r="BV228" s="126">
        <v>375.23720106048495</v>
      </c>
      <c r="BW228" s="126">
        <v>58050.948300262738</v>
      </c>
      <c r="BX228" s="126">
        <v>205949.66027928705</v>
      </c>
      <c r="BY228" s="126">
        <v>181121.26357810883</v>
      </c>
      <c r="BZ228" s="126">
        <v>0</v>
      </c>
      <c r="CA228" s="137">
        <v>0</v>
      </c>
      <c r="CB228" s="126">
        <v>0</v>
      </c>
      <c r="CC228" s="126">
        <v>0</v>
      </c>
      <c r="CD228" s="126">
        <v>0</v>
      </c>
      <c r="CE228" s="126">
        <v>0</v>
      </c>
      <c r="CF228" s="126">
        <v>0</v>
      </c>
      <c r="CG228" s="137">
        <v>51874.801735421424</v>
      </c>
      <c r="CH228" s="126">
        <v>13520.003999999999</v>
      </c>
      <c r="CI228" s="126">
        <v>38354.797735421424</v>
      </c>
      <c r="CJ228" s="120"/>
      <c r="CK228" s="138">
        <v>1892106.9270728661</v>
      </c>
      <c r="CL228" s="139">
        <v>46.571454765547792</v>
      </c>
      <c r="CM228" s="140">
        <v>1027349.73</v>
      </c>
      <c r="CN228" s="125">
        <v>1938.97</v>
      </c>
      <c r="CO228" s="125">
        <v>1938.97</v>
      </c>
      <c r="CP228" s="125">
        <v>0</v>
      </c>
      <c r="CQ228" s="125">
        <v>7565.6100000000006</v>
      </c>
      <c r="CR228" s="125">
        <v>4101.2100000000009</v>
      </c>
      <c r="CS228" s="125">
        <v>17143.560000000001</v>
      </c>
      <c r="CT228" s="125">
        <v>0</v>
      </c>
      <c r="CU228" s="141">
        <v>0</v>
      </c>
      <c r="CV228" s="142">
        <v>-864757.19707286614</v>
      </c>
      <c r="CW228" s="143">
        <v>0</v>
      </c>
      <c r="CX228" s="140">
        <v>1033901.3700000001</v>
      </c>
      <c r="CY228" s="140">
        <v>241736.2</v>
      </c>
    </row>
    <row r="229" spans="1:103" ht="12" customHeight="1" x14ac:dyDescent="0.25">
      <c r="A229" s="122">
        <v>224</v>
      </c>
      <c r="B229" s="123" t="s">
        <v>275</v>
      </c>
      <c r="C229" s="124">
        <v>5287.1</v>
      </c>
      <c r="D229" s="125">
        <v>5287.1</v>
      </c>
      <c r="E229" s="125">
        <v>0</v>
      </c>
      <c r="F229" s="125">
        <v>1016.1</v>
      </c>
      <c r="G229" s="124">
        <v>5287.1</v>
      </c>
      <c r="H229" s="124">
        <v>5287.1</v>
      </c>
      <c r="I229" s="126">
        <v>1</v>
      </c>
      <c r="J229" s="126">
        <v>1</v>
      </c>
      <c r="K229" s="127">
        <v>4.2854212170628193E-3</v>
      </c>
      <c r="L229" s="127">
        <v>6.0994207752560195E-3</v>
      </c>
      <c r="M229" s="127"/>
      <c r="N229" s="127"/>
      <c r="O229" s="128" t="s">
        <v>1489</v>
      </c>
      <c r="P229" s="129" t="s">
        <v>74</v>
      </c>
      <c r="Q229" s="130">
        <v>5.4</v>
      </c>
      <c r="R229" s="130">
        <v>2.67</v>
      </c>
      <c r="S229" s="130">
        <v>1.54</v>
      </c>
      <c r="T229" s="38">
        <v>0</v>
      </c>
      <c r="U229" s="131">
        <v>36.54</v>
      </c>
      <c r="V229" s="144">
        <v>1</v>
      </c>
      <c r="W229" s="132">
        <v>2.4096385542168672E-3</v>
      </c>
      <c r="X229" s="133">
        <v>269807.49476012541</v>
      </c>
      <c r="Y229" s="134">
        <v>117407.94</v>
      </c>
      <c r="Z229" s="134">
        <v>17587.059329521515</v>
      </c>
      <c r="AA229" s="134">
        <v>3326.935728101661</v>
      </c>
      <c r="AB229" s="134">
        <v>2294.0897025022555</v>
      </c>
      <c r="AC229" s="126">
        <v>55223.519999999997</v>
      </c>
      <c r="AD229" s="126">
        <v>58967.95</v>
      </c>
      <c r="AE229" s="126">
        <v>0</v>
      </c>
      <c r="AF229" s="126">
        <v>0</v>
      </c>
      <c r="AG229" s="126">
        <v>0</v>
      </c>
      <c r="AH229" s="126">
        <v>0</v>
      </c>
      <c r="AI229" s="126">
        <v>0</v>
      </c>
      <c r="AJ229" s="126">
        <v>0</v>
      </c>
      <c r="AK229" s="126">
        <v>0</v>
      </c>
      <c r="AL229" s="126">
        <v>0</v>
      </c>
      <c r="AM229" s="126">
        <v>15000</v>
      </c>
      <c r="AN229" s="126">
        <v>0</v>
      </c>
      <c r="AO229" s="126">
        <v>0</v>
      </c>
      <c r="AP229" s="126">
        <v>0</v>
      </c>
      <c r="AQ229" s="126">
        <v>0</v>
      </c>
      <c r="AR229" s="126">
        <v>0</v>
      </c>
      <c r="AS229" s="126">
        <v>0</v>
      </c>
      <c r="AT229" s="126">
        <v>0</v>
      </c>
      <c r="AU229" s="126">
        <v>0</v>
      </c>
      <c r="AV229" s="126">
        <v>0</v>
      </c>
      <c r="AW229" s="135">
        <v>862877.96944700787</v>
      </c>
      <c r="AX229" s="136">
        <v>805800.33989829454</v>
      </c>
      <c r="AY229" s="136">
        <v>33864.600067817337</v>
      </c>
      <c r="AZ229" s="126">
        <v>0</v>
      </c>
      <c r="BA229" s="126">
        <v>10233.658074640867</v>
      </c>
      <c r="BB229" s="126">
        <v>0</v>
      </c>
      <c r="BC229" s="126">
        <v>0</v>
      </c>
      <c r="BD229" s="126">
        <v>2271.2989983112552</v>
      </c>
      <c r="BE229" s="126">
        <v>0</v>
      </c>
      <c r="BF229" s="126">
        <v>2976.11004198096</v>
      </c>
      <c r="BG229" s="126">
        <v>1490.069310763769</v>
      </c>
      <c r="BH229" s="126">
        <v>6241.8930551990579</v>
      </c>
      <c r="BI229" s="137">
        <v>788801.40008194803</v>
      </c>
      <c r="BJ229" s="126">
        <v>5586.7010284835305</v>
      </c>
      <c r="BK229" s="126">
        <v>7949.5464940893935</v>
      </c>
      <c r="BL229" s="126">
        <v>8527.9445721062639</v>
      </c>
      <c r="BM229" s="126">
        <v>8451.4195832371788</v>
      </c>
      <c r="BN229" s="126">
        <v>142153.65289570991</v>
      </c>
      <c r="BO229" s="126">
        <v>81611.427357237873</v>
      </c>
      <c r="BP229" s="126">
        <v>66955.834853183856</v>
      </c>
      <c r="BQ229" s="126">
        <v>363272.90022110497</v>
      </c>
      <c r="BR229" s="126">
        <v>13557.097039317046</v>
      </c>
      <c r="BS229" s="126">
        <v>15052.55414204332</v>
      </c>
      <c r="BT229" s="126">
        <v>75096.347300826586</v>
      </c>
      <c r="BU229" s="126">
        <v>0</v>
      </c>
      <c r="BV229" s="126">
        <v>585.97459460812479</v>
      </c>
      <c r="BW229" s="126">
        <v>90653.00775276951</v>
      </c>
      <c r="BX229" s="126">
        <v>321613.28447917802</v>
      </c>
      <c r="BY229" s="126">
        <v>282840.9835169462</v>
      </c>
      <c r="BZ229" s="126">
        <v>53845.559454127077</v>
      </c>
      <c r="CA229" s="137">
        <v>190764.03349051581</v>
      </c>
      <c r="CB229" s="126">
        <v>7106.3759999999993</v>
      </c>
      <c r="CC229" s="126">
        <v>182330.96350862746</v>
      </c>
      <c r="CD229" s="126">
        <v>0</v>
      </c>
      <c r="CE229" s="126">
        <v>0</v>
      </c>
      <c r="CF229" s="126">
        <v>1326.6939818883466</v>
      </c>
      <c r="CG229" s="137">
        <v>0</v>
      </c>
      <c r="CH229" s="126">
        <v>0</v>
      </c>
      <c r="CI229" s="126">
        <v>0</v>
      </c>
      <c r="CJ229" s="120"/>
      <c r="CK229" s="138">
        <v>2861203.7329826183</v>
      </c>
      <c r="CL229" s="139">
        <v>45.097245071063185</v>
      </c>
      <c r="CM229" s="140">
        <v>2318236.4499999997</v>
      </c>
      <c r="CN229" s="125">
        <v>3413.51</v>
      </c>
      <c r="CO229" s="125">
        <v>3413.51</v>
      </c>
      <c r="CP229" s="125">
        <v>0</v>
      </c>
      <c r="CQ229" s="125">
        <v>13302.05</v>
      </c>
      <c r="CR229" s="125">
        <v>7220.75</v>
      </c>
      <c r="CS229" s="125">
        <v>198889.93</v>
      </c>
      <c r="CT229" s="125">
        <v>0</v>
      </c>
      <c r="CU229" s="141">
        <v>886.55421686746979</v>
      </c>
      <c r="CV229" s="142">
        <v>-542080.72876575124</v>
      </c>
      <c r="CW229" s="143">
        <v>0</v>
      </c>
      <c r="CX229" s="140">
        <v>2280786.39</v>
      </c>
      <c r="CY229" s="140">
        <v>328917.69</v>
      </c>
    </row>
    <row r="230" spans="1:103" ht="12" customHeight="1" x14ac:dyDescent="0.25">
      <c r="A230" s="122">
        <v>225</v>
      </c>
      <c r="B230" s="123" t="s">
        <v>276</v>
      </c>
      <c r="C230" s="124">
        <v>5321.2</v>
      </c>
      <c r="D230" s="125">
        <v>5321.2</v>
      </c>
      <c r="E230" s="125">
        <v>0</v>
      </c>
      <c r="F230" s="125">
        <v>1014.6</v>
      </c>
      <c r="G230" s="124">
        <v>5321.2</v>
      </c>
      <c r="H230" s="124">
        <v>5321.2</v>
      </c>
      <c r="I230" s="126">
        <v>1</v>
      </c>
      <c r="J230" s="126">
        <v>1</v>
      </c>
      <c r="K230" s="127">
        <v>4.5682306241727954E-3</v>
      </c>
      <c r="L230" s="127">
        <v>6.5019421344858367E-3</v>
      </c>
      <c r="M230" s="127"/>
      <c r="N230" s="127"/>
      <c r="O230" s="128" t="s">
        <v>1488</v>
      </c>
      <c r="P230" s="129" t="s">
        <v>74</v>
      </c>
      <c r="Q230" s="130">
        <v>5.4</v>
      </c>
      <c r="R230" s="130">
        <v>2.67</v>
      </c>
      <c r="S230" s="130">
        <v>1.54</v>
      </c>
      <c r="T230" s="38">
        <v>0</v>
      </c>
      <c r="U230" s="131">
        <v>36.54</v>
      </c>
      <c r="V230" s="144">
        <v>1</v>
      </c>
      <c r="W230" s="132">
        <v>2.4096385542168672E-3</v>
      </c>
      <c r="X230" s="133">
        <v>140627.38902755373</v>
      </c>
      <c r="Y230" s="134">
        <v>58870.81</v>
      </c>
      <c r="Z230" s="134">
        <v>17700.489891291989</v>
      </c>
      <c r="AA230" s="134">
        <v>3348.3933340346421</v>
      </c>
      <c r="AB230" s="134">
        <v>2308.8858022271193</v>
      </c>
      <c r="AC230" s="126">
        <v>0</v>
      </c>
      <c r="AD230" s="126">
        <v>58398.81</v>
      </c>
      <c r="AE230" s="126">
        <v>0</v>
      </c>
      <c r="AF230" s="126">
        <v>0</v>
      </c>
      <c r="AG230" s="126">
        <v>0</v>
      </c>
      <c r="AH230" s="126">
        <v>0</v>
      </c>
      <c r="AI230" s="126">
        <v>0</v>
      </c>
      <c r="AJ230" s="126">
        <v>0</v>
      </c>
      <c r="AK230" s="126">
        <v>0</v>
      </c>
      <c r="AL230" s="126">
        <v>0</v>
      </c>
      <c r="AM230" s="126">
        <v>0</v>
      </c>
      <c r="AN230" s="126">
        <v>0</v>
      </c>
      <c r="AO230" s="126">
        <v>0</v>
      </c>
      <c r="AP230" s="126">
        <v>0</v>
      </c>
      <c r="AQ230" s="126">
        <v>0</v>
      </c>
      <c r="AR230" s="126">
        <v>0</v>
      </c>
      <c r="AS230" s="126">
        <v>0</v>
      </c>
      <c r="AT230" s="126">
        <v>0</v>
      </c>
      <c r="AU230" s="126">
        <v>0</v>
      </c>
      <c r="AV230" s="126">
        <v>0</v>
      </c>
      <c r="AW230" s="135">
        <v>858143.57770320924</v>
      </c>
      <c r="AX230" s="136">
        <v>810997.47851691931</v>
      </c>
      <c r="AY230" s="136">
        <v>34083.015241033761</v>
      </c>
      <c r="AZ230" s="126">
        <v>0</v>
      </c>
      <c r="BA230" s="126">
        <v>0</v>
      </c>
      <c r="BB230" s="126">
        <v>0</v>
      </c>
      <c r="BC230" s="126">
        <v>0</v>
      </c>
      <c r="BD230" s="126">
        <v>2285.9481057316584</v>
      </c>
      <c r="BE230" s="126">
        <v>0</v>
      </c>
      <c r="BF230" s="126">
        <v>2995.3049413457438</v>
      </c>
      <c r="BG230" s="126">
        <v>1499.6797519313361</v>
      </c>
      <c r="BH230" s="126">
        <v>6282.1511462475128</v>
      </c>
      <c r="BI230" s="137">
        <v>793888.90130999254</v>
      </c>
      <c r="BJ230" s="126">
        <v>5622.7333534010249</v>
      </c>
      <c r="BK230" s="126">
        <v>8000.8183700608033</v>
      </c>
      <c r="BL230" s="126">
        <v>8582.9469193115019</v>
      </c>
      <c r="BM230" s="126">
        <v>8505.928370244872</v>
      </c>
      <c r="BN230" s="126">
        <v>143070.49569492755</v>
      </c>
      <c r="BO230" s="126">
        <v>82137.793356156326</v>
      </c>
      <c r="BP230" s="126">
        <v>67387.677256106734</v>
      </c>
      <c r="BQ230" s="126">
        <v>365615.88709435106</v>
      </c>
      <c r="BR230" s="126">
        <v>13644.535712510424</v>
      </c>
      <c r="BS230" s="126">
        <v>15149.638005833238</v>
      </c>
      <c r="BT230" s="126">
        <v>75580.693245287286</v>
      </c>
      <c r="BU230" s="126">
        <v>0</v>
      </c>
      <c r="BV230" s="126">
        <v>589.75393180169726</v>
      </c>
      <c r="BW230" s="126">
        <v>91237.688875572072</v>
      </c>
      <c r="BX230" s="126">
        <v>323687.5809745611</v>
      </c>
      <c r="BY230" s="126">
        <v>284665.21183453576</v>
      </c>
      <c r="BZ230" s="126">
        <v>54192.845031737808</v>
      </c>
      <c r="CA230" s="137">
        <v>202805.22576733166</v>
      </c>
      <c r="CB230" s="126">
        <v>7106.3759999999993</v>
      </c>
      <c r="CC230" s="126">
        <v>194363.59905968016</v>
      </c>
      <c r="CD230" s="126">
        <v>0</v>
      </c>
      <c r="CE230" s="126">
        <v>0</v>
      </c>
      <c r="CF230" s="126">
        <v>1335.2507076515044</v>
      </c>
      <c r="CG230" s="137">
        <v>0</v>
      </c>
      <c r="CH230" s="126">
        <v>0</v>
      </c>
      <c r="CI230" s="126">
        <v>0</v>
      </c>
      <c r="CJ230" s="120"/>
      <c r="CK230" s="138">
        <v>2749248.4205244938</v>
      </c>
      <c r="CL230" s="139">
        <v>43.054956596953282</v>
      </c>
      <c r="CM230" s="140">
        <v>2334534.9699999997</v>
      </c>
      <c r="CN230" s="125">
        <v>3410.36</v>
      </c>
      <c r="CO230" s="125">
        <v>3410.36</v>
      </c>
      <c r="CP230" s="125">
        <v>0</v>
      </c>
      <c r="CQ230" s="125">
        <v>13286.910000000002</v>
      </c>
      <c r="CR230" s="125">
        <v>7213.1</v>
      </c>
      <c r="CS230" s="125">
        <v>198656.93</v>
      </c>
      <c r="CT230" s="125">
        <v>0</v>
      </c>
      <c r="CU230" s="141">
        <v>886.55421686746979</v>
      </c>
      <c r="CV230" s="142">
        <v>-413826.89630762674</v>
      </c>
      <c r="CW230" s="143">
        <v>0</v>
      </c>
      <c r="CX230" s="140">
        <v>2281020.79</v>
      </c>
      <c r="CY230" s="140">
        <v>444577.66</v>
      </c>
    </row>
    <row r="231" spans="1:103" ht="12" customHeight="1" x14ac:dyDescent="0.25">
      <c r="A231" s="122">
        <v>226</v>
      </c>
      <c r="B231" s="123" t="s">
        <v>277</v>
      </c>
      <c r="C231" s="124">
        <v>3691.5</v>
      </c>
      <c r="D231" s="125">
        <v>3691.5</v>
      </c>
      <c r="E231" s="125">
        <v>0</v>
      </c>
      <c r="F231" s="125">
        <v>1017.5</v>
      </c>
      <c r="G231" s="124">
        <v>3691.5</v>
      </c>
      <c r="H231" s="124">
        <v>3691.5</v>
      </c>
      <c r="I231" s="126">
        <v>2</v>
      </c>
      <c r="J231" s="126">
        <v>0</v>
      </c>
      <c r="K231" s="127">
        <v>3.9341487298372923E-3</v>
      </c>
      <c r="L231" s="127">
        <v>5.5994562215201053E-3</v>
      </c>
      <c r="M231" s="127"/>
      <c r="N231" s="127"/>
      <c r="O231" s="128" t="s">
        <v>1489</v>
      </c>
      <c r="P231" s="129" t="s">
        <v>70</v>
      </c>
      <c r="Q231" s="130">
        <v>6.91</v>
      </c>
      <c r="R231" s="130">
        <v>3.15</v>
      </c>
      <c r="S231" s="130">
        <v>1.81</v>
      </c>
      <c r="T231" s="38">
        <v>0</v>
      </c>
      <c r="U231" s="131">
        <v>44.8</v>
      </c>
      <c r="V231" s="144">
        <v>1</v>
      </c>
      <c r="W231" s="132">
        <v>2.4096385542168672E-3</v>
      </c>
      <c r="X231" s="133">
        <v>66570.402452935625</v>
      </c>
      <c r="Y231" s="134">
        <v>18185.34</v>
      </c>
      <c r="Z231" s="134">
        <v>9874.5527627322281</v>
      </c>
      <c r="AA231" s="134">
        <v>2322.8959619237921</v>
      </c>
      <c r="AB231" s="134">
        <v>1601.7537282796006</v>
      </c>
      <c r="AC231" s="126">
        <v>0</v>
      </c>
      <c r="AD231" s="126">
        <v>34585.86</v>
      </c>
      <c r="AE231" s="126">
        <v>0</v>
      </c>
      <c r="AF231" s="126">
        <v>0</v>
      </c>
      <c r="AG231" s="126">
        <v>0</v>
      </c>
      <c r="AH231" s="126">
        <v>0</v>
      </c>
      <c r="AI231" s="126">
        <v>0</v>
      </c>
      <c r="AJ231" s="126">
        <v>0</v>
      </c>
      <c r="AK231" s="126">
        <v>0</v>
      </c>
      <c r="AL231" s="126">
        <v>0</v>
      </c>
      <c r="AM231" s="126">
        <v>0</v>
      </c>
      <c r="AN231" s="126">
        <v>0</v>
      </c>
      <c r="AO231" s="126">
        <v>0</v>
      </c>
      <c r="AP231" s="126">
        <v>0</v>
      </c>
      <c r="AQ231" s="126">
        <v>0</v>
      </c>
      <c r="AR231" s="126">
        <v>0</v>
      </c>
      <c r="AS231" s="126">
        <v>0</v>
      </c>
      <c r="AT231" s="126">
        <v>0</v>
      </c>
      <c r="AU231" s="126">
        <v>0</v>
      </c>
      <c r="AV231" s="126">
        <v>0</v>
      </c>
      <c r="AW231" s="135">
        <v>241300.56953992153</v>
      </c>
      <c r="AX231" s="136">
        <v>201448.46356895921</v>
      </c>
      <c r="AY231" s="136">
        <v>23644.563399661001</v>
      </c>
      <c r="AZ231" s="126">
        <v>0</v>
      </c>
      <c r="BA231" s="126">
        <v>7145.2306146160954</v>
      </c>
      <c r="BB231" s="126">
        <v>0</v>
      </c>
      <c r="BC231" s="126">
        <v>0</v>
      </c>
      <c r="BD231" s="126">
        <v>1585.8410569624177</v>
      </c>
      <c r="BE231" s="126">
        <v>0</v>
      </c>
      <c r="BF231" s="126">
        <v>2077.9463637859531</v>
      </c>
      <c r="BG231" s="126">
        <v>1040.3795768350235</v>
      </c>
      <c r="BH231" s="126">
        <v>4358.1449591018372</v>
      </c>
      <c r="BI231" s="137">
        <v>550748.11681309424</v>
      </c>
      <c r="BJ231" s="126">
        <v>3900.684088942322</v>
      </c>
      <c r="BK231" s="126">
        <v>5550.4436993684612</v>
      </c>
      <c r="BL231" s="126">
        <v>5954.2863550775037</v>
      </c>
      <c r="BM231" s="126">
        <v>5900.8559307597816</v>
      </c>
      <c r="BN231" s="126">
        <v>99252.938220293363</v>
      </c>
      <c r="BO231" s="126">
        <v>56981.820674707044</v>
      </c>
      <c r="BP231" s="126">
        <v>46749.156316416978</v>
      </c>
      <c r="BQ231" s="126">
        <v>253640.35315507723</v>
      </c>
      <c r="BR231" s="126">
        <v>9465.685105377026</v>
      </c>
      <c r="BS231" s="126">
        <v>10509.826486231188</v>
      </c>
      <c r="BT231" s="126">
        <v>52432.934134213712</v>
      </c>
      <c r="BU231" s="126">
        <v>0</v>
      </c>
      <c r="BV231" s="126">
        <v>409.13264662970107</v>
      </c>
      <c r="BW231" s="126">
        <v>63294.732106324569</v>
      </c>
      <c r="BX231" s="126">
        <v>224553.24084183873</v>
      </c>
      <c r="BY231" s="126">
        <v>197482.07725460213</v>
      </c>
      <c r="BZ231" s="126">
        <v>37595.4460337255</v>
      </c>
      <c r="CA231" s="137">
        <v>174324.35239216231</v>
      </c>
      <c r="CB231" s="126">
        <v>6012.5999999999995</v>
      </c>
      <c r="CC231" s="126">
        <v>167385.44291548495</v>
      </c>
      <c r="CD231" s="126">
        <v>0</v>
      </c>
      <c r="CE231" s="126">
        <v>0</v>
      </c>
      <c r="CF231" s="126">
        <v>926.30947667735268</v>
      </c>
      <c r="CG231" s="137">
        <v>0</v>
      </c>
      <c r="CH231" s="126">
        <v>0</v>
      </c>
      <c r="CI231" s="126">
        <v>0</v>
      </c>
      <c r="CJ231" s="120"/>
      <c r="CK231" s="138">
        <v>1555868.9374346049</v>
      </c>
      <c r="CL231" s="139">
        <v>35.122780654535305</v>
      </c>
      <c r="CM231" s="140">
        <v>1902599.1</v>
      </c>
      <c r="CN231" s="125">
        <v>3419.04</v>
      </c>
      <c r="CO231" s="125">
        <v>3419.04</v>
      </c>
      <c r="CP231" s="125">
        <v>0</v>
      </c>
      <c r="CQ231" s="125">
        <v>13322.04</v>
      </c>
      <c r="CR231" s="125">
        <v>7230.84</v>
      </c>
      <c r="CS231" s="125">
        <v>199163.27999999997</v>
      </c>
      <c r="CT231" s="125">
        <v>0</v>
      </c>
      <c r="CU231" s="141">
        <v>886.55421686746979</v>
      </c>
      <c r="CV231" s="142">
        <v>347616.71678226278</v>
      </c>
      <c r="CW231" s="143">
        <v>0.22285306571972674</v>
      </c>
      <c r="CX231" s="140">
        <v>1785013.74</v>
      </c>
      <c r="CY231" s="140">
        <v>417654.3</v>
      </c>
    </row>
    <row r="232" spans="1:103" ht="12" customHeight="1" x14ac:dyDescent="0.25">
      <c r="A232" s="122">
        <v>227</v>
      </c>
      <c r="B232" s="123" t="s">
        <v>278</v>
      </c>
      <c r="C232" s="124">
        <v>2068.33</v>
      </c>
      <c r="D232" s="125">
        <v>2068.33</v>
      </c>
      <c r="E232" s="125">
        <v>0</v>
      </c>
      <c r="F232" s="125">
        <v>257.7</v>
      </c>
      <c r="G232" s="124">
        <v>2068.33</v>
      </c>
      <c r="H232" s="124"/>
      <c r="I232" s="126">
        <v>0</v>
      </c>
      <c r="J232" s="126">
        <v>0</v>
      </c>
      <c r="K232" s="127">
        <v>0</v>
      </c>
      <c r="L232" s="127">
        <v>0</v>
      </c>
      <c r="M232" s="127"/>
      <c r="N232" s="127"/>
      <c r="O232" s="128" t="s">
        <v>1488</v>
      </c>
      <c r="P232" s="129" t="s">
        <v>279</v>
      </c>
      <c r="Q232" s="130">
        <v>4.1900000000000004</v>
      </c>
      <c r="R232" s="130">
        <v>2.0499999999999998</v>
      </c>
      <c r="S232" s="130">
        <v>0</v>
      </c>
      <c r="T232" s="38">
        <v>0.22</v>
      </c>
      <c r="U232" s="131">
        <v>19.64</v>
      </c>
      <c r="V232" s="144">
        <v>0</v>
      </c>
      <c r="W232" s="132">
        <v>0</v>
      </c>
      <c r="X232" s="133">
        <v>33072.949277299718</v>
      </c>
      <c r="Y232" s="134">
        <v>29788.53</v>
      </c>
      <c r="Z232" s="134">
        <v>1085.4566079949955</v>
      </c>
      <c r="AA232" s="134">
        <v>1301.5076269608116</v>
      </c>
      <c r="AB232" s="134">
        <v>897.45504234391069</v>
      </c>
      <c r="AC232" s="126">
        <v>0</v>
      </c>
      <c r="AD232" s="126">
        <v>0</v>
      </c>
      <c r="AE232" s="126">
        <v>0</v>
      </c>
      <c r="AF232" s="126">
        <v>0</v>
      </c>
      <c r="AG232" s="126">
        <v>0</v>
      </c>
      <c r="AH232" s="126">
        <v>0</v>
      </c>
      <c r="AI232" s="126">
        <v>0</v>
      </c>
      <c r="AJ232" s="126">
        <v>0</v>
      </c>
      <c r="AK232" s="126">
        <v>0</v>
      </c>
      <c r="AL232" s="126">
        <v>0</v>
      </c>
      <c r="AM232" s="126">
        <v>0</v>
      </c>
      <c r="AN232" s="126">
        <v>0</v>
      </c>
      <c r="AO232" s="126">
        <v>0</v>
      </c>
      <c r="AP232" s="126">
        <v>0</v>
      </c>
      <c r="AQ232" s="126">
        <v>0</v>
      </c>
      <c r="AR232" s="126">
        <v>0</v>
      </c>
      <c r="AS232" s="126">
        <v>0</v>
      </c>
      <c r="AT232" s="126">
        <v>0</v>
      </c>
      <c r="AU232" s="126">
        <v>0</v>
      </c>
      <c r="AV232" s="126">
        <v>0</v>
      </c>
      <c r="AW232" s="135">
        <v>383582.00972696458</v>
      </c>
      <c r="AX232" s="136">
        <v>295170.40607267997</v>
      </c>
      <c r="AY232" s="136">
        <v>13247.937103188633</v>
      </c>
      <c r="AZ232" s="126">
        <v>0</v>
      </c>
      <c r="BA232" s="126">
        <v>0</v>
      </c>
      <c r="BB232" s="126">
        <v>0</v>
      </c>
      <c r="BC232" s="126">
        <v>70086.096000000005</v>
      </c>
      <c r="BD232" s="126">
        <v>888.53924782529521</v>
      </c>
      <c r="BE232" s="126">
        <v>0</v>
      </c>
      <c r="BF232" s="126">
        <v>1164.2635250194774</v>
      </c>
      <c r="BG232" s="126">
        <v>582.9197589476322</v>
      </c>
      <c r="BH232" s="126">
        <v>2441.8480193035625</v>
      </c>
      <c r="BI232" s="137">
        <v>308581.56642232894</v>
      </c>
      <c r="BJ232" s="126">
        <v>2185.5348562053564</v>
      </c>
      <c r="BK232" s="126">
        <v>3109.8873673885332</v>
      </c>
      <c r="BL232" s="126">
        <v>3336.1584983874991</v>
      </c>
      <c r="BM232" s="126">
        <v>3306.2216842119406</v>
      </c>
      <c r="BN232" s="126">
        <v>55610.952108676516</v>
      </c>
      <c r="BO232" s="126">
        <v>31926.644766657675</v>
      </c>
      <c r="BP232" s="126">
        <v>26193.331297286935</v>
      </c>
      <c r="BQ232" s="126">
        <v>142113.49089563615</v>
      </c>
      <c r="BR232" s="126">
        <v>5303.5786195325645</v>
      </c>
      <c r="BS232" s="126">
        <v>5888.606099489788</v>
      </c>
      <c r="BT232" s="126">
        <v>29377.925140950356</v>
      </c>
      <c r="BU232" s="126">
        <v>0</v>
      </c>
      <c r="BV232" s="126">
        <v>229.23508790562363</v>
      </c>
      <c r="BW232" s="126">
        <v>35463.739200182659</v>
      </c>
      <c r="BX232" s="126">
        <v>125816.11936351085</v>
      </c>
      <c r="BY232" s="126">
        <v>110648.27437302213</v>
      </c>
      <c r="BZ232" s="126">
        <v>0</v>
      </c>
      <c r="CA232" s="137">
        <v>0</v>
      </c>
      <c r="CB232" s="126">
        <v>0</v>
      </c>
      <c r="CC232" s="126">
        <v>0</v>
      </c>
      <c r="CD232" s="126">
        <v>0</v>
      </c>
      <c r="CE232" s="126">
        <v>0</v>
      </c>
      <c r="CF232" s="126">
        <v>0</v>
      </c>
      <c r="CG232" s="137">
        <v>27651.224053963968</v>
      </c>
      <c r="CH232" s="126">
        <v>4220.0039999999999</v>
      </c>
      <c r="CI232" s="126">
        <v>23431.220053963967</v>
      </c>
      <c r="CJ232" s="120"/>
      <c r="CK232" s="138">
        <v>1024815.8824172729</v>
      </c>
      <c r="CL232" s="139">
        <v>41.289989283515077</v>
      </c>
      <c r="CM232" s="140">
        <v>489226.07</v>
      </c>
      <c r="CN232" s="125">
        <v>1403.3000000000002</v>
      </c>
      <c r="CO232" s="125">
        <v>1403.3000000000002</v>
      </c>
      <c r="CP232" s="125">
        <v>0</v>
      </c>
      <c r="CQ232" s="125">
        <v>5303.2900000000009</v>
      </c>
      <c r="CR232" s="125">
        <v>3413.9200000000005</v>
      </c>
      <c r="CS232" s="125">
        <v>9984.33</v>
      </c>
      <c r="CT232" s="125">
        <v>0</v>
      </c>
      <c r="CU232" s="141">
        <v>0</v>
      </c>
      <c r="CV232" s="142">
        <v>-535589.81241727294</v>
      </c>
      <c r="CW232" s="143">
        <v>0</v>
      </c>
      <c r="CX232" s="140">
        <v>435553.52</v>
      </c>
      <c r="CY232" s="140">
        <v>173801.27</v>
      </c>
    </row>
    <row r="233" spans="1:103" ht="12" customHeight="1" x14ac:dyDescent="0.25">
      <c r="A233" s="122">
        <v>228</v>
      </c>
      <c r="B233" s="123" t="s">
        <v>280</v>
      </c>
      <c r="C233" s="124">
        <v>3374.69</v>
      </c>
      <c r="D233" s="125">
        <v>3374.69</v>
      </c>
      <c r="E233" s="125">
        <v>0</v>
      </c>
      <c r="F233" s="125">
        <v>301.2</v>
      </c>
      <c r="G233" s="124">
        <v>3374.69</v>
      </c>
      <c r="H233" s="124"/>
      <c r="I233" s="126">
        <v>0</v>
      </c>
      <c r="J233" s="126">
        <v>0</v>
      </c>
      <c r="K233" s="127">
        <v>0</v>
      </c>
      <c r="L233" s="127">
        <v>0</v>
      </c>
      <c r="M233" s="127"/>
      <c r="N233" s="127"/>
      <c r="O233" s="128" t="s">
        <v>1489</v>
      </c>
      <c r="P233" s="129" t="s">
        <v>279</v>
      </c>
      <c r="Q233" s="130">
        <v>4.1900000000000004</v>
      </c>
      <c r="R233" s="130">
        <v>2.0499999999999998</v>
      </c>
      <c r="S233" s="130">
        <v>0</v>
      </c>
      <c r="T233" s="38">
        <v>0.22</v>
      </c>
      <c r="U233" s="131">
        <v>19.64</v>
      </c>
      <c r="V233" s="144">
        <v>0</v>
      </c>
      <c r="W233" s="132">
        <v>0</v>
      </c>
      <c r="X233" s="133">
        <v>42175.672894659263</v>
      </c>
      <c r="Y233" s="134">
        <v>36816.81</v>
      </c>
      <c r="Z233" s="134">
        <v>1771.0324563462461</v>
      </c>
      <c r="AA233" s="134">
        <v>2123.5415884449685</v>
      </c>
      <c r="AB233" s="134">
        <v>1464.2888498680443</v>
      </c>
      <c r="AC233" s="126">
        <v>0</v>
      </c>
      <c r="AD233" s="126">
        <v>0</v>
      </c>
      <c r="AE233" s="126">
        <v>0</v>
      </c>
      <c r="AF233" s="126">
        <v>0</v>
      </c>
      <c r="AG233" s="126">
        <v>0</v>
      </c>
      <c r="AH233" s="126">
        <v>0</v>
      </c>
      <c r="AI233" s="126">
        <v>0</v>
      </c>
      <c r="AJ233" s="126">
        <v>0</v>
      </c>
      <c r="AK233" s="126">
        <v>0</v>
      </c>
      <c r="AL233" s="126">
        <v>0</v>
      </c>
      <c r="AM233" s="126">
        <v>0</v>
      </c>
      <c r="AN233" s="126">
        <v>0</v>
      </c>
      <c r="AO233" s="126">
        <v>0</v>
      </c>
      <c r="AP233" s="126">
        <v>0</v>
      </c>
      <c r="AQ233" s="126">
        <v>0</v>
      </c>
      <c r="AR233" s="126">
        <v>0</v>
      </c>
      <c r="AS233" s="126">
        <v>0</v>
      </c>
      <c r="AT233" s="126">
        <v>0</v>
      </c>
      <c r="AU233" s="126">
        <v>0</v>
      </c>
      <c r="AV233" s="126">
        <v>0</v>
      </c>
      <c r="AW233" s="135">
        <v>610073.45298779698</v>
      </c>
      <c r="AX233" s="136">
        <v>481600.43013900705</v>
      </c>
      <c r="AY233" s="136">
        <v>21615.351932602462</v>
      </c>
      <c r="AZ233" s="126">
        <v>0</v>
      </c>
      <c r="BA233" s="145">
        <v>46200</v>
      </c>
      <c r="BB233" s="126">
        <v>0</v>
      </c>
      <c r="BC233" s="126">
        <v>52373.1</v>
      </c>
      <c r="BD233" s="126">
        <v>1449.7418275824195</v>
      </c>
      <c r="BE233" s="126">
        <v>0</v>
      </c>
      <c r="BF233" s="126">
        <v>1899.6139277813406</v>
      </c>
      <c r="BG233" s="126">
        <v>951.09265993481938</v>
      </c>
      <c r="BH233" s="126">
        <v>3984.122500888901</v>
      </c>
      <c r="BI233" s="137">
        <v>503482.09733928787</v>
      </c>
      <c r="BJ233" s="126">
        <v>3565.9216004639752</v>
      </c>
      <c r="BK233" s="126">
        <v>5074.0963965384681</v>
      </c>
      <c r="BL233" s="126">
        <v>5443.2806771275909</v>
      </c>
      <c r="BM233" s="126">
        <v>5394.4357309970819</v>
      </c>
      <c r="BN233" s="126">
        <v>90734.903990963518</v>
      </c>
      <c r="BO233" s="126">
        <v>52091.556389740515</v>
      </c>
      <c r="BP233" s="126">
        <v>42737.074449261607</v>
      </c>
      <c r="BQ233" s="126">
        <v>231872.56220747868</v>
      </c>
      <c r="BR233" s="126">
        <v>8653.3259835472836</v>
      </c>
      <c r="BS233" s="126">
        <v>9607.8576039061427</v>
      </c>
      <c r="BT233" s="126">
        <v>47933.062032612674</v>
      </c>
      <c r="BU233" s="126">
        <v>0</v>
      </c>
      <c r="BV233" s="126">
        <v>374.02027665035513</v>
      </c>
      <c r="BW233" s="126">
        <v>57862.684407935114</v>
      </c>
      <c r="BX233" s="126">
        <v>205281.74897373555</v>
      </c>
      <c r="BY233" s="126">
        <v>180533.87275913131</v>
      </c>
      <c r="BZ233" s="126">
        <v>0</v>
      </c>
      <c r="CA233" s="137">
        <v>0</v>
      </c>
      <c r="CB233" s="126">
        <v>0</v>
      </c>
      <c r="CC233" s="126">
        <v>0</v>
      </c>
      <c r="CD233" s="126">
        <v>0</v>
      </c>
      <c r="CE233" s="126">
        <v>0</v>
      </c>
      <c r="CF233" s="126">
        <v>0</v>
      </c>
      <c r="CG233" s="137">
        <v>51750.414042842131</v>
      </c>
      <c r="CH233" s="126">
        <v>13520.003999999999</v>
      </c>
      <c r="CI233" s="126">
        <v>38230.41004284213</v>
      </c>
      <c r="CJ233" s="120"/>
      <c r="CK233" s="138">
        <v>1651159.9434053879</v>
      </c>
      <c r="CL233" s="139">
        <v>40.773126405817713</v>
      </c>
      <c r="CM233" s="140">
        <v>794922.84000000008</v>
      </c>
      <c r="CN233" s="125">
        <v>1634</v>
      </c>
      <c r="CO233" s="125">
        <v>1634</v>
      </c>
      <c r="CP233" s="125">
        <v>0</v>
      </c>
      <c r="CQ233" s="125">
        <v>6175.92</v>
      </c>
      <c r="CR233" s="125">
        <v>3976.2000000000003</v>
      </c>
      <c r="CS233" s="125">
        <v>11627</v>
      </c>
      <c r="CT233" s="125">
        <v>0</v>
      </c>
      <c r="CU233" s="141">
        <v>0</v>
      </c>
      <c r="CV233" s="142">
        <v>-856237.10340538784</v>
      </c>
      <c r="CW233" s="143">
        <v>0</v>
      </c>
      <c r="CX233" s="140">
        <v>797535.21</v>
      </c>
      <c r="CY233" s="140">
        <v>165186.29999999999</v>
      </c>
    </row>
    <row r="234" spans="1:103" ht="12" customHeight="1" x14ac:dyDescent="0.25">
      <c r="A234" s="122">
        <v>229</v>
      </c>
      <c r="B234" s="123" t="s">
        <v>281</v>
      </c>
      <c r="C234" s="124">
        <v>3804.8699999999994</v>
      </c>
      <c r="D234" s="125">
        <v>3747.7699999999995</v>
      </c>
      <c r="E234" s="125">
        <v>57.1</v>
      </c>
      <c r="F234" s="125">
        <v>483.3</v>
      </c>
      <c r="G234" s="124">
        <v>3804.8699999999994</v>
      </c>
      <c r="H234" s="124">
        <v>3804.8699999999994</v>
      </c>
      <c r="I234" s="126">
        <v>1</v>
      </c>
      <c r="J234" s="126">
        <v>0</v>
      </c>
      <c r="K234" s="127">
        <v>1.8831144991760327E-3</v>
      </c>
      <c r="L234" s="127">
        <v>2.6802284108567616E-3</v>
      </c>
      <c r="M234" s="127"/>
      <c r="N234" s="127">
        <v>0.16282099989812857</v>
      </c>
      <c r="O234" s="128" t="s">
        <v>1488</v>
      </c>
      <c r="P234" s="129" t="s">
        <v>279</v>
      </c>
      <c r="Q234" s="130">
        <v>5.4</v>
      </c>
      <c r="R234" s="130">
        <v>2.67</v>
      </c>
      <c r="S234" s="130">
        <v>1.54</v>
      </c>
      <c r="T234" s="38">
        <v>0</v>
      </c>
      <c r="U234" s="131">
        <v>32.07</v>
      </c>
      <c r="V234" s="144">
        <v>0</v>
      </c>
      <c r="W234" s="132">
        <v>0</v>
      </c>
      <c r="X234" s="133">
        <v>167952.42027341836</v>
      </c>
      <c r="Y234" s="134">
        <v>124410.45</v>
      </c>
      <c r="Z234" s="134">
        <v>1996.7903013841687</v>
      </c>
      <c r="AA234" s="134">
        <v>2394.2346359596309</v>
      </c>
      <c r="AB234" s="134">
        <v>1650.9453360745504</v>
      </c>
      <c r="AC234" s="126">
        <v>0</v>
      </c>
      <c r="AD234" s="126">
        <v>0</v>
      </c>
      <c r="AE234" s="126">
        <v>0</v>
      </c>
      <c r="AF234" s="126">
        <v>0</v>
      </c>
      <c r="AG234" s="126">
        <v>0</v>
      </c>
      <c r="AH234" s="126">
        <v>0</v>
      </c>
      <c r="AI234" s="126">
        <v>0</v>
      </c>
      <c r="AJ234" s="126">
        <v>0</v>
      </c>
      <c r="AK234" s="126">
        <v>0</v>
      </c>
      <c r="AL234" s="126">
        <v>0</v>
      </c>
      <c r="AM234" s="126">
        <v>0</v>
      </c>
      <c r="AN234" s="126">
        <v>0</v>
      </c>
      <c r="AO234" s="126">
        <v>0</v>
      </c>
      <c r="AP234" s="126">
        <v>0</v>
      </c>
      <c r="AQ234" s="126">
        <v>37500</v>
      </c>
      <c r="AR234" s="126">
        <v>0</v>
      </c>
      <c r="AS234" s="126">
        <v>0</v>
      </c>
      <c r="AT234" s="126">
        <v>0</v>
      </c>
      <c r="AU234" s="126">
        <v>0</v>
      </c>
      <c r="AV234" s="126">
        <v>0</v>
      </c>
      <c r="AW234" s="135">
        <v>576702.55581184605</v>
      </c>
      <c r="AX234" s="136">
        <v>542991.21656300384</v>
      </c>
      <c r="AY234" s="136">
        <v>24370.713786392564</v>
      </c>
      <c r="AZ234" s="126">
        <v>0</v>
      </c>
      <c r="BA234" s="126">
        <v>0</v>
      </c>
      <c r="BB234" s="126">
        <v>0</v>
      </c>
      <c r="BC234" s="126">
        <v>0</v>
      </c>
      <c r="BD234" s="126">
        <v>1634.543969227846</v>
      </c>
      <c r="BE234" s="126">
        <v>0</v>
      </c>
      <c r="BF234" s="126">
        <v>2141.7623679204276</v>
      </c>
      <c r="BG234" s="126">
        <v>1072.3307708281932</v>
      </c>
      <c r="BH234" s="126">
        <v>4491.9883544731965</v>
      </c>
      <c r="BI234" s="137">
        <v>567662.19347653748</v>
      </c>
      <c r="BJ234" s="126">
        <v>4020.4783609627443</v>
      </c>
      <c r="BK234" s="126">
        <v>5720.9038922974605</v>
      </c>
      <c r="BL234" s="126">
        <v>6137.1489973841899</v>
      </c>
      <c r="BM234" s="126">
        <v>6082.07766633346</v>
      </c>
      <c r="BN234" s="126">
        <v>102301.10444162198</v>
      </c>
      <c r="BO234" s="126">
        <v>58731.794671697833</v>
      </c>
      <c r="BP234" s="126">
        <v>48184.87400613448</v>
      </c>
      <c r="BQ234" s="126">
        <v>261429.92564246472</v>
      </c>
      <c r="BR234" s="126">
        <v>9756.3866414454496</v>
      </c>
      <c r="BS234" s="126">
        <v>10832.594745406055</v>
      </c>
      <c r="BT234" s="126">
        <v>54043.206853378222</v>
      </c>
      <c r="BU234" s="126">
        <v>0</v>
      </c>
      <c r="BV234" s="126">
        <v>421.69755741079524</v>
      </c>
      <c r="BW234" s="126">
        <v>65238.582513718306</v>
      </c>
      <c r="BX234" s="126">
        <v>231449.51631637188</v>
      </c>
      <c r="BY234" s="126">
        <v>203546.96770519242</v>
      </c>
      <c r="BZ234" s="126">
        <v>38750.043275183838</v>
      </c>
      <c r="CA234" s="137">
        <v>165184.60786149773</v>
      </c>
      <c r="CB234" s="126">
        <v>2596.14</v>
      </c>
      <c r="CC234" s="126">
        <v>80120.497762215527</v>
      </c>
      <c r="CD234" s="126">
        <v>0</v>
      </c>
      <c r="CE234" s="126">
        <v>81513.212646072003</v>
      </c>
      <c r="CF234" s="126">
        <v>954.75745321017428</v>
      </c>
      <c r="CG234" s="137">
        <v>0</v>
      </c>
      <c r="CH234" s="126">
        <v>0</v>
      </c>
      <c r="CI234" s="126">
        <v>0</v>
      </c>
      <c r="CJ234" s="120"/>
      <c r="CK234" s="138">
        <v>2016486.8872337663</v>
      </c>
      <c r="CL234" s="139">
        <v>44.164603241673753</v>
      </c>
      <c r="CM234" s="140">
        <v>1442292.4900000002</v>
      </c>
      <c r="CN234" s="125">
        <v>2743.32</v>
      </c>
      <c r="CO234" s="125">
        <v>2743.32</v>
      </c>
      <c r="CP234" s="125">
        <v>0</v>
      </c>
      <c r="CQ234" s="125">
        <v>10699.8</v>
      </c>
      <c r="CR234" s="125">
        <v>5801.76</v>
      </c>
      <c r="CS234" s="125">
        <v>86938.680000000008</v>
      </c>
      <c r="CT234" s="125">
        <v>161859.53719671982</v>
      </c>
      <c r="CU234" s="141">
        <v>0</v>
      </c>
      <c r="CV234" s="142">
        <v>-412334.86003704625</v>
      </c>
      <c r="CW234" s="143">
        <v>0</v>
      </c>
      <c r="CX234" s="140">
        <v>1395073.68</v>
      </c>
      <c r="CY234" s="140">
        <v>183438.25</v>
      </c>
    </row>
    <row r="235" spans="1:103" ht="12" customHeight="1" x14ac:dyDescent="0.25">
      <c r="A235" s="122">
        <v>230</v>
      </c>
      <c r="B235" s="123" t="s">
        <v>282</v>
      </c>
      <c r="C235" s="124">
        <v>856.1</v>
      </c>
      <c r="D235" s="125">
        <v>770.6</v>
      </c>
      <c r="E235" s="125">
        <v>85.5</v>
      </c>
      <c r="F235" s="125">
        <v>166.1</v>
      </c>
      <c r="G235" s="124">
        <v>856.1</v>
      </c>
      <c r="H235" s="124"/>
      <c r="I235" s="126">
        <v>0</v>
      </c>
      <c r="J235" s="126">
        <v>0</v>
      </c>
      <c r="K235" s="127">
        <v>0</v>
      </c>
      <c r="L235" s="127">
        <v>0</v>
      </c>
      <c r="M235" s="127"/>
      <c r="N235" s="127">
        <v>0</v>
      </c>
      <c r="O235" s="128" t="s">
        <v>1488</v>
      </c>
      <c r="P235" s="129" t="s">
        <v>279</v>
      </c>
      <c r="Q235" s="130">
        <v>4</v>
      </c>
      <c r="R235" s="130">
        <v>2.0499999999999998</v>
      </c>
      <c r="S235" s="130">
        <v>0</v>
      </c>
      <c r="T235" s="38">
        <v>0.22</v>
      </c>
      <c r="U235" s="131">
        <v>19.37</v>
      </c>
      <c r="V235" s="144">
        <v>0</v>
      </c>
      <c r="W235" s="132">
        <v>0</v>
      </c>
      <c r="X235" s="133">
        <v>11913.170060336739</v>
      </c>
      <c r="Y235" s="134">
        <v>10553.72</v>
      </c>
      <c r="Z235" s="134">
        <v>449.28004820532294</v>
      </c>
      <c r="AA235" s="134">
        <v>538.7054674259673</v>
      </c>
      <c r="AB235" s="134">
        <v>371.46454470544927</v>
      </c>
      <c r="AC235" s="126">
        <v>0</v>
      </c>
      <c r="AD235" s="126">
        <v>0</v>
      </c>
      <c r="AE235" s="126">
        <v>0</v>
      </c>
      <c r="AF235" s="126">
        <v>0</v>
      </c>
      <c r="AG235" s="126">
        <v>0</v>
      </c>
      <c r="AH235" s="126">
        <v>0</v>
      </c>
      <c r="AI235" s="126">
        <v>0</v>
      </c>
      <c r="AJ235" s="126">
        <v>0</v>
      </c>
      <c r="AK235" s="126">
        <v>0</v>
      </c>
      <c r="AL235" s="126">
        <v>0</v>
      </c>
      <c r="AM235" s="126">
        <v>0</v>
      </c>
      <c r="AN235" s="126">
        <v>0</v>
      </c>
      <c r="AO235" s="126">
        <v>0</v>
      </c>
      <c r="AP235" s="126">
        <v>0</v>
      </c>
      <c r="AQ235" s="126">
        <v>0</v>
      </c>
      <c r="AR235" s="126">
        <v>0</v>
      </c>
      <c r="AS235" s="126">
        <v>0</v>
      </c>
      <c r="AT235" s="126">
        <v>0</v>
      </c>
      <c r="AU235" s="126">
        <v>0</v>
      </c>
      <c r="AV235" s="126">
        <v>0</v>
      </c>
      <c r="AW235" s="135">
        <v>129758.71922838929</v>
      </c>
      <c r="AX235" s="136">
        <v>122173.63024218638</v>
      </c>
      <c r="AY235" s="136">
        <v>5483.437823770766</v>
      </c>
      <c r="AZ235" s="126">
        <v>0</v>
      </c>
      <c r="BA235" s="126">
        <v>0</v>
      </c>
      <c r="BB235" s="126">
        <v>0</v>
      </c>
      <c r="BC235" s="126">
        <v>0</v>
      </c>
      <c r="BD235" s="126">
        <v>367.77421884478554</v>
      </c>
      <c r="BE235" s="126">
        <v>0</v>
      </c>
      <c r="BF235" s="126">
        <v>481.89892510826348</v>
      </c>
      <c r="BG235" s="126">
        <v>241.27562121860046</v>
      </c>
      <c r="BH235" s="126">
        <v>1010.7023972604856</v>
      </c>
      <c r="BI235" s="137">
        <v>127724.62760495463</v>
      </c>
      <c r="BJ235" s="126">
        <v>904.61212204890205</v>
      </c>
      <c r="BK235" s="126">
        <v>1287.2097659567494</v>
      </c>
      <c r="BL235" s="126">
        <v>1380.8653795426928</v>
      </c>
      <c r="BM235" s="126">
        <v>1368.4742685421777</v>
      </c>
      <c r="BN235" s="126">
        <v>23017.862768628784</v>
      </c>
      <c r="BO235" s="126">
        <v>13214.719403932466</v>
      </c>
      <c r="BP235" s="126">
        <v>10841.650473380625</v>
      </c>
      <c r="BQ235" s="126">
        <v>58822.025284047573</v>
      </c>
      <c r="BR235" s="126">
        <v>2195.1978921070763</v>
      </c>
      <c r="BS235" s="126">
        <v>2437.3459176114102</v>
      </c>
      <c r="BT235" s="126">
        <v>12159.781907706991</v>
      </c>
      <c r="BU235" s="126">
        <v>0</v>
      </c>
      <c r="BV235" s="126">
        <v>94.882421449190602</v>
      </c>
      <c r="BW235" s="126">
        <v>14678.753936401046</v>
      </c>
      <c r="BX235" s="126">
        <v>52076.399697872999</v>
      </c>
      <c r="BY235" s="126">
        <v>45798.295093502609</v>
      </c>
      <c r="BZ235" s="126">
        <v>0</v>
      </c>
      <c r="CA235" s="137">
        <v>0</v>
      </c>
      <c r="CB235" s="126">
        <v>0</v>
      </c>
      <c r="CC235" s="126">
        <v>0</v>
      </c>
      <c r="CD235" s="126">
        <v>0</v>
      </c>
      <c r="CE235" s="126">
        <v>0</v>
      </c>
      <c r="CF235" s="126">
        <v>0</v>
      </c>
      <c r="CG235" s="137">
        <v>16458.384307571108</v>
      </c>
      <c r="CH235" s="126">
        <v>6759.9960000000001</v>
      </c>
      <c r="CI235" s="126">
        <v>9698.3883075711092</v>
      </c>
      <c r="CJ235" s="120"/>
      <c r="CK235" s="138">
        <v>398408.34992902842</v>
      </c>
      <c r="CL235" s="139">
        <v>38.78132908237243</v>
      </c>
      <c r="CM235" s="140">
        <v>178972.05</v>
      </c>
      <c r="CN235" s="125">
        <v>717.00999999999988</v>
      </c>
      <c r="CO235" s="125">
        <v>0</v>
      </c>
      <c r="CP235" s="125">
        <v>0</v>
      </c>
      <c r="CQ235" s="125">
        <v>0</v>
      </c>
      <c r="CR235" s="125">
        <v>758.1400000000001</v>
      </c>
      <c r="CS235" s="125">
        <v>5766.92</v>
      </c>
      <c r="CT235" s="125">
        <v>36418.576664672342</v>
      </c>
      <c r="CU235" s="141">
        <v>0</v>
      </c>
      <c r="CV235" s="142">
        <v>-183017.72326435609</v>
      </c>
      <c r="CW235" s="143">
        <v>0</v>
      </c>
      <c r="CX235" s="140">
        <v>145134.32999999999</v>
      </c>
      <c r="CY235" s="140">
        <v>146640.22</v>
      </c>
    </row>
    <row r="236" spans="1:103" ht="12" customHeight="1" x14ac:dyDescent="0.25">
      <c r="A236" s="122">
        <v>231</v>
      </c>
      <c r="B236" s="123" t="s">
        <v>1497</v>
      </c>
      <c r="C236" s="124">
        <v>769.27</v>
      </c>
      <c r="D236" s="125">
        <v>769.27</v>
      </c>
      <c r="E236" s="125">
        <v>0</v>
      </c>
      <c r="F236" s="125">
        <v>126.6</v>
      </c>
      <c r="G236" s="149">
        <v>641.05833333333328</v>
      </c>
      <c r="H236" s="149"/>
      <c r="I236" s="126">
        <v>0</v>
      </c>
      <c r="J236" s="126">
        <v>0</v>
      </c>
      <c r="K236" s="127">
        <v>0</v>
      </c>
      <c r="L236" s="127">
        <v>0</v>
      </c>
      <c r="M236" s="127"/>
      <c r="N236" s="127">
        <v>0</v>
      </c>
      <c r="O236" s="128" t="s">
        <v>1488</v>
      </c>
      <c r="P236" s="129" t="s">
        <v>279</v>
      </c>
      <c r="Q236" s="130">
        <v>4</v>
      </c>
      <c r="R236" s="130">
        <v>2.0499999999999998</v>
      </c>
      <c r="S236" s="130">
        <v>0</v>
      </c>
      <c r="T236" s="38">
        <v>0.22</v>
      </c>
      <c r="U236" s="131">
        <v>19.37</v>
      </c>
      <c r="V236" s="144">
        <v>0</v>
      </c>
      <c r="W236" s="132">
        <v>0</v>
      </c>
      <c r="X236" s="133">
        <v>8398.9931222162959</v>
      </c>
      <c r="Y236" s="134">
        <v>7381.02</v>
      </c>
      <c r="Z236" s="134">
        <v>336.42649095015059</v>
      </c>
      <c r="AA236" s="134">
        <v>403.38935767509037</v>
      </c>
      <c r="AB236" s="134">
        <v>278.15727359105335</v>
      </c>
      <c r="AC236" s="126">
        <v>0</v>
      </c>
      <c r="AD236" s="126">
        <v>0</v>
      </c>
      <c r="AE236" s="126">
        <v>0</v>
      </c>
      <c r="AF236" s="126">
        <v>0</v>
      </c>
      <c r="AG236" s="126">
        <v>0</v>
      </c>
      <c r="AH236" s="126">
        <v>0</v>
      </c>
      <c r="AI236" s="126">
        <v>0</v>
      </c>
      <c r="AJ236" s="126">
        <v>0</v>
      </c>
      <c r="AK236" s="126">
        <v>0</v>
      </c>
      <c r="AL236" s="126">
        <v>0</v>
      </c>
      <c r="AM236" s="126">
        <v>0</v>
      </c>
      <c r="AN236" s="126">
        <v>0</v>
      </c>
      <c r="AO236" s="126">
        <v>0</v>
      </c>
      <c r="AP236" s="126">
        <v>0</v>
      </c>
      <c r="AQ236" s="126">
        <v>0</v>
      </c>
      <c r="AR236" s="126">
        <v>0</v>
      </c>
      <c r="AS236" s="126">
        <v>0</v>
      </c>
      <c r="AT236" s="126">
        <v>0</v>
      </c>
      <c r="AU236" s="126">
        <v>0</v>
      </c>
      <c r="AV236" s="126">
        <v>0</v>
      </c>
      <c r="AW236" s="135">
        <v>97164.943679499091</v>
      </c>
      <c r="AX236" s="136">
        <v>91485.134657562099</v>
      </c>
      <c r="AY236" s="136">
        <v>4106.0664784995297</v>
      </c>
      <c r="AZ236" s="126">
        <v>0</v>
      </c>
      <c r="BA236" s="126">
        <v>0</v>
      </c>
      <c r="BB236" s="126">
        <v>0</v>
      </c>
      <c r="BC236" s="126">
        <v>0</v>
      </c>
      <c r="BD236" s="126">
        <v>275.39391166406585</v>
      </c>
      <c r="BE236" s="126">
        <v>0</v>
      </c>
      <c r="BF236" s="126">
        <v>360.85191188532667</v>
      </c>
      <c r="BG236" s="126">
        <v>180.67018760934545</v>
      </c>
      <c r="BH236" s="126">
        <v>756.82653227871901</v>
      </c>
      <c r="BI236" s="137">
        <v>95641.79055957582</v>
      </c>
      <c r="BJ236" s="126">
        <v>677.38481400981084</v>
      </c>
      <c r="BK236" s="126">
        <v>963.87869082423049</v>
      </c>
      <c r="BL236" s="126">
        <v>1034.0091797305681</v>
      </c>
      <c r="BM236" s="126">
        <v>1024.7305616180363</v>
      </c>
      <c r="BN236" s="126">
        <v>17236.062076103903</v>
      </c>
      <c r="BO236" s="126">
        <v>9895.3463340177623</v>
      </c>
      <c r="BP236" s="126">
        <v>8118.3627882816572</v>
      </c>
      <c r="BQ236" s="126">
        <v>44046.664515690609</v>
      </c>
      <c r="BR236" s="126">
        <v>1643.7914987162815</v>
      </c>
      <c r="BS236" s="126">
        <v>1825.1149535110085</v>
      </c>
      <c r="BT236" s="126">
        <v>9105.3960091711997</v>
      </c>
      <c r="BU236" s="126">
        <v>0</v>
      </c>
      <c r="BV236" s="126">
        <v>71.049137900769821</v>
      </c>
      <c r="BW236" s="126">
        <v>10991.633610418596</v>
      </c>
      <c r="BX236" s="126">
        <v>38995.456134001826</v>
      </c>
      <c r="BY236" s="126">
        <v>34294.333281332736</v>
      </c>
      <c r="BZ236" s="126">
        <v>0</v>
      </c>
      <c r="CA236" s="137">
        <v>0</v>
      </c>
      <c r="CB236" s="126">
        <v>0</v>
      </c>
      <c r="CC236" s="126">
        <v>0</v>
      </c>
      <c r="CD236" s="126">
        <v>0</v>
      </c>
      <c r="CE236" s="126">
        <v>0</v>
      </c>
      <c r="CF236" s="126">
        <v>0</v>
      </c>
      <c r="CG236" s="137">
        <v>9962.2738517358048</v>
      </c>
      <c r="CH236" s="126">
        <v>2700</v>
      </c>
      <c r="CI236" s="126">
        <v>7262.2738517358048</v>
      </c>
      <c r="CJ236" s="120"/>
      <c r="CK236" s="138">
        <v>295449.42423878016</v>
      </c>
      <c r="CL236" s="139">
        <v>38.406466421253938</v>
      </c>
      <c r="CM236" s="140">
        <v>148910.75</v>
      </c>
      <c r="CN236" s="125">
        <v>506.50999999999993</v>
      </c>
      <c r="CO236" s="125">
        <v>0</v>
      </c>
      <c r="CP236" s="125">
        <v>0</v>
      </c>
      <c r="CQ236" s="125">
        <v>0</v>
      </c>
      <c r="CR236" s="125">
        <v>535.47</v>
      </c>
      <c r="CS236" s="125">
        <v>4072.69</v>
      </c>
      <c r="CT236" s="125">
        <v>0</v>
      </c>
      <c r="CU236" s="141">
        <v>0</v>
      </c>
      <c r="CV236" s="142">
        <v>-146538.67423878016</v>
      </c>
      <c r="CW236" s="143">
        <v>0</v>
      </c>
      <c r="CX236" s="140">
        <v>65532.899999999994</v>
      </c>
      <c r="CY236" s="140">
        <v>184734.02</v>
      </c>
    </row>
    <row r="237" spans="1:103" ht="12" customHeight="1" x14ac:dyDescent="0.25">
      <c r="A237" s="122">
        <v>232</v>
      </c>
      <c r="B237" s="123" t="s">
        <v>283</v>
      </c>
      <c r="C237" s="124">
        <v>894.63</v>
      </c>
      <c r="D237" s="125">
        <v>894.63</v>
      </c>
      <c r="E237" s="125">
        <v>0</v>
      </c>
      <c r="F237" s="125">
        <v>129.9</v>
      </c>
      <c r="G237" s="124">
        <v>894.63</v>
      </c>
      <c r="H237" s="124"/>
      <c r="I237" s="126">
        <v>0</v>
      </c>
      <c r="J237" s="126">
        <v>0</v>
      </c>
      <c r="K237" s="127">
        <v>0</v>
      </c>
      <c r="L237" s="127">
        <v>0</v>
      </c>
      <c r="M237" s="127"/>
      <c r="N237" s="127">
        <v>0</v>
      </c>
      <c r="O237" s="128" t="s">
        <v>1488</v>
      </c>
      <c r="P237" s="129" t="s">
        <v>279</v>
      </c>
      <c r="Q237" s="130">
        <v>4</v>
      </c>
      <c r="R237" s="130">
        <v>2.0499999999999998</v>
      </c>
      <c r="S237" s="130">
        <v>0</v>
      </c>
      <c r="T237" s="38">
        <v>0.22</v>
      </c>
      <c r="U237" s="131">
        <v>19.37</v>
      </c>
      <c r="V237" s="144">
        <v>0</v>
      </c>
      <c r="W237" s="132">
        <v>0</v>
      </c>
      <c r="X237" s="133">
        <v>1833.1340468158594</v>
      </c>
      <c r="Y237" s="134">
        <v>412.5</v>
      </c>
      <c r="Z237" s="134">
        <v>469.50053676664879</v>
      </c>
      <c r="AA237" s="134">
        <v>562.9506743643185</v>
      </c>
      <c r="AB237" s="134">
        <v>388.18283568489204</v>
      </c>
      <c r="AC237" s="126">
        <v>0</v>
      </c>
      <c r="AD237" s="126">
        <v>0</v>
      </c>
      <c r="AE237" s="126">
        <v>0</v>
      </c>
      <c r="AF237" s="126">
        <v>0</v>
      </c>
      <c r="AG237" s="126">
        <v>0</v>
      </c>
      <c r="AH237" s="126">
        <v>0</v>
      </c>
      <c r="AI237" s="126">
        <v>0</v>
      </c>
      <c r="AJ237" s="126">
        <v>0</v>
      </c>
      <c r="AK237" s="126">
        <v>0</v>
      </c>
      <c r="AL237" s="126">
        <v>0</v>
      </c>
      <c r="AM237" s="126">
        <v>0</v>
      </c>
      <c r="AN237" s="126">
        <v>0</v>
      </c>
      <c r="AO237" s="126">
        <v>0</v>
      </c>
      <c r="AP237" s="126">
        <v>0</v>
      </c>
      <c r="AQ237" s="126">
        <v>0</v>
      </c>
      <c r="AR237" s="126">
        <v>0</v>
      </c>
      <c r="AS237" s="126">
        <v>0</v>
      </c>
      <c r="AT237" s="126">
        <v>0</v>
      </c>
      <c r="AU237" s="126">
        <v>0</v>
      </c>
      <c r="AV237" s="126">
        <v>0</v>
      </c>
      <c r="AW237" s="135">
        <v>181889.67922636829</v>
      </c>
      <c r="AX237" s="136">
        <v>127672.22850551009</v>
      </c>
      <c r="AY237" s="136">
        <v>5730.227754094195</v>
      </c>
      <c r="AZ237" s="126">
        <v>0</v>
      </c>
      <c r="BA237" s="126">
        <v>0</v>
      </c>
      <c r="BB237" s="126">
        <v>0</v>
      </c>
      <c r="BC237" s="126">
        <v>46290.983999999997</v>
      </c>
      <c r="BD237" s="126">
        <v>384.32642145206222</v>
      </c>
      <c r="BE237" s="126">
        <v>0</v>
      </c>
      <c r="BF237" s="126">
        <v>503.58747268964578</v>
      </c>
      <c r="BG237" s="126">
        <v>252.13457424459355</v>
      </c>
      <c r="BH237" s="126">
        <v>1056.190498377699</v>
      </c>
      <c r="BI237" s="137">
        <v>133473.0564118918</v>
      </c>
      <c r="BJ237" s="126">
        <v>945.32547920641196</v>
      </c>
      <c r="BK237" s="126">
        <v>1345.1424750822177</v>
      </c>
      <c r="BL237" s="126">
        <v>1443.0131929684376</v>
      </c>
      <c r="BM237" s="126">
        <v>1430.0644023664156</v>
      </c>
      <c r="BN237" s="126">
        <v>24053.814471087921</v>
      </c>
      <c r="BO237" s="126">
        <v>13809.466674851188</v>
      </c>
      <c r="BP237" s="126">
        <v>11329.594396683224</v>
      </c>
      <c r="BQ237" s="126">
        <v>61469.3943229383</v>
      </c>
      <c r="BR237" s="126">
        <v>2293.9959002637002</v>
      </c>
      <c r="BS237" s="126">
        <v>2547.0421425916315</v>
      </c>
      <c r="BT237" s="126">
        <v>12707.050213867429</v>
      </c>
      <c r="BU237" s="126">
        <v>0</v>
      </c>
      <c r="BV237" s="126">
        <v>99.152739984919265</v>
      </c>
      <c r="BW237" s="126">
        <v>15339.392166945998</v>
      </c>
      <c r="BX237" s="126">
        <v>54420.17224822814</v>
      </c>
      <c r="BY237" s="126">
        <v>47859.512603084033</v>
      </c>
      <c r="BZ237" s="126">
        <v>0</v>
      </c>
      <c r="CA237" s="137">
        <v>0</v>
      </c>
      <c r="CB237" s="126">
        <v>0</v>
      </c>
      <c r="CC237" s="126">
        <v>0</v>
      </c>
      <c r="CD237" s="126">
        <v>0</v>
      </c>
      <c r="CE237" s="126">
        <v>0</v>
      </c>
      <c r="CF237" s="126">
        <v>0</v>
      </c>
      <c r="CG237" s="137">
        <v>12154.874088543793</v>
      </c>
      <c r="CH237" s="126">
        <v>2019.9959999999999</v>
      </c>
      <c r="CI237" s="126">
        <v>10134.878088543794</v>
      </c>
      <c r="CJ237" s="120"/>
      <c r="CK237" s="138">
        <v>446969.82079187798</v>
      </c>
      <c r="CL237" s="139">
        <v>41.63451378334041</v>
      </c>
      <c r="CM237" s="140">
        <v>207947.76</v>
      </c>
      <c r="CN237" s="125">
        <v>623.64</v>
      </c>
      <c r="CO237" s="125">
        <v>0</v>
      </c>
      <c r="CP237" s="125">
        <v>0</v>
      </c>
      <c r="CQ237" s="125">
        <v>0</v>
      </c>
      <c r="CR237" s="125">
        <v>659.36000000000013</v>
      </c>
      <c r="CS237" s="125">
        <v>5014.5599999999995</v>
      </c>
      <c r="CT237" s="125">
        <v>0</v>
      </c>
      <c r="CU237" s="141">
        <v>0</v>
      </c>
      <c r="CV237" s="142">
        <v>-239022.06079187797</v>
      </c>
      <c r="CW237" s="143">
        <v>0</v>
      </c>
      <c r="CX237" s="140">
        <v>163829.40000000002</v>
      </c>
      <c r="CY237" s="140">
        <v>179101.12</v>
      </c>
    </row>
    <row r="238" spans="1:103" ht="12" customHeight="1" x14ac:dyDescent="0.25">
      <c r="A238" s="122">
        <v>233</v>
      </c>
      <c r="B238" s="123" t="s">
        <v>284</v>
      </c>
      <c r="C238" s="124">
        <v>5793.4</v>
      </c>
      <c r="D238" s="125">
        <v>5727.7</v>
      </c>
      <c r="E238" s="125">
        <v>65.7</v>
      </c>
      <c r="F238" s="125">
        <v>1583.5</v>
      </c>
      <c r="G238" s="124">
        <v>5793.4</v>
      </c>
      <c r="H238" s="124">
        <v>5793.4</v>
      </c>
      <c r="I238" s="126">
        <v>0</v>
      </c>
      <c r="J238" s="126">
        <v>3</v>
      </c>
      <c r="K238" s="127">
        <v>5.8152533596788668E-3</v>
      </c>
      <c r="L238" s="127">
        <v>8.2768239943781241E-3</v>
      </c>
      <c r="M238" s="127"/>
      <c r="N238" s="127">
        <v>0.50280817608178474</v>
      </c>
      <c r="O238" s="128" t="s">
        <v>1495</v>
      </c>
      <c r="P238" s="129" t="s">
        <v>279</v>
      </c>
      <c r="Q238" s="130">
        <v>5.4</v>
      </c>
      <c r="R238" s="130">
        <v>2.67</v>
      </c>
      <c r="S238" s="130">
        <v>1.54</v>
      </c>
      <c r="T238" s="38">
        <v>0</v>
      </c>
      <c r="U238" s="131">
        <v>32.07</v>
      </c>
      <c r="V238" s="144">
        <v>0</v>
      </c>
      <c r="W238" s="132">
        <v>0</v>
      </c>
      <c r="X238" s="133">
        <v>326099.34057534736</v>
      </c>
      <c r="Y238" s="134">
        <v>191076.06</v>
      </c>
      <c r="Z238" s="134">
        <v>3040.367984198946</v>
      </c>
      <c r="AA238" s="134">
        <v>3645.5276895054299</v>
      </c>
      <c r="AB238" s="134">
        <v>2513.7749016429739</v>
      </c>
      <c r="AC238" s="126">
        <v>0</v>
      </c>
      <c r="AD238" s="126">
        <v>0</v>
      </c>
      <c r="AE238" s="126">
        <v>0</v>
      </c>
      <c r="AF238" s="126">
        <v>0</v>
      </c>
      <c r="AG238" s="126">
        <v>0</v>
      </c>
      <c r="AH238" s="126">
        <v>0</v>
      </c>
      <c r="AI238" s="126">
        <v>0</v>
      </c>
      <c r="AJ238" s="126">
        <v>0</v>
      </c>
      <c r="AK238" s="126">
        <v>0</v>
      </c>
      <c r="AL238" s="126">
        <v>0</v>
      </c>
      <c r="AM238" s="126">
        <v>0</v>
      </c>
      <c r="AN238" s="126">
        <v>0</v>
      </c>
      <c r="AO238" s="126">
        <v>0</v>
      </c>
      <c r="AP238" s="126">
        <v>125823.61</v>
      </c>
      <c r="AQ238" s="126">
        <v>0</v>
      </c>
      <c r="AR238" s="126">
        <v>0</v>
      </c>
      <c r="AS238" s="126">
        <v>0</v>
      </c>
      <c r="AT238" s="126">
        <v>0</v>
      </c>
      <c r="AU238" s="126">
        <v>0</v>
      </c>
      <c r="AV238" s="126">
        <v>0</v>
      </c>
      <c r="AW238" s="135">
        <v>878103.21688792238</v>
      </c>
      <c r="AX238" s="136">
        <v>826773.40199168609</v>
      </c>
      <c r="AY238" s="136">
        <v>37107.520953432489</v>
      </c>
      <c r="AZ238" s="126">
        <v>0</v>
      </c>
      <c r="BA238" s="126">
        <v>0</v>
      </c>
      <c r="BB238" s="126">
        <v>0</v>
      </c>
      <c r="BC238" s="126">
        <v>0</v>
      </c>
      <c r="BD238" s="126">
        <v>2488.8017281338398</v>
      </c>
      <c r="BE238" s="126">
        <v>0</v>
      </c>
      <c r="BF238" s="126">
        <v>3261.1064510246624</v>
      </c>
      <c r="BG238" s="126">
        <v>1632.7604064570025</v>
      </c>
      <c r="BH238" s="126">
        <v>6839.6253571882917</v>
      </c>
      <c r="BI238" s="137">
        <v>864338.11186373571</v>
      </c>
      <c r="BJ238" s="126">
        <v>6121.6912368626436</v>
      </c>
      <c r="BK238" s="126">
        <v>8710.8060484684393</v>
      </c>
      <c r="BL238" s="126">
        <v>9344.592325479076</v>
      </c>
      <c r="BM238" s="126">
        <v>9260.7391979584772</v>
      </c>
      <c r="BN238" s="126">
        <v>155766.48307881554</v>
      </c>
      <c r="BO238" s="126">
        <v>89426.650385168017</v>
      </c>
      <c r="BP238" s="126">
        <v>73367.618096581369</v>
      </c>
      <c r="BQ238" s="126">
        <v>398060.41499895009</v>
      </c>
      <c r="BR238" s="126">
        <v>14855.343380601722</v>
      </c>
      <c r="BS238" s="126">
        <v>16494.007521422664</v>
      </c>
      <c r="BT238" s="126">
        <v>82287.677262130223</v>
      </c>
      <c r="BU238" s="126">
        <v>0</v>
      </c>
      <c r="BV238" s="126">
        <v>642.08833129744278</v>
      </c>
      <c r="BW238" s="126">
        <v>99334.065010099075</v>
      </c>
      <c r="BX238" s="126">
        <v>352411.41690183082</v>
      </c>
      <c r="BY238" s="126">
        <v>309926.22683646536</v>
      </c>
      <c r="BZ238" s="126">
        <v>59001.884613784452</v>
      </c>
      <c r="CA238" s="137">
        <v>508794.01072580786</v>
      </c>
      <c r="CB238" s="126">
        <v>8198.5679999999993</v>
      </c>
      <c r="CC238" s="126">
        <v>247420.42716719204</v>
      </c>
      <c r="CD238" s="126">
        <v>0</v>
      </c>
      <c r="CE238" s="126">
        <v>251721.27552822637</v>
      </c>
      <c r="CF238" s="126">
        <v>1453.7400303894283</v>
      </c>
      <c r="CG238" s="137">
        <v>0</v>
      </c>
      <c r="CH238" s="126">
        <v>0</v>
      </c>
      <c r="CI238" s="126">
        <v>0</v>
      </c>
      <c r="CJ238" s="120"/>
      <c r="CK238" s="138">
        <v>3398008.2734149927</v>
      </c>
      <c r="CL238" s="139">
        <v>48.877577263423213</v>
      </c>
      <c r="CM238" s="140">
        <v>2204247.84</v>
      </c>
      <c r="CN238" s="125">
        <v>6863.88</v>
      </c>
      <c r="CO238" s="125">
        <v>6863.88</v>
      </c>
      <c r="CP238" s="125">
        <v>0</v>
      </c>
      <c r="CQ238" s="125">
        <v>22118.04</v>
      </c>
      <c r="CR238" s="125">
        <v>14517.599999999999</v>
      </c>
      <c r="CS238" s="125">
        <v>279659.52000000002</v>
      </c>
      <c r="CT238" s="125">
        <v>246451.79540837836</v>
      </c>
      <c r="CU238" s="141">
        <v>0</v>
      </c>
      <c r="CV238" s="142">
        <v>-947308.63800661452</v>
      </c>
      <c r="CW238" s="143">
        <v>0</v>
      </c>
      <c r="CX238" s="140">
        <v>2202309.4299999997</v>
      </c>
      <c r="CY238" s="140">
        <v>600767.49</v>
      </c>
    </row>
    <row r="239" spans="1:103" ht="12" customHeight="1" x14ac:dyDescent="0.25">
      <c r="A239" s="122">
        <v>234</v>
      </c>
      <c r="B239" s="123" t="s">
        <v>285</v>
      </c>
      <c r="C239" s="124">
        <v>2479.9</v>
      </c>
      <c r="D239" s="125">
        <v>2479.9</v>
      </c>
      <c r="E239" s="125">
        <v>0</v>
      </c>
      <c r="F239" s="125">
        <v>255</v>
      </c>
      <c r="G239" s="124">
        <v>2479.9</v>
      </c>
      <c r="H239" s="124"/>
      <c r="I239" s="126">
        <v>0</v>
      </c>
      <c r="J239" s="126">
        <v>0</v>
      </c>
      <c r="K239" s="127">
        <v>0</v>
      </c>
      <c r="L239" s="127">
        <v>0</v>
      </c>
      <c r="M239" s="127"/>
      <c r="N239" s="127">
        <v>0</v>
      </c>
      <c r="O239" s="128" t="s">
        <v>1488</v>
      </c>
      <c r="P239" s="129" t="s">
        <v>279</v>
      </c>
      <c r="Q239" s="130">
        <v>4.1900000000000004</v>
      </c>
      <c r="R239" s="130">
        <v>2.67</v>
      </c>
      <c r="S239" s="130">
        <v>0</v>
      </c>
      <c r="T239" s="38">
        <v>0.22</v>
      </c>
      <c r="U239" s="131">
        <v>23.45</v>
      </c>
      <c r="V239" s="144">
        <v>0</v>
      </c>
      <c r="W239" s="132">
        <v>0</v>
      </c>
      <c r="X239" s="133">
        <v>6293.284774709824</v>
      </c>
      <c r="Y239" s="134">
        <v>2355.31</v>
      </c>
      <c r="Z239" s="134">
        <v>1301.4479518098124</v>
      </c>
      <c r="AA239" s="134">
        <v>1560.4902332316976</v>
      </c>
      <c r="AB239" s="134">
        <v>1076.036589668314</v>
      </c>
      <c r="AC239" s="126">
        <v>0</v>
      </c>
      <c r="AD239" s="126">
        <v>0</v>
      </c>
      <c r="AE239" s="126">
        <v>0</v>
      </c>
      <c r="AF239" s="126">
        <v>0</v>
      </c>
      <c r="AG239" s="126">
        <v>0</v>
      </c>
      <c r="AH239" s="126">
        <v>0</v>
      </c>
      <c r="AI239" s="126">
        <v>0</v>
      </c>
      <c r="AJ239" s="126">
        <v>0</v>
      </c>
      <c r="AK239" s="126">
        <v>0</v>
      </c>
      <c r="AL239" s="126">
        <v>0</v>
      </c>
      <c r="AM239" s="126">
        <v>0</v>
      </c>
      <c r="AN239" s="126">
        <v>0</v>
      </c>
      <c r="AO239" s="126">
        <v>0</v>
      </c>
      <c r="AP239" s="126">
        <v>0</v>
      </c>
      <c r="AQ239" s="126">
        <v>0</v>
      </c>
      <c r="AR239" s="126">
        <v>0</v>
      </c>
      <c r="AS239" s="126">
        <v>0</v>
      </c>
      <c r="AT239" s="126">
        <v>0</v>
      </c>
      <c r="AU239" s="126">
        <v>0</v>
      </c>
      <c r="AV239" s="126">
        <v>0</v>
      </c>
      <c r="AW239" s="135">
        <v>431084.39062829403</v>
      </c>
      <c r="AX239" s="136">
        <v>353905.36810839619</v>
      </c>
      <c r="AY239" s="136">
        <v>15884.099356581151</v>
      </c>
      <c r="AZ239" s="126">
        <v>0</v>
      </c>
      <c r="BA239" s="126">
        <v>0</v>
      </c>
      <c r="BB239" s="126">
        <v>0</v>
      </c>
      <c r="BC239" s="126">
        <v>55206.983999999997</v>
      </c>
      <c r="BD239" s="126">
        <v>1065.3466713154814</v>
      </c>
      <c r="BE239" s="126">
        <v>0</v>
      </c>
      <c r="BF239" s="126">
        <v>1395.9363910477546</v>
      </c>
      <c r="BG239" s="126">
        <v>698.91299271114042</v>
      </c>
      <c r="BH239" s="126">
        <v>2927.7431082423527</v>
      </c>
      <c r="BI239" s="137">
        <v>369985.16995389212</v>
      </c>
      <c r="BJ239" s="126">
        <v>2620.4270546303846</v>
      </c>
      <c r="BK239" s="126">
        <v>3728.7133496041847</v>
      </c>
      <c r="BL239" s="126">
        <v>4000.0094086297445</v>
      </c>
      <c r="BM239" s="126">
        <v>3964.1155689262314</v>
      </c>
      <c r="BN239" s="126">
        <v>66676.787618178394</v>
      </c>
      <c r="BO239" s="126">
        <v>38279.619962401732</v>
      </c>
      <c r="BP239" s="126">
        <v>31405.453812564669</v>
      </c>
      <c r="BQ239" s="126">
        <v>170392.17439774511</v>
      </c>
      <c r="BR239" s="126">
        <v>6358.9198138492447</v>
      </c>
      <c r="BS239" s="126">
        <v>7060.3599358539141</v>
      </c>
      <c r="BT239" s="126">
        <v>35223.739227803489</v>
      </c>
      <c r="BU239" s="126">
        <v>0</v>
      </c>
      <c r="BV239" s="126">
        <v>274.84980370499682</v>
      </c>
      <c r="BW239" s="126">
        <v>42520.54886915192</v>
      </c>
      <c r="BX239" s="126">
        <v>150851.84395602759</v>
      </c>
      <c r="BY239" s="126">
        <v>132665.80072699115</v>
      </c>
      <c r="BZ239" s="126">
        <v>0</v>
      </c>
      <c r="CA239" s="137">
        <v>0</v>
      </c>
      <c r="CB239" s="126">
        <v>0</v>
      </c>
      <c r="CC239" s="126">
        <v>0</v>
      </c>
      <c r="CD239" s="126">
        <v>0</v>
      </c>
      <c r="CE239" s="126">
        <v>0</v>
      </c>
      <c r="CF239" s="126">
        <v>0</v>
      </c>
      <c r="CG239" s="137">
        <v>38233.719383186071</v>
      </c>
      <c r="CH239" s="126">
        <v>10140</v>
      </c>
      <c r="CI239" s="126">
        <v>28093.719383186071</v>
      </c>
      <c r="CJ239" s="120"/>
      <c r="CK239" s="138">
        <v>1171634.7582922527</v>
      </c>
      <c r="CL239" s="139">
        <v>39.37103506499767</v>
      </c>
      <c r="CM239" s="140">
        <v>693655.33000000007</v>
      </c>
      <c r="CN239" s="125">
        <v>1583.9</v>
      </c>
      <c r="CO239" s="125">
        <v>1584.0300000000002</v>
      </c>
      <c r="CP239" s="125">
        <v>0</v>
      </c>
      <c r="CQ239" s="125">
        <v>6186.37</v>
      </c>
      <c r="CR239" s="125">
        <v>3349.6400000000003</v>
      </c>
      <c r="CS239" s="125">
        <v>9805.19</v>
      </c>
      <c r="CT239" s="125">
        <v>0</v>
      </c>
      <c r="CU239" s="141">
        <v>0</v>
      </c>
      <c r="CV239" s="142">
        <v>-477979.42829225259</v>
      </c>
      <c r="CW239" s="143">
        <v>0</v>
      </c>
      <c r="CX239" s="140">
        <v>696238.81</v>
      </c>
      <c r="CY239" s="140">
        <v>125520.18000000001</v>
      </c>
    </row>
    <row r="240" spans="1:103" ht="12" customHeight="1" x14ac:dyDescent="0.25">
      <c r="A240" s="122">
        <v>235</v>
      </c>
      <c r="B240" s="123" t="s">
        <v>286</v>
      </c>
      <c r="C240" s="124">
        <v>2720.4</v>
      </c>
      <c r="D240" s="125">
        <v>2529.6</v>
      </c>
      <c r="E240" s="125">
        <v>190.8</v>
      </c>
      <c r="F240" s="125">
        <v>221.4</v>
      </c>
      <c r="G240" s="124">
        <v>2720.4</v>
      </c>
      <c r="H240" s="124"/>
      <c r="I240" s="126">
        <v>0</v>
      </c>
      <c r="J240" s="126">
        <v>0</v>
      </c>
      <c r="K240" s="127">
        <v>0</v>
      </c>
      <c r="L240" s="127">
        <v>0</v>
      </c>
      <c r="M240" s="127"/>
      <c r="N240" s="127">
        <v>0</v>
      </c>
      <c r="O240" s="128" t="s">
        <v>1488</v>
      </c>
      <c r="P240" s="129" t="s">
        <v>279</v>
      </c>
      <c r="Q240" s="130">
        <v>4.1900000000000004</v>
      </c>
      <c r="R240" s="130">
        <v>2.67</v>
      </c>
      <c r="S240" s="130">
        <v>0</v>
      </c>
      <c r="T240" s="38">
        <v>0.22</v>
      </c>
      <c r="U240" s="131">
        <v>23.45</v>
      </c>
      <c r="V240" s="144">
        <v>0</v>
      </c>
      <c r="W240" s="132">
        <v>0</v>
      </c>
      <c r="X240" s="133">
        <v>397392.13845361531</v>
      </c>
      <c r="Y240" s="134">
        <v>84782.9</v>
      </c>
      <c r="Z240" s="134">
        <v>1427.662005767738</v>
      </c>
      <c r="AA240" s="134">
        <v>1711.8261343132829</v>
      </c>
      <c r="AB240" s="134">
        <v>1180.3903135342885</v>
      </c>
      <c r="AC240" s="126">
        <v>0</v>
      </c>
      <c r="AD240" s="126">
        <v>45986.77</v>
      </c>
      <c r="AE240" s="126">
        <v>0</v>
      </c>
      <c r="AF240" s="126">
        <v>262302.59000000003</v>
      </c>
      <c r="AG240" s="126">
        <v>0</v>
      </c>
      <c r="AH240" s="126">
        <v>0</v>
      </c>
      <c r="AI240" s="126">
        <v>0</v>
      </c>
      <c r="AJ240" s="126">
        <v>0</v>
      </c>
      <c r="AK240" s="126">
        <v>0</v>
      </c>
      <c r="AL240" s="126">
        <v>0</v>
      </c>
      <c r="AM240" s="126">
        <v>0</v>
      </c>
      <c r="AN240" s="126">
        <v>0</v>
      </c>
      <c r="AO240" s="126">
        <v>0</v>
      </c>
      <c r="AP240" s="126">
        <v>0</v>
      </c>
      <c r="AQ240" s="126">
        <v>0</v>
      </c>
      <c r="AR240" s="126">
        <v>0</v>
      </c>
      <c r="AS240" s="126">
        <v>0</v>
      </c>
      <c r="AT240" s="126">
        <v>0</v>
      </c>
      <c r="AU240" s="126">
        <v>0</v>
      </c>
      <c r="AV240" s="126">
        <v>0</v>
      </c>
      <c r="AW240" s="135">
        <v>448412.40312125941</v>
      </c>
      <c r="AX240" s="136">
        <v>388227.0105254571</v>
      </c>
      <c r="AY240" s="136">
        <v>17424.534815776187</v>
      </c>
      <c r="AZ240" s="126">
        <v>0</v>
      </c>
      <c r="BA240" s="126">
        <v>0</v>
      </c>
      <c r="BB240" s="126">
        <v>0</v>
      </c>
      <c r="BC240" s="126">
        <v>36082.511999999995</v>
      </c>
      <c r="BD240" s="126">
        <v>1168.6636899256566</v>
      </c>
      <c r="BE240" s="126">
        <v>0</v>
      </c>
      <c r="BF240" s="126">
        <v>1531.3139070955729</v>
      </c>
      <c r="BG240" s="126">
        <v>766.69337689882104</v>
      </c>
      <c r="BH240" s="126">
        <v>3211.6748061060916</v>
      </c>
      <c r="BI240" s="137">
        <v>405866.22700212424</v>
      </c>
      <c r="BJ240" s="126">
        <v>2874.5553286086124</v>
      </c>
      <c r="BK240" s="126">
        <v>4090.3229147397979</v>
      </c>
      <c r="BL240" s="126">
        <v>4387.929188772272</v>
      </c>
      <c r="BM240" s="126">
        <v>4348.5543746549938</v>
      </c>
      <c r="BN240" s="126">
        <v>73143.083606795641</v>
      </c>
      <c r="BO240" s="126">
        <v>41991.966670316411</v>
      </c>
      <c r="BP240" s="126">
        <v>34451.145833179129</v>
      </c>
      <c r="BQ240" s="126">
        <v>186916.7592369151</v>
      </c>
      <c r="BR240" s="126">
        <v>6975.6060573392015</v>
      </c>
      <c r="BS240" s="126">
        <v>7745.0716438150685</v>
      </c>
      <c r="BT240" s="126">
        <v>38639.727487123113</v>
      </c>
      <c r="BU240" s="126">
        <v>0</v>
      </c>
      <c r="BV240" s="126">
        <v>301.50465986494351</v>
      </c>
      <c r="BW240" s="126">
        <v>46644.179661938331</v>
      </c>
      <c r="BX240" s="126">
        <v>165481.41308035707</v>
      </c>
      <c r="BY240" s="126">
        <v>145531.69252699977</v>
      </c>
      <c r="BZ240" s="126">
        <v>0</v>
      </c>
      <c r="CA240" s="137">
        <v>0</v>
      </c>
      <c r="CB240" s="126">
        <v>0</v>
      </c>
      <c r="CC240" s="126">
        <v>0</v>
      </c>
      <c r="CD240" s="126">
        <v>0</v>
      </c>
      <c r="CE240" s="126">
        <v>0</v>
      </c>
      <c r="CF240" s="126">
        <v>0</v>
      </c>
      <c r="CG240" s="137">
        <v>40958.240336311705</v>
      </c>
      <c r="CH240" s="126">
        <v>10140</v>
      </c>
      <c r="CI240" s="126">
        <v>30818.240336311701</v>
      </c>
      <c r="CJ240" s="120"/>
      <c r="CK240" s="138">
        <v>1650286.2941826058</v>
      </c>
      <c r="CL240" s="139">
        <v>50.552807619670084</v>
      </c>
      <c r="CM240" s="140">
        <v>711831</v>
      </c>
      <c r="CN240" s="125">
        <v>1284.24</v>
      </c>
      <c r="CO240" s="125">
        <v>1284.24</v>
      </c>
      <c r="CP240" s="125">
        <v>0</v>
      </c>
      <c r="CQ240" s="125">
        <v>5011.4400000000005</v>
      </c>
      <c r="CR240" s="125">
        <v>2717.2799999999997</v>
      </c>
      <c r="CS240" s="125">
        <v>7947.12</v>
      </c>
      <c r="CT240" s="125">
        <v>115726.07868073197</v>
      </c>
      <c r="CU240" s="141">
        <v>0</v>
      </c>
      <c r="CV240" s="142">
        <v>-822729.21550187387</v>
      </c>
      <c r="CW240" s="143">
        <v>0</v>
      </c>
      <c r="CX240" s="140">
        <v>717147.57000000007</v>
      </c>
      <c r="CY240" s="140">
        <v>124557.61</v>
      </c>
    </row>
    <row r="241" spans="1:103" ht="12" customHeight="1" x14ac:dyDescent="0.25">
      <c r="A241" s="122">
        <v>236</v>
      </c>
      <c r="B241" s="123" t="s">
        <v>287</v>
      </c>
      <c r="C241" s="124">
        <v>2976.2999999999997</v>
      </c>
      <c r="D241" s="125">
        <v>2941.7</v>
      </c>
      <c r="E241" s="125">
        <v>34.6</v>
      </c>
      <c r="F241" s="125">
        <v>715</v>
      </c>
      <c r="G241" s="124">
        <v>2976.2999999999997</v>
      </c>
      <c r="H241" s="124">
        <v>2976.2999999999997</v>
      </c>
      <c r="I241" s="126">
        <v>1</v>
      </c>
      <c r="J241" s="126">
        <v>1</v>
      </c>
      <c r="K241" s="127">
        <v>3.867182655846717E-3</v>
      </c>
      <c r="L241" s="127">
        <v>5.5041437091096213E-3</v>
      </c>
      <c r="M241" s="127"/>
      <c r="N241" s="127">
        <v>0.33437082402008667</v>
      </c>
      <c r="O241" s="128" t="s">
        <v>1488</v>
      </c>
      <c r="P241" s="129" t="s">
        <v>279</v>
      </c>
      <c r="Q241" s="130">
        <v>5.4</v>
      </c>
      <c r="R241" s="130">
        <v>2.67</v>
      </c>
      <c r="S241" s="130">
        <v>1.54</v>
      </c>
      <c r="T241" s="38">
        <v>0</v>
      </c>
      <c r="U241" s="131">
        <v>32.07</v>
      </c>
      <c r="V241" s="144">
        <v>0</v>
      </c>
      <c r="W241" s="132">
        <v>0</v>
      </c>
      <c r="X241" s="133">
        <v>123275.85667162742</v>
      </c>
      <c r="Y241" s="134">
        <v>50943.71</v>
      </c>
      <c r="Z241" s="134">
        <v>1561.95795756746</v>
      </c>
      <c r="AA241" s="134">
        <v>1872.852567106537</v>
      </c>
      <c r="AB241" s="134">
        <v>1291.4261469534267</v>
      </c>
      <c r="AC241" s="126">
        <v>0</v>
      </c>
      <c r="AD241" s="126">
        <v>0</v>
      </c>
      <c r="AE241" s="126">
        <v>0</v>
      </c>
      <c r="AF241" s="126">
        <v>0</v>
      </c>
      <c r="AG241" s="126">
        <v>0</v>
      </c>
      <c r="AH241" s="126">
        <v>0</v>
      </c>
      <c r="AI241" s="126">
        <v>0</v>
      </c>
      <c r="AJ241" s="126">
        <v>0</v>
      </c>
      <c r="AK241" s="126">
        <v>0</v>
      </c>
      <c r="AL241" s="126">
        <v>0</v>
      </c>
      <c r="AM241" s="126">
        <v>0</v>
      </c>
      <c r="AN241" s="126">
        <v>0</v>
      </c>
      <c r="AO241" s="126">
        <v>0</v>
      </c>
      <c r="AP241" s="126">
        <v>67605.91</v>
      </c>
      <c r="AQ241" s="126">
        <v>0</v>
      </c>
      <c r="AR241" s="126">
        <v>0</v>
      </c>
      <c r="AS241" s="126">
        <v>0</v>
      </c>
      <c r="AT241" s="126">
        <v>0</v>
      </c>
      <c r="AU241" s="126">
        <v>0</v>
      </c>
      <c r="AV241" s="126">
        <v>0</v>
      </c>
      <c r="AW241" s="135">
        <v>451116.54717843124</v>
      </c>
      <c r="AX241" s="136">
        <v>424746.37973346486</v>
      </c>
      <c r="AY241" s="136">
        <v>19063.609385456057</v>
      </c>
      <c r="AZ241" s="126">
        <v>0</v>
      </c>
      <c r="BA241" s="126">
        <v>0</v>
      </c>
      <c r="BB241" s="126">
        <v>0</v>
      </c>
      <c r="BC241" s="126">
        <v>0</v>
      </c>
      <c r="BD241" s="126">
        <v>1278.5964344676265</v>
      </c>
      <c r="BE241" s="126">
        <v>0</v>
      </c>
      <c r="BF241" s="126">
        <v>1675.3600873726484</v>
      </c>
      <c r="BG241" s="126">
        <v>838.81396032346754</v>
      </c>
      <c r="BH241" s="126">
        <v>3513.7875773465516</v>
      </c>
      <c r="BI241" s="137">
        <v>444044.86525011854</v>
      </c>
      <c r="BJ241" s="126">
        <v>3144.9562654528058</v>
      </c>
      <c r="BK241" s="126">
        <v>4475.0875206366927</v>
      </c>
      <c r="BL241" s="126">
        <v>4800.6887386203907</v>
      </c>
      <c r="BM241" s="126">
        <v>4757.6100519356187</v>
      </c>
      <c r="BN241" s="126">
        <v>80023.437633769237</v>
      </c>
      <c r="BO241" s="126">
        <v>45942.027055162005</v>
      </c>
      <c r="BP241" s="126">
        <v>37691.863455113598</v>
      </c>
      <c r="BQ241" s="126">
        <v>204499.46718013173</v>
      </c>
      <c r="BR241" s="126">
        <v>7631.7807338842313</v>
      </c>
      <c r="BS241" s="126">
        <v>8473.6276773587651</v>
      </c>
      <c r="BT241" s="126">
        <v>42274.45262458628</v>
      </c>
      <c r="BU241" s="126">
        <v>0</v>
      </c>
      <c r="BV241" s="126">
        <v>329.86631346714864</v>
      </c>
      <c r="BW241" s="126">
        <v>51031.859994054939</v>
      </c>
      <c r="BX241" s="126">
        <v>181047.7612671176</v>
      </c>
      <c r="BY241" s="126">
        <v>159221.42937366173</v>
      </c>
      <c r="BZ241" s="126">
        <v>30311.614798910254</v>
      </c>
      <c r="CA241" s="137">
        <v>338145.15059370454</v>
      </c>
      <c r="CB241" s="126">
        <v>5465.7120000000004</v>
      </c>
      <c r="CC241" s="126">
        <v>164536.2506950151</v>
      </c>
      <c r="CD241" s="126">
        <v>0</v>
      </c>
      <c r="CE241" s="126">
        <v>167396.34382570154</v>
      </c>
      <c r="CF241" s="126">
        <v>746.84407298789233</v>
      </c>
      <c r="CG241" s="137">
        <v>0</v>
      </c>
      <c r="CH241" s="126">
        <v>0</v>
      </c>
      <c r="CI241" s="126">
        <v>0</v>
      </c>
      <c r="CJ241" s="120"/>
      <c r="CK241" s="138">
        <v>1778195.0851276263</v>
      </c>
      <c r="CL241" s="139">
        <v>49.787630198782232</v>
      </c>
      <c r="CM241" s="140">
        <v>1132084.44</v>
      </c>
      <c r="CN241" s="125">
        <v>4070.6400000000003</v>
      </c>
      <c r="CO241" s="125">
        <v>4070.6400000000003</v>
      </c>
      <c r="CP241" s="125">
        <v>0</v>
      </c>
      <c r="CQ241" s="125">
        <v>15877.800000000001</v>
      </c>
      <c r="CR241" s="125">
        <v>8608.92</v>
      </c>
      <c r="CS241" s="125">
        <v>129012.59999999999</v>
      </c>
      <c r="CT241" s="125">
        <v>126612.08939033322</v>
      </c>
      <c r="CU241" s="141">
        <v>0</v>
      </c>
      <c r="CV241" s="142">
        <v>-519498.55573729309</v>
      </c>
      <c r="CW241" s="143">
        <v>0</v>
      </c>
      <c r="CX241" s="140">
        <v>1037868.24</v>
      </c>
      <c r="CY241" s="140">
        <v>267431.63</v>
      </c>
    </row>
    <row r="242" spans="1:103" ht="12" customHeight="1" x14ac:dyDescent="0.25">
      <c r="A242" s="122">
        <v>237</v>
      </c>
      <c r="B242" s="123" t="s">
        <v>288</v>
      </c>
      <c r="C242" s="124">
        <v>3103.2</v>
      </c>
      <c r="D242" s="125">
        <v>3103.2</v>
      </c>
      <c r="E242" s="125">
        <v>0</v>
      </c>
      <c r="F242" s="125">
        <v>314</v>
      </c>
      <c r="G242" s="124">
        <v>3103.2</v>
      </c>
      <c r="H242" s="124"/>
      <c r="I242" s="126">
        <v>0</v>
      </c>
      <c r="J242" s="126">
        <v>0</v>
      </c>
      <c r="K242" s="127">
        <v>0</v>
      </c>
      <c r="L242" s="127">
        <v>0</v>
      </c>
      <c r="M242" s="127"/>
      <c r="N242" s="127">
        <v>0</v>
      </c>
      <c r="O242" s="128" t="s">
        <v>1488</v>
      </c>
      <c r="P242" s="129" t="s">
        <v>279</v>
      </c>
      <c r="Q242" s="130">
        <v>4.1900000000000004</v>
      </c>
      <c r="R242" s="130">
        <v>2.67</v>
      </c>
      <c r="S242" s="130">
        <v>0</v>
      </c>
      <c r="T242" s="38">
        <v>0.22</v>
      </c>
      <c r="U242" s="131">
        <v>23.45</v>
      </c>
      <c r="V242" s="144">
        <v>0</v>
      </c>
      <c r="W242" s="132">
        <v>0</v>
      </c>
      <c r="X242" s="133">
        <v>35845.51842569439</v>
      </c>
      <c r="Y242" s="134">
        <v>30917.77</v>
      </c>
      <c r="Z242" s="134">
        <v>1628.5548949781078</v>
      </c>
      <c r="AA242" s="134">
        <v>1952.7050654319141</v>
      </c>
      <c r="AB242" s="134">
        <v>1346.4884652843712</v>
      </c>
      <c r="AC242" s="126">
        <v>0</v>
      </c>
      <c r="AD242" s="126">
        <v>0</v>
      </c>
      <c r="AE242" s="126">
        <v>0</v>
      </c>
      <c r="AF242" s="126">
        <v>0</v>
      </c>
      <c r="AG242" s="126">
        <v>0</v>
      </c>
      <c r="AH242" s="126">
        <v>0</v>
      </c>
      <c r="AI242" s="126">
        <v>0</v>
      </c>
      <c r="AJ242" s="126">
        <v>0</v>
      </c>
      <c r="AK242" s="126">
        <v>0</v>
      </c>
      <c r="AL242" s="126">
        <v>0</v>
      </c>
      <c r="AM242" s="126">
        <v>0</v>
      </c>
      <c r="AN242" s="126">
        <v>0</v>
      </c>
      <c r="AO242" s="126">
        <v>0</v>
      </c>
      <c r="AP242" s="126">
        <v>0</v>
      </c>
      <c r="AQ242" s="126">
        <v>0</v>
      </c>
      <c r="AR242" s="126">
        <v>0</v>
      </c>
      <c r="AS242" s="126">
        <v>0</v>
      </c>
      <c r="AT242" s="126">
        <v>0</v>
      </c>
      <c r="AU242" s="126">
        <v>0</v>
      </c>
      <c r="AV242" s="126">
        <v>0</v>
      </c>
      <c r="AW242" s="135">
        <v>577326.88714582124</v>
      </c>
      <c r="AX242" s="136">
        <v>442856.2193289951</v>
      </c>
      <c r="AY242" s="136">
        <v>19876.421276399298</v>
      </c>
      <c r="AZ242" s="126">
        <v>0</v>
      </c>
      <c r="BA242" s="126">
        <v>0</v>
      </c>
      <c r="BB242" s="126">
        <v>0</v>
      </c>
      <c r="BC242" s="126">
        <v>106976.16</v>
      </c>
      <c r="BD242" s="126">
        <v>1333.1117345159892</v>
      </c>
      <c r="BE242" s="126">
        <v>0</v>
      </c>
      <c r="BF242" s="126">
        <v>1746.7921322228281</v>
      </c>
      <c r="BG242" s="126">
        <v>874.57832936054308</v>
      </c>
      <c r="BH242" s="126">
        <v>3663.6043443274602</v>
      </c>
      <c r="BI242" s="137">
        <v>462977.53111049556</v>
      </c>
      <c r="BJ242" s="126">
        <v>3279.0472341340414</v>
      </c>
      <c r="BK242" s="126">
        <v>4665.891070805962</v>
      </c>
      <c r="BL242" s="126">
        <v>5005.3748928827054</v>
      </c>
      <c r="BM242" s="126">
        <v>4960.4594675155768</v>
      </c>
      <c r="BN242" s="126">
        <v>83435.38341736811</v>
      </c>
      <c r="BO242" s="126">
        <v>47900.849496884977</v>
      </c>
      <c r="BP242" s="126">
        <v>39298.925065990836</v>
      </c>
      <c r="BQ242" s="126">
        <v>213218.67639464597</v>
      </c>
      <c r="BR242" s="126">
        <v>7957.1756789939009</v>
      </c>
      <c r="BS242" s="126">
        <v>8834.9163082954419</v>
      </c>
      <c r="BT242" s="126">
        <v>44076.901315262621</v>
      </c>
      <c r="BU242" s="126">
        <v>0</v>
      </c>
      <c r="BV242" s="126">
        <v>343.93076771537</v>
      </c>
      <c r="BW242" s="126">
        <v>53207.696782431638</v>
      </c>
      <c r="BX242" s="126">
        <v>188767.06406078665</v>
      </c>
      <c r="BY242" s="126">
        <v>166010.12654381181</v>
      </c>
      <c r="BZ242" s="126">
        <v>0</v>
      </c>
      <c r="CA242" s="137">
        <v>0</v>
      </c>
      <c r="CB242" s="126">
        <v>0</v>
      </c>
      <c r="CC242" s="126">
        <v>0</v>
      </c>
      <c r="CD242" s="126">
        <v>0</v>
      </c>
      <c r="CE242" s="126">
        <v>0</v>
      </c>
      <c r="CF242" s="126">
        <v>0</v>
      </c>
      <c r="CG242" s="137">
        <v>46814.820722409371</v>
      </c>
      <c r="CH242" s="126">
        <v>11660.003999999999</v>
      </c>
      <c r="CI242" s="126">
        <v>35154.81672240937</v>
      </c>
      <c r="CJ242" s="120"/>
      <c r="CK242" s="138">
        <v>1530949.6447914506</v>
      </c>
      <c r="CL242" s="139">
        <v>41.112122024347194</v>
      </c>
      <c r="CM242" s="140">
        <v>873242.04</v>
      </c>
      <c r="CN242" s="125">
        <v>1959.6000000000001</v>
      </c>
      <c r="CO242" s="125">
        <v>1959.6000000000001</v>
      </c>
      <c r="CP242" s="125">
        <v>0</v>
      </c>
      <c r="CQ242" s="125">
        <v>7643.76</v>
      </c>
      <c r="CR242" s="125">
        <v>4144.32</v>
      </c>
      <c r="CS242" s="125">
        <v>12121.56</v>
      </c>
      <c r="CT242" s="125">
        <v>0</v>
      </c>
      <c r="CU242" s="141">
        <v>0</v>
      </c>
      <c r="CV242" s="142">
        <v>-657707.60479145055</v>
      </c>
      <c r="CW242" s="143">
        <v>0</v>
      </c>
      <c r="CX242" s="140">
        <v>839787.67999999993</v>
      </c>
      <c r="CY242" s="140">
        <v>123283.42</v>
      </c>
    </row>
    <row r="243" spans="1:103" ht="12" customHeight="1" x14ac:dyDescent="0.25">
      <c r="A243" s="122">
        <v>238</v>
      </c>
      <c r="B243" s="154" t="s">
        <v>289</v>
      </c>
      <c r="C243" s="124">
        <v>358.6</v>
      </c>
      <c r="D243" s="125">
        <v>358.6</v>
      </c>
      <c r="E243" s="125">
        <v>0</v>
      </c>
      <c r="F243" s="125">
        <v>0</v>
      </c>
      <c r="G243" s="124">
        <v>358.6</v>
      </c>
      <c r="H243" s="124"/>
      <c r="I243" s="126">
        <v>0</v>
      </c>
      <c r="J243" s="126">
        <v>0</v>
      </c>
      <c r="K243" s="127">
        <v>0</v>
      </c>
      <c r="L243" s="127">
        <v>0</v>
      </c>
      <c r="M243" s="127"/>
      <c r="N243" s="127"/>
      <c r="O243" s="128" t="s">
        <v>1488</v>
      </c>
      <c r="P243" s="155" t="s">
        <v>279</v>
      </c>
      <c r="Q243" s="130">
        <v>4</v>
      </c>
      <c r="R243" s="130">
        <v>2.0499999999999998</v>
      </c>
      <c r="S243" s="130">
        <v>0</v>
      </c>
      <c r="T243" s="38">
        <v>0.22</v>
      </c>
      <c r="U243" s="131">
        <v>19.37</v>
      </c>
      <c r="V243" s="144">
        <v>0</v>
      </c>
      <c r="W243" s="132">
        <v>0</v>
      </c>
      <c r="X243" s="133">
        <v>6039.3514106258081</v>
      </c>
      <c r="Y243" s="134">
        <v>5469.91</v>
      </c>
      <c r="Z243" s="134">
        <v>188.19276403040394</v>
      </c>
      <c r="AA243" s="134">
        <v>225.65095271457994</v>
      </c>
      <c r="AB243" s="134">
        <v>155.59769388082481</v>
      </c>
      <c r="AC243" s="126">
        <v>0</v>
      </c>
      <c r="AD243" s="126">
        <v>0</v>
      </c>
      <c r="AE243" s="126">
        <v>0</v>
      </c>
      <c r="AF243" s="126">
        <v>0</v>
      </c>
      <c r="AG243" s="126">
        <v>0</v>
      </c>
      <c r="AH243" s="126">
        <v>0</v>
      </c>
      <c r="AI243" s="126">
        <v>0</v>
      </c>
      <c r="AJ243" s="126">
        <v>0</v>
      </c>
      <c r="AK243" s="126">
        <v>0</v>
      </c>
      <c r="AL243" s="126">
        <v>0</v>
      </c>
      <c r="AM243" s="126">
        <v>0</v>
      </c>
      <c r="AN243" s="126">
        <v>0</v>
      </c>
      <c r="AO243" s="126">
        <v>0</v>
      </c>
      <c r="AP243" s="126">
        <v>0</v>
      </c>
      <c r="AQ243" s="126">
        <v>0</v>
      </c>
      <c r="AR243" s="126">
        <v>0</v>
      </c>
      <c r="AS243" s="126">
        <v>0</v>
      </c>
      <c r="AT243" s="126">
        <v>0</v>
      </c>
      <c r="AU243" s="126">
        <v>0</v>
      </c>
      <c r="AV243" s="126">
        <v>0</v>
      </c>
      <c r="AW243" s="135">
        <v>54352.852137951646</v>
      </c>
      <c r="AX243" s="136">
        <v>51175.638132050037</v>
      </c>
      <c r="AY243" s="136">
        <v>2296.8821441469418</v>
      </c>
      <c r="AZ243" s="126">
        <v>0</v>
      </c>
      <c r="BA243" s="126">
        <v>0</v>
      </c>
      <c r="BB243" s="126">
        <v>0</v>
      </c>
      <c r="BC243" s="126">
        <v>0</v>
      </c>
      <c r="BD243" s="126">
        <v>154.05190384036922</v>
      </c>
      <c r="BE243" s="126">
        <v>0</v>
      </c>
      <c r="BF243" s="126">
        <v>201.8560384812794</v>
      </c>
      <c r="BG243" s="126">
        <v>101.06463937506147</v>
      </c>
      <c r="BH243" s="126">
        <v>423.35928005794904</v>
      </c>
      <c r="BI243" s="137">
        <v>53500.819365888012</v>
      </c>
      <c r="BJ243" s="126">
        <v>378.92057816462597</v>
      </c>
      <c r="BK243" s="126">
        <v>539.18166344129224</v>
      </c>
      <c r="BL243" s="126">
        <v>578.4117802873609</v>
      </c>
      <c r="BM243" s="126">
        <v>573.22143756479966</v>
      </c>
      <c r="BN243" s="126">
        <v>9641.6371788696197</v>
      </c>
      <c r="BO243" s="126">
        <v>5535.3327628199777</v>
      </c>
      <c r="BP243" s="126">
        <v>4541.3104307374051</v>
      </c>
      <c r="BQ243" s="126">
        <v>24639.152279943301</v>
      </c>
      <c r="BR243" s="126">
        <v>919.5163697110122</v>
      </c>
      <c r="BS243" s="126">
        <v>1020.9464385649477</v>
      </c>
      <c r="BT243" s="126">
        <v>5093.4444481996579</v>
      </c>
      <c r="BU243" s="126">
        <v>0</v>
      </c>
      <c r="BV243" s="126">
        <v>39.743997584020271</v>
      </c>
      <c r="BW243" s="126">
        <v>6148.5821301172946</v>
      </c>
      <c r="BX243" s="126">
        <v>21813.569596609341</v>
      </c>
      <c r="BY243" s="126">
        <v>19183.820372071063</v>
      </c>
      <c r="BZ243" s="126">
        <v>0</v>
      </c>
      <c r="CA243" s="137">
        <v>0</v>
      </c>
      <c r="CB243" s="126">
        <v>0</v>
      </c>
      <c r="CC243" s="126">
        <v>0</v>
      </c>
      <c r="CD243" s="126">
        <v>0</v>
      </c>
      <c r="CE243" s="126">
        <v>0</v>
      </c>
      <c r="CF243" s="126">
        <v>0</v>
      </c>
      <c r="CG243" s="137">
        <v>5412.4250053673641</v>
      </c>
      <c r="CH243" s="126">
        <v>1350</v>
      </c>
      <c r="CI243" s="126">
        <v>4062.4250053673636</v>
      </c>
      <c r="CJ243" s="120"/>
      <c r="CK243" s="138">
        <v>166451.42001863054</v>
      </c>
      <c r="CL243" s="139">
        <v>38.68084681600449</v>
      </c>
      <c r="CM243" s="140">
        <v>83352.959999999992</v>
      </c>
      <c r="CN243" s="125">
        <v>0</v>
      </c>
      <c r="CO243" s="125">
        <v>0</v>
      </c>
      <c r="CP243" s="125">
        <v>0</v>
      </c>
      <c r="CQ243" s="125">
        <v>0</v>
      </c>
      <c r="CR243" s="125">
        <v>0</v>
      </c>
      <c r="CS243" s="125">
        <v>0</v>
      </c>
      <c r="CT243" s="125">
        <v>0</v>
      </c>
      <c r="CU243" s="141">
        <v>0</v>
      </c>
      <c r="CV243" s="142">
        <v>-83098.460018630547</v>
      </c>
      <c r="CW243" s="143">
        <v>0</v>
      </c>
      <c r="CX243" s="140">
        <v>20915.019999999997</v>
      </c>
      <c r="CY243" s="140">
        <v>148915.84</v>
      </c>
    </row>
    <row r="244" spans="1:103" ht="12" customHeight="1" x14ac:dyDescent="0.25">
      <c r="A244" s="122">
        <v>239</v>
      </c>
      <c r="B244" s="154" t="s">
        <v>290</v>
      </c>
      <c r="C244" s="124">
        <v>499.5</v>
      </c>
      <c r="D244" s="125">
        <v>499.5</v>
      </c>
      <c r="E244" s="125">
        <v>0</v>
      </c>
      <c r="F244" s="125">
        <v>60</v>
      </c>
      <c r="G244" s="124">
        <v>499.5</v>
      </c>
      <c r="H244" s="124"/>
      <c r="I244" s="126">
        <v>0</v>
      </c>
      <c r="J244" s="126">
        <v>0</v>
      </c>
      <c r="K244" s="127">
        <v>0</v>
      </c>
      <c r="L244" s="127">
        <v>0</v>
      </c>
      <c r="M244" s="127"/>
      <c r="N244" s="127"/>
      <c r="O244" s="128" t="s">
        <v>1488</v>
      </c>
      <c r="P244" s="155" t="s">
        <v>66</v>
      </c>
      <c r="Q244" s="130">
        <v>4</v>
      </c>
      <c r="R244" s="130">
        <v>2.0499999999999998</v>
      </c>
      <c r="S244" s="130">
        <v>0</v>
      </c>
      <c r="T244" s="38">
        <v>0.22</v>
      </c>
      <c r="U244" s="131">
        <v>15</v>
      </c>
      <c r="V244" s="144">
        <v>0</v>
      </c>
      <c r="W244" s="132">
        <v>0</v>
      </c>
      <c r="X244" s="133">
        <v>3349.837682583393</v>
      </c>
      <c r="Y244" s="134">
        <v>0</v>
      </c>
      <c r="Z244" s="134">
        <v>0</v>
      </c>
      <c r="AA244" s="134">
        <v>314.31302532329244</v>
      </c>
      <c r="AB244" s="134">
        <v>216.73465726010036</v>
      </c>
      <c r="AC244" s="126">
        <v>0</v>
      </c>
      <c r="AD244" s="126">
        <v>0</v>
      </c>
      <c r="AE244" s="126">
        <v>0</v>
      </c>
      <c r="AF244" s="126">
        <v>0</v>
      </c>
      <c r="AG244" s="126">
        <v>0</v>
      </c>
      <c r="AH244" s="126">
        <v>0</v>
      </c>
      <c r="AI244" s="126">
        <v>0</v>
      </c>
      <c r="AJ244" s="126">
        <v>0</v>
      </c>
      <c r="AK244" s="126">
        <v>2818.79</v>
      </c>
      <c r="AL244" s="126">
        <v>0</v>
      </c>
      <c r="AM244" s="126">
        <v>0</v>
      </c>
      <c r="AN244" s="126">
        <v>0</v>
      </c>
      <c r="AO244" s="126">
        <v>0</v>
      </c>
      <c r="AP244" s="126">
        <v>0</v>
      </c>
      <c r="AQ244" s="126">
        <v>0</v>
      </c>
      <c r="AR244" s="126">
        <v>0</v>
      </c>
      <c r="AS244" s="126">
        <v>0</v>
      </c>
      <c r="AT244" s="126">
        <v>0</v>
      </c>
      <c r="AU244" s="126">
        <v>0</v>
      </c>
      <c r="AV244" s="126">
        <v>0</v>
      </c>
      <c r="AW244" s="135">
        <v>340498.10594828316</v>
      </c>
      <c r="AX244" s="136">
        <v>336072.51086755848</v>
      </c>
      <c r="AY244" s="136">
        <v>3199.3659537127646</v>
      </c>
      <c r="AZ244" s="126">
        <v>0</v>
      </c>
      <c r="BA244" s="126">
        <v>0</v>
      </c>
      <c r="BB244" s="126">
        <v>0</v>
      </c>
      <c r="BC244" s="126">
        <v>0</v>
      </c>
      <c r="BD244" s="126">
        <v>214.5815001903637</v>
      </c>
      <c r="BE244" s="126">
        <v>0</v>
      </c>
      <c r="BF244" s="126">
        <v>281.16868717623828</v>
      </c>
      <c r="BG244" s="126">
        <v>140.77464408210599</v>
      </c>
      <c r="BH244" s="126">
        <v>589.7042955631498</v>
      </c>
      <c r="BI244" s="137">
        <v>74522.195407866893</v>
      </c>
      <c r="BJ244" s="126">
        <v>527.80487672401193</v>
      </c>
      <c r="BK244" s="126">
        <v>751.03525066627299</v>
      </c>
      <c r="BL244" s="126">
        <v>805.67954337294134</v>
      </c>
      <c r="BM244" s="126">
        <v>798.44982728281479</v>
      </c>
      <c r="BN244" s="126">
        <v>13429.999360974274</v>
      </c>
      <c r="BO244" s="126">
        <v>7710.2585472074134</v>
      </c>
      <c r="BP244" s="126">
        <v>6325.6680428146501</v>
      </c>
      <c r="BQ244" s="126">
        <v>34320.291589045395</v>
      </c>
      <c r="BR244" s="126">
        <v>1280.8098903252944</v>
      </c>
      <c r="BS244" s="126">
        <v>1422.0935473039356</v>
      </c>
      <c r="BT244" s="126">
        <v>7094.7448462792227</v>
      </c>
      <c r="BU244" s="126">
        <v>0</v>
      </c>
      <c r="BV244" s="126">
        <v>55.360085870658459</v>
      </c>
      <c r="BW244" s="126">
        <v>8564.463954248713</v>
      </c>
      <c r="BX244" s="126">
        <v>30384.489719761194</v>
      </c>
      <c r="BY244" s="126">
        <v>26721.467584633283</v>
      </c>
      <c r="BZ244" s="126">
        <v>0</v>
      </c>
      <c r="CA244" s="137">
        <v>0</v>
      </c>
      <c r="CB244" s="126">
        <v>0</v>
      </c>
      <c r="CC244" s="126">
        <v>0</v>
      </c>
      <c r="CD244" s="126">
        <v>0</v>
      </c>
      <c r="CE244" s="126">
        <v>0</v>
      </c>
      <c r="CF244" s="126">
        <v>0</v>
      </c>
      <c r="CG244" s="137">
        <v>7008.6204411070776</v>
      </c>
      <c r="CH244" s="126">
        <v>1350</v>
      </c>
      <c r="CI244" s="126">
        <v>5658.6204411070776</v>
      </c>
      <c r="CJ244" s="120"/>
      <c r="CK244" s="138">
        <v>491049.18073848367</v>
      </c>
      <c r="CL244" s="139">
        <v>81.923453576657266</v>
      </c>
      <c r="CM244" s="140">
        <v>89910</v>
      </c>
      <c r="CN244" s="125">
        <v>0</v>
      </c>
      <c r="CO244" s="125">
        <v>0</v>
      </c>
      <c r="CP244" s="125">
        <v>0</v>
      </c>
      <c r="CQ244" s="125">
        <v>0</v>
      </c>
      <c r="CR244" s="125">
        <v>0</v>
      </c>
      <c r="CS244" s="125">
        <v>0</v>
      </c>
      <c r="CT244" s="125">
        <v>0</v>
      </c>
      <c r="CU244" s="141">
        <v>0</v>
      </c>
      <c r="CV244" s="142">
        <v>-401139.18073848367</v>
      </c>
      <c r="CW244" s="143">
        <v>0</v>
      </c>
      <c r="CX244" s="140">
        <v>91786.48000000001</v>
      </c>
      <c r="CY244" s="140">
        <v>6874.13</v>
      </c>
    </row>
    <row r="245" spans="1:103" ht="12" customHeight="1" x14ac:dyDescent="0.25">
      <c r="A245" s="122">
        <v>240</v>
      </c>
      <c r="B245" s="154" t="s">
        <v>291</v>
      </c>
      <c r="C245" s="124">
        <v>265.5</v>
      </c>
      <c r="D245" s="125">
        <v>265.5</v>
      </c>
      <c r="E245" s="125">
        <v>0</v>
      </c>
      <c r="F245" s="125">
        <v>39.299999999999997</v>
      </c>
      <c r="G245" s="124">
        <v>265.5</v>
      </c>
      <c r="H245" s="124"/>
      <c r="I245" s="126">
        <v>0</v>
      </c>
      <c r="J245" s="126">
        <v>0</v>
      </c>
      <c r="K245" s="127">
        <v>0</v>
      </c>
      <c r="L245" s="127">
        <v>0</v>
      </c>
      <c r="M245" s="127"/>
      <c r="N245" s="127"/>
      <c r="O245" s="128" t="s">
        <v>1488</v>
      </c>
      <c r="P245" s="155" t="s">
        <v>66</v>
      </c>
      <c r="Q245" s="130">
        <v>4.17</v>
      </c>
      <c r="R245" s="130">
        <v>2.67</v>
      </c>
      <c r="S245" s="130">
        <v>0</v>
      </c>
      <c r="T245" s="38">
        <v>0</v>
      </c>
      <c r="U245" s="131">
        <v>19.940000000000001</v>
      </c>
      <c r="V245" s="144">
        <v>0</v>
      </c>
      <c r="W245" s="132">
        <v>0</v>
      </c>
      <c r="X245" s="133">
        <v>282.2685880398214</v>
      </c>
      <c r="Y245" s="134">
        <v>0</v>
      </c>
      <c r="Z245" s="134">
        <v>0</v>
      </c>
      <c r="AA245" s="134">
        <v>167.06728373039869</v>
      </c>
      <c r="AB245" s="134">
        <v>115.20130430942271</v>
      </c>
      <c r="AC245" s="126">
        <v>0</v>
      </c>
      <c r="AD245" s="126">
        <v>0</v>
      </c>
      <c r="AE245" s="126">
        <v>0</v>
      </c>
      <c r="AF245" s="126">
        <v>0</v>
      </c>
      <c r="AG245" s="126">
        <v>0</v>
      </c>
      <c r="AH245" s="126">
        <v>0</v>
      </c>
      <c r="AI245" s="126">
        <v>0</v>
      </c>
      <c r="AJ245" s="126">
        <v>0</v>
      </c>
      <c r="AK245" s="126">
        <v>0</v>
      </c>
      <c r="AL245" s="126">
        <v>0</v>
      </c>
      <c r="AM245" s="126">
        <v>0</v>
      </c>
      <c r="AN245" s="126">
        <v>0</v>
      </c>
      <c r="AO245" s="126">
        <v>0</v>
      </c>
      <c r="AP245" s="126">
        <v>0</v>
      </c>
      <c r="AQ245" s="126">
        <v>0</v>
      </c>
      <c r="AR245" s="126">
        <v>0</v>
      </c>
      <c r="AS245" s="126">
        <v>0</v>
      </c>
      <c r="AT245" s="126">
        <v>0</v>
      </c>
      <c r="AU245" s="126">
        <v>0</v>
      </c>
      <c r="AV245" s="126">
        <v>0</v>
      </c>
      <c r="AW245" s="135">
        <v>180985.47973827663</v>
      </c>
      <c r="AX245" s="136">
        <v>178633.13640708063</v>
      </c>
      <c r="AY245" s="136">
        <v>1700.5638853067849</v>
      </c>
      <c r="AZ245" s="126">
        <v>0</v>
      </c>
      <c r="BA245" s="126">
        <v>0</v>
      </c>
      <c r="BB245" s="126">
        <v>0</v>
      </c>
      <c r="BC245" s="126">
        <v>0</v>
      </c>
      <c r="BD245" s="126">
        <v>114.05683343451764</v>
      </c>
      <c r="BE245" s="126">
        <v>0</v>
      </c>
      <c r="BF245" s="126">
        <v>149.45002291349601</v>
      </c>
      <c r="BG245" s="126">
        <v>74.826162169768054</v>
      </c>
      <c r="BH245" s="126">
        <v>313.44642737140396</v>
      </c>
      <c r="BI245" s="137">
        <v>39610.89665823555</v>
      </c>
      <c r="BJ245" s="126">
        <v>280.54493447492524</v>
      </c>
      <c r="BK245" s="126">
        <v>399.19891702081173</v>
      </c>
      <c r="BL245" s="126">
        <v>428.24408161264449</v>
      </c>
      <c r="BM245" s="126">
        <v>424.40125954672141</v>
      </c>
      <c r="BN245" s="126">
        <v>7138.4681288061465</v>
      </c>
      <c r="BO245" s="126">
        <v>4098.2455341012383</v>
      </c>
      <c r="BP245" s="126">
        <v>3362.2920227573363</v>
      </c>
      <c r="BQ245" s="126">
        <v>18242.317150934039</v>
      </c>
      <c r="BR245" s="126">
        <v>680.79084260533671</v>
      </c>
      <c r="BS245" s="126">
        <v>755.88756117956939</v>
      </c>
      <c r="BT245" s="126">
        <v>3771.080593968235</v>
      </c>
      <c r="BU245" s="126">
        <v>0</v>
      </c>
      <c r="BV245" s="126">
        <v>29.425631228548191</v>
      </c>
      <c r="BW245" s="126">
        <v>4552.2826423484148</v>
      </c>
      <c r="BX245" s="126">
        <v>16150.314355548744</v>
      </c>
      <c r="BY245" s="126">
        <v>14203.302590030304</v>
      </c>
      <c r="BZ245" s="126">
        <v>0</v>
      </c>
      <c r="CA245" s="137">
        <v>0</v>
      </c>
      <c r="CB245" s="126">
        <v>0</v>
      </c>
      <c r="CC245" s="126">
        <v>0</v>
      </c>
      <c r="CD245" s="126">
        <v>0</v>
      </c>
      <c r="CE245" s="126">
        <v>0</v>
      </c>
      <c r="CF245" s="126">
        <v>0</v>
      </c>
      <c r="CG245" s="137">
        <v>0</v>
      </c>
      <c r="CH245" s="126">
        <v>0</v>
      </c>
      <c r="CI245" s="126">
        <v>0</v>
      </c>
      <c r="CJ245" s="120"/>
      <c r="CK245" s="138">
        <v>255784.54457247944</v>
      </c>
      <c r="CL245" s="139">
        <v>80.283912295191286</v>
      </c>
      <c r="CM245" s="140">
        <v>64119.510000000009</v>
      </c>
      <c r="CN245" s="125">
        <v>0</v>
      </c>
      <c r="CO245" s="125">
        <v>0</v>
      </c>
      <c r="CP245" s="125">
        <v>0</v>
      </c>
      <c r="CQ245" s="125">
        <v>0</v>
      </c>
      <c r="CR245" s="125">
        <v>0</v>
      </c>
      <c r="CS245" s="125">
        <v>0</v>
      </c>
      <c r="CT245" s="125">
        <v>0</v>
      </c>
      <c r="CU245" s="141">
        <v>0</v>
      </c>
      <c r="CV245" s="142">
        <v>-191665.03457247943</v>
      </c>
      <c r="CW245" s="143">
        <v>0</v>
      </c>
      <c r="CX245" s="140">
        <v>58794.59</v>
      </c>
      <c r="CY245" s="140">
        <v>68620.78</v>
      </c>
    </row>
    <row r="246" spans="1:103" ht="12" customHeight="1" x14ac:dyDescent="0.25">
      <c r="A246" s="122">
        <v>241</v>
      </c>
      <c r="B246" s="154" t="s">
        <v>292</v>
      </c>
      <c r="C246" s="124">
        <v>175.5</v>
      </c>
      <c r="D246" s="125">
        <v>175.5</v>
      </c>
      <c r="E246" s="125">
        <v>0</v>
      </c>
      <c r="F246" s="125">
        <v>39.799999999999997</v>
      </c>
      <c r="G246" s="124">
        <v>175.5</v>
      </c>
      <c r="H246" s="124"/>
      <c r="I246" s="126">
        <v>0</v>
      </c>
      <c r="J246" s="126">
        <v>0</v>
      </c>
      <c r="K246" s="127">
        <v>0</v>
      </c>
      <c r="L246" s="127">
        <v>0</v>
      </c>
      <c r="M246" s="127"/>
      <c r="N246" s="127"/>
      <c r="O246" s="128" t="s">
        <v>1488</v>
      </c>
      <c r="P246" s="155" t="s">
        <v>66</v>
      </c>
      <c r="Q246" s="130">
        <v>4.17</v>
      </c>
      <c r="R246" s="130">
        <v>2.67</v>
      </c>
      <c r="S246" s="130">
        <v>0</v>
      </c>
      <c r="T246" s="38">
        <v>0</v>
      </c>
      <c r="U246" s="131">
        <v>19.940000000000001</v>
      </c>
      <c r="V246" s="144">
        <v>0</v>
      </c>
      <c r="W246" s="132">
        <v>0</v>
      </c>
      <c r="X246" s="133">
        <v>3766.0043209076784</v>
      </c>
      <c r="Y246" s="134">
        <v>0</v>
      </c>
      <c r="Z246" s="134">
        <v>0</v>
      </c>
      <c r="AA246" s="134">
        <v>110.43430619467031</v>
      </c>
      <c r="AB246" s="134">
        <v>76.150014713008233</v>
      </c>
      <c r="AC246" s="126">
        <v>0</v>
      </c>
      <c r="AD246" s="126">
        <v>0</v>
      </c>
      <c r="AE246" s="126">
        <v>0</v>
      </c>
      <c r="AF246" s="126">
        <v>0</v>
      </c>
      <c r="AG246" s="126">
        <v>0</v>
      </c>
      <c r="AH246" s="126">
        <v>0</v>
      </c>
      <c r="AI246" s="126">
        <v>0</v>
      </c>
      <c r="AJ246" s="126">
        <v>0</v>
      </c>
      <c r="AK246" s="126">
        <v>3579.42</v>
      </c>
      <c r="AL246" s="126">
        <v>0</v>
      </c>
      <c r="AM246" s="126">
        <v>0</v>
      </c>
      <c r="AN246" s="126">
        <v>0</v>
      </c>
      <c r="AO246" s="126">
        <v>0</v>
      </c>
      <c r="AP246" s="126">
        <v>0</v>
      </c>
      <c r="AQ246" s="126">
        <v>0</v>
      </c>
      <c r="AR246" s="126">
        <v>0</v>
      </c>
      <c r="AS246" s="126">
        <v>0</v>
      </c>
      <c r="AT246" s="126">
        <v>0</v>
      </c>
      <c r="AU246" s="126">
        <v>0</v>
      </c>
      <c r="AV246" s="126">
        <v>0</v>
      </c>
      <c r="AW246" s="135">
        <v>119634.46965750487</v>
      </c>
      <c r="AX246" s="136">
        <v>118079.53084535839</v>
      </c>
      <c r="AY246" s="136">
        <v>1124.1015513044849</v>
      </c>
      <c r="AZ246" s="126">
        <v>0</v>
      </c>
      <c r="BA246" s="126">
        <v>0</v>
      </c>
      <c r="BB246" s="126">
        <v>0</v>
      </c>
      <c r="BC246" s="126">
        <v>0</v>
      </c>
      <c r="BD246" s="126">
        <v>75.393500066884542</v>
      </c>
      <c r="BE246" s="126">
        <v>0</v>
      </c>
      <c r="BF246" s="126">
        <v>98.788998197056699</v>
      </c>
      <c r="BG246" s="126">
        <v>49.461361434253455</v>
      </c>
      <c r="BH246" s="126">
        <v>207.19340114380938</v>
      </c>
      <c r="BI246" s="137">
        <v>26183.4740622235</v>
      </c>
      <c r="BJ246" s="126">
        <v>185.44495668681498</v>
      </c>
      <c r="BK246" s="126">
        <v>263.87725023409592</v>
      </c>
      <c r="BL246" s="126">
        <v>283.07659632022262</v>
      </c>
      <c r="BM246" s="126">
        <v>280.53642580207008</v>
      </c>
      <c r="BN246" s="126">
        <v>4718.6484241260969</v>
      </c>
      <c r="BO246" s="126">
        <v>2709.009759829632</v>
      </c>
      <c r="BP246" s="126">
        <v>2222.5320150429852</v>
      </c>
      <c r="BQ246" s="126">
        <v>12058.480828583517</v>
      </c>
      <c r="BR246" s="126">
        <v>450.01428578996831</v>
      </c>
      <c r="BS246" s="126">
        <v>499.65448959327466</v>
      </c>
      <c r="BT246" s="126">
        <v>2492.7481892332403</v>
      </c>
      <c r="BU246" s="126">
        <v>0</v>
      </c>
      <c r="BV246" s="126">
        <v>19.450840981582701</v>
      </c>
      <c r="BW246" s="126">
        <v>3009.1359839252232</v>
      </c>
      <c r="BX246" s="126">
        <v>10675.631523159338</v>
      </c>
      <c r="BY246" s="126">
        <v>9388.6237459522345</v>
      </c>
      <c r="BZ246" s="126">
        <v>0</v>
      </c>
      <c r="CA246" s="137">
        <v>0</v>
      </c>
      <c r="CB246" s="126">
        <v>0</v>
      </c>
      <c r="CC246" s="126">
        <v>0</v>
      </c>
      <c r="CD246" s="126">
        <v>0</v>
      </c>
      <c r="CE246" s="126">
        <v>0</v>
      </c>
      <c r="CF246" s="126">
        <v>0</v>
      </c>
      <c r="CG246" s="137">
        <v>0</v>
      </c>
      <c r="CH246" s="126">
        <v>0</v>
      </c>
      <c r="CI246" s="126">
        <v>0</v>
      </c>
      <c r="CJ246" s="120"/>
      <c r="CK246" s="138">
        <v>172657.33929367285</v>
      </c>
      <c r="CL246" s="139">
        <v>81.983541924820912</v>
      </c>
      <c r="CM246" s="140">
        <v>42017.8</v>
      </c>
      <c r="CN246" s="125">
        <v>0</v>
      </c>
      <c r="CO246" s="125">
        <v>0</v>
      </c>
      <c r="CP246" s="125">
        <v>0</v>
      </c>
      <c r="CQ246" s="125">
        <v>0</v>
      </c>
      <c r="CR246" s="125">
        <v>0</v>
      </c>
      <c r="CS246" s="125">
        <v>0</v>
      </c>
      <c r="CT246" s="125">
        <v>0</v>
      </c>
      <c r="CU246" s="141">
        <v>0</v>
      </c>
      <c r="CV246" s="142">
        <v>-130639.53929367285</v>
      </c>
      <c r="CW246" s="143">
        <v>0</v>
      </c>
      <c r="CX246" s="140">
        <v>15275.649999999998</v>
      </c>
      <c r="CY246" s="140">
        <v>79069.13</v>
      </c>
    </row>
    <row r="247" spans="1:103" ht="12" customHeight="1" x14ac:dyDescent="0.25">
      <c r="A247" s="122">
        <v>242</v>
      </c>
      <c r="B247" s="154" t="s">
        <v>320</v>
      </c>
      <c r="C247" s="124">
        <v>9973.7999999999993</v>
      </c>
      <c r="D247" s="125">
        <v>8448.7999999999993</v>
      </c>
      <c r="E247" s="125">
        <v>1525</v>
      </c>
      <c r="F247" s="125">
        <v>3194.06</v>
      </c>
      <c r="G247" s="149">
        <v>831.15</v>
      </c>
      <c r="H247" s="124">
        <v>831.15</v>
      </c>
      <c r="I247" s="126">
        <v>0</v>
      </c>
      <c r="J247" s="126">
        <v>3</v>
      </c>
      <c r="K247" s="127">
        <v>5.9880244999024413E-3</v>
      </c>
      <c r="L247" s="127"/>
      <c r="M247" s="127">
        <v>2.0134228187919462E-2</v>
      </c>
      <c r="N247" s="127"/>
      <c r="O247" s="128" t="s">
        <v>1495</v>
      </c>
      <c r="P247" s="155" t="s">
        <v>321</v>
      </c>
      <c r="Q247" s="130">
        <v>4.79</v>
      </c>
      <c r="R247" s="130">
        <v>3.43</v>
      </c>
      <c r="S247" s="130">
        <v>4.66</v>
      </c>
      <c r="T247" s="38">
        <v>0</v>
      </c>
      <c r="U247" s="131">
        <v>41.47</v>
      </c>
      <c r="V247" s="157">
        <v>0</v>
      </c>
      <c r="W247" s="132">
        <v>0</v>
      </c>
      <c r="X247" s="133">
        <v>5802.4276590455665</v>
      </c>
      <c r="Y247" s="134">
        <v>0</v>
      </c>
      <c r="Z247" s="134">
        <v>4918.7834520802271</v>
      </c>
      <c r="AA247" s="134">
        <v>523.0055475424515</v>
      </c>
      <c r="AB247" s="134">
        <v>360.63865942288771</v>
      </c>
      <c r="AC247" s="126">
        <v>0</v>
      </c>
      <c r="AD247" s="126">
        <v>0</v>
      </c>
      <c r="AE247" s="126">
        <v>0</v>
      </c>
      <c r="AF247" s="126">
        <v>0</v>
      </c>
      <c r="AG247" s="126">
        <v>0</v>
      </c>
      <c r="AH247" s="126">
        <v>0</v>
      </c>
      <c r="AI247" s="126">
        <v>0</v>
      </c>
      <c r="AJ247" s="126">
        <v>0</v>
      </c>
      <c r="AK247" s="126">
        <v>0</v>
      </c>
      <c r="AL247" s="126">
        <v>0</v>
      </c>
      <c r="AM247" s="126">
        <v>0</v>
      </c>
      <c r="AN247" s="126">
        <v>0</v>
      </c>
      <c r="AO247" s="126">
        <v>0</v>
      </c>
      <c r="AP247" s="126">
        <v>0</v>
      </c>
      <c r="AQ247" s="126">
        <v>0</v>
      </c>
      <c r="AR247" s="126">
        <v>0</v>
      </c>
      <c r="AS247" s="126">
        <v>0</v>
      </c>
      <c r="AT247" s="126">
        <v>0</v>
      </c>
      <c r="AU247" s="126">
        <v>0</v>
      </c>
      <c r="AV247" s="126">
        <v>0</v>
      </c>
      <c r="AW247" s="135">
        <v>49473.487116699027</v>
      </c>
      <c r="AX247" s="136">
        <v>35968.041462187786</v>
      </c>
      <c r="AY247" s="136">
        <v>5323.62965451124</v>
      </c>
      <c r="AZ247" s="126">
        <v>8181.8159999999998</v>
      </c>
      <c r="BA247" s="126">
        <v>0</v>
      </c>
      <c r="BB247" s="126">
        <v>0</v>
      </c>
      <c r="BC247" s="126">
        <v>0</v>
      </c>
      <c r="BD247" s="126">
        <v>0</v>
      </c>
      <c r="BE247" s="126">
        <v>0</v>
      </c>
      <c r="BF247" s="126">
        <v>0</v>
      </c>
      <c r="BG247" s="126">
        <v>0</v>
      </c>
      <c r="BH247" s="126">
        <v>0</v>
      </c>
      <c r="BI247" s="137">
        <v>108648.19510123252</v>
      </c>
      <c r="BJ247" s="126">
        <v>0</v>
      </c>
      <c r="BK247" s="126">
        <v>0</v>
      </c>
      <c r="BL247" s="126">
        <v>1340.6217266755159</v>
      </c>
      <c r="BM247" s="126">
        <v>0</v>
      </c>
      <c r="BN247" s="126">
        <v>22347.034972720256</v>
      </c>
      <c r="BO247" s="126">
        <v>12829.592375398282</v>
      </c>
      <c r="BP247" s="126">
        <v>10525.683671242035</v>
      </c>
      <c r="BQ247" s="126">
        <v>57107.728436907062</v>
      </c>
      <c r="BR247" s="126">
        <v>2131.2215021899269</v>
      </c>
      <c r="BS247" s="126">
        <v>2366.3124160994316</v>
      </c>
      <c r="BT247" s="126">
        <v>0</v>
      </c>
      <c r="BU247" s="126">
        <v>0</v>
      </c>
      <c r="BV247" s="126">
        <v>0</v>
      </c>
      <c r="BW247" s="126">
        <v>14250.959390538172</v>
      </c>
      <c r="BX247" s="126">
        <v>50129.083262884757</v>
      </c>
      <c r="BY247" s="126">
        <v>44463.559125060965</v>
      </c>
      <c r="BZ247" s="126">
        <v>8464.7040419696459</v>
      </c>
      <c r="CA247" s="137">
        <v>21808.560780587941</v>
      </c>
      <c r="CB247" s="126">
        <v>0</v>
      </c>
      <c r="CC247" s="126">
        <v>0</v>
      </c>
      <c r="CD247" s="126">
        <v>21600</v>
      </c>
      <c r="CE247" s="126">
        <v>0</v>
      </c>
      <c r="CF247" s="126">
        <v>208.56078058794031</v>
      </c>
      <c r="CG247" s="137">
        <v>0</v>
      </c>
      <c r="CH247" s="126">
        <v>0</v>
      </c>
      <c r="CI247" s="126">
        <v>0</v>
      </c>
      <c r="CJ247" s="120"/>
      <c r="CK247" s="138">
        <v>303040.97647801862</v>
      </c>
      <c r="CL247" s="139">
        <v>30.383702949529631</v>
      </c>
      <c r="CM247" s="140">
        <v>346017.54</v>
      </c>
      <c r="CN247" s="125">
        <v>673.42</v>
      </c>
      <c r="CO247" s="125">
        <v>0</v>
      </c>
      <c r="CP247" s="125">
        <v>673.42</v>
      </c>
      <c r="CQ247" s="125">
        <v>2212.7600000000002</v>
      </c>
      <c r="CR247" s="125">
        <v>1105.46</v>
      </c>
      <c r="CS247" s="125">
        <v>21343.91</v>
      </c>
      <c r="CT247" s="148">
        <v>63241.75</v>
      </c>
      <c r="CU247" s="141">
        <v>0</v>
      </c>
      <c r="CV247" s="142">
        <v>106218.31352198136</v>
      </c>
      <c r="CW247" s="143">
        <v>0.14181766446722999</v>
      </c>
      <c r="CX247" s="140">
        <v>68768.58</v>
      </c>
      <c r="CY247" s="140">
        <v>277248.96000000002</v>
      </c>
    </row>
    <row r="248" spans="1:103" ht="12" customHeight="1" x14ac:dyDescent="0.25">
      <c r="A248" s="122">
        <v>243</v>
      </c>
      <c r="B248" s="154" t="s">
        <v>323</v>
      </c>
      <c r="C248" s="124">
        <v>12175.86</v>
      </c>
      <c r="D248" s="125">
        <v>11590.86</v>
      </c>
      <c r="E248" s="125">
        <v>585</v>
      </c>
      <c r="F248" s="125">
        <v>2337.1999999999998</v>
      </c>
      <c r="G248" s="149">
        <v>1014.6550000000001</v>
      </c>
      <c r="H248" s="124">
        <v>1014.6550000000001</v>
      </c>
      <c r="I248" s="126">
        <v>3</v>
      </c>
      <c r="J248" s="126">
        <v>3</v>
      </c>
      <c r="K248" s="127">
        <v>1.1976048999804883E-2</v>
      </c>
      <c r="L248" s="127"/>
      <c r="M248" s="127">
        <v>4.0268456375838924E-2</v>
      </c>
      <c r="N248" s="127"/>
      <c r="O248" s="128" t="s">
        <v>1495</v>
      </c>
      <c r="P248" s="155" t="s">
        <v>321</v>
      </c>
      <c r="Q248" s="130">
        <v>4.79</v>
      </c>
      <c r="R248" s="130">
        <v>3.43</v>
      </c>
      <c r="S248" s="130">
        <v>4.66</v>
      </c>
      <c r="T248" s="38">
        <v>0</v>
      </c>
      <c r="U248" s="131">
        <v>41.47</v>
      </c>
      <c r="V248" s="157">
        <v>0</v>
      </c>
      <c r="W248" s="132">
        <v>0</v>
      </c>
      <c r="X248" s="133">
        <v>7083.5134890078562</v>
      </c>
      <c r="Y248" s="134">
        <v>0</v>
      </c>
      <c r="Z248" s="134">
        <v>6004.7743771526966</v>
      </c>
      <c r="AA248" s="134">
        <v>638.47704246127194</v>
      </c>
      <c r="AB248" s="134">
        <v>440.26206939388817</v>
      </c>
      <c r="AC248" s="126">
        <v>0</v>
      </c>
      <c r="AD248" s="126">
        <v>0</v>
      </c>
      <c r="AE248" s="126">
        <v>0</v>
      </c>
      <c r="AF248" s="126">
        <v>0</v>
      </c>
      <c r="AG248" s="126">
        <v>0</v>
      </c>
      <c r="AH248" s="126">
        <v>0</v>
      </c>
      <c r="AI248" s="126">
        <v>0</v>
      </c>
      <c r="AJ248" s="126">
        <v>0</v>
      </c>
      <c r="AK248" s="126">
        <v>0</v>
      </c>
      <c r="AL248" s="126">
        <v>0</v>
      </c>
      <c r="AM248" s="126">
        <v>0</v>
      </c>
      <c r="AN248" s="126">
        <v>0</v>
      </c>
      <c r="AO248" s="126">
        <v>0</v>
      </c>
      <c r="AP248" s="126">
        <v>0</v>
      </c>
      <c r="AQ248" s="126">
        <v>0</v>
      </c>
      <c r="AR248" s="126">
        <v>0</v>
      </c>
      <c r="AS248" s="126">
        <v>0</v>
      </c>
      <c r="AT248" s="126">
        <v>0</v>
      </c>
      <c r="AU248" s="126">
        <v>0</v>
      </c>
      <c r="AV248" s="126">
        <v>0</v>
      </c>
      <c r="AW248" s="135">
        <v>58590.046231503649</v>
      </c>
      <c r="AX248" s="136">
        <v>43909.22590364694</v>
      </c>
      <c r="AY248" s="136">
        <v>6499.0043278567073</v>
      </c>
      <c r="AZ248" s="126">
        <v>8181.8159999999998</v>
      </c>
      <c r="BA248" s="126">
        <v>0</v>
      </c>
      <c r="BB248" s="126">
        <v>0</v>
      </c>
      <c r="BC248" s="126">
        <v>0</v>
      </c>
      <c r="BD248" s="126">
        <v>0</v>
      </c>
      <c r="BE248" s="126">
        <v>0</v>
      </c>
      <c r="BF248" s="126">
        <v>0</v>
      </c>
      <c r="BG248" s="126">
        <v>0</v>
      </c>
      <c r="BH248" s="126">
        <v>0</v>
      </c>
      <c r="BI248" s="137">
        <v>132636.02767303266</v>
      </c>
      <c r="BJ248" s="126">
        <v>0</v>
      </c>
      <c r="BK248" s="126">
        <v>0</v>
      </c>
      <c r="BL248" s="126">
        <v>1636.6101643264703</v>
      </c>
      <c r="BM248" s="126">
        <v>0</v>
      </c>
      <c r="BN248" s="126">
        <v>27280.912916134843</v>
      </c>
      <c r="BO248" s="126">
        <v>15662.166939372852</v>
      </c>
      <c r="BP248" s="126">
        <v>12849.59100697117</v>
      </c>
      <c r="BQ248" s="126">
        <v>69716.227151717438</v>
      </c>
      <c r="BR248" s="126">
        <v>2601.7620806166401</v>
      </c>
      <c r="BS248" s="126">
        <v>2888.7574138932432</v>
      </c>
      <c r="BT248" s="126">
        <v>0</v>
      </c>
      <c r="BU248" s="126">
        <v>0</v>
      </c>
      <c r="BV248" s="126">
        <v>0</v>
      </c>
      <c r="BW248" s="126">
        <v>17397.349696693149</v>
      </c>
      <c r="BX248" s="126">
        <v>61196.805604406349</v>
      </c>
      <c r="BY248" s="126">
        <v>54280.421805978149</v>
      </c>
      <c r="BZ248" s="126">
        <v>10333.579112921509</v>
      </c>
      <c r="CA248" s="137">
        <v>43454.607758921324</v>
      </c>
      <c r="CB248" s="126">
        <v>0</v>
      </c>
      <c r="CC248" s="126">
        <v>0</v>
      </c>
      <c r="CD248" s="126">
        <v>43200</v>
      </c>
      <c r="CE248" s="126">
        <v>0</v>
      </c>
      <c r="CF248" s="126">
        <v>254.60775892132179</v>
      </c>
      <c r="CG248" s="137">
        <v>0</v>
      </c>
      <c r="CH248" s="126">
        <v>0</v>
      </c>
      <c r="CI248" s="126">
        <v>0</v>
      </c>
      <c r="CJ248" s="120"/>
      <c r="CK248" s="138">
        <v>384972.35137246468</v>
      </c>
      <c r="CL248" s="139">
        <v>31.617672293576359</v>
      </c>
      <c r="CM248" s="140">
        <v>468012.23</v>
      </c>
      <c r="CN248" s="125">
        <v>518.96</v>
      </c>
      <c r="CO248" s="125">
        <v>0</v>
      </c>
      <c r="CP248" s="125">
        <v>518.96</v>
      </c>
      <c r="CQ248" s="125">
        <v>1703.53</v>
      </c>
      <c r="CR248" s="125">
        <v>851.9</v>
      </c>
      <c r="CS248" s="125">
        <v>28198.06</v>
      </c>
      <c r="CT248" s="148">
        <v>24259.95</v>
      </c>
      <c r="CU248" s="141">
        <v>0</v>
      </c>
      <c r="CV248" s="142">
        <v>107299.82862753532</v>
      </c>
      <c r="CW248" s="143">
        <v>0.21570348709846265</v>
      </c>
      <c r="CX248" s="140">
        <v>100306.97</v>
      </c>
      <c r="CY248" s="140">
        <v>367705.26</v>
      </c>
    </row>
    <row r="249" spans="1:103" ht="12" customHeight="1" x14ac:dyDescent="0.25">
      <c r="A249" s="122">
        <v>244</v>
      </c>
      <c r="B249" s="154" t="s">
        <v>324</v>
      </c>
      <c r="C249" s="124">
        <v>14598.6</v>
      </c>
      <c r="D249" s="125">
        <v>13541.4</v>
      </c>
      <c r="E249" s="125">
        <v>1057.2</v>
      </c>
      <c r="F249" s="125">
        <v>2911.1</v>
      </c>
      <c r="G249" s="149">
        <v>1216.55</v>
      </c>
      <c r="H249" s="124">
        <v>1216.55</v>
      </c>
      <c r="I249" s="126">
        <v>3</v>
      </c>
      <c r="J249" s="126">
        <v>3</v>
      </c>
      <c r="K249" s="127">
        <v>1.1976048999804883E-2</v>
      </c>
      <c r="L249" s="127"/>
      <c r="M249" s="127">
        <v>4.0268456375838924E-2</v>
      </c>
      <c r="N249" s="127"/>
      <c r="O249" s="128" t="s">
        <v>1495</v>
      </c>
      <c r="P249" s="155" t="s">
        <v>321</v>
      </c>
      <c r="Q249" s="130">
        <v>4.79</v>
      </c>
      <c r="R249" s="130">
        <v>3.43</v>
      </c>
      <c r="S249" s="130">
        <v>4.66</v>
      </c>
      <c r="T249" s="38">
        <v>0</v>
      </c>
      <c r="U249" s="131">
        <v>41.47</v>
      </c>
      <c r="V249" s="157">
        <v>0</v>
      </c>
      <c r="W249" s="132">
        <v>0</v>
      </c>
      <c r="X249" s="133">
        <v>8492.9836595222077</v>
      </c>
      <c r="Y249" s="134">
        <v>0</v>
      </c>
      <c r="Z249" s="134">
        <v>7199.5981575265596</v>
      </c>
      <c r="AA249" s="134">
        <v>765.52054245655938</v>
      </c>
      <c r="AB249" s="134">
        <v>527.86495953908923</v>
      </c>
      <c r="AC249" s="126">
        <v>0</v>
      </c>
      <c r="AD249" s="126">
        <v>0</v>
      </c>
      <c r="AE249" s="126">
        <v>0</v>
      </c>
      <c r="AF249" s="126">
        <v>0</v>
      </c>
      <c r="AG249" s="126">
        <v>0</v>
      </c>
      <c r="AH249" s="126">
        <v>0</v>
      </c>
      <c r="AI249" s="126">
        <v>0</v>
      </c>
      <c r="AJ249" s="126">
        <v>0</v>
      </c>
      <c r="AK249" s="126">
        <v>0</v>
      </c>
      <c r="AL249" s="126">
        <v>0</v>
      </c>
      <c r="AM249" s="126">
        <v>0</v>
      </c>
      <c r="AN249" s="126">
        <v>0</v>
      </c>
      <c r="AO249" s="126">
        <v>0</v>
      </c>
      <c r="AP249" s="126">
        <v>0</v>
      </c>
      <c r="AQ249" s="126">
        <v>0</v>
      </c>
      <c r="AR249" s="126">
        <v>0</v>
      </c>
      <c r="AS249" s="126">
        <v>0</v>
      </c>
      <c r="AT249" s="126">
        <v>0</v>
      </c>
      <c r="AU249" s="126">
        <v>0</v>
      </c>
      <c r="AV249" s="126">
        <v>0</v>
      </c>
      <c r="AW249" s="135">
        <v>68620.223624400169</v>
      </c>
      <c r="AX249" s="136">
        <v>52646.238152950194</v>
      </c>
      <c r="AY249" s="136">
        <v>7792.1694714499772</v>
      </c>
      <c r="AZ249" s="126">
        <v>8181.8159999999998</v>
      </c>
      <c r="BA249" s="126">
        <v>0</v>
      </c>
      <c r="BB249" s="126">
        <v>0</v>
      </c>
      <c r="BC249" s="126">
        <v>0</v>
      </c>
      <c r="BD249" s="126">
        <v>0</v>
      </c>
      <c r="BE249" s="126">
        <v>0</v>
      </c>
      <c r="BF249" s="126">
        <v>0</v>
      </c>
      <c r="BG249" s="126">
        <v>0</v>
      </c>
      <c r="BH249" s="126">
        <v>0</v>
      </c>
      <c r="BI249" s="137">
        <v>159027.80695470661</v>
      </c>
      <c r="BJ249" s="126">
        <v>0</v>
      </c>
      <c r="BK249" s="126">
        <v>0</v>
      </c>
      <c r="BL249" s="126">
        <v>1962.2611581388423</v>
      </c>
      <c r="BM249" s="126">
        <v>0</v>
      </c>
      <c r="BN249" s="126">
        <v>32709.240685872381</v>
      </c>
      <c r="BO249" s="126">
        <v>18778.608679890247</v>
      </c>
      <c r="BP249" s="126">
        <v>15406.389304276601</v>
      </c>
      <c r="BQ249" s="126">
        <v>83588.289755061414</v>
      </c>
      <c r="BR249" s="126">
        <v>3119.4580021526262</v>
      </c>
      <c r="BS249" s="126">
        <v>3463.5593693145202</v>
      </c>
      <c r="BT249" s="126">
        <v>0</v>
      </c>
      <c r="BU249" s="126">
        <v>0</v>
      </c>
      <c r="BV249" s="126">
        <v>0</v>
      </c>
      <c r="BW249" s="126">
        <v>20859.056303385929</v>
      </c>
      <c r="BX249" s="126">
        <v>73373.682540410809</v>
      </c>
      <c r="BY249" s="126">
        <v>65081.083864035274</v>
      </c>
      <c r="BZ249" s="126">
        <v>12389.743971916228</v>
      </c>
      <c r="CA249" s="137">
        <v>43505.269346837827</v>
      </c>
      <c r="CB249" s="126">
        <v>0</v>
      </c>
      <c r="CC249" s="126">
        <v>0</v>
      </c>
      <c r="CD249" s="126">
        <v>43200</v>
      </c>
      <c r="CE249" s="126">
        <v>0</v>
      </c>
      <c r="CF249" s="126">
        <v>305.26934683782565</v>
      </c>
      <c r="CG249" s="137">
        <v>0</v>
      </c>
      <c r="CH249" s="126">
        <v>0</v>
      </c>
      <c r="CI249" s="126">
        <v>0</v>
      </c>
      <c r="CJ249" s="120"/>
      <c r="CK249" s="138">
        <v>451349.85026521503</v>
      </c>
      <c r="CL249" s="139">
        <v>30.917337982081502</v>
      </c>
      <c r="CM249" s="140">
        <v>529153.18999999994</v>
      </c>
      <c r="CN249" s="125">
        <v>702.16</v>
      </c>
      <c r="CO249" s="125">
        <v>0</v>
      </c>
      <c r="CP249" s="125">
        <v>702.16</v>
      </c>
      <c r="CQ249" s="125">
        <v>2304.64</v>
      </c>
      <c r="CR249" s="125">
        <v>1152.53</v>
      </c>
      <c r="CS249" s="125">
        <v>38149.18</v>
      </c>
      <c r="CT249" s="148">
        <v>43842.084000000003</v>
      </c>
      <c r="CU249" s="141">
        <v>0</v>
      </c>
      <c r="CV249" s="142">
        <v>121645.42373478494</v>
      </c>
      <c r="CW249" s="143">
        <v>0.17237923018932499</v>
      </c>
      <c r="CX249" s="140">
        <v>108210.07</v>
      </c>
      <c r="CY249" s="140">
        <v>420943.12</v>
      </c>
    </row>
    <row r="250" spans="1:103" ht="12" customHeight="1" x14ac:dyDescent="0.25">
      <c r="A250" s="122">
        <v>245</v>
      </c>
      <c r="B250" s="154" t="s">
        <v>325</v>
      </c>
      <c r="C250" s="124">
        <v>11182.47</v>
      </c>
      <c r="D250" s="125">
        <v>11182.47</v>
      </c>
      <c r="E250" s="125">
        <v>0</v>
      </c>
      <c r="F250" s="125">
        <v>3223.4</v>
      </c>
      <c r="G250" s="149">
        <v>931.87249999999995</v>
      </c>
      <c r="H250" s="124">
        <v>931.87249999999995</v>
      </c>
      <c r="I250" s="126">
        <v>3</v>
      </c>
      <c r="J250" s="126">
        <v>3</v>
      </c>
      <c r="K250" s="127">
        <v>1.1976048999804883E-2</v>
      </c>
      <c r="L250" s="127"/>
      <c r="M250" s="127">
        <v>4.0268456375838924E-2</v>
      </c>
      <c r="N250" s="127"/>
      <c r="O250" s="128" t="s">
        <v>1495</v>
      </c>
      <c r="P250" s="155" t="s">
        <v>321</v>
      </c>
      <c r="Q250" s="130">
        <v>4.79</v>
      </c>
      <c r="R250" s="130">
        <v>3.43</v>
      </c>
      <c r="S250" s="130">
        <v>4.66</v>
      </c>
      <c r="T250" s="38">
        <v>0</v>
      </c>
      <c r="U250" s="131">
        <v>41.47</v>
      </c>
      <c r="V250" s="157">
        <v>0</v>
      </c>
      <c r="W250" s="132">
        <v>0</v>
      </c>
      <c r="X250" s="133">
        <v>6505.5919734150748</v>
      </c>
      <c r="Y250" s="134">
        <v>0</v>
      </c>
      <c r="Z250" s="134">
        <v>5514.8637820473214</v>
      </c>
      <c r="AA250" s="134">
        <v>586.38571509625592</v>
      </c>
      <c r="AB250" s="134">
        <v>404.34247627149722</v>
      </c>
      <c r="AC250" s="126">
        <v>0</v>
      </c>
      <c r="AD250" s="126">
        <v>0</v>
      </c>
      <c r="AE250" s="126">
        <v>0</v>
      </c>
      <c r="AF250" s="126">
        <v>0</v>
      </c>
      <c r="AG250" s="126">
        <v>0</v>
      </c>
      <c r="AH250" s="126">
        <v>0</v>
      </c>
      <c r="AI250" s="126">
        <v>0</v>
      </c>
      <c r="AJ250" s="126">
        <v>0</v>
      </c>
      <c r="AK250" s="126">
        <v>0</v>
      </c>
      <c r="AL250" s="126">
        <v>0</v>
      </c>
      <c r="AM250" s="126">
        <v>0</v>
      </c>
      <c r="AN250" s="126">
        <v>0</v>
      </c>
      <c r="AO250" s="126">
        <v>0</v>
      </c>
      <c r="AP250" s="126">
        <v>0</v>
      </c>
      <c r="AQ250" s="126">
        <v>0</v>
      </c>
      <c r="AR250" s="126">
        <v>0</v>
      </c>
      <c r="AS250" s="126">
        <v>0</v>
      </c>
      <c r="AT250" s="126">
        <v>0</v>
      </c>
      <c r="AU250" s="126">
        <v>0</v>
      </c>
      <c r="AV250" s="126">
        <v>0</v>
      </c>
      <c r="AW250" s="135">
        <v>54477.397775487108</v>
      </c>
      <c r="AX250" s="136">
        <v>40326.810705014243</v>
      </c>
      <c r="AY250" s="136">
        <v>5968.7710704728688</v>
      </c>
      <c r="AZ250" s="126">
        <v>8181.8159999999998</v>
      </c>
      <c r="BA250" s="126">
        <v>0</v>
      </c>
      <c r="BB250" s="126">
        <v>0</v>
      </c>
      <c r="BC250" s="126">
        <v>0</v>
      </c>
      <c r="BD250" s="126">
        <v>0</v>
      </c>
      <c r="BE250" s="126">
        <v>0</v>
      </c>
      <c r="BF250" s="126">
        <v>0</v>
      </c>
      <c r="BG250" s="126">
        <v>0</v>
      </c>
      <c r="BH250" s="126">
        <v>0</v>
      </c>
      <c r="BI250" s="137">
        <v>121814.67266976273</v>
      </c>
      <c r="BJ250" s="126">
        <v>0</v>
      </c>
      <c r="BK250" s="126">
        <v>0</v>
      </c>
      <c r="BL250" s="126">
        <v>1503.084304868471</v>
      </c>
      <c r="BM250" s="126">
        <v>0</v>
      </c>
      <c r="BN250" s="126">
        <v>25055.149308327327</v>
      </c>
      <c r="BO250" s="126">
        <v>14384.340156221302</v>
      </c>
      <c r="BP250" s="126">
        <v>11801.233419875465</v>
      </c>
      <c r="BQ250" s="126">
        <v>64028.300147773181</v>
      </c>
      <c r="BR250" s="126">
        <v>2389.4925215658814</v>
      </c>
      <c r="BS250" s="126">
        <v>2653.0728111311046</v>
      </c>
      <c r="BT250" s="126">
        <v>0</v>
      </c>
      <c r="BU250" s="126">
        <v>0</v>
      </c>
      <c r="BV250" s="126">
        <v>0</v>
      </c>
      <c r="BW250" s="126">
        <v>15977.954827238504</v>
      </c>
      <c r="BX250" s="126">
        <v>56203.951323939807</v>
      </c>
      <c r="BY250" s="126">
        <v>49851.853456979334</v>
      </c>
      <c r="BZ250" s="126">
        <v>9490.4949977144424</v>
      </c>
      <c r="CA250" s="137">
        <v>43433.835115211979</v>
      </c>
      <c r="CB250" s="126">
        <v>0</v>
      </c>
      <c r="CC250" s="126">
        <v>0</v>
      </c>
      <c r="CD250" s="126">
        <v>43200</v>
      </c>
      <c r="CE250" s="126">
        <v>0</v>
      </c>
      <c r="CF250" s="126">
        <v>233.83511521197786</v>
      </c>
      <c r="CG250" s="137">
        <v>0</v>
      </c>
      <c r="CH250" s="126">
        <v>0</v>
      </c>
      <c r="CI250" s="126">
        <v>0</v>
      </c>
      <c r="CJ250" s="120"/>
      <c r="CK250" s="138">
        <v>357755.75213974895</v>
      </c>
      <c r="CL250" s="139">
        <v>31.99255192634087</v>
      </c>
      <c r="CM250" s="140">
        <v>463381.69</v>
      </c>
      <c r="CN250" s="125">
        <v>695.87</v>
      </c>
      <c r="CO250" s="125">
        <v>0</v>
      </c>
      <c r="CP250" s="125">
        <v>695.87</v>
      </c>
      <c r="CQ250" s="125">
        <v>2284.27</v>
      </c>
      <c r="CR250" s="125">
        <v>1142.67</v>
      </c>
      <c r="CS250" s="125">
        <v>37811.14</v>
      </c>
      <c r="CT250" s="148">
        <v>0</v>
      </c>
      <c r="CU250" s="141">
        <v>0</v>
      </c>
      <c r="CV250" s="142">
        <v>105625.93786025106</v>
      </c>
      <c r="CW250" s="143">
        <v>0.29524595266043607</v>
      </c>
      <c r="CX250" s="140">
        <v>115685.97</v>
      </c>
      <c r="CY250" s="140">
        <v>347695.72</v>
      </c>
    </row>
    <row r="251" spans="1:103" ht="12" customHeight="1" x14ac:dyDescent="0.25">
      <c r="A251" s="122">
        <v>246</v>
      </c>
      <c r="B251" s="154" t="s">
        <v>326</v>
      </c>
      <c r="C251" s="124">
        <v>21126.6</v>
      </c>
      <c r="D251" s="125">
        <v>20472.099999999999</v>
      </c>
      <c r="E251" s="125">
        <v>654.5</v>
      </c>
      <c r="F251" s="125">
        <v>8057.8</v>
      </c>
      <c r="G251" s="149">
        <v>1760.55</v>
      </c>
      <c r="H251" s="124">
        <v>1760.55</v>
      </c>
      <c r="I251" s="126">
        <v>5</v>
      </c>
      <c r="J251" s="126">
        <v>5</v>
      </c>
      <c r="K251" s="127">
        <v>1.9960081666341469E-2</v>
      </c>
      <c r="L251" s="127"/>
      <c r="M251" s="127">
        <v>6.7114093959731544E-2</v>
      </c>
      <c r="N251" s="127"/>
      <c r="O251" s="128" t="s">
        <v>1495</v>
      </c>
      <c r="P251" s="155" t="s">
        <v>321</v>
      </c>
      <c r="Q251" s="130">
        <v>4.79</v>
      </c>
      <c r="R251" s="130">
        <v>3.43</v>
      </c>
      <c r="S251" s="130">
        <v>4.66</v>
      </c>
      <c r="T251" s="38">
        <v>0</v>
      </c>
      <c r="U251" s="131">
        <v>41.47</v>
      </c>
      <c r="V251" s="157">
        <v>0</v>
      </c>
      <c r="W251" s="132">
        <v>0</v>
      </c>
      <c r="X251" s="133">
        <v>12290.758605706156</v>
      </c>
      <c r="Y251" s="134">
        <v>0</v>
      </c>
      <c r="Z251" s="134">
        <v>10419.014866822889</v>
      </c>
      <c r="AA251" s="134">
        <v>1107.8354288947398</v>
      </c>
      <c r="AB251" s="134">
        <v>763.90830998852789</v>
      </c>
      <c r="AC251" s="126">
        <v>0</v>
      </c>
      <c r="AD251" s="126">
        <v>0</v>
      </c>
      <c r="AE251" s="126">
        <v>0</v>
      </c>
      <c r="AF251" s="126">
        <v>0</v>
      </c>
      <c r="AG251" s="126">
        <v>0</v>
      </c>
      <c r="AH251" s="126">
        <v>0</v>
      </c>
      <c r="AI251" s="126">
        <v>0</v>
      </c>
      <c r="AJ251" s="126">
        <v>0</v>
      </c>
      <c r="AK251" s="126">
        <v>0</v>
      </c>
      <c r="AL251" s="126">
        <v>0</v>
      </c>
      <c r="AM251" s="126">
        <v>0</v>
      </c>
      <c r="AN251" s="126">
        <v>0</v>
      </c>
      <c r="AO251" s="126">
        <v>0</v>
      </c>
      <c r="AP251" s="126">
        <v>0</v>
      </c>
      <c r="AQ251" s="126">
        <v>0</v>
      </c>
      <c r="AR251" s="126">
        <v>0</v>
      </c>
      <c r="AS251" s="126">
        <v>0</v>
      </c>
      <c r="AT251" s="126">
        <v>0</v>
      </c>
      <c r="AU251" s="126">
        <v>0</v>
      </c>
      <c r="AV251" s="126">
        <v>0</v>
      </c>
      <c r="AW251" s="135">
        <v>95646.234678342633</v>
      </c>
      <c r="AX251" s="136">
        <v>76187.854654700976</v>
      </c>
      <c r="AY251" s="136">
        <v>11276.564023641657</v>
      </c>
      <c r="AZ251" s="126">
        <v>8181.8159999999998</v>
      </c>
      <c r="BA251" s="126">
        <v>0</v>
      </c>
      <c r="BB251" s="126">
        <v>0</v>
      </c>
      <c r="BC251" s="126">
        <v>0</v>
      </c>
      <c r="BD251" s="126">
        <v>0</v>
      </c>
      <c r="BE251" s="126">
        <v>0</v>
      </c>
      <c r="BF251" s="126">
        <v>0</v>
      </c>
      <c r="BG251" s="126">
        <v>0</v>
      </c>
      <c r="BH251" s="126">
        <v>0</v>
      </c>
      <c r="BI251" s="137">
        <v>230139.66177642407</v>
      </c>
      <c r="BJ251" s="126">
        <v>0</v>
      </c>
      <c r="BK251" s="126">
        <v>0</v>
      </c>
      <c r="BL251" s="126">
        <v>2839.7179581285923</v>
      </c>
      <c r="BM251" s="126">
        <v>0</v>
      </c>
      <c r="BN251" s="126">
        <v>47335.706456382904</v>
      </c>
      <c r="BO251" s="126">
        <v>27175.767137709732</v>
      </c>
      <c r="BP251" s="126">
        <v>22295.605350905571</v>
      </c>
      <c r="BQ251" s="126">
        <v>120966.14485904678</v>
      </c>
      <c r="BR251" s="126">
        <v>4514.3740789032972</v>
      </c>
      <c r="BS251" s="126">
        <v>5012.3459353472344</v>
      </c>
      <c r="BT251" s="126">
        <v>0</v>
      </c>
      <c r="BU251" s="126">
        <v>0</v>
      </c>
      <c r="BV251" s="126">
        <v>0</v>
      </c>
      <c r="BW251" s="126">
        <v>30186.520549854995</v>
      </c>
      <c r="BX251" s="126">
        <v>106183.910892705</v>
      </c>
      <c r="BY251" s="126">
        <v>94183.142654907148</v>
      </c>
      <c r="BZ251" s="126">
        <v>17930.018289225365</v>
      </c>
      <c r="CA251" s="137">
        <v>72441.775470449502</v>
      </c>
      <c r="CB251" s="126">
        <v>0</v>
      </c>
      <c r="CC251" s="126">
        <v>0</v>
      </c>
      <c r="CD251" s="126">
        <v>72000</v>
      </c>
      <c r="CE251" s="126">
        <v>0</v>
      </c>
      <c r="CF251" s="126">
        <v>441.77547044949563</v>
      </c>
      <c r="CG251" s="137">
        <v>0</v>
      </c>
      <c r="CH251" s="126">
        <v>0</v>
      </c>
      <c r="CI251" s="126">
        <v>0</v>
      </c>
      <c r="CJ251" s="120"/>
      <c r="CK251" s="138">
        <v>659002.0229176149</v>
      </c>
      <c r="CL251" s="139">
        <v>31.192999484896525</v>
      </c>
      <c r="CM251" s="140">
        <v>827028.08</v>
      </c>
      <c r="CN251" s="125">
        <v>1245.73</v>
      </c>
      <c r="CO251" s="125">
        <v>0</v>
      </c>
      <c r="CP251" s="125">
        <v>1245.73</v>
      </c>
      <c r="CQ251" s="125">
        <v>4089.17</v>
      </c>
      <c r="CR251" s="125">
        <v>2044.71</v>
      </c>
      <c r="CS251" s="125">
        <v>67686.06</v>
      </c>
      <c r="CT251" s="148">
        <v>27142.114999999998</v>
      </c>
      <c r="CU251" s="141">
        <v>0</v>
      </c>
      <c r="CV251" s="142">
        <v>195168.17208238505</v>
      </c>
      <c r="CW251" s="143">
        <v>0.25497047237955273</v>
      </c>
      <c r="CX251" s="140">
        <v>172664.76</v>
      </c>
      <c r="CY251" s="140">
        <v>654363.32000000007</v>
      </c>
    </row>
    <row r="252" spans="1:103" ht="12" customHeight="1" x14ac:dyDescent="0.25">
      <c r="A252" s="122">
        <v>247</v>
      </c>
      <c r="B252" s="154" t="s">
        <v>327</v>
      </c>
      <c r="C252" s="124">
        <v>11173.2</v>
      </c>
      <c r="D252" s="125">
        <v>11173.2</v>
      </c>
      <c r="E252" s="125">
        <v>0</v>
      </c>
      <c r="F252" s="125">
        <v>3618.4</v>
      </c>
      <c r="G252" s="149">
        <v>931.1</v>
      </c>
      <c r="H252" s="124">
        <v>931.1</v>
      </c>
      <c r="I252" s="126">
        <v>3</v>
      </c>
      <c r="J252" s="126">
        <v>3</v>
      </c>
      <c r="K252" s="127">
        <v>1.1976048999804883E-2</v>
      </c>
      <c r="L252" s="127"/>
      <c r="M252" s="127">
        <v>4.0268456375838924E-2</v>
      </c>
      <c r="N252" s="127"/>
      <c r="O252" s="128" t="s">
        <v>1495</v>
      </c>
      <c r="P252" s="155" t="s">
        <v>321</v>
      </c>
      <c r="Q252" s="130">
        <v>4.79</v>
      </c>
      <c r="R252" s="130">
        <v>3.43</v>
      </c>
      <c r="S252" s="130">
        <v>4.66</v>
      </c>
      <c r="T252" s="38">
        <v>0</v>
      </c>
      <c r="U252" s="131">
        <v>41.47</v>
      </c>
      <c r="V252" s="157">
        <v>0</v>
      </c>
      <c r="W252" s="132">
        <v>0</v>
      </c>
      <c r="X252" s="133">
        <v>6500.1989933674149</v>
      </c>
      <c r="Y252" s="134">
        <v>0</v>
      </c>
      <c r="Z252" s="134">
        <v>5510.2920919592125</v>
      </c>
      <c r="AA252" s="134">
        <v>585.89961537240765</v>
      </c>
      <c r="AB252" s="134">
        <v>404.00728603579472</v>
      </c>
      <c r="AC252" s="126">
        <v>0</v>
      </c>
      <c r="AD252" s="126">
        <v>0</v>
      </c>
      <c r="AE252" s="126">
        <v>0</v>
      </c>
      <c r="AF252" s="126">
        <v>0</v>
      </c>
      <c r="AG252" s="126">
        <v>0</v>
      </c>
      <c r="AH252" s="126">
        <v>0</v>
      </c>
      <c r="AI252" s="126">
        <v>0</v>
      </c>
      <c r="AJ252" s="126">
        <v>0</v>
      </c>
      <c r="AK252" s="126">
        <v>0</v>
      </c>
      <c r="AL252" s="126">
        <v>0</v>
      </c>
      <c r="AM252" s="126">
        <v>0</v>
      </c>
      <c r="AN252" s="126">
        <v>0</v>
      </c>
      <c r="AO252" s="126">
        <v>0</v>
      </c>
      <c r="AP252" s="126">
        <v>0</v>
      </c>
      <c r="AQ252" s="126">
        <v>0</v>
      </c>
      <c r="AR252" s="126">
        <v>0</v>
      </c>
      <c r="AS252" s="126">
        <v>0</v>
      </c>
      <c r="AT252" s="126">
        <v>0</v>
      </c>
      <c r="AU252" s="126">
        <v>0</v>
      </c>
      <c r="AV252" s="126">
        <v>0</v>
      </c>
      <c r="AW252" s="135">
        <v>54439.01984618717</v>
      </c>
      <c r="AX252" s="136">
        <v>40293.380744081158</v>
      </c>
      <c r="AY252" s="136">
        <v>5963.8231021060164</v>
      </c>
      <c r="AZ252" s="126">
        <v>8181.8159999999998</v>
      </c>
      <c r="BA252" s="126">
        <v>0</v>
      </c>
      <c r="BB252" s="126">
        <v>0</v>
      </c>
      <c r="BC252" s="126">
        <v>0</v>
      </c>
      <c r="BD252" s="126">
        <v>0</v>
      </c>
      <c r="BE252" s="126">
        <v>0</v>
      </c>
      <c r="BF252" s="126">
        <v>0</v>
      </c>
      <c r="BG252" s="126">
        <v>0</v>
      </c>
      <c r="BH252" s="126">
        <v>0</v>
      </c>
      <c r="BI252" s="137">
        <v>121713.69122150946</v>
      </c>
      <c r="BJ252" s="126">
        <v>0</v>
      </c>
      <c r="BK252" s="126">
        <v>0</v>
      </c>
      <c r="BL252" s="126">
        <v>1501.8382839530445</v>
      </c>
      <c r="BM252" s="126">
        <v>0</v>
      </c>
      <c r="BN252" s="126">
        <v>25034.37918919549</v>
      </c>
      <c r="BO252" s="126">
        <v>14372.415882492138</v>
      </c>
      <c r="BP252" s="126">
        <v>11791.450479809251</v>
      </c>
      <c r="BQ252" s="126">
        <v>63975.222219339674</v>
      </c>
      <c r="BR252" s="126">
        <v>2387.5116894532166</v>
      </c>
      <c r="BS252" s="126">
        <v>2650.8734772666558</v>
      </c>
      <c r="BT252" s="126">
        <v>0</v>
      </c>
      <c r="BU252" s="126">
        <v>0</v>
      </c>
      <c r="BV252" s="126">
        <v>0</v>
      </c>
      <c r="BW252" s="126">
        <v>15964.70948508704</v>
      </c>
      <c r="BX252" s="126">
        <v>56157.359593421163</v>
      </c>
      <c r="BY252" s="126">
        <v>49810.527463567669</v>
      </c>
      <c r="BZ252" s="126">
        <v>9482.6276044973092</v>
      </c>
      <c r="CA252" s="137">
        <v>43433.641271497843</v>
      </c>
      <c r="CB252" s="126">
        <v>0</v>
      </c>
      <c r="CC252" s="126">
        <v>0</v>
      </c>
      <c r="CD252" s="126">
        <v>43200</v>
      </c>
      <c r="CE252" s="126">
        <v>0</v>
      </c>
      <c r="CF252" s="126">
        <v>233.64127149784181</v>
      </c>
      <c r="CG252" s="137">
        <v>0</v>
      </c>
      <c r="CH252" s="126">
        <v>0</v>
      </c>
      <c r="CI252" s="126">
        <v>0</v>
      </c>
      <c r="CJ252" s="120"/>
      <c r="CK252" s="138">
        <v>357501.77547913505</v>
      </c>
      <c r="CL252" s="139">
        <v>31.996364110472829</v>
      </c>
      <c r="CM252" s="140">
        <v>462141.74</v>
      </c>
      <c r="CN252" s="125">
        <v>528.49</v>
      </c>
      <c r="CO252" s="125">
        <v>0</v>
      </c>
      <c r="CP252" s="125">
        <v>528.49</v>
      </c>
      <c r="CQ252" s="125">
        <v>1734.26</v>
      </c>
      <c r="CR252" s="125">
        <v>867.24</v>
      </c>
      <c r="CS252" s="125">
        <v>28707.58</v>
      </c>
      <c r="CT252" s="148">
        <v>0</v>
      </c>
      <c r="CU252" s="141">
        <v>0</v>
      </c>
      <c r="CV252" s="142">
        <v>104639.96452086495</v>
      </c>
      <c r="CW252" s="143">
        <v>0.29269774781012825</v>
      </c>
      <c r="CX252" s="140">
        <v>78683.58</v>
      </c>
      <c r="CY252" s="140">
        <v>383458.16000000003</v>
      </c>
    </row>
    <row r="253" spans="1:103" ht="12" customHeight="1" x14ac:dyDescent="0.25">
      <c r="A253" s="122">
        <v>248</v>
      </c>
      <c r="B253" s="154" t="s">
        <v>328</v>
      </c>
      <c r="C253" s="124">
        <v>20369.2</v>
      </c>
      <c r="D253" s="125">
        <v>19781.400000000001</v>
      </c>
      <c r="E253" s="125">
        <v>587.79999999999995</v>
      </c>
      <c r="F253" s="125">
        <v>4227.8999999999996</v>
      </c>
      <c r="G253" s="149">
        <v>1697.4333333333334</v>
      </c>
      <c r="H253" s="124">
        <v>1697.4333333333334</v>
      </c>
      <c r="I253" s="126">
        <v>5</v>
      </c>
      <c r="J253" s="126">
        <v>5</v>
      </c>
      <c r="K253" s="127">
        <v>1.9960081666341469E-2</v>
      </c>
      <c r="L253" s="127"/>
      <c r="M253" s="127">
        <v>6.7114093959731544E-2</v>
      </c>
      <c r="N253" s="127"/>
      <c r="O253" s="128" t="s">
        <v>1495</v>
      </c>
      <c r="P253" s="155" t="s">
        <v>321</v>
      </c>
      <c r="Q253" s="130">
        <v>4.79</v>
      </c>
      <c r="R253" s="130">
        <v>3.43</v>
      </c>
      <c r="S253" s="130">
        <v>4.66</v>
      </c>
      <c r="T253" s="38">
        <v>0</v>
      </c>
      <c r="U253" s="131">
        <v>41.47</v>
      </c>
      <c r="V253" s="157">
        <v>0</v>
      </c>
      <c r="W253" s="132">
        <v>0</v>
      </c>
      <c r="X253" s="133">
        <v>11850.128283365511</v>
      </c>
      <c r="Y253" s="134">
        <v>0</v>
      </c>
      <c r="Z253" s="134">
        <v>10045.487566635842</v>
      </c>
      <c r="AA253" s="134">
        <v>1068.118931500702</v>
      </c>
      <c r="AB253" s="134">
        <v>736.52178522896838</v>
      </c>
      <c r="AC253" s="126">
        <v>0</v>
      </c>
      <c r="AD253" s="126">
        <v>0</v>
      </c>
      <c r="AE253" s="126">
        <v>0</v>
      </c>
      <c r="AF253" s="126">
        <v>0</v>
      </c>
      <c r="AG253" s="126">
        <v>0</v>
      </c>
      <c r="AH253" s="126">
        <v>0</v>
      </c>
      <c r="AI253" s="126">
        <v>0</v>
      </c>
      <c r="AJ253" s="126">
        <v>0</v>
      </c>
      <c r="AK253" s="126">
        <v>0</v>
      </c>
      <c r="AL253" s="126">
        <v>0</v>
      </c>
      <c r="AM253" s="126">
        <v>0</v>
      </c>
      <c r="AN253" s="126">
        <v>0</v>
      </c>
      <c r="AO253" s="126">
        <v>0</v>
      </c>
      <c r="AP253" s="126">
        <v>0</v>
      </c>
      <c r="AQ253" s="126">
        <v>0</v>
      </c>
      <c r="AR253" s="126">
        <v>0</v>
      </c>
      <c r="AS253" s="126">
        <v>0</v>
      </c>
      <c r="AT253" s="126">
        <v>0</v>
      </c>
      <c r="AU253" s="126">
        <v>0</v>
      </c>
      <c r="AV253" s="126">
        <v>0</v>
      </c>
      <c r="AW253" s="135">
        <v>92510.58811396519</v>
      </c>
      <c r="AX253" s="136">
        <v>73456.478990113654</v>
      </c>
      <c r="AY253" s="136">
        <v>10872.293123851527</v>
      </c>
      <c r="AZ253" s="126">
        <v>8181.8159999999998</v>
      </c>
      <c r="BA253" s="126">
        <v>0</v>
      </c>
      <c r="BB253" s="126">
        <v>0</v>
      </c>
      <c r="BC253" s="126">
        <v>0</v>
      </c>
      <c r="BD253" s="126">
        <v>0</v>
      </c>
      <c r="BE253" s="126">
        <v>0</v>
      </c>
      <c r="BF253" s="126">
        <v>0</v>
      </c>
      <c r="BG253" s="126">
        <v>0</v>
      </c>
      <c r="BH253" s="126">
        <v>0</v>
      </c>
      <c r="BI253" s="137">
        <v>221889.03082636764</v>
      </c>
      <c r="BJ253" s="126">
        <v>0</v>
      </c>
      <c r="BK253" s="126">
        <v>0</v>
      </c>
      <c r="BL253" s="126">
        <v>2737.9125383503701</v>
      </c>
      <c r="BM253" s="126">
        <v>0</v>
      </c>
      <c r="BN253" s="126">
        <v>45638.695859785985</v>
      </c>
      <c r="BO253" s="126">
        <v>26201.50123453074</v>
      </c>
      <c r="BP253" s="126">
        <v>21496.29587882886</v>
      </c>
      <c r="BQ253" s="126">
        <v>116629.44334927986</v>
      </c>
      <c r="BR253" s="126">
        <v>4352.5313343366679</v>
      </c>
      <c r="BS253" s="126">
        <v>4832.6506312551428</v>
      </c>
      <c r="BT253" s="126">
        <v>0</v>
      </c>
      <c r="BU253" s="126">
        <v>0</v>
      </c>
      <c r="BV253" s="126">
        <v>0</v>
      </c>
      <c r="BW253" s="126">
        <v>29104.317513660808</v>
      </c>
      <c r="BX253" s="126">
        <v>102377.16044018851</v>
      </c>
      <c r="BY253" s="126">
        <v>90806.626213699084</v>
      </c>
      <c r="BZ253" s="126">
        <v>17287.217466932176</v>
      </c>
      <c r="CA253" s="137">
        <v>72425.937581659135</v>
      </c>
      <c r="CB253" s="126">
        <v>0</v>
      </c>
      <c r="CC253" s="126">
        <v>0</v>
      </c>
      <c r="CD253" s="126">
        <v>72000</v>
      </c>
      <c r="CE253" s="126">
        <v>0</v>
      </c>
      <c r="CF253" s="126">
        <v>425.93758165913431</v>
      </c>
      <c r="CG253" s="137">
        <v>0</v>
      </c>
      <c r="CH253" s="126">
        <v>0</v>
      </c>
      <c r="CI253" s="126">
        <v>0</v>
      </c>
      <c r="CJ253" s="120"/>
      <c r="CK253" s="138">
        <v>638251.00643983809</v>
      </c>
      <c r="CL253" s="139">
        <v>31.334122422080302</v>
      </c>
      <c r="CM253" s="140">
        <v>820065.17</v>
      </c>
      <c r="CN253" s="125">
        <v>1150.43</v>
      </c>
      <c r="CO253" s="125">
        <v>0</v>
      </c>
      <c r="CP253" s="125">
        <v>1150.43</v>
      </c>
      <c r="CQ253" s="125">
        <v>3776.54</v>
      </c>
      <c r="CR253" s="125">
        <v>1888.48</v>
      </c>
      <c r="CS253" s="125">
        <v>62510.87</v>
      </c>
      <c r="CT253" s="148">
        <v>24376.065999999999</v>
      </c>
      <c r="CU253" s="141">
        <v>0</v>
      </c>
      <c r="CV253" s="142">
        <v>206190.22956016194</v>
      </c>
      <c r="CW253" s="143">
        <v>0.28486310515093538</v>
      </c>
      <c r="CX253" s="140">
        <v>157765.54999999999</v>
      </c>
      <c r="CY253" s="140">
        <v>662299.62</v>
      </c>
    </row>
    <row r="254" spans="1:103" ht="12" customHeight="1" x14ac:dyDescent="0.25">
      <c r="A254" s="122">
        <v>249</v>
      </c>
      <c r="B254" s="154" t="s">
        <v>329</v>
      </c>
      <c r="C254" s="124">
        <v>11104.1</v>
      </c>
      <c r="D254" s="125">
        <v>11104.1</v>
      </c>
      <c r="E254" s="125">
        <v>0</v>
      </c>
      <c r="F254" s="125">
        <v>4403.6000000000004</v>
      </c>
      <c r="G254" s="149">
        <v>925.3416666666667</v>
      </c>
      <c r="H254" s="124">
        <v>925.3416666666667</v>
      </c>
      <c r="I254" s="126">
        <v>3</v>
      </c>
      <c r="J254" s="126">
        <v>3</v>
      </c>
      <c r="K254" s="127">
        <v>1.1976048999804883E-2</v>
      </c>
      <c r="L254" s="127"/>
      <c r="M254" s="127">
        <v>4.0268456375838924E-2</v>
      </c>
      <c r="N254" s="127"/>
      <c r="O254" s="128" t="s">
        <v>1495</v>
      </c>
      <c r="P254" s="155" t="s">
        <v>321</v>
      </c>
      <c r="Q254" s="130">
        <v>4.79</v>
      </c>
      <c r="R254" s="130">
        <v>3.43</v>
      </c>
      <c r="S254" s="130">
        <v>4.66</v>
      </c>
      <c r="T254" s="38">
        <v>0</v>
      </c>
      <c r="U254" s="131">
        <v>41.47</v>
      </c>
      <c r="V254" s="157">
        <v>0</v>
      </c>
      <c r="W254" s="132">
        <v>0</v>
      </c>
      <c r="X254" s="133">
        <v>6459.9988939830228</v>
      </c>
      <c r="Y254" s="134">
        <v>0</v>
      </c>
      <c r="Z254" s="134">
        <v>5476.2140137404049</v>
      </c>
      <c r="AA254" s="134">
        <v>582.27615356896422</v>
      </c>
      <c r="AB254" s="134">
        <v>401.50872667365371</v>
      </c>
      <c r="AC254" s="126">
        <v>0</v>
      </c>
      <c r="AD254" s="126">
        <v>0</v>
      </c>
      <c r="AE254" s="126">
        <v>0</v>
      </c>
      <c r="AF254" s="126">
        <v>0</v>
      </c>
      <c r="AG254" s="126">
        <v>0</v>
      </c>
      <c r="AH254" s="126">
        <v>0</v>
      </c>
      <c r="AI254" s="126">
        <v>0</v>
      </c>
      <c r="AJ254" s="126">
        <v>0</v>
      </c>
      <c r="AK254" s="126">
        <v>0</v>
      </c>
      <c r="AL254" s="126">
        <v>0</v>
      </c>
      <c r="AM254" s="126">
        <v>0</v>
      </c>
      <c r="AN254" s="126">
        <v>0</v>
      </c>
      <c r="AO254" s="126">
        <v>0</v>
      </c>
      <c r="AP254" s="126">
        <v>0</v>
      </c>
      <c r="AQ254" s="126">
        <v>0</v>
      </c>
      <c r="AR254" s="126">
        <v>0</v>
      </c>
      <c r="AS254" s="126">
        <v>0</v>
      </c>
      <c r="AT254" s="126">
        <v>0</v>
      </c>
      <c r="AU254" s="126">
        <v>0</v>
      </c>
      <c r="AV254" s="126">
        <v>0</v>
      </c>
      <c r="AW254" s="135">
        <v>54152.944882365562</v>
      </c>
      <c r="AX254" s="136">
        <v>40044.18869440729</v>
      </c>
      <c r="AY254" s="136">
        <v>5926.9401879582765</v>
      </c>
      <c r="AZ254" s="126">
        <v>8181.8159999999998</v>
      </c>
      <c r="BA254" s="126">
        <v>0</v>
      </c>
      <c r="BB254" s="126">
        <v>0</v>
      </c>
      <c r="BC254" s="126">
        <v>0</v>
      </c>
      <c r="BD254" s="126">
        <v>0</v>
      </c>
      <c r="BE254" s="126">
        <v>0</v>
      </c>
      <c r="BF254" s="126">
        <v>0</v>
      </c>
      <c r="BG254" s="126">
        <v>0</v>
      </c>
      <c r="BH254" s="126">
        <v>0</v>
      </c>
      <c r="BI254" s="137">
        <v>120960.96003765825</v>
      </c>
      <c r="BJ254" s="126">
        <v>0</v>
      </c>
      <c r="BK254" s="126">
        <v>0</v>
      </c>
      <c r="BL254" s="126">
        <v>1492.5502531810941</v>
      </c>
      <c r="BM254" s="126">
        <v>0</v>
      </c>
      <c r="BN254" s="126">
        <v>24879.555539571982</v>
      </c>
      <c r="BO254" s="126">
        <v>14283.530519527169</v>
      </c>
      <c r="BP254" s="126">
        <v>11718.526945982341</v>
      </c>
      <c r="BQ254" s="126">
        <v>63579.571210196693</v>
      </c>
      <c r="BR254" s="126">
        <v>2372.7462634569738</v>
      </c>
      <c r="BS254" s="126">
        <v>2634.4793057420143</v>
      </c>
      <c r="BT254" s="126">
        <v>0</v>
      </c>
      <c r="BU254" s="126">
        <v>0</v>
      </c>
      <c r="BV254" s="126">
        <v>0</v>
      </c>
      <c r="BW254" s="126">
        <v>15865.976675737926</v>
      </c>
      <c r="BX254" s="126">
        <v>55810.057697106284</v>
      </c>
      <c r="BY254" s="126">
        <v>49502.477178266003</v>
      </c>
      <c r="BZ254" s="126">
        <v>9423.9828503113313</v>
      </c>
      <c r="CA254" s="137">
        <v>43432.196330759245</v>
      </c>
      <c r="CB254" s="126">
        <v>0</v>
      </c>
      <c r="CC254" s="126">
        <v>0</v>
      </c>
      <c r="CD254" s="126">
        <v>43200</v>
      </c>
      <c r="CE254" s="126">
        <v>0</v>
      </c>
      <c r="CF254" s="126">
        <v>232.19633075924403</v>
      </c>
      <c r="CG254" s="137">
        <v>0</v>
      </c>
      <c r="CH254" s="126">
        <v>0</v>
      </c>
      <c r="CI254" s="126">
        <v>0</v>
      </c>
      <c r="CJ254" s="120"/>
      <c r="CK254" s="138">
        <v>355608.59454618761</v>
      </c>
      <c r="CL254" s="139">
        <v>32.02498127233973</v>
      </c>
      <c r="CM254" s="140">
        <v>460254.9</v>
      </c>
      <c r="CN254" s="125">
        <v>563.12</v>
      </c>
      <c r="CO254" s="125">
        <v>0</v>
      </c>
      <c r="CP254" s="125">
        <v>563.12</v>
      </c>
      <c r="CQ254" s="125">
        <v>1848.77</v>
      </c>
      <c r="CR254" s="125">
        <v>924.51</v>
      </c>
      <c r="CS254" s="125">
        <v>30601.599999999999</v>
      </c>
      <c r="CT254" s="148">
        <v>0</v>
      </c>
      <c r="CU254" s="141">
        <v>0</v>
      </c>
      <c r="CV254" s="142">
        <v>104646.30545381241</v>
      </c>
      <c r="CW254" s="143">
        <v>0.29427383662466733</v>
      </c>
      <c r="CX254" s="140">
        <v>60858.13</v>
      </c>
      <c r="CY254" s="140">
        <v>399396.77</v>
      </c>
    </row>
    <row r="255" spans="1:103" ht="12" customHeight="1" x14ac:dyDescent="0.25">
      <c r="A255" s="122">
        <v>250</v>
      </c>
      <c r="B255" s="154" t="s">
        <v>330</v>
      </c>
      <c r="C255" s="124">
        <v>11161.5</v>
      </c>
      <c r="D255" s="125">
        <v>11078.7</v>
      </c>
      <c r="E255" s="125">
        <v>82.8</v>
      </c>
      <c r="F255" s="125">
        <v>2389.9</v>
      </c>
      <c r="G255" s="149">
        <v>930.125</v>
      </c>
      <c r="H255" s="124">
        <v>930.125</v>
      </c>
      <c r="I255" s="126">
        <v>3</v>
      </c>
      <c r="J255" s="126">
        <v>3</v>
      </c>
      <c r="K255" s="127">
        <v>1.1976048999804883E-2</v>
      </c>
      <c r="L255" s="127"/>
      <c r="M255" s="127">
        <v>4.0268456375838924E-2</v>
      </c>
      <c r="N255" s="127"/>
      <c r="O255" s="128" t="s">
        <v>1495</v>
      </c>
      <c r="P255" s="155" t="s">
        <v>321</v>
      </c>
      <c r="Q255" s="130">
        <v>4.79</v>
      </c>
      <c r="R255" s="130">
        <v>3.43</v>
      </c>
      <c r="S255" s="130">
        <v>4.66</v>
      </c>
      <c r="T255" s="38">
        <v>0</v>
      </c>
      <c r="U255" s="131">
        <v>41.47</v>
      </c>
      <c r="V255" s="157">
        <v>0</v>
      </c>
      <c r="W255" s="132">
        <v>0</v>
      </c>
      <c r="X255" s="133">
        <v>6493.3923195208536</v>
      </c>
      <c r="Y255" s="134">
        <v>0</v>
      </c>
      <c r="Z255" s="134">
        <v>5504.5219976732496</v>
      </c>
      <c r="AA255" s="134">
        <v>585.28609144910388</v>
      </c>
      <c r="AB255" s="134">
        <v>403.58423039850021</v>
      </c>
      <c r="AC255" s="126">
        <v>0</v>
      </c>
      <c r="AD255" s="126">
        <v>0</v>
      </c>
      <c r="AE255" s="126">
        <v>0</v>
      </c>
      <c r="AF255" s="126">
        <v>0</v>
      </c>
      <c r="AG255" s="126">
        <v>0</v>
      </c>
      <c r="AH255" s="126">
        <v>0</v>
      </c>
      <c r="AI255" s="126">
        <v>0</v>
      </c>
      <c r="AJ255" s="126">
        <v>0</v>
      </c>
      <c r="AK255" s="126">
        <v>0</v>
      </c>
      <c r="AL255" s="126">
        <v>0</v>
      </c>
      <c r="AM255" s="126">
        <v>0</v>
      </c>
      <c r="AN255" s="126">
        <v>0</v>
      </c>
      <c r="AO255" s="126">
        <v>0</v>
      </c>
      <c r="AP255" s="126">
        <v>0</v>
      </c>
      <c r="AQ255" s="126">
        <v>0</v>
      </c>
      <c r="AR255" s="126">
        <v>0</v>
      </c>
      <c r="AS255" s="126">
        <v>0</v>
      </c>
      <c r="AT255" s="126">
        <v>0</v>
      </c>
      <c r="AU255" s="126">
        <v>0</v>
      </c>
      <c r="AV255" s="126">
        <v>0</v>
      </c>
      <c r="AW255" s="135">
        <v>54390.60568299306</v>
      </c>
      <c r="AX255" s="136">
        <v>40251.187589505404</v>
      </c>
      <c r="AY255" s="136">
        <v>5957.5780934876575</v>
      </c>
      <c r="AZ255" s="126">
        <v>8181.8399999999992</v>
      </c>
      <c r="BA255" s="126">
        <v>0</v>
      </c>
      <c r="BB255" s="126">
        <v>0</v>
      </c>
      <c r="BC255" s="126">
        <v>0</v>
      </c>
      <c r="BD255" s="126">
        <v>0</v>
      </c>
      <c r="BE255" s="126">
        <v>0</v>
      </c>
      <c r="BF255" s="126">
        <v>0</v>
      </c>
      <c r="BG255" s="126">
        <v>0</v>
      </c>
      <c r="BH255" s="126">
        <v>0</v>
      </c>
      <c r="BI255" s="137">
        <v>121586.23890818009</v>
      </c>
      <c r="BJ255" s="126">
        <v>0</v>
      </c>
      <c r="BK255" s="126">
        <v>0</v>
      </c>
      <c r="BL255" s="126">
        <v>1500.2656361957099</v>
      </c>
      <c r="BM255" s="126">
        <v>0</v>
      </c>
      <c r="BN255" s="126">
        <v>25008.164475728125</v>
      </c>
      <c r="BO255" s="126">
        <v>14357.365828270862</v>
      </c>
      <c r="BP255" s="126">
        <v>11779.103079725679</v>
      </c>
      <c r="BQ255" s="126">
        <v>63908.230659180874</v>
      </c>
      <c r="BR255" s="126">
        <v>2385.0116100877167</v>
      </c>
      <c r="BS255" s="126">
        <v>2648.0976189911376</v>
      </c>
      <c r="BT255" s="126">
        <v>0</v>
      </c>
      <c r="BU255" s="126">
        <v>0</v>
      </c>
      <c r="BV255" s="126">
        <v>0</v>
      </c>
      <c r="BW255" s="126">
        <v>15947.992062954121</v>
      </c>
      <c r="BX255" s="126">
        <v>56098.554496650046</v>
      </c>
      <c r="BY255" s="126">
        <v>49758.368442756822</v>
      </c>
      <c r="BZ255" s="126">
        <v>9472.6978849028674</v>
      </c>
      <c r="CA255" s="137">
        <v>43433.396614382909</v>
      </c>
      <c r="CB255" s="126">
        <v>0</v>
      </c>
      <c r="CC255" s="126">
        <v>0</v>
      </c>
      <c r="CD255" s="126">
        <v>43200</v>
      </c>
      <c r="CE255" s="126">
        <v>0</v>
      </c>
      <c r="CF255" s="126">
        <v>233.39661438291282</v>
      </c>
      <c r="CG255" s="137">
        <v>0</v>
      </c>
      <c r="CH255" s="126">
        <v>0</v>
      </c>
      <c r="CI255" s="126">
        <v>0</v>
      </c>
      <c r="CJ255" s="120"/>
      <c r="CK255" s="138">
        <v>357181.24641234078</v>
      </c>
      <c r="CL255" s="139">
        <v>32.00118679499537</v>
      </c>
      <c r="CM255" s="140">
        <v>459226.36</v>
      </c>
      <c r="CN255" s="125">
        <v>669.2</v>
      </c>
      <c r="CO255" s="125">
        <v>0</v>
      </c>
      <c r="CP255" s="125">
        <v>669.2</v>
      </c>
      <c r="CQ255" s="125">
        <v>2196.41</v>
      </c>
      <c r="CR255" s="125">
        <v>1098.6099999999999</v>
      </c>
      <c r="CS255" s="125">
        <v>36358.29</v>
      </c>
      <c r="CT255" s="148">
        <v>3433.7159999999999</v>
      </c>
      <c r="CU255" s="141">
        <v>0</v>
      </c>
      <c r="CV255" s="142">
        <v>105478.82958765922</v>
      </c>
      <c r="CW255" s="143">
        <v>0.28569560863745691</v>
      </c>
      <c r="CX255" s="140">
        <v>72662.31</v>
      </c>
      <c r="CY255" s="140">
        <v>386564.05</v>
      </c>
    </row>
    <row r="256" spans="1:103" ht="12" customHeight="1" x14ac:dyDescent="0.25">
      <c r="A256" s="122">
        <v>251</v>
      </c>
      <c r="B256" s="154" t="s">
        <v>331</v>
      </c>
      <c r="C256" s="124">
        <v>6448.65</v>
      </c>
      <c r="D256" s="125">
        <v>4375.55</v>
      </c>
      <c r="E256" s="125">
        <v>2073.1</v>
      </c>
      <c r="F256" s="125">
        <v>1381.8</v>
      </c>
      <c r="G256" s="149">
        <v>537.38749999999993</v>
      </c>
      <c r="H256" s="158">
        <v>214.95499999999998</v>
      </c>
      <c r="I256" s="126">
        <v>1</v>
      </c>
      <c r="J256" s="126">
        <v>0</v>
      </c>
      <c r="K256" s="127">
        <v>1.9960081666341471E-3</v>
      </c>
      <c r="L256" s="127"/>
      <c r="M256" s="127">
        <v>6.7114093959731542E-3</v>
      </c>
      <c r="N256" s="127"/>
      <c r="O256" s="128" t="s">
        <v>1488</v>
      </c>
      <c r="P256" s="155" t="s">
        <v>321</v>
      </c>
      <c r="Q256" s="130">
        <v>4.79</v>
      </c>
      <c r="R256" s="130">
        <v>3.59</v>
      </c>
      <c r="S256" s="156">
        <v>4.66</v>
      </c>
      <c r="T256" s="38">
        <v>0</v>
      </c>
      <c r="U256" s="131">
        <v>34.979999999999997</v>
      </c>
      <c r="V256" s="157">
        <v>0</v>
      </c>
      <c r="W256" s="132">
        <v>0</v>
      </c>
      <c r="X256" s="133">
        <v>3751.6117350963714</v>
      </c>
      <c r="Y256" s="134">
        <v>0</v>
      </c>
      <c r="Z256" s="134">
        <v>3180.2836339466558</v>
      </c>
      <c r="AA256" s="134">
        <v>338.15393572756915</v>
      </c>
      <c r="AB256" s="134">
        <v>233.17416542214647</v>
      </c>
      <c r="AC256" s="126">
        <v>0</v>
      </c>
      <c r="AD256" s="126">
        <v>0</v>
      </c>
      <c r="AE256" s="126">
        <v>0</v>
      </c>
      <c r="AF256" s="126">
        <v>0</v>
      </c>
      <c r="AG256" s="126">
        <v>0</v>
      </c>
      <c r="AH256" s="126">
        <v>0</v>
      </c>
      <c r="AI256" s="126">
        <v>0</v>
      </c>
      <c r="AJ256" s="126">
        <v>0</v>
      </c>
      <c r="AK256" s="126">
        <v>0</v>
      </c>
      <c r="AL256" s="126">
        <v>0</v>
      </c>
      <c r="AM256" s="126">
        <v>0</v>
      </c>
      <c r="AN256" s="126">
        <v>0</v>
      </c>
      <c r="AO256" s="126">
        <v>0</v>
      </c>
      <c r="AP256" s="126">
        <v>0</v>
      </c>
      <c r="AQ256" s="126">
        <v>0</v>
      </c>
      <c r="AR256" s="126">
        <v>0</v>
      </c>
      <c r="AS256" s="126">
        <v>0</v>
      </c>
      <c r="AT256" s="126">
        <v>0</v>
      </c>
      <c r="AU256" s="126">
        <v>0</v>
      </c>
      <c r="AV256" s="126">
        <v>0</v>
      </c>
      <c r="AW256" s="135">
        <v>26697.500947151653</v>
      </c>
      <c r="AX256" s="136">
        <v>23255.460363666531</v>
      </c>
      <c r="AY256" s="136">
        <v>3442.0405834851213</v>
      </c>
      <c r="AZ256" s="126">
        <v>0</v>
      </c>
      <c r="BA256" s="126">
        <v>0</v>
      </c>
      <c r="BB256" s="126">
        <v>0</v>
      </c>
      <c r="BC256" s="126">
        <v>0</v>
      </c>
      <c r="BD256" s="126">
        <v>0</v>
      </c>
      <c r="BE256" s="126">
        <v>0</v>
      </c>
      <c r="BF256" s="126">
        <v>0</v>
      </c>
      <c r="BG256" s="126">
        <v>0</v>
      </c>
      <c r="BH256" s="126">
        <v>0</v>
      </c>
      <c r="BI256" s="137">
        <v>70247.466696701653</v>
      </c>
      <c r="BJ256" s="126">
        <v>0</v>
      </c>
      <c r="BK256" s="126">
        <v>0</v>
      </c>
      <c r="BL256" s="126">
        <v>866.79102225090389</v>
      </c>
      <c r="BM256" s="126">
        <v>0</v>
      </c>
      <c r="BN256" s="126">
        <v>14448.676239430555</v>
      </c>
      <c r="BO256" s="126">
        <v>8295.08821829314</v>
      </c>
      <c r="BP256" s="126">
        <v>6805.4753460621769</v>
      </c>
      <c r="BQ256" s="126">
        <v>36923.514907523786</v>
      </c>
      <c r="BR256" s="126">
        <v>1377.9604102846529</v>
      </c>
      <c r="BS256" s="126">
        <v>1529.9605528564437</v>
      </c>
      <c r="BT256" s="126">
        <v>0</v>
      </c>
      <c r="BU256" s="126">
        <v>0</v>
      </c>
      <c r="BV256" s="126">
        <v>0</v>
      </c>
      <c r="BW256" s="126">
        <v>9214.0858322599179</v>
      </c>
      <c r="BX256" s="126">
        <v>32411.409170346484</v>
      </c>
      <c r="BY256" s="126">
        <v>28748.313636911142</v>
      </c>
      <c r="BZ256" s="126">
        <v>2189.172179921296</v>
      </c>
      <c r="CA256" s="137">
        <v>7334.846846511703</v>
      </c>
      <c r="CB256" s="126">
        <v>0</v>
      </c>
      <c r="CC256" s="126">
        <v>0</v>
      </c>
      <c r="CD256" s="126">
        <v>7200</v>
      </c>
      <c r="CE256" s="126">
        <v>0</v>
      </c>
      <c r="CF256" s="126">
        <v>134.84684651170278</v>
      </c>
      <c r="CG256" s="137">
        <v>0</v>
      </c>
      <c r="CH256" s="126">
        <v>0</v>
      </c>
      <c r="CI256" s="126">
        <v>0</v>
      </c>
      <c r="CJ256" s="120"/>
      <c r="CK256" s="138">
        <v>180594.40704490023</v>
      </c>
      <c r="CL256" s="139">
        <v>28.004994385631139</v>
      </c>
      <c r="CM256" s="140">
        <v>149140.35</v>
      </c>
      <c r="CN256" s="125">
        <v>360.91</v>
      </c>
      <c r="CO256" s="125">
        <v>0</v>
      </c>
      <c r="CP256" s="125">
        <v>360.91</v>
      </c>
      <c r="CQ256" s="125">
        <v>1407.75</v>
      </c>
      <c r="CR256" s="125">
        <v>763.34</v>
      </c>
      <c r="CS256" s="125">
        <v>11438.83</v>
      </c>
      <c r="CT256" s="148">
        <v>72517.037999999986</v>
      </c>
      <c r="CU256" s="141">
        <v>0</v>
      </c>
      <c r="CV256" s="142">
        <v>41062.980955099745</v>
      </c>
      <c r="CW256" s="143">
        <v>-0.17416960779455348</v>
      </c>
      <c r="CX256" s="140">
        <v>21926.3</v>
      </c>
      <c r="CY256" s="140">
        <v>127214.05</v>
      </c>
    </row>
    <row r="257" spans="1:103" ht="12" customHeight="1" x14ac:dyDescent="0.25">
      <c r="A257" s="122">
        <v>252</v>
      </c>
      <c r="B257" s="154" t="s">
        <v>332</v>
      </c>
      <c r="C257" s="124">
        <v>3124.7</v>
      </c>
      <c r="D257" s="125">
        <v>3124.7</v>
      </c>
      <c r="E257" s="125">
        <v>0</v>
      </c>
      <c r="F257" s="125">
        <v>1469.5</v>
      </c>
      <c r="G257" s="149">
        <v>260.39166666666665</v>
      </c>
      <c r="H257" s="158">
        <v>104.15666666666667</v>
      </c>
      <c r="I257" s="126">
        <v>1</v>
      </c>
      <c r="J257" s="126">
        <v>0</v>
      </c>
      <c r="K257" s="127">
        <v>1.9960081666341471E-3</v>
      </c>
      <c r="L257" s="127"/>
      <c r="M257" s="127">
        <v>6.7114093959731542E-3</v>
      </c>
      <c r="N257" s="127"/>
      <c r="O257" s="128" t="s">
        <v>1488</v>
      </c>
      <c r="P257" s="155" t="s">
        <v>321</v>
      </c>
      <c r="Q257" s="130">
        <v>4.79</v>
      </c>
      <c r="R257" s="130">
        <v>3.59</v>
      </c>
      <c r="S257" s="130">
        <v>4.66</v>
      </c>
      <c r="T257" s="159">
        <v>0.69</v>
      </c>
      <c r="U257" s="131">
        <v>40.33</v>
      </c>
      <c r="V257" s="157">
        <v>0</v>
      </c>
      <c r="W257" s="132">
        <v>0</v>
      </c>
      <c r="X257" s="133">
        <v>1817.847330628214</v>
      </c>
      <c r="Y257" s="134">
        <v>0</v>
      </c>
      <c r="Z257" s="134">
        <v>1541.0097107135782</v>
      </c>
      <c r="AA257" s="134">
        <v>163.85283787582446</v>
      </c>
      <c r="AB257" s="134">
        <v>112.9847820388114</v>
      </c>
      <c r="AC257" s="126">
        <v>0</v>
      </c>
      <c r="AD257" s="126">
        <v>0</v>
      </c>
      <c r="AE257" s="126">
        <v>0</v>
      </c>
      <c r="AF257" s="126">
        <v>0</v>
      </c>
      <c r="AG257" s="126">
        <v>0</v>
      </c>
      <c r="AH257" s="126">
        <v>0</v>
      </c>
      <c r="AI257" s="126">
        <v>0</v>
      </c>
      <c r="AJ257" s="126">
        <v>0</v>
      </c>
      <c r="AK257" s="126">
        <v>0</v>
      </c>
      <c r="AL257" s="126">
        <v>0</v>
      </c>
      <c r="AM257" s="126">
        <v>0</v>
      </c>
      <c r="AN257" s="126">
        <v>0</v>
      </c>
      <c r="AO257" s="126">
        <v>0</v>
      </c>
      <c r="AP257" s="126">
        <v>0</v>
      </c>
      <c r="AQ257" s="126">
        <v>0</v>
      </c>
      <c r="AR257" s="126">
        <v>0</v>
      </c>
      <c r="AS257" s="126">
        <v>0</v>
      </c>
      <c r="AT257" s="126">
        <v>0</v>
      </c>
      <c r="AU257" s="126">
        <v>0</v>
      </c>
      <c r="AV257" s="126">
        <v>0</v>
      </c>
      <c r="AW257" s="135">
        <v>12936.301583984985</v>
      </c>
      <c r="AX257" s="136">
        <v>11268.457273747035</v>
      </c>
      <c r="AY257" s="136">
        <v>1667.8443102379504</v>
      </c>
      <c r="AZ257" s="126">
        <v>0</v>
      </c>
      <c r="BA257" s="126">
        <v>0</v>
      </c>
      <c r="BB257" s="126">
        <v>0</v>
      </c>
      <c r="BC257" s="126">
        <v>0</v>
      </c>
      <c r="BD257" s="126">
        <v>0</v>
      </c>
      <c r="BE257" s="126">
        <v>0</v>
      </c>
      <c r="BF257" s="126">
        <v>0</v>
      </c>
      <c r="BG257" s="126">
        <v>0</v>
      </c>
      <c r="BH257" s="126">
        <v>0</v>
      </c>
      <c r="BI257" s="137">
        <v>34038.482347031342</v>
      </c>
      <c r="BJ257" s="126">
        <v>0</v>
      </c>
      <c r="BK257" s="126">
        <v>0</v>
      </c>
      <c r="BL257" s="126">
        <v>420.00448267891721</v>
      </c>
      <c r="BM257" s="126">
        <v>0</v>
      </c>
      <c r="BN257" s="126">
        <v>7001.1209548275465</v>
      </c>
      <c r="BO257" s="126">
        <v>4019.3935406171177</v>
      </c>
      <c r="BP257" s="126">
        <v>3297.6000889861421</v>
      </c>
      <c r="BQ257" s="126">
        <v>17891.327181896919</v>
      </c>
      <c r="BR257" s="126">
        <v>667.69213618609399</v>
      </c>
      <c r="BS257" s="126">
        <v>741.34396183860656</v>
      </c>
      <c r="BT257" s="126">
        <v>0</v>
      </c>
      <c r="BU257" s="126">
        <v>0</v>
      </c>
      <c r="BV257" s="126">
        <v>0</v>
      </c>
      <c r="BW257" s="126">
        <v>4464.6947810879128</v>
      </c>
      <c r="BX257" s="126">
        <v>15704.981699205517</v>
      </c>
      <c r="BY257" s="126">
        <v>13930.024985269205</v>
      </c>
      <c r="BZ257" s="126">
        <v>1060.7656347607754</v>
      </c>
      <c r="CA257" s="137">
        <v>7265.3401783776635</v>
      </c>
      <c r="CB257" s="126">
        <v>0</v>
      </c>
      <c r="CC257" s="126">
        <v>0</v>
      </c>
      <c r="CD257" s="126">
        <v>7200</v>
      </c>
      <c r="CE257" s="126">
        <v>0</v>
      </c>
      <c r="CF257" s="126">
        <v>65.340178377663179</v>
      </c>
      <c r="CG257" s="137">
        <v>2949.8650804683489</v>
      </c>
      <c r="CH257" s="126">
        <v>0</v>
      </c>
      <c r="CI257" s="126">
        <v>2949.8650804683489</v>
      </c>
      <c r="CJ257" s="120"/>
      <c r="CK257" s="138">
        <v>94168.303620813953</v>
      </c>
      <c r="CL257" s="139">
        <v>30.136750286687988</v>
      </c>
      <c r="CM257" s="140">
        <v>126196.61</v>
      </c>
      <c r="CN257" s="125">
        <v>275.18</v>
      </c>
      <c r="CO257" s="125">
        <v>0</v>
      </c>
      <c r="CP257" s="125">
        <v>275.18</v>
      </c>
      <c r="CQ257" s="125">
        <v>1073.3499999999999</v>
      </c>
      <c r="CR257" s="125">
        <v>582</v>
      </c>
      <c r="CS257" s="125">
        <v>8721.7900000000009</v>
      </c>
      <c r="CT257" s="148">
        <v>0</v>
      </c>
      <c r="CU257" s="141">
        <v>0</v>
      </c>
      <c r="CV257" s="142">
        <v>32028.306379186048</v>
      </c>
      <c r="CW257" s="143">
        <v>0.34011769510210077</v>
      </c>
      <c r="CX257" s="140">
        <v>20640.900000000001</v>
      </c>
      <c r="CY257" s="140">
        <v>105555.70999999999</v>
      </c>
    </row>
    <row r="258" spans="1:103" ht="12" customHeight="1" x14ac:dyDescent="0.25">
      <c r="A258" s="122">
        <v>253</v>
      </c>
      <c r="B258" s="154" t="s">
        <v>333</v>
      </c>
      <c r="C258" s="124">
        <v>595.5</v>
      </c>
      <c r="D258" s="125">
        <v>595.5</v>
      </c>
      <c r="E258" s="125">
        <v>0</v>
      </c>
      <c r="F258" s="125">
        <v>314.5</v>
      </c>
      <c r="G258" s="149">
        <v>49.625</v>
      </c>
      <c r="H258" s="149"/>
      <c r="I258" s="126">
        <v>0</v>
      </c>
      <c r="J258" s="126">
        <v>0</v>
      </c>
      <c r="K258" s="127">
        <v>0</v>
      </c>
      <c r="L258" s="127"/>
      <c r="M258" s="127">
        <v>0</v>
      </c>
      <c r="N258" s="127"/>
      <c r="O258" s="128" t="s">
        <v>1488</v>
      </c>
      <c r="P258" s="155" t="s">
        <v>321</v>
      </c>
      <c r="Q258" s="130">
        <v>4.79</v>
      </c>
      <c r="R258" s="130">
        <v>3.59</v>
      </c>
      <c r="S258" s="130">
        <v>0</v>
      </c>
      <c r="T258" s="159">
        <v>0.69</v>
      </c>
      <c r="U258" s="131">
        <v>23.78</v>
      </c>
      <c r="V258" s="157">
        <v>0</v>
      </c>
      <c r="W258" s="132">
        <v>0</v>
      </c>
      <c r="X258" s="133">
        <v>346.44224578010733</v>
      </c>
      <c r="Y258" s="134">
        <v>0</v>
      </c>
      <c r="Z258" s="134">
        <v>293.68300404196748</v>
      </c>
      <c r="AA258" s="134">
        <v>31.226794557894671</v>
      </c>
      <c r="AB258" s="134">
        <v>21.532447180245207</v>
      </c>
      <c r="AC258" s="126">
        <v>0</v>
      </c>
      <c r="AD258" s="126">
        <v>0</v>
      </c>
      <c r="AE258" s="126">
        <v>0</v>
      </c>
      <c r="AF258" s="126">
        <v>0</v>
      </c>
      <c r="AG258" s="126">
        <v>0</v>
      </c>
      <c r="AH258" s="126">
        <v>0</v>
      </c>
      <c r="AI258" s="126">
        <v>0</v>
      </c>
      <c r="AJ258" s="126">
        <v>0</v>
      </c>
      <c r="AK258" s="126">
        <v>0</v>
      </c>
      <c r="AL258" s="126">
        <v>0</v>
      </c>
      <c r="AM258" s="126">
        <v>0</v>
      </c>
      <c r="AN258" s="126">
        <v>0</v>
      </c>
      <c r="AO258" s="126">
        <v>0</v>
      </c>
      <c r="AP258" s="126">
        <v>0</v>
      </c>
      <c r="AQ258" s="126">
        <v>0</v>
      </c>
      <c r="AR258" s="126">
        <v>0</v>
      </c>
      <c r="AS258" s="126">
        <v>0</v>
      </c>
      <c r="AT258" s="126">
        <v>0</v>
      </c>
      <c r="AU258" s="126">
        <v>0</v>
      </c>
      <c r="AV258" s="126">
        <v>0</v>
      </c>
      <c r="AW258" s="135">
        <v>61409.378306161569</v>
      </c>
      <c r="AX258" s="136">
        <v>2147.5233803297469</v>
      </c>
      <c r="AY258" s="136">
        <v>317.85492583182372</v>
      </c>
      <c r="AZ258" s="126">
        <v>0</v>
      </c>
      <c r="BA258" s="126">
        <v>0</v>
      </c>
      <c r="BB258" s="126">
        <v>0</v>
      </c>
      <c r="BC258" s="126">
        <v>58944</v>
      </c>
      <c r="BD258" s="126">
        <v>0</v>
      </c>
      <c r="BE258" s="126">
        <v>0</v>
      </c>
      <c r="BF258" s="126">
        <v>0</v>
      </c>
      <c r="BG258" s="126">
        <v>0</v>
      </c>
      <c r="BH258" s="126">
        <v>0</v>
      </c>
      <c r="BI258" s="137">
        <v>6486.9959476612694</v>
      </c>
      <c r="BJ258" s="126">
        <v>0</v>
      </c>
      <c r="BK258" s="126">
        <v>0</v>
      </c>
      <c r="BL258" s="126">
        <v>80.043738418182613</v>
      </c>
      <c r="BM258" s="126">
        <v>0</v>
      </c>
      <c r="BN258" s="126">
        <v>1334.2616982749719</v>
      </c>
      <c r="BO258" s="126">
        <v>766.00916998031607</v>
      </c>
      <c r="BP258" s="126">
        <v>628.45100425360761</v>
      </c>
      <c r="BQ258" s="126">
        <v>3409.698638851607</v>
      </c>
      <c r="BR258" s="126">
        <v>127.2476292440295</v>
      </c>
      <c r="BS258" s="126">
        <v>141.28406863855417</v>
      </c>
      <c r="BT258" s="126">
        <v>0</v>
      </c>
      <c r="BU258" s="126">
        <v>0</v>
      </c>
      <c r="BV258" s="126">
        <v>0</v>
      </c>
      <c r="BW258" s="126">
        <v>850.87392138056532</v>
      </c>
      <c r="BX258" s="126">
        <v>2993.0286433503652</v>
      </c>
      <c r="BY258" s="126">
        <v>2654.7604181930465</v>
      </c>
      <c r="BZ258" s="126">
        <v>0</v>
      </c>
      <c r="CA258" s="137">
        <v>0</v>
      </c>
      <c r="CB258" s="126">
        <v>0</v>
      </c>
      <c r="CC258" s="126">
        <v>0</v>
      </c>
      <c r="CD258" s="126">
        <v>0</v>
      </c>
      <c r="CE258" s="126">
        <v>0</v>
      </c>
      <c r="CF258" s="126">
        <v>0</v>
      </c>
      <c r="CG258" s="137">
        <v>562.18025903891635</v>
      </c>
      <c r="CH258" s="126">
        <v>0</v>
      </c>
      <c r="CI258" s="126">
        <v>562.18025903891635</v>
      </c>
      <c r="CJ258" s="120"/>
      <c r="CK258" s="138">
        <v>75303.659741565833</v>
      </c>
      <c r="CL258" s="139">
        <v>126.45450838214245</v>
      </c>
      <c r="CM258" s="140">
        <v>11714.03</v>
      </c>
      <c r="CN258" s="125">
        <v>133.49</v>
      </c>
      <c r="CO258" s="125">
        <v>0</v>
      </c>
      <c r="CP258" s="125">
        <v>133.49</v>
      </c>
      <c r="CQ258" s="125">
        <v>520.11</v>
      </c>
      <c r="CR258" s="125">
        <v>282.32</v>
      </c>
      <c r="CS258" s="125">
        <v>825.89</v>
      </c>
      <c r="CT258" s="148">
        <v>0</v>
      </c>
      <c r="CU258" s="141">
        <v>0</v>
      </c>
      <c r="CV258" s="142">
        <v>-63589.629741565834</v>
      </c>
      <c r="CW258" s="143">
        <v>0</v>
      </c>
      <c r="CX258" s="140">
        <v>1951.43</v>
      </c>
      <c r="CY258" s="140">
        <v>9762.6</v>
      </c>
    </row>
    <row r="259" spans="1:103" ht="12" customHeight="1" x14ac:dyDescent="0.25">
      <c r="A259" s="122">
        <v>254</v>
      </c>
      <c r="B259" s="154" t="s">
        <v>334</v>
      </c>
      <c r="C259" s="124">
        <v>9375.2000000000007</v>
      </c>
      <c r="D259" s="125">
        <v>9375.2000000000007</v>
      </c>
      <c r="E259" s="125">
        <v>0</v>
      </c>
      <c r="F259" s="125">
        <v>2984.9</v>
      </c>
      <c r="G259" s="149">
        <v>781.26666666666677</v>
      </c>
      <c r="H259" s="124">
        <v>781.26666666666677</v>
      </c>
      <c r="I259" s="126">
        <v>2</v>
      </c>
      <c r="J259" s="126">
        <v>2</v>
      </c>
      <c r="K259" s="127">
        <v>7.9840326665365884E-3</v>
      </c>
      <c r="L259" s="127"/>
      <c r="M259" s="127">
        <v>2.6845637583892617E-2</v>
      </c>
      <c r="N259" s="127"/>
      <c r="O259" s="128" t="s">
        <v>1495</v>
      </c>
      <c r="P259" s="155" t="s">
        <v>321</v>
      </c>
      <c r="Q259" s="130">
        <v>4.79</v>
      </c>
      <c r="R259" s="130">
        <v>3.43</v>
      </c>
      <c r="S259" s="130">
        <v>4.66</v>
      </c>
      <c r="T259" s="38">
        <v>0</v>
      </c>
      <c r="U259" s="131">
        <v>41.47</v>
      </c>
      <c r="V259" s="157">
        <v>0</v>
      </c>
      <c r="W259" s="132">
        <v>0</v>
      </c>
      <c r="X259" s="133">
        <v>5454.1819355796188</v>
      </c>
      <c r="Y259" s="134">
        <v>0</v>
      </c>
      <c r="Z259" s="134">
        <v>4623.5716196377061</v>
      </c>
      <c r="AA259" s="134">
        <v>491.61619536385246</v>
      </c>
      <c r="AB259" s="134">
        <v>338.99412057806023</v>
      </c>
      <c r="AC259" s="126">
        <v>0</v>
      </c>
      <c r="AD259" s="126">
        <v>0</v>
      </c>
      <c r="AE259" s="126">
        <v>0</v>
      </c>
      <c r="AF259" s="126">
        <v>0</v>
      </c>
      <c r="AG259" s="126">
        <v>0</v>
      </c>
      <c r="AH259" s="126">
        <v>0</v>
      </c>
      <c r="AI259" s="126">
        <v>0</v>
      </c>
      <c r="AJ259" s="126">
        <v>0</v>
      </c>
      <c r="AK259" s="126">
        <v>0</v>
      </c>
      <c r="AL259" s="126">
        <v>0</v>
      </c>
      <c r="AM259" s="126">
        <v>0</v>
      </c>
      <c r="AN259" s="126">
        <v>0</v>
      </c>
      <c r="AO259" s="126">
        <v>0</v>
      </c>
      <c r="AP259" s="126">
        <v>0</v>
      </c>
      <c r="AQ259" s="126">
        <v>0</v>
      </c>
      <c r="AR259" s="126">
        <v>0</v>
      </c>
      <c r="AS259" s="126">
        <v>0</v>
      </c>
      <c r="AT259" s="126">
        <v>0</v>
      </c>
      <c r="AU259" s="126">
        <v>0</v>
      </c>
      <c r="AV259" s="126">
        <v>0</v>
      </c>
      <c r="AW259" s="135">
        <v>46995.274767298004</v>
      </c>
      <c r="AX259" s="136">
        <v>33809.33869902174</v>
      </c>
      <c r="AY259" s="136">
        <v>5004.1200682762619</v>
      </c>
      <c r="AZ259" s="126">
        <v>8181.8159999999998</v>
      </c>
      <c r="BA259" s="126">
        <v>0</v>
      </c>
      <c r="BB259" s="126">
        <v>0</v>
      </c>
      <c r="BC259" s="126">
        <v>0</v>
      </c>
      <c r="BD259" s="126">
        <v>0</v>
      </c>
      <c r="BE259" s="126">
        <v>0</v>
      </c>
      <c r="BF259" s="126">
        <v>0</v>
      </c>
      <c r="BG259" s="126">
        <v>0</v>
      </c>
      <c r="BH259" s="126">
        <v>0</v>
      </c>
      <c r="BI259" s="137">
        <v>102127.42973721902</v>
      </c>
      <c r="BJ259" s="126">
        <v>0</v>
      </c>
      <c r="BK259" s="126">
        <v>0</v>
      </c>
      <c r="BL259" s="126">
        <v>1260.161303808809</v>
      </c>
      <c r="BM259" s="126">
        <v>0</v>
      </c>
      <c r="BN259" s="126">
        <v>21005.827495663336</v>
      </c>
      <c r="BO259" s="126">
        <v>12059.595584214039</v>
      </c>
      <c r="BP259" s="126">
        <v>9893.9611336329526</v>
      </c>
      <c r="BQ259" s="126">
        <v>53680.279897500572</v>
      </c>
      <c r="BR259" s="126">
        <v>2003.3114587550388</v>
      </c>
      <c r="BS259" s="126">
        <v>2224.2928636442875</v>
      </c>
      <c r="BT259" s="126">
        <v>0</v>
      </c>
      <c r="BU259" s="126">
        <v>0</v>
      </c>
      <c r="BV259" s="126">
        <v>0</v>
      </c>
      <c r="BW259" s="126">
        <v>13395.656066712136</v>
      </c>
      <c r="BX259" s="126">
        <v>47120.473781928376</v>
      </c>
      <c r="BY259" s="126">
        <v>41794.978795371033</v>
      </c>
      <c r="BZ259" s="126">
        <v>7956.675824086491</v>
      </c>
      <c r="CA259" s="137">
        <v>28996.043537083966</v>
      </c>
      <c r="CB259" s="126">
        <v>0</v>
      </c>
      <c r="CC259" s="126">
        <v>0</v>
      </c>
      <c r="CD259" s="126">
        <v>28800</v>
      </c>
      <c r="CE259" s="126">
        <v>0</v>
      </c>
      <c r="CF259" s="126">
        <v>196.04353708396582</v>
      </c>
      <c r="CG259" s="137">
        <v>0</v>
      </c>
      <c r="CH259" s="126">
        <v>0</v>
      </c>
      <c r="CI259" s="126">
        <v>0</v>
      </c>
      <c r="CJ259" s="120"/>
      <c r="CK259" s="138">
        <v>293840.71444527863</v>
      </c>
      <c r="CL259" s="139">
        <v>31.342340904223761</v>
      </c>
      <c r="CM259" s="140">
        <v>388884.99</v>
      </c>
      <c r="CN259" s="125">
        <v>454</v>
      </c>
      <c r="CO259" s="125">
        <v>0</v>
      </c>
      <c r="CP259" s="125">
        <v>454</v>
      </c>
      <c r="CQ259" s="125">
        <v>1489.97</v>
      </c>
      <c r="CR259" s="125">
        <v>745.53</v>
      </c>
      <c r="CS259" s="125">
        <v>28788.38</v>
      </c>
      <c r="CT259" s="148">
        <v>0</v>
      </c>
      <c r="CU259" s="141">
        <v>0</v>
      </c>
      <c r="CV259" s="142">
        <v>95044.27555472136</v>
      </c>
      <c r="CW259" s="143">
        <v>0.3234550927843638</v>
      </c>
      <c r="CX259" s="140">
        <v>50682.25</v>
      </c>
      <c r="CY259" s="140">
        <v>338202.74</v>
      </c>
    </row>
    <row r="260" spans="1:103" ht="12" customHeight="1" x14ac:dyDescent="0.25">
      <c r="A260" s="122">
        <v>255</v>
      </c>
      <c r="B260" s="154" t="s">
        <v>335</v>
      </c>
      <c r="C260" s="124">
        <v>6810.3</v>
      </c>
      <c r="D260" s="125">
        <v>5657.3</v>
      </c>
      <c r="E260" s="125">
        <v>1153</v>
      </c>
      <c r="F260" s="125">
        <v>1542.1</v>
      </c>
      <c r="G260" s="149">
        <v>567.52499999999998</v>
      </c>
      <c r="H260" s="124">
        <v>567.52499999999998</v>
      </c>
      <c r="I260" s="126">
        <v>1</v>
      </c>
      <c r="J260" s="126">
        <v>1</v>
      </c>
      <c r="K260" s="127">
        <v>3.9920163332682942E-3</v>
      </c>
      <c r="L260" s="127"/>
      <c r="M260" s="127">
        <v>1.3422818791946308E-2</v>
      </c>
      <c r="N260" s="127"/>
      <c r="O260" s="128" t="s">
        <v>1495</v>
      </c>
      <c r="P260" s="155" t="s">
        <v>321</v>
      </c>
      <c r="Q260" s="130">
        <v>4.79</v>
      </c>
      <c r="R260" s="130">
        <v>3.43</v>
      </c>
      <c r="S260" s="130">
        <v>4.66</v>
      </c>
      <c r="T260" s="38">
        <v>0</v>
      </c>
      <c r="U260" s="131">
        <v>41.47</v>
      </c>
      <c r="V260" s="157">
        <v>0</v>
      </c>
      <c r="W260" s="132">
        <v>0</v>
      </c>
      <c r="X260" s="133">
        <v>3962.0077689945679</v>
      </c>
      <c r="Y260" s="134">
        <v>0</v>
      </c>
      <c r="Z260" s="134">
        <v>3358.6387278371303</v>
      </c>
      <c r="AA260" s="134">
        <v>357.11811751071377</v>
      </c>
      <c r="AB260" s="134">
        <v>246.25092364672363</v>
      </c>
      <c r="AC260" s="126">
        <v>0</v>
      </c>
      <c r="AD260" s="126">
        <v>0</v>
      </c>
      <c r="AE260" s="126">
        <v>0</v>
      </c>
      <c r="AF260" s="126">
        <v>0</v>
      </c>
      <c r="AG260" s="126">
        <v>0</v>
      </c>
      <c r="AH260" s="126">
        <v>0</v>
      </c>
      <c r="AI260" s="126">
        <v>0</v>
      </c>
      <c r="AJ260" s="126">
        <v>0</v>
      </c>
      <c r="AK260" s="126">
        <v>0</v>
      </c>
      <c r="AL260" s="126">
        <v>0</v>
      </c>
      <c r="AM260" s="126">
        <v>0</v>
      </c>
      <c r="AN260" s="126">
        <v>0</v>
      </c>
      <c r="AO260" s="126">
        <v>0</v>
      </c>
      <c r="AP260" s="126">
        <v>0</v>
      </c>
      <c r="AQ260" s="126">
        <v>0</v>
      </c>
      <c r="AR260" s="126">
        <v>0</v>
      </c>
      <c r="AS260" s="126">
        <v>0</v>
      </c>
      <c r="AT260" s="126">
        <v>0</v>
      </c>
      <c r="AU260" s="126">
        <v>0</v>
      </c>
      <c r="AV260" s="126">
        <v>0</v>
      </c>
      <c r="AW260" s="135">
        <v>36376.552991523327</v>
      </c>
      <c r="AX260" s="136">
        <v>24559.661590360494</v>
      </c>
      <c r="AY260" s="136">
        <v>3635.075401162836</v>
      </c>
      <c r="AZ260" s="126">
        <v>8181.8159999999998</v>
      </c>
      <c r="BA260" s="126">
        <v>0</v>
      </c>
      <c r="BB260" s="126">
        <v>0</v>
      </c>
      <c r="BC260" s="126">
        <v>0</v>
      </c>
      <c r="BD260" s="126">
        <v>0</v>
      </c>
      <c r="BE260" s="126">
        <v>0</v>
      </c>
      <c r="BF260" s="126">
        <v>0</v>
      </c>
      <c r="BG260" s="126">
        <v>0</v>
      </c>
      <c r="BH260" s="126">
        <v>0</v>
      </c>
      <c r="BI260" s="137">
        <v>74187.05038179268</v>
      </c>
      <c r="BJ260" s="126">
        <v>0</v>
      </c>
      <c r="BK260" s="126">
        <v>0</v>
      </c>
      <c r="BL260" s="126">
        <v>915.40196767313023</v>
      </c>
      <c r="BM260" s="126">
        <v>0</v>
      </c>
      <c r="BN260" s="126">
        <v>15258.979754428279</v>
      </c>
      <c r="BO260" s="126">
        <v>8760.2892532610349</v>
      </c>
      <c r="BP260" s="126">
        <v>7187.1366486454135</v>
      </c>
      <c r="BQ260" s="126">
        <v>38994.241209355328</v>
      </c>
      <c r="BR260" s="126">
        <v>1455.2385045182436</v>
      </c>
      <c r="BS260" s="126">
        <v>1615.7630439112434</v>
      </c>
      <c r="BT260" s="126">
        <v>0</v>
      </c>
      <c r="BU260" s="126">
        <v>0</v>
      </c>
      <c r="BV260" s="126">
        <v>0</v>
      </c>
      <c r="BW260" s="126">
        <v>9730.8256369069077</v>
      </c>
      <c r="BX260" s="126">
        <v>34229.089789771606</v>
      </c>
      <c r="BY260" s="126">
        <v>30360.562344282287</v>
      </c>
      <c r="BZ260" s="126">
        <v>5779.8606285493879</v>
      </c>
      <c r="CA260" s="137">
        <v>14542.409260666753</v>
      </c>
      <c r="CB260" s="126">
        <v>0</v>
      </c>
      <c r="CC260" s="126">
        <v>0</v>
      </c>
      <c r="CD260" s="126">
        <v>14400</v>
      </c>
      <c r="CE260" s="126">
        <v>0</v>
      </c>
      <c r="CF260" s="126">
        <v>142.40926066675186</v>
      </c>
      <c r="CG260" s="137">
        <v>0</v>
      </c>
      <c r="CH260" s="126">
        <v>0</v>
      </c>
      <c r="CI260" s="126">
        <v>0</v>
      </c>
      <c r="CJ260" s="120"/>
      <c r="CK260" s="138">
        <v>209168.35880248752</v>
      </c>
      <c r="CL260" s="139">
        <v>30.713530799302163</v>
      </c>
      <c r="CM260" s="140">
        <v>282539.28999999998</v>
      </c>
      <c r="CN260" s="125">
        <v>276.51</v>
      </c>
      <c r="CO260" s="125">
        <v>0</v>
      </c>
      <c r="CP260" s="125">
        <v>276.51</v>
      </c>
      <c r="CQ260" s="125">
        <v>907.25</v>
      </c>
      <c r="CR260" s="125">
        <v>453.92</v>
      </c>
      <c r="CS260" s="125">
        <v>17527.25</v>
      </c>
      <c r="CT260" s="148">
        <v>47814.909999999996</v>
      </c>
      <c r="CU260" s="141">
        <v>0</v>
      </c>
      <c r="CV260" s="142">
        <v>121185.84119751243</v>
      </c>
      <c r="CW260" s="143">
        <v>0.35077452257869846</v>
      </c>
      <c r="CX260" s="140">
        <v>94801.57</v>
      </c>
      <c r="CY260" s="140">
        <v>187737.72</v>
      </c>
    </row>
    <row r="261" spans="1:103" ht="12" customHeight="1" x14ac:dyDescent="0.25">
      <c r="A261" s="122">
        <v>256</v>
      </c>
      <c r="B261" s="154" t="s">
        <v>336</v>
      </c>
      <c r="C261" s="124">
        <v>12320.1</v>
      </c>
      <c r="D261" s="125">
        <v>12320.1</v>
      </c>
      <c r="E261" s="125">
        <v>0</v>
      </c>
      <c r="F261" s="125">
        <v>2861.6</v>
      </c>
      <c r="G261" s="149">
        <v>1026.675</v>
      </c>
      <c r="H261" s="124">
        <v>1026.675</v>
      </c>
      <c r="I261" s="126">
        <v>3</v>
      </c>
      <c r="J261" s="126">
        <v>3</v>
      </c>
      <c r="K261" s="127">
        <v>1.1976048999804883E-2</v>
      </c>
      <c r="L261" s="127"/>
      <c r="M261" s="127">
        <v>4.0268456375838924E-2</v>
      </c>
      <c r="N261" s="127"/>
      <c r="O261" s="128" t="s">
        <v>1495</v>
      </c>
      <c r="P261" s="155" t="s">
        <v>321</v>
      </c>
      <c r="Q261" s="130">
        <v>4.79</v>
      </c>
      <c r="R261" s="130">
        <v>3.43</v>
      </c>
      <c r="S261" s="130">
        <v>4.66</v>
      </c>
      <c r="T261" s="38">
        <v>0</v>
      </c>
      <c r="U261" s="131">
        <v>41.47</v>
      </c>
      <c r="V261" s="157">
        <v>0</v>
      </c>
      <c r="W261" s="132">
        <v>0</v>
      </c>
      <c r="X261" s="133">
        <v>7167.4275604290524</v>
      </c>
      <c r="Y261" s="134">
        <v>0</v>
      </c>
      <c r="Z261" s="134">
        <v>6075.9092831191329</v>
      </c>
      <c r="AA261" s="134">
        <v>646.0406912388213</v>
      </c>
      <c r="AB261" s="134">
        <v>445.47758607109813</v>
      </c>
      <c r="AC261" s="126">
        <v>0</v>
      </c>
      <c r="AD261" s="126">
        <v>0</v>
      </c>
      <c r="AE261" s="126">
        <v>0</v>
      </c>
      <c r="AF261" s="126">
        <v>0</v>
      </c>
      <c r="AG261" s="126">
        <v>0</v>
      </c>
      <c r="AH261" s="126">
        <v>0</v>
      </c>
      <c r="AI261" s="126">
        <v>0</v>
      </c>
      <c r="AJ261" s="126">
        <v>0</v>
      </c>
      <c r="AK261" s="126">
        <v>0</v>
      </c>
      <c r="AL261" s="126">
        <v>0</v>
      </c>
      <c r="AM261" s="126">
        <v>0</v>
      </c>
      <c r="AN261" s="126">
        <v>0</v>
      </c>
      <c r="AO261" s="126">
        <v>0</v>
      </c>
      <c r="AP261" s="126">
        <v>0</v>
      </c>
      <c r="AQ261" s="126">
        <v>0</v>
      </c>
      <c r="AR261" s="126">
        <v>0</v>
      </c>
      <c r="AS261" s="126">
        <v>0</v>
      </c>
      <c r="AT261" s="126">
        <v>0</v>
      </c>
      <c r="AU261" s="126">
        <v>0</v>
      </c>
      <c r="AV261" s="126">
        <v>0</v>
      </c>
      <c r="AW261" s="135">
        <v>59187.201843394061</v>
      </c>
      <c r="AX261" s="136">
        <v>44429.391768262823</v>
      </c>
      <c r="AY261" s="136">
        <v>6575.9940751312361</v>
      </c>
      <c r="AZ261" s="126">
        <v>8181.8159999999998</v>
      </c>
      <c r="BA261" s="126">
        <v>0</v>
      </c>
      <c r="BB261" s="126">
        <v>0</v>
      </c>
      <c r="BC261" s="126">
        <v>0</v>
      </c>
      <c r="BD261" s="126">
        <v>0</v>
      </c>
      <c r="BE261" s="126">
        <v>0</v>
      </c>
      <c r="BF261" s="126">
        <v>0</v>
      </c>
      <c r="BG261" s="126">
        <v>0</v>
      </c>
      <c r="BH261" s="126">
        <v>0</v>
      </c>
      <c r="BI261" s="137">
        <v>134207.28593582133</v>
      </c>
      <c r="BJ261" s="126">
        <v>0</v>
      </c>
      <c r="BK261" s="126">
        <v>0</v>
      </c>
      <c r="BL261" s="126">
        <v>1655.9980884733025</v>
      </c>
      <c r="BM261" s="126">
        <v>0</v>
      </c>
      <c r="BN261" s="126">
        <v>27604.093281137662</v>
      </c>
      <c r="BO261" s="126">
        <v>15847.707095003345</v>
      </c>
      <c r="BP261" s="126">
        <v>13001.812288001463</v>
      </c>
      <c r="BQ261" s="126">
        <v>70542.112847213575</v>
      </c>
      <c r="BR261" s="126">
        <v>2632.5835718713147</v>
      </c>
      <c r="BS261" s="126">
        <v>2922.9787641206567</v>
      </c>
      <c r="BT261" s="126">
        <v>0</v>
      </c>
      <c r="BU261" s="126">
        <v>0</v>
      </c>
      <c r="BV261" s="126">
        <v>0</v>
      </c>
      <c r="BW261" s="126">
        <v>17603.445505962554</v>
      </c>
      <c r="BX261" s="126">
        <v>61921.766899984606</v>
      </c>
      <c r="BY261" s="126">
        <v>54923.448913820568</v>
      </c>
      <c r="BZ261" s="126">
        <v>10455.994732947345</v>
      </c>
      <c r="CA261" s="137">
        <v>43457.62394202024</v>
      </c>
      <c r="CB261" s="126">
        <v>0</v>
      </c>
      <c r="CC261" s="126">
        <v>0</v>
      </c>
      <c r="CD261" s="126">
        <v>43200</v>
      </c>
      <c r="CE261" s="126">
        <v>0</v>
      </c>
      <c r="CF261" s="126">
        <v>257.62394202024137</v>
      </c>
      <c r="CG261" s="137">
        <v>0</v>
      </c>
      <c r="CH261" s="126">
        <v>0</v>
      </c>
      <c r="CI261" s="126">
        <v>0</v>
      </c>
      <c r="CJ261" s="120"/>
      <c r="CK261" s="138">
        <v>388924.19533437974</v>
      </c>
      <c r="CL261" s="139">
        <v>31.568266112643546</v>
      </c>
      <c r="CM261" s="140">
        <v>511213.22</v>
      </c>
      <c r="CN261" s="125">
        <v>513.42999999999995</v>
      </c>
      <c r="CO261" s="125">
        <v>0</v>
      </c>
      <c r="CP261" s="125">
        <v>513.42999999999995</v>
      </c>
      <c r="CQ261" s="125">
        <v>1684.24</v>
      </c>
      <c r="CR261" s="125">
        <v>842.58</v>
      </c>
      <c r="CS261" s="125">
        <v>32539.64</v>
      </c>
      <c r="CT261" s="148">
        <v>0</v>
      </c>
      <c r="CU261" s="141">
        <v>0</v>
      </c>
      <c r="CV261" s="142">
        <v>122289.02466562024</v>
      </c>
      <c r="CW261" s="143">
        <v>0.31442894562134804</v>
      </c>
      <c r="CX261" s="140">
        <v>87511.2</v>
      </c>
      <c r="CY261" s="140">
        <v>423702.02</v>
      </c>
    </row>
    <row r="262" spans="1:103" ht="12" customHeight="1" x14ac:dyDescent="0.25">
      <c r="A262" s="122">
        <v>257</v>
      </c>
      <c r="B262" s="154" t="s">
        <v>337</v>
      </c>
      <c r="C262" s="124">
        <v>17962.04</v>
      </c>
      <c r="D262" s="125">
        <v>17849.54</v>
      </c>
      <c r="E262" s="125">
        <v>112.5</v>
      </c>
      <c r="F262" s="125">
        <v>4722.8999999999996</v>
      </c>
      <c r="G262" s="149">
        <v>1496.8366666666668</v>
      </c>
      <c r="H262" s="124">
        <v>1496.8366666666668</v>
      </c>
      <c r="I262" s="126">
        <v>4</v>
      </c>
      <c r="J262" s="126">
        <v>4</v>
      </c>
      <c r="K262" s="127">
        <v>1.5968065333073177E-2</v>
      </c>
      <c r="L262" s="127"/>
      <c r="M262" s="127">
        <v>5.3691275167785234E-2</v>
      </c>
      <c r="N262" s="127"/>
      <c r="O262" s="128" t="s">
        <v>1495</v>
      </c>
      <c r="P262" s="155" t="s">
        <v>321</v>
      </c>
      <c r="Q262" s="130">
        <v>4.79</v>
      </c>
      <c r="R262" s="130">
        <v>3.43</v>
      </c>
      <c r="S262" s="130">
        <v>4.66</v>
      </c>
      <c r="T262" s="38">
        <v>0</v>
      </c>
      <c r="U262" s="131">
        <v>41.47</v>
      </c>
      <c r="V262" s="157">
        <v>0</v>
      </c>
      <c r="W262" s="132">
        <v>0</v>
      </c>
      <c r="X262" s="133">
        <v>10449.72204264</v>
      </c>
      <c r="Y262" s="134">
        <v>0</v>
      </c>
      <c r="Z262" s="134">
        <v>8858.3473819008941</v>
      </c>
      <c r="AA262" s="134">
        <v>941.89241464430972</v>
      </c>
      <c r="AB262" s="134">
        <v>649.48224609479701</v>
      </c>
      <c r="AC262" s="126">
        <v>0</v>
      </c>
      <c r="AD262" s="126">
        <v>0</v>
      </c>
      <c r="AE262" s="126">
        <v>0</v>
      </c>
      <c r="AF262" s="126">
        <v>0</v>
      </c>
      <c r="AG262" s="126">
        <v>0</v>
      </c>
      <c r="AH262" s="126">
        <v>0</v>
      </c>
      <c r="AI262" s="126">
        <v>0</v>
      </c>
      <c r="AJ262" s="126">
        <v>0</v>
      </c>
      <c r="AK262" s="126">
        <v>0</v>
      </c>
      <c r="AL262" s="126">
        <v>0</v>
      </c>
      <c r="AM262" s="126">
        <v>0</v>
      </c>
      <c r="AN262" s="126">
        <v>0</v>
      </c>
      <c r="AO262" s="126">
        <v>0</v>
      </c>
      <c r="AP262" s="126">
        <v>0</v>
      </c>
      <c r="AQ262" s="126">
        <v>0</v>
      </c>
      <c r="AR262" s="126">
        <v>0</v>
      </c>
      <c r="AS262" s="126">
        <v>0</v>
      </c>
      <c r="AT262" s="126">
        <v>0</v>
      </c>
      <c r="AU262" s="126">
        <v>0</v>
      </c>
      <c r="AV262" s="126">
        <v>0</v>
      </c>
      <c r="AW262" s="135">
        <v>82544.912138381842</v>
      </c>
      <c r="AX262" s="136">
        <v>64775.65215519417</v>
      </c>
      <c r="AY262" s="136">
        <v>9587.4439831876589</v>
      </c>
      <c r="AZ262" s="126">
        <v>8181.8159999999998</v>
      </c>
      <c r="BA262" s="126">
        <v>0</v>
      </c>
      <c r="BB262" s="126">
        <v>0</v>
      </c>
      <c r="BC262" s="126">
        <v>0</v>
      </c>
      <c r="BD262" s="126">
        <v>0</v>
      </c>
      <c r="BE262" s="126">
        <v>0</v>
      </c>
      <c r="BF262" s="126">
        <v>0</v>
      </c>
      <c r="BG262" s="126">
        <v>0</v>
      </c>
      <c r="BH262" s="126">
        <v>0</v>
      </c>
      <c r="BI262" s="137">
        <v>195666.97009526385</v>
      </c>
      <c r="BJ262" s="126">
        <v>0</v>
      </c>
      <c r="BK262" s="126">
        <v>0</v>
      </c>
      <c r="BL262" s="126">
        <v>2414.3557199276793</v>
      </c>
      <c r="BM262" s="126">
        <v>0</v>
      </c>
      <c r="BN262" s="126">
        <v>40245.276229862262</v>
      </c>
      <c r="BO262" s="126">
        <v>23105.100506386632</v>
      </c>
      <c r="BP262" s="126">
        <v>18955.939674968045</v>
      </c>
      <c r="BQ262" s="126">
        <v>102846.58831066015</v>
      </c>
      <c r="BR262" s="126">
        <v>3838.1645783147405</v>
      </c>
      <c r="BS262" s="126">
        <v>4261.5450751443423</v>
      </c>
      <c r="BT262" s="126">
        <v>0</v>
      </c>
      <c r="BU262" s="126">
        <v>0</v>
      </c>
      <c r="BV262" s="126">
        <v>0</v>
      </c>
      <c r="BW262" s="126">
        <v>25664.872226355281</v>
      </c>
      <c r="BX262" s="126">
        <v>90278.589778345922</v>
      </c>
      <c r="BY262" s="126">
        <v>80075.420356003742</v>
      </c>
      <c r="BZ262" s="126">
        <v>15244.275260183729</v>
      </c>
      <c r="CA262" s="137">
        <v>57975.60178501191</v>
      </c>
      <c r="CB262" s="126">
        <v>0</v>
      </c>
      <c r="CC262" s="126">
        <v>0</v>
      </c>
      <c r="CD262" s="126">
        <v>57600</v>
      </c>
      <c r="CE262" s="126">
        <v>0</v>
      </c>
      <c r="CF262" s="126">
        <v>375.601785011912</v>
      </c>
      <c r="CG262" s="137">
        <v>0</v>
      </c>
      <c r="CH262" s="126">
        <v>0</v>
      </c>
      <c r="CI262" s="126">
        <v>0</v>
      </c>
      <c r="CJ262" s="120"/>
      <c r="CK262" s="138">
        <v>557900.36368218623</v>
      </c>
      <c r="CL262" s="139">
        <v>31.059966667604915</v>
      </c>
      <c r="CM262" s="140">
        <v>739729.6</v>
      </c>
      <c r="CN262" s="125">
        <v>517.53</v>
      </c>
      <c r="CO262" s="125">
        <v>0</v>
      </c>
      <c r="CP262" s="125">
        <v>531.38</v>
      </c>
      <c r="CQ262" s="125">
        <v>1743.51</v>
      </c>
      <c r="CR262" s="125">
        <v>872.04</v>
      </c>
      <c r="CS262" s="125">
        <v>33685.26</v>
      </c>
      <c r="CT262" s="148">
        <v>4665.375</v>
      </c>
      <c r="CU262" s="141">
        <v>0</v>
      </c>
      <c r="CV262" s="142">
        <v>186494.61131781375</v>
      </c>
      <c r="CW262" s="143">
        <v>0.32591704210000239</v>
      </c>
      <c r="CX262" s="140">
        <v>187923.76</v>
      </c>
      <c r="CY262" s="140">
        <v>551805.84</v>
      </c>
    </row>
    <row r="263" spans="1:103" ht="12" customHeight="1" x14ac:dyDescent="0.25">
      <c r="A263" s="122">
        <v>258</v>
      </c>
      <c r="B263" s="154" t="s">
        <v>338</v>
      </c>
      <c r="C263" s="124">
        <v>2990.6</v>
      </c>
      <c r="D263" s="125">
        <v>2990.6</v>
      </c>
      <c r="E263" s="125">
        <v>0</v>
      </c>
      <c r="F263" s="125">
        <v>1123.4000000000001</v>
      </c>
      <c r="G263" s="149">
        <v>249.21666666666667</v>
      </c>
      <c r="H263" s="124">
        <v>249.21666666666667</v>
      </c>
      <c r="I263" s="126">
        <v>1</v>
      </c>
      <c r="J263" s="126">
        <v>1</v>
      </c>
      <c r="K263" s="127">
        <v>3.9920163332682942E-3</v>
      </c>
      <c r="L263" s="127"/>
      <c r="M263" s="127">
        <v>1.3422818791946308E-2</v>
      </c>
      <c r="N263" s="127"/>
      <c r="O263" s="128" t="s">
        <v>1495</v>
      </c>
      <c r="P263" s="155" t="s">
        <v>321</v>
      </c>
      <c r="Q263" s="130">
        <v>4.79</v>
      </c>
      <c r="R263" s="130">
        <v>3.43</v>
      </c>
      <c r="S263" s="130">
        <v>4.66</v>
      </c>
      <c r="T263" s="38">
        <v>0</v>
      </c>
      <c r="U263" s="131">
        <v>41.47</v>
      </c>
      <c r="V263" s="157">
        <v>0</v>
      </c>
      <c r="W263" s="132">
        <v>0</v>
      </c>
      <c r="X263" s="133">
        <v>1739.8323765407035</v>
      </c>
      <c r="Y263" s="134">
        <v>0</v>
      </c>
      <c r="Z263" s="134">
        <v>1474.8755531283089</v>
      </c>
      <c r="AA263" s="134">
        <v>156.82090983180487</v>
      </c>
      <c r="AB263" s="134">
        <v>108.13591358058994</v>
      </c>
      <c r="AC263" s="126">
        <v>0</v>
      </c>
      <c r="AD263" s="126">
        <v>0</v>
      </c>
      <c r="AE263" s="126">
        <v>0</v>
      </c>
      <c r="AF263" s="126">
        <v>0</v>
      </c>
      <c r="AG263" s="126">
        <v>0</v>
      </c>
      <c r="AH263" s="126">
        <v>0</v>
      </c>
      <c r="AI263" s="126">
        <v>0</v>
      </c>
      <c r="AJ263" s="126">
        <v>0</v>
      </c>
      <c r="AK263" s="126">
        <v>0</v>
      </c>
      <c r="AL263" s="126">
        <v>0</v>
      </c>
      <c r="AM263" s="126">
        <v>0</v>
      </c>
      <c r="AN263" s="126">
        <v>0</v>
      </c>
      <c r="AO263" s="126">
        <v>0</v>
      </c>
      <c r="AP263" s="126">
        <v>0</v>
      </c>
      <c r="AQ263" s="126">
        <v>0</v>
      </c>
      <c r="AR263" s="126">
        <v>0</v>
      </c>
      <c r="AS263" s="126">
        <v>0</v>
      </c>
      <c r="AT263" s="126">
        <v>0</v>
      </c>
      <c r="AU263" s="126">
        <v>0</v>
      </c>
      <c r="AV263" s="126">
        <v>0</v>
      </c>
      <c r="AW263" s="135">
        <v>20562.941713529457</v>
      </c>
      <c r="AX263" s="136">
        <v>10784.85880976346</v>
      </c>
      <c r="AY263" s="136">
        <v>1596.2669037659982</v>
      </c>
      <c r="AZ263" s="126">
        <v>8181.8159999999998</v>
      </c>
      <c r="BA263" s="126">
        <v>0</v>
      </c>
      <c r="BB263" s="126">
        <v>0</v>
      </c>
      <c r="BC263" s="126">
        <v>0</v>
      </c>
      <c r="BD263" s="126">
        <v>0</v>
      </c>
      <c r="BE263" s="126">
        <v>0</v>
      </c>
      <c r="BF263" s="126">
        <v>0</v>
      </c>
      <c r="BG263" s="126">
        <v>0</v>
      </c>
      <c r="BH263" s="126">
        <v>0</v>
      </c>
      <c r="BI263" s="137">
        <v>32577.68275579478</v>
      </c>
      <c r="BJ263" s="126">
        <v>0</v>
      </c>
      <c r="BK263" s="126">
        <v>0</v>
      </c>
      <c r="BL263" s="126">
        <v>401.97951992177485</v>
      </c>
      <c r="BM263" s="126">
        <v>0</v>
      </c>
      <c r="BN263" s="126">
        <v>6700.6600081631077</v>
      </c>
      <c r="BO263" s="126">
        <v>3846.896765311727</v>
      </c>
      <c r="BP263" s="126">
        <v>3156.0798880282769</v>
      </c>
      <c r="BQ263" s="126">
        <v>17123.500838538399</v>
      </c>
      <c r="BR263" s="126">
        <v>639.03738038151914</v>
      </c>
      <c r="BS263" s="126">
        <v>709.52835544997492</v>
      </c>
      <c r="BT263" s="126">
        <v>0</v>
      </c>
      <c r="BU263" s="126">
        <v>0</v>
      </c>
      <c r="BV263" s="126">
        <v>0</v>
      </c>
      <c r="BW263" s="126">
        <v>4273.0874043337008</v>
      </c>
      <c r="BX263" s="126">
        <v>15030.984820828888</v>
      </c>
      <c r="BY263" s="126">
        <v>13332.202362129512</v>
      </c>
      <c r="BZ263" s="126">
        <v>2538.1042238579503</v>
      </c>
      <c r="CA263" s="137">
        <v>14462.536031445015</v>
      </c>
      <c r="CB263" s="126">
        <v>0</v>
      </c>
      <c r="CC263" s="126">
        <v>0</v>
      </c>
      <c r="CD263" s="126">
        <v>14400</v>
      </c>
      <c r="CE263" s="126">
        <v>0</v>
      </c>
      <c r="CF263" s="126">
        <v>62.536031445015368</v>
      </c>
      <c r="CG263" s="137">
        <v>0</v>
      </c>
      <c r="CH263" s="126">
        <v>0</v>
      </c>
      <c r="CI263" s="126">
        <v>0</v>
      </c>
      <c r="CJ263" s="120"/>
      <c r="CK263" s="138">
        <v>104517.37168846</v>
      </c>
      <c r="CL263" s="139">
        <v>34.948629602240352</v>
      </c>
      <c r="CM263" s="140">
        <v>124497.12</v>
      </c>
      <c r="CN263" s="125">
        <v>208.71</v>
      </c>
      <c r="CO263" s="125">
        <v>0</v>
      </c>
      <c r="CP263" s="125">
        <v>208.71</v>
      </c>
      <c r="CQ263" s="125">
        <v>684.95</v>
      </c>
      <c r="CR263" s="125">
        <v>342.62</v>
      </c>
      <c r="CS263" s="125">
        <v>13230.98</v>
      </c>
      <c r="CT263" s="148">
        <v>0</v>
      </c>
      <c r="CU263" s="141">
        <v>0</v>
      </c>
      <c r="CV263" s="142">
        <v>19979.748311539995</v>
      </c>
      <c r="CW263" s="143">
        <v>0.19116198569453702</v>
      </c>
      <c r="CX263" s="140">
        <v>8365.73</v>
      </c>
      <c r="CY263" s="140">
        <v>116131.39</v>
      </c>
    </row>
    <row r="264" spans="1:103" ht="12" customHeight="1" x14ac:dyDescent="0.25">
      <c r="A264" s="122">
        <v>259</v>
      </c>
      <c r="B264" s="154" t="s">
        <v>339</v>
      </c>
      <c r="C264" s="124">
        <v>8629.7999999999993</v>
      </c>
      <c r="D264" s="125">
        <v>6852.2</v>
      </c>
      <c r="E264" s="125">
        <v>1777.6</v>
      </c>
      <c r="F264" s="125">
        <v>2040</v>
      </c>
      <c r="G264" s="149">
        <v>719.15</v>
      </c>
      <c r="H264" s="124">
        <v>719.15</v>
      </c>
      <c r="I264" s="126">
        <v>1</v>
      </c>
      <c r="J264" s="126">
        <v>1</v>
      </c>
      <c r="K264" s="127">
        <v>3.9920163332682942E-3</v>
      </c>
      <c r="L264" s="127"/>
      <c r="M264" s="127">
        <v>1.3422818791946308E-2</v>
      </c>
      <c r="N264" s="127"/>
      <c r="O264" s="128" t="s">
        <v>1495</v>
      </c>
      <c r="P264" s="155" t="s">
        <v>321</v>
      </c>
      <c r="Q264" s="130">
        <v>4.79</v>
      </c>
      <c r="R264" s="130">
        <v>3.43</v>
      </c>
      <c r="S264" s="130">
        <v>4.66</v>
      </c>
      <c r="T264" s="38">
        <v>0</v>
      </c>
      <c r="U264" s="131">
        <v>41.47</v>
      </c>
      <c r="V264" s="157">
        <v>0</v>
      </c>
      <c r="W264" s="132">
        <v>0</v>
      </c>
      <c r="X264" s="133">
        <v>5020.5328171841657</v>
      </c>
      <c r="Y264" s="134">
        <v>0</v>
      </c>
      <c r="Z264" s="134">
        <v>4255.9623648721599</v>
      </c>
      <c r="AA264" s="134">
        <v>452.52895327576726</v>
      </c>
      <c r="AB264" s="134">
        <v>312.04149903623858</v>
      </c>
      <c r="AC264" s="126">
        <v>0</v>
      </c>
      <c r="AD264" s="126">
        <v>0</v>
      </c>
      <c r="AE264" s="126">
        <v>0</v>
      </c>
      <c r="AF264" s="126">
        <v>0</v>
      </c>
      <c r="AG264" s="126">
        <v>0</v>
      </c>
      <c r="AH264" s="126">
        <v>0</v>
      </c>
      <c r="AI264" s="126">
        <v>0</v>
      </c>
      <c r="AJ264" s="126">
        <v>0</v>
      </c>
      <c r="AK264" s="126">
        <v>0</v>
      </c>
      <c r="AL264" s="126">
        <v>0</v>
      </c>
      <c r="AM264" s="126">
        <v>0</v>
      </c>
      <c r="AN264" s="126">
        <v>0</v>
      </c>
      <c r="AO264" s="126">
        <v>0</v>
      </c>
      <c r="AP264" s="126">
        <v>0</v>
      </c>
      <c r="AQ264" s="126">
        <v>0</v>
      </c>
      <c r="AR264" s="126">
        <v>0</v>
      </c>
      <c r="AS264" s="126">
        <v>0</v>
      </c>
      <c r="AT264" s="126">
        <v>0</v>
      </c>
      <c r="AU264" s="126">
        <v>0</v>
      </c>
      <c r="AV264" s="126">
        <v>0</v>
      </c>
      <c r="AW264" s="135">
        <v>43909.308370299106</v>
      </c>
      <c r="AX264" s="136">
        <v>31121.23806476851</v>
      </c>
      <c r="AY264" s="136">
        <v>4606.2543055305996</v>
      </c>
      <c r="AZ264" s="126">
        <v>8181.8159999999998</v>
      </c>
      <c r="BA264" s="126">
        <v>0</v>
      </c>
      <c r="BB264" s="126">
        <v>0</v>
      </c>
      <c r="BC264" s="126">
        <v>0</v>
      </c>
      <c r="BD264" s="126">
        <v>0</v>
      </c>
      <c r="BE264" s="126">
        <v>0</v>
      </c>
      <c r="BF264" s="126">
        <v>0</v>
      </c>
      <c r="BG264" s="126">
        <v>0</v>
      </c>
      <c r="BH264" s="126">
        <v>0</v>
      </c>
      <c r="BI264" s="137">
        <v>94007.519108525972</v>
      </c>
      <c r="BJ264" s="126">
        <v>0</v>
      </c>
      <c r="BK264" s="126">
        <v>0</v>
      </c>
      <c r="BL264" s="126">
        <v>1159.968856089391</v>
      </c>
      <c r="BM264" s="126">
        <v>0</v>
      </c>
      <c r="BN264" s="126">
        <v>19335.703784673973</v>
      </c>
      <c r="BO264" s="126">
        <v>11100.765634082505</v>
      </c>
      <c r="BP264" s="126">
        <v>9107.3156616419528</v>
      </c>
      <c r="BQ264" s="126">
        <v>49412.287680204194</v>
      </c>
      <c r="BR264" s="126">
        <v>1844.032898153024</v>
      </c>
      <c r="BS264" s="126">
        <v>2047.4445936809316</v>
      </c>
      <c r="BT264" s="126">
        <v>0</v>
      </c>
      <c r="BU264" s="126">
        <v>0</v>
      </c>
      <c r="BV264" s="126">
        <v>0</v>
      </c>
      <c r="BW264" s="126">
        <v>12330.599104500423</v>
      </c>
      <c r="BX264" s="126">
        <v>43374.03624917713</v>
      </c>
      <c r="BY264" s="126">
        <v>38471.958785763811</v>
      </c>
      <c r="BZ264" s="126">
        <v>7324.0593295824719</v>
      </c>
      <c r="CA264" s="137">
        <v>14580.45657866789</v>
      </c>
      <c r="CB264" s="126">
        <v>0</v>
      </c>
      <c r="CC264" s="126">
        <v>0</v>
      </c>
      <c r="CD264" s="126">
        <v>14400</v>
      </c>
      <c r="CE264" s="126">
        <v>0</v>
      </c>
      <c r="CF264" s="126">
        <v>180.4565786678906</v>
      </c>
      <c r="CG264" s="137">
        <v>0</v>
      </c>
      <c r="CH264" s="126">
        <v>0</v>
      </c>
      <c r="CI264" s="126">
        <v>0</v>
      </c>
      <c r="CJ264" s="120"/>
      <c r="CK264" s="138">
        <v>259018.47034370096</v>
      </c>
      <c r="CL264" s="139">
        <v>30.014423317307582</v>
      </c>
      <c r="CM264" s="140">
        <v>292193.53000000003</v>
      </c>
      <c r="CN264" s="125">
        <v>301.55</v>
      </c>
      <c r="CO264" s="125">
        <v>0</v>
      </c>
      <c r="CP264" s="125">
        <v>301.55</v>
      </c>
      <c r="CQ264" s="125">
        <v>989.34</v>
      </c>
      <c r="CR264" s="125">
        <v>494.97</v>
      </c>
      <c r="CS264" s="125">
        <v>19113.34</v>
      </c>
      <c r="CT264" s="148">
        <v>73717.072</v>
      </c>
      <c r="CU264" s="141">
        <v>0</v>
      </c>
      <c r="CV264" s="142">
        <v>106892.13165629905</v>
      </c>
      <c r="CW264" s="143">
        <v>0.12807989952329613</v>
      </c>
      <c r="CX264" s="140">
        <v>65835.520000000004</v>
      </c>
      <c r="CY264" s="140">
        <v>226358.01</v>
      </c>
    </row>
    <row r="265" spans="1:103" ht="12" customHeight="1" x14ac:dyDescent="0.25">
      <c r="A265" s="122">
        <v>260</v>
      </c>
      <c r="B265" s="154" t="s">
        <v>340</v>
      </c>
      <c r="C265" s="124">
        <v>9350.4</v>
      </c>
      <c r="D265" s="125">
        <v>9350.4</v>
      </c>
      <c r="E265" s="125">
        <v>0</v>
      </c>
      <c r="F265" s="125">
        <v>2655.2</v>
      </c>
      <c r="G265" s="149">
        <v>779.19999999999993</v>
      </c>
      <c r="H265" s="124">
        <v>779.19999999999993</v>
      </c>
      <c r="I265" s="126">
        <v>2</v>
      </c>
      <c r="J265" s="126">
        <v>2</v>
      </c>
      <c r="K265" s="127">
        <v>7.9840326665365884E-3</v>
      </c>
      <c r="L265" s="127"/>
      <c r="M265" s="127">
        <v>2.6845637583892617E-2</v>
      </c>
      <c r="N265" s="127"/>
      <c r="O265" s="128" t="s">
        <v>1495</v>
      </c>
      <c r="P265" s="155" t="s">
        <v>321</v>
      </c>
      <c r="Q265" s="130">
        <v>4.79</v>
      </c>
      <c r="R265" s="130">
        <v>3.43</v>
      </c>
      <c r="S265" s="130">
        <v>4.66</v>
      </c>
      <c r="T265" s="38">
        <v>0</v>
      </c>
      <c r="U265" s="131">
        <v>41.47</v>
      </c>
      <c r="V265" s="157">
        <v>0</v>
      </c>
      <c r="W265" s="132">
        <v>0</v>
      </c>
      <c r="X265" s="133">
        <v>5439.7541140928897</v>
      </c>
      <c r="Y265" s="134">
        <v>0</v>
      </c>
      <c r="Z265" s="134">
        <v>4611.3409924332709</v>
      </c>
      <c r="AA265" s="134">
        <v>490.3157343982171</v>
      </c>
      <c r="AB265" s="134">
        <v>338.09738726140176</v>
      </c>
      <c r="AC265" s="126">
        <v>0</v>
      </c>
      <c r="AD265" s="126">
        <v>0</v>
      </c>
      <c r="AE265" s="126">
        <v>0</v>
      </c>
      <c r="AF265" s="126">
        <v>0</v>
      </c>
      <c r="AG265" s="126">
        <v>0</v>
      </c>
      <c r="AH265" s="126">
        <v>0</v>
      </c>
      <c r="AI265" s="126">
        <v>0</v>
      </c>
      <c r="AJ265" s="126">
        <v>0</v>
      </c>
      <c r="AK265" s="126">
        <v>0</v>
      </c>
      <c r="AL265" s="126">
        <v>0</v>
      </c>
      <c r="AM265" s="126">
        <v>0</v>
      </c>
      <c r="AN265" s="126">
        <v>0</v>
      </c>
      <c r="AO265" s="126">
        <v>0</v>
      </c>
      <c r="AP265" s="126">
        <v>0</v>
      </c>
      <c r="AQ265" s="126">
        <v>0</v>
      </c>
      <c r="AR265" s="126">
        <v>0</v>
      </c>
      <c r="AS265" s="126">
        <v>0</v>
      </c>
      <c r="AT265" s="126">
        <v>0</v>
      </c>
      <c r="AU265" s="126">
        <v>0</v>
      </c>
      <c r="AV265" s="126">
        <v>0</v>
      </c>
      <c r="AW265" s="135">
        <v>46892.602421382275</v>
      </c>
      <c r="AX265" s="136">
        <v>33719.903636331255</v>
      </c>
      <c r="AY265" s="136">
        <v>4990.8827850510224</v>
      </c>
      <c r="AZ265" s="126">
        <v>8181.8159999999998</v>
      </c>
      <c r="BA265" s="126">
        <v>0</v>
      </c>
      <c r="BB265" s="126">
        <v>0</v>
      </c>
      <c r="BC265" s="126">
        <v>0</v>
      </c>
      <c r="BD265" s="126">
        <v>0</v>
      </c>
      <c r="BE265" s="126">
        <v>0</v>
      </c>
      <c r="BF265" s="126">
        <v>0</v>
      </c>
      <c r="BG265" s="126">
        <v>0</v>
      </c>
      <c r="BH265" s="126">
        <v>0</v>
      </c>
      <c r="BI265" s="137">
        <v>101857.27440640121</v>
      </c>
      <c r="BJ265" s="126">
        <v>0</v>
      </c>
      <c r="BK265" s="126">
        <v>0</v>
      </c>
      <c r="BL265" s="126">
        <v>1256.8278282206122</v>
      </c>
      <c r="BM265" s="126">
        <v>0</v>
      </c>
      <c r="BN265" s="126">
        <v>20950.261265407717</v>
      </c>
      <c r="BO265" s="126">
        <v>12027.694614582615</v>
      </c>
      <c r="BP265" s="126">
        <v>9867.7888667891384</v>
      </c>
      <c r="BQ265" s="126">
        <v>53538.280693061402</v>
      </c>
      <c r="BR265" s="126">
        <v>1998.0121452281669</v>
      </c>
      <c r="BS265" s="126">
        <v>2218.4089931115645</v>
      </c>
      <c r="BT265" s="126">
        <v>0</v>
      </c>
      <c r="BU265" s="126">
        <v>0</v>
      </c>
      <c r="BV265" s="126">
        <v>0</v>
      </c>
      <c r="BW265" s="126">
        <v>13360.220847148341</v>
      </c>
      <c r="BX265" s="126">
        <v>46995.827081080191</v>
      </c>
      <c r="BY265" s="126">
        <v>41684.419503395897</v>
      </c>
      <c r="BZ265" s="126">
        <v>7935.6282133222021</v>
      </c>
      <c r="CA265" s="137">
        <v>28995.524947643775</v>
      </c>
      <c r="CB265" s="126">
        <v>0</v>
      </c>
      <c r="CC265" s="126">
        <v>0</v>
      </c>
      <c r="CD265" s="126">
        <v>28800</v>
      </c>
      <c r="CE265" s="126">
        <v>0</v>
      </c>
      <c r="CF265" s="126">
        <v>195.52494764377437</v>
      </c>
      <c r="CG265" s="137">
        <v>0</v>
      </c>
      <c r="CH265" s="126">
        <v>0</v>
      </c>
      <c r="CI265" s="126">
        <v>0</v>
      </c>
      <c r="CJ265" s="120"/>
      <c r="CK265" s="138">
        <v>293161.25153446675</v>
      </c>
      <c r="CL265" s="139">
        <v>31.352803252744991</v>
      </c>
      <c r="CM265" s="140">
        <v>387595.32</v>
      </c>
      <c r="CN265" s="125">
        <v>409.62</v>
      </c>
      <c r="CO265" s="125">
        <v>0</v>
      </c>
      <c r="CP265" s="125">
        <v>409.62</v>
      </c>
      <c r="CQ265" s="125">
        <v>1343.84</v>
      </c>
      <c r="CR265" s="125">
        <v>672.23</v>
      </c>
      <c r="CS265" s="125">
        <v>25959.96</v>
      </c>
      <c r="CT265" s="148">
        <v>0</v>
      </c>
      <c r="CU265" s="141">
        <v>0</v>
      </c>
      <c r="CV265" s="142">
        <v>94434.068465533259</v>
      </c>
      <c r="CW265" s="143">
        <v>0.3221232955284703</v>
      </c>
      <c r="CX265" s="140">
        <v>102692.97</v>
      </c>
      <c r="CY265" s="140">
        <v>284902.34999999998</v>
      </c>
    </row>
    <row r="266" spans="1:103" ht="12" customHeight="1" x14ac:dyDescent="0.25">
      <c r="A266" s="122">
        <v>261</v>
      </c>
      <c r="B266" s="154" t="s">
        <v>341</v>
      </c>
      <c r="C266" s="124">
        <v>5632.5</v>
      </c>
      <c r="D266" s="125">
        <v>5272.4</v>
      </c>
      <c r="E266" s="125">
        <v>360.1</v>
      </c>
      <c r="F266" s="125">
        <v>2075.1999999999998</v>
      </c>
      <c r="G266" s="149">
        <v>469.375</v>
      </c>
      <c r="H266" s="124">
        <v>469.375</v>
      </c>
      <c r="I266" s="126">
        <v>1</v>
      </c>
      <c r="J266" s="126">
        <v>1</v>
      </c>
      <c r="K266" s="127">
        <v>3.9920163332682942E-3</v>
      </c>
      <c r="L266" s="127"/>
      <c r="M266" s="127">
        <v>1.3422818791946308E-2</v>
      </c>
      <c r="N266" s="127"/>
      <c r="O266" s="128" t="s">
        <v>1495</v>
      </c>
      <c r="P266" s="155" t="s">
        <v>321</v>
      </c>
      <c r="Q266" s="130">
        <v>4.79</v>
      </c>
      <c r="R266" s="130">
        <v>3.43</v>
      </c>
      <c r="S266" s="130">
        <v>4.66</v>
      </c>
      <c r="T266" s="38">
        <v>0</v>
      </c>
      <c r="U266" s="131">
        <v>41.47</v>
      </c>
      <c r="V266" s="157">
        <v>0</v>
      </c>
      <c r="W266" s="132">
        <v>0</v>
      </c>
      <c r="X266" s="133">
        <v>3276.802601774064</v>
      </c>
      <c r="Y266" s="134">
        <v>0</v>
      </c>
      <c r="Z266" s="134">
        <v>2777.7825697168464</v>
      </c>
      <c r="AA266" s="134">
        <v>295.35670923147228</v>
      </c>
      <c r="AB266" s="134">
        <v>203.66332282574496</v>
      </c>
      <c r="AC266" s="126">
        <v>0</v>
      </c>
      <c r="AD266" s="126">
        <v>0</v>
      </c>
      <c r="AE266" s="126">
        <v>0</v>
      </c>
      <c r="AF266" s="126">
        <v>0</v>
      </c>
      <c r="AG266" s="126">
        <v>0</v>
      </c>
      <c r="AH266" s="126">
        <v>0</v>
      </c>
      <c r="AI266" s="126">
        <v>0</v>
      </c>
      <c r="AJ266" s="126">
        <v>0</v>
      </c>
      <c r="AK266" s="126">
        <v>0</v>
      </c>
      <c r="AL266" s="126">
        <v>0</v>
      </c>
      <c r="AM266" s="126">
        <v>0</v>
      </c>
      <c r="AN266" s="126">
        <v>0</v>
      </c>
      <c r="AO266" s="126">
        <v>0</v>
      </c>
      <c r="AP266" s="126">
        <v>0</v>
      </c>
      <c r="AQ266" s="126">
        <v>0</v>
      </c>
      <c r="AR266" s="126">
        <v>0</v>
      </c>
      <c r="AS266" s="126">
        <v>0</v>
      </c>
      <c r="AT266" s="126">
        <v>0</v>
      </c>
      <c r="AU266" s="126">
        <v>0</v>
      </c>
      <c r="AV266" s="126">
        <v>0</v>
      </c>
      <c r="AW266" s="135">
        <v>31500.444563316614</v>
      </c>
      <c r="AX266" s="136">
        <v>20312.21736306851</v>
      </c>
      <c r="AY266" s="136">
        <v>3006.4112002481056</v>
      </c>
      <c r="AZ266" s="126">
        <v>8181.8159999999998</v>
      </c>
      <c r="BA266" s="126">
        <v>0</v>
      </c>
      <c r="BB266" s="126">
        <v>0</v>
      </c>
      <c r="BC266" s="126">
        <v>0</v>
      </c>
      <c r="BD266" s="126">
        <v>0</v>
      </c>
      <c r="BE266" s="126">
        <v>0</v>
      </c>
      <c r="BF266" s="126">
        <v>0</v>
      </c>
      <c r="BG266" s="126">
        <v>0</v>
      </c>
      <c r="BH266" s="126">
        <v>0</v>
      </c>
      <c r="BI266" s="137">
        <v>61356.850839969935</v>
      </c>
      <c r="BJ266" s="126">
        <v>0</v>
      </c>
      <c r="BK266" s="126">
        <v>0</v>
      </c>
      <c r="BL266" s="126">
        <v>757.08876010145013</v>
      </c>
      <c r="BM266" s="126">
        <v>0</v>
      </c>
      <c r="BN266" s="126">
        <v>12620.031932046648</v>
      </c>
      <c r="BO266" s="126">
        <v>7245.2504616526121</v>
      </c>
      <c r="BP266" s="126">
        <v>5944.1650402324849</v>
      </c>
      <c r="BQ266" s="126">
        <v>32250.424153369735</v>
      </c>
      <c r="BR266" s="126">
        <v>1203.5638483912614</v>
      </c>
      <c r="BS266" s="126">
        <v>1336.3266441757453</v>
      </c>
      <c r="BT266" s="126">
        <v>0</v>
      </c>
      <c r="BU266" s="126">
        <v>0</v>
      </c>
      <c r="BV266" s="126">
        <v>0</v>
      </c>
      <c r="BW266" s="126">
        <v>8047.9384755265055</v>
      </c>
      <c r="BX266" s="126">
        <v>28309.37671481265</v>
      </c>
      <c r="BY266" s="126">
        <v>25109.887582657149</v>
      </c>
      <c r="BZ266" s="126">
        <v>4780.2688560422339</v>
      </c>
      <c r="CA266" s="137">
        <v>14517.780444430566</v>
      </c>
      <c r="CB266" s="126">
        <v>0</v>
      </c>
      <c r="CC266" s="126">
        <v>0</v>
      </c>
      <c r="CD266" s="126">
        <v>14400</v>
      </c>
      <c r="CE266" s="126">
        <v>0</v>
      </c>
      <c r="CF266" s="126">
        <v>117.78044443056547</v>
      </c>
      <c r="CG266" s="137">
        <v>0</v>
      </c>
      <c r="CH266" s="126">
        <v>0</v>
      </c>
      <c r="CI266" s="126">
        <v>0</v>
      </c>
      <c r="CJ266" s="120"/>
      <c r="CK266" s="138">
        <v>176899.35007852974</v>
      </c>
      <c r="CL266" s="139">
        <v>31.406897483982199</v>
      </c>
      <c r="CM266" s="140">
        <v>235296.53</v>
      </c>
      <c r="CN266" s="125">
        <v>530.87</v>
      </c>
      <c r="CO266" s="125">
        <v>0</v>
      </c>
      <c r="CP266" s="125">
        <v>530.87</v>
      </c>
      <c r="CQ266" s="125">
        <v>1741.78</v>
      </c>
      <c r="CR266" s="125">
        <v>871.45</v>
      </c>
      <c r="CS266" s="125">
        <v>33650.31</v>
      </c>
      <c r="CT266" s="148">
        <v>14933.347</v>
      </c>
      <c r="CU266" s="141">
        <v>0</v>
      </c>
      <c r="CV266" s="142">
        <v>73330.526921470271</v>
      </c>
      <c r="CW266" s="143">
        <v>0.3301152881316205</v>
      </c>
      <c r="CX266" s="140">
        <v>48096.89</v>
      </c>
      <c r="CY266" s="140">
        <v>187199.64</v>
      </c>
    </row>
    <row r="267" spans="1:103" ht="12" customHeight="1" x14ac:dyDescent="0.25">
      <c r="A267" s="122">
        <v>262</v>
      </c>
      <c r="B267" s="154" t="s">
        <v>342</v>
      </c>
      <c r="C267" s="124">
        <v>9440.6</v>
      </c>
      <c r="D267" s="125">
        <v>9320.2000000000007</v>
      </c>
      <c r="E267" s="125">
        <v>120.4</v>
      </c>
      <c r="F267" s="125">
        <v>1593.1</v>
      </c>
      <c r="G267" s="149">
        <v>786.7166666666667</v>
      </c>
      <c r="H267" s="124">
        <v>786.7166666666667</v>
      </c>
      <c r="I267" s="126">
        <v>2</v>
      </c>
      <c r="J267" s="126">
        <v>2</v>
      </c>
      <c r="K267" s="127">
        <v>7.9840326665365884E-3</v>
      </c>
      <c r="L267" s="127"/>
      <c r="M267" s="127">
        <v>2.6845637583892617E-2</v>
      </c>
      <c r="N267" s="127"/>
      <c r="O267" s="128" t="s">
        <v>1495</v>
      </c>
      <c r="P267" s="155" t="s">
        <v>321</v>
      </c>
      <c r="Q267" s="130">
        <v>4.79</v>
      </c>
      <c r="R267" s="130">
        <v>3.43</v>
      </c>
      <c r="S267" s="130">
        <v>4.66</v>
      </c>
      <c r="T267" s="38">
        <v>0</v>
      </c>
      <c r="U267" s="131">
        <v>41.47</v>
      </c>
      <c r="V267" s="157">
        <v>0</v>
      </c>
      <c r="W267" s="132">
        <v>0</v>
      </c>
      <c r="X267" s="133">
        <v>36768.039497080914</v>
      </c>
      <c r="Y267" s="134">
        <v>0</v>
      </c>
      <c r="Z267" s="134">
        <v>4655.8249671848844</v>
      </c>
      <c r="AA267" s="134">
        <v>495.04563678129375</v>
      </c>
      <c r="AB267" s="134">
        <v>341.35889311473198</v>
      </c>
      <c r="AC267" s="126">
        <v>0</v>
      </c>
      <c r="AD267" s="126">
        <v>0</v>
      </c>
      <c r="AE267" s="126">
        <v>0</v>
      </c>
      <c r="AF267" s="126">
        <v>0</v>
      </c>
      <c r="AG267" s="126">
        <v>0</v>
      </c>
      <c r="AH267" s="126">
        <v>0</v>
      </c>
      <c r="AI267" s="126">
        <v>0</v>
      </c>
      <c r="AJ267" s="126">
        <v>0</v>
      </c>
      <c r="AK267" s="126">
        <v>31275.81</v>
      </c>
      <c r="AL267" s="126">
        <v>0</v>
      </c>
      <c r="AM267" s="126">
        <v>0</v>
      </c>
      <c r="AN267" s="126">
        <v>0</v>
      </c>
      <c r="AO267" s="126">
        <v>0</v>
      </c>
      <c r="AP267" s="126">
        <v>0</v>
      </c>
      <c r="AQ267" s="126">
        <v>0</v>
      </c>
      <c r="AR267" s="126">
        <v>0</v>
      </c>
      <c r="AS267" s="126">
        <v>0</v>
      </c>
      <c r="AT267" s="126">
        <v>0</v>
      </c>
      <c r="AU267" s="126">
        <v>0</v>
      </c>
      <c r="AV267" s="126">
        <v>0</v>
      </c>
      <c r="AW267" s="135">
        <v>47266.031679511208</v>
      </c>
      <c r="AX267" s="136">
        <v>34045.187614342583</v>
      </c>
      <c r="AY267" s="136">
        <v>5039.0280651686226</v>
      </c>
      <c r="AZ267" s="126">
        <v>8181.8159999999998</v>
      </c>
      <c r="BA267" s="126">
        <v>0</v>
      </c>
      <c r="BB267" s="126">
        <v>0</v>
      </c>
      <c r="BC267" s="126">
        <v>0</v>
      </c>
      <c r="BD267" s="126">
        <v>0</v>
      </c>
      <c r="BE267" s="126">
        <v>0</v>
      </c>
      <c r="BF267" s="126">
        <v>0</v>
      </c>
      <c r="BG267" s="126">
        <v>0</v>
      </c>
      <c r="BH267" s="126">
        <v>0</v>
      </c>
      <c r="BI267" s="137">
        <v>102839.85548864985</v>
      </c>
      <c r="BJ267" s="126">
        <v>0</v>
      </c>
      <c r="BK267" s="126">
        <v>0</v>
      </c>
      <c r="BL267" s="126">
        <v>1268.9520015292944</v>
      </c>
      <c r="BM267" s="126">
        <v>0</v>
      </c>
      <c r="BN267" s="126">
        <v>21152.361022224515</v>
      </c>
      <c r="BO267" s="126">
        <v>12143.721528322709</v>
      </c>
      <c r="BP267" s="126">
        <v>9962.979934100098</v>
      </c>
      <c r="BQ267" s="126">
        <v>54054.745541465127</v>
      </c>
      <c r="BR267" s="126">
        <v>2017.2862613621915</v>
      </c>
      <c r="BS267" s="126">
        <v>2239.8091996459016</v>
      </c>
      <c r="BT267" s="126">
        <v>0</v>
      </c>
      <c r="BU267" s="126">
        <v>0</v>
      </c>
      <c r="BV267" s="126">
        <v>0</v>
      </c>
      <c r="BW267" s="126">
        <v>13489.10216991665</v>
      </c>
      <c r="BX267" s="126">
        <v>47449.179194648968</v>
      </c>
      <c r="BY267" s="126">
        <v>42086.534347595756</v>
      </c>
      <c r="BZ267" s="126">
        <v>8012.1804105374731</v>
      </c>
      <c r="CA267" s="137">
        <v>28997.411107623826</v>
      </c>
      <c r="CB267" s="126">
        <v>0</v>
      </c>
      <c r="CC267" s="126">
        <v>0</v>
      </c>
      <c r="CD267" s="126">
        <v>28800</v>
      </c>
      <c r="CE267" s="126">
        <v>0</v>
      </c>
      <c r="CF267" s="126">
        <v>197.41110762382536</v>
      </c>
      <c r="CG267" s="137">
        <v>0</v>
      </c>
      <c r="CH267" s="126">
        <v>0</v>
      </c>
      <c r="CI267" s="126">
        <v>0</v>
      </c>
      <c r="CJ267" s="120"/>
      <c r="CK267" s="138">
        <v>326908.3338955646</v>
      </c>
      <c r="CL267" s="139">
        <v>34.627919188988471</v>
      </c>
      <c r="CM267" s="140">
        <v>390477.47</v>
      </c>
      <c r="CN267" s="125">
        <v>382.35</v>
      </c>
      <c r="CO267" s="125">
        <v>0</v>
      </c>
      <c r="CP267" s="125">
        <v>382.35</v>
      </c>
      <c r="CQ267" s="125">
        <v>1254.51</v>
      </c>
      <c r="CR267" s="125">
        <v>627.70000000000005</v>
      </c>
      <c r="CS267" s="125">
        <v>24236.38</v>
      </c>
      <c r="CT267" s="148">
        <v>4992.9880000000003</v>
      </c>
      <c r="CU267" s="141">
        <v>0</v>
      </c>
      <c r="CV267" s="142">
        <v>68562.124104435381</v>
      </c>
      <c r="CW267" s="143">
        <v>0.1944555384897082</v>
      </c>
      <c r="CX267" s="140">
        <v>79666.11</v>
      </c>
      <c r="CY267" s="140">
        <v>310811.36</v>
      </c>
    </row>
    <row r="268" spans="1:103" ht="12" customHeight="1" x14ac:dyDescent="0.25">
      <c r="A268" s="122">
        <v>263</v>
      </c>
      <c r="B268" s="154" t="s">
        <v>343</v>
      </c>
      <c r="C268" s="124">
        <v>12637.5</v>
      </c>
      <c r="D268" s="125">
        <v>11922.8</v>
      </c>
      <c r="E268" s="125">
        <v>714.7</v>
      </c>
      <c r="F268" s="125">
        <v>4069.7</v>
      </c>
      <c r="G268" s="149">
        <v>1053.125</v>
      </c>
      <c r="H268" s="124">
        <v>1053.125</v>
      </c>
      <c r="I268" s="126">
        <v>3</v>
      </c>
      <c r="J268" s="126">
        <v>3</v>
      </c>
      <c r="K268" s="127">
        <v>1.1976048999804883E-2</v>
      </c>
      <c r="L268" s="127"/>
      <c r="M268" s="127">
        <v>4.0268456375838924E-2</v>
      </c>
      <c r="N268" s="127"/>
      <c r="O268" s="128" t="s">
        <v>1495</v>
      </c>
      <c r="P268" s="155" t="s">
        <v>321</v>
      </c>
      <c r="Q268" s="130">
        <v>4.79</v>
      </c>
      <c r="R268" s="130">
        <v>3.43</v>
      </c>
      <c r="S268" s="130">
        <v>4.66</v>
      </c>
      <c r="T268" s="38">
        <v>0</v>
      </c>
      <c r="U268" s="131">
        <v>41.47</v>
      </c>
      <c r="V268" s="157">
        <v>0</v>
      </c>
      <c r="W268" s="132">
        <v>0</v>
      </c>
      <c r="X268" s="133">
        <v>7352.0804047793563</v>
      </c>
      <c r="Y268" s="134">
        <v>0</v>
      </c>
      <c r="Z268" s="134">
        <v>6232.4415845178237</v>
      </c>
      <c r="AA268" s="134">
        <v>662.68449408126594</v>
      </c>
      <c r="AB268" s="134">
        <v>456.95432618026666</v>
      </c>
      <c r="AC268" s="126">
        <v>0</v>
      </c>
      <c r="AD268" s="126">
        <v>0</v>
      </c>
      <c r="AE268" s="126">
        <v>0</v>
      </c>
      <c r="AF268" s="126">
        <v>0</v>
      </c>
      <c r="AG268" s="126">
        <v>0</v>
      </c>
      <c r="AH268" s="126">
        <v>0</v>
      </c>
      <c r="AI268" s="126">
        <v>0</v>
      </c>
      <c r="AJ268" s="126">
        <v>0</v>
      </c>
      <c r="AK268" s="126">
        <v>0</v>
      </c>
      <c r="AL268" s="126">
        <v>0</v>
      </c>
      <c r="AM268" s="126">
        <v>0</v>
      </c>
      <c r="AN268" s="126">
        <v>0</v>
      </c>
      <c r="AO268" s="126">
        <v>0</v>
      </c>
      <c r="AP268" s="126">
        <v>0</v>
      </c>
      <c r="AQ268" s="126">
        <v>0</v>
      </c>
      <c r="AR268" s="126">
        <v>0</v>
      </c>
      <c r="AS268" s="126">
        <v>0</v>
      </c>
      <c r="AT268" s="126">
        <v>0</v>
      </c>
      <c r="AU268" s="126">
        <v>0</v>
      </c>
      <c r="AV268" s="126">
        <v>0</v>
      </c>
      <c r="AW268" s="135">
        <v>60501.242270557254</v>
      </c>
      <c r="AX268" s="136">
        <v>45574.016320599789</v>
      </c>
      <c r="AY268" s="136">
        <v>6745.4099499574677</v>
      </c>
      <c r="AZ268" s="126">
        <v>8181.8159999999998</v>
      </c>
      <c r="BA268" s="126">
        <v>0</v>
      </c>
      <c r="BB268" s="126">
        <v>0</v>
      </c>
      <c r="BC268" s="126">
        <v>0</v>
      </c>
      <c r="BD268" s="126">
        <v>0</v>
      </c>
      <c r="BE268" s="126">
        <v>0</v>
      </c>
      <c r="BF268" s="126">
        <v>0</v>
      </c>
      <c r="BG268" s="126">
        <v>0</v>
      </c>
      <c r="BH268" s="126">
        <v>0</v>
      </c>
      <c r="BI268" s="137">
        <v>137664.83843588462</v>
      </c>
      <c r="BJ268" s="126">
        <v>0</v>
      </c>
      <c r="BK268" s="126">
        <v>0</v>
      </c>
      <c r="BL268" s="126">
        <v>1698.6611994286864</v>
      </c>
      <c r="BM268" s="126">
        <v>0</v>
      </c>
      <c r="BN268" s="126">
        <v>28315.251405457526</v>
      </c>
      <c r="BO268" s="126">
        <v>16255.988053108724</v>
      </c>
      <c r="BP268" s="126">
        <v>13336.775090268626</v>
      </c>
      <c r="BQ268" s="126">
        <v>72359.473633059926</v>
      </c>
      <c r="BR268" s="126">
        <v>2700.4062377353866</v>
      </c>
      <c r="BS268" s="126">
        <v>2998.2828168257402</v>
      </c>
      <c r="BT268" s="126">
        <v>0</v>
      </c>
      <c r="BU268" s="126">
        <v>0</v>
      </c>
      <c r="BV268" s="126">
        <v>0</v>
      </c>
      <c r="BW268" s="126">
        <v>18056.95916279915</v>
      </c>
      <c r="BX268" s="126">
        <v>63517.043627775383</v>
      </c>
      <c r="BY268" s="126">
        <v>56338.429529663517</v>
      </c>
      <c r="BZ268" s="126">
        <v>10725.370202970924</v>
      </c>
      <c r="CA268" s="137">
        <v>43464.261050420107</v>
      </c>
      <c r="CB268" s="126">
        <v>0</v>
      </c>
      <c r="CC268" s="126">
        <v>0</v>
      </c>
      <c r="CD268" s="126">
        <v>43200</v>
      </c>
      <c r="CE268" s="126">
        <v>0</v>
      </c>
      <c r="CF268" s="126">
        <v>264.26105042011028</v>
      </c>
      <c r="CG268" s="137">
        <v>0</v>
      </c>
      <c r="CH268" s="126">
        <v>0</v>
      </c>
      <c r="CI268" s="126">
        <v>0</v>
      </c>
      <c r="CJ268" s="120"/>
      <c r="CK268" s="138">
        <v>397620.22468485031</v>
      </c>
      <c r="CL268" s="139">
        <v>31.463519262896167</v>
      </c>
      <c r="CM268" s="140">
        <v>502716.04</v>
      </c>
      <c r="CN268" s="125">
        <v>492.72</v>
      </c>
      <c r="CO268" s="125">
        <v>0</v>
      </c>
      <c r="CP268" s="125">
        <v>492.72</v>
      </c>
      <c r="CQ268" s="125">
        <v>1616.78</v>
      </c>
      <c r="CR268" s="125">
        <v>809.18</v>
      </c>
      <c r="CS268" s="125">
        <v>31237.84</v>
      </c>
      <c r="CT268" s="148">
        <v>29638.609</v>
      </c>
      <c r="CU268" s="141">
        <v>0</v>
      </c>
      <c r="CV268" s="142">
        <v>134734.42431514966</v>
      </c>
      <c r="CW268" s="143">
        <v>0.26431204649725126</v>
      </c>
      <c r="CX268" s="140">
        <v>112401.84</v>
      </c>
      <c r="CY268" s="140">
        <v>390314.2</v>
      </c>
    </row>
    <row r="269" spans="1:103" ht="12" customHeight="1" x14ac:dyDescent="0.25">
      <c r="A269" s="122">
        <v>264</v>
      </c>
      <c r="B269" s="154" t="s">
        <v>344</v>
      </c>
      <c r="C269" s="124">
        <v>3763.4</v>
      </c>
      <c r="D269" s="125">
        <v>3533.9</v>
      </c>
      <c r="E269" s="125">
        <v>229.5</v>
      </c>
      <c r="F269" s="125">
        <v>1350.9</v>
      </c>
      <c r="G269" s="149">
        <v>313.61666666666667</v>
      </c>
      <c r="H269" s="158">
        <v>125.44666666666667</v>
      </c>
      <c r="I269" s="126">
        <v>1</v>
      </c>
      <c r="J269" s="126">
        <v>1</v>
      </c>
      <c r="K269" s="127">
        <v>3.9920163332682942E-3</v>
      </c>
      <c r="L269" s="127"/>
      <c r="M269" s="127">
        <v>1.3422818791946308E-2</v>
      </c>
      <c r="N269" s="127"/>
      <c r="O269" s="128" t="s">
        <v>1495</v>
      </c>
      <c r="P269" s="155" t="s">
        <v>321</v>
      </c>
      <c r="Q269" s="130">
        <v>4.79</v>
      </c>
      <c r="R269" s="130">
        <v>3.43</v>
      </c>
      <c r="S269" s="130">
        <v>4.66</v>
      </c>
      <c r="T269" s="38">
        <v>0</v>
      </c>
      <c r="U269" s="131">
        <v>41.47</v>
      </c>
      <c r="V269" s="157">
        <v>0</v>
      </c>
      <c r="W269" s="132">
        <v>0</v>
      </c>
      <c r="X269" s="133">
        <v>5325.57191061101</v>
      </c>
      <c r="Y269" s="134">
        <v>0</v>
      </c>
      <c r="Z269" s="134">
        <v>1855.997678272948</v>
      </c>
      <c r="AA269" s="134">
        <v>197.34495153514828</v>
      </c>
      <c r="AB269" s="134">
        <v>136.07928080291319</v>
      </c>
      <c r="AC269" s="126">
        <v>0</v>
      </c>
      <c r="AD269" s="126">
        <v>0</v>
      </c>
      <c r="AE269" s="126">
        <v>3136.15</v>
      </c>
      <c r="AF269" s="126">
        <v>0</v>
      </c>
      <c r="AG269" s="126">
        <v>0</v>
      </c>
      <c r="AH269" s="126">
        <v>0</v>
      </c>
      <c r="AI269" s="126">
        <v>0</v>
      </c>
      <c r="AJ269" s="126">
        <v>0</v>
      </c>
      <c r="AK269" s="126">
        <v>0</v>
      </c>
      <c r="AL269" s="126">
        <v>0</v>
      </c>
      <c r="AM269" s="126">
        <v>0</v>
      </c>
      <c r="AN269" s="126">
        <v>0</v>
      </c>
      <c r="AO269" s="126">
        <v>0</v>
      </c>
      <c r="AP269" s="126">
        <v>0</v>
      </c>
      <c r="AQ269" s="126">
        <v>0</v>
      </c>
      <c r="AR269" s="126">
        <v>0</v>
      </c>
      <c r="AS269" s="126">
        <v>0</v>
      </c>
      <c r="AT269" s="126">
        <v>0</v>
      </c>
      <c r="AU269" s="126">
        <v>0</v>
      </c>
      <c r="AV269" s="126">
        <v>0</v>
      </c>
      <c r="AW269" s="135">
        <v>23762.368492709411</v>
      </c>
      <c r="AX269" s="136">
        <v>13571.770763279545</v>
      </c>
      <c r="AY269" s="136">
        <v>2008.7577294298662</v>
      </c>
      <c r="AZ269" s="126">
        <v>8181.8399999999992</v>
      </c>
      <c r="BA269" s="126">
        <v>0</v>
      </c>
      <c r="BB269" s="126">
        <v>0</v>
      </c>
      <c r="BC269" s="126">
        <v>0</v>
      </c>
      <c r="BD269" s="126">
        <v>0</v>
      </c>
      <c r="BE269" s="126">
        <v>0</v>
      </c>
      <c r="BF269" s="126">
        <v>0</v>
      </c>
      <c r="BG269" s="126">
        <v>0</v>
      </c>
      <c r="BH269" s="126">
        <v>0</v>
      </c>
      <c r="BI269" s="137">
        <v>40996.071451601041</v>
      </c>
      <c r="BJ269" s="126">
        <v>0</v>
      </c>
      <c r="BK269" s="126">
        <v>0</v>
      </c>
      <c r="BL269" s="126">
        <v>505.85492050879674</v>
      </c>
      <c r="BM269" s="126">
        <v>0</v>
      </c>
      <c r="BN269" s="126">
        <v>8432.1754412897208</v>
      </c>
      <c r="BO269" s="126">
        <v>4840.9721415682989</v>
      </c>
      <c r="BP269" s="126">
        <v>3971.641493548324</v>
      </c>
      <c r="BQ269" s="126">
        <v>21548.379273642549</v>
      </c>
      <c r="BR269" s="126">
        <v>804.17082770273828</v>
      </c>
      <c r="BS269" s="126">
        <v>892.87735334061256</v>
      </c>
      <c r="BT269" s="126">
        <v>0</v>
      </c>
      <c r="BU269" s="126">
        <v>0</v>
      </c>
      <c r="BV269" s="126">
        <v>0</v>
      </c>
      <c r="BW269" s="126">
        <v>5377.294568805406</v>
      </c>
      <c r="BX269" s="126">
        <v>18915.136853710774</v>
      </c>
      <c r="BY269" s="126">
        <v>16777.372557225375</v>
      </c>
      <c r="BZ269" s="126">
        <v>1277.5899733922304</v>
      </c>
      <c r="CA269" s="137">
        <v>14478.695947549044</v>
      </c>
      <c r="CB269" s="126">
        <v>0</v>
      </c>
      <c r="CC269" s="126">
        <v>0</v>
      </c>
      <c r="CD269" s="126">
        <v>14400</v>
      </c>
      <c r="CE269" s="126">
        <v>0</v>
      </c>
      <c r="CF269" s="126">
        <v>78.69594754904395</v>
      </c>
      <c r="CG269" s="137">
        <v>0</v>
      </c>
      <c r="CH269" s="126">
        <v>0</v>
      </c>
      <c r="CI269" s="126">
        <v>0</v>
      </c>
      <c r="CJ269" s="120"/>
      <c r="CK269" s="138">
        <v>126910.10175560429</v>
      </c>
      <c r="CL269" s="139">
        <v>33.722193164586358</v>
      </c>
      <c r="CM269" s="140">
        <v>137033.51</v>
      </c>
      <c r="CN269" s="125">
        <v>138.76</v>
      </c>
      <c r="CO269" s="125">
        <v>0</v>
      </c>
      <c r="CP269" s="125">
        <v>138.76</v>
      </c>
      <c r="CQ269" s="125">
        <v>455.17</v>
      </c>
      <c r="CR269" s="125">
        <v>227.69</v>
      </c>
      <c r="CS269" s="125">
        <v>8794.0499999999993</v>
      </c>
      <c r="CT269" s="148">
        <v>9517.3649999999998</v>
      </c>
      <c r="CU269" s="141">
        <v>0</v>
      </c>
      <c r="CV269" s="142">
        <v>19640.773244395707</v>
      </c>
      <c r="CW269" s="143">
        <v>7.9768340773146207E-2</v>
      </c>
      <c r="CX269" s="140">
        <v>8389.39</v>
      </c>
      <c r="CY269" s="140">
        <v>128644.12</v>
      </c>
    </row>
    <row r="270" spans="1:103" ht="12" customHeight="1" x14ac:dyDescent="0.25">
      <c r="A270" s="122">
        <v>265</v>
      </c>
      <c r="B270" s="154" t="s">
        <v>345</v>
      </c>
      <c r="C270" s="124">
        <v>9401.6</v>
      </c>
      <c r="D270" s="125">
        <v>9352.4</v>
      </c>
      <c r="E270" s="125">
        <v>49.2</v>
      </c>
      <c r="F270" s="125">
        <v>2148.6999999999998</v>
      </c>
      <c r="G270" s="149">
        <v>783.4666666666667</v>
      </c>
      <c r="H270" s="124">
        <v>783.4666666666667</v>
      </c>
      <c r="I270" s="126">
        <v>2</v>
      </c>
      <c r="J270" s="126">
        <v>2</v>
      </c>
      <c r="K270" s="127">
        <v>7.9840326665365884E-3</v>
      </c>
      <c r="L270" s="127"/>
      <c r="M270" s="127">
        <v>2.6845637583892617E-2</v>
      </c>
      <c r="N270" s="127"/>
      <c r="O270" s="128" t="s">
        <v>1495</v>
      </c>
      <c r="P270" s="155" t="s">
        <v>321</v>
      </c>
      <c r="Q270" s="130">
        <v>4.79</v>
      </c>
      <c r="R270" s="130">
        <v>3.43</v>
      </c>
      <c r="S270" s="130">
        <v>4.66</v>
      </c>
      <c r="T270" s="38">
        <v>0</v>
      </c>
      <c r="U270" s="131">
        <v>41.47</v>
      </c>
      <c r="V270" s="157">
        <v>0</v>
      </c>
      <c r="W270" s="132">
        <v>0</v>
      </c>
      <c r="X270" s="133">
        <v>5469.540584259039</v>
      </c>
      <c r="Y270" s="134">
        <v>0</v>
      </c>
      <c r="Z270" s="134">
        <v>4636.5913195650073</v>
      </c>
      <c r="AA270" s="134">
        <v>493.00055703694801</v>
      </c>
      <c r="AB270" s="134">
        <v>339.94870765708367</v>
      </c>
      <c r="AC270" s="126">
        <v>0</v>
      </c>
      <c r="AD270" s="126">
        <v>0</v>
      </c>
      <c r="AE270" s="126">
        <v>0</v>
      </c>
      <c r="AF270" s="126">
        <v>0</v>
      </c>
      <c r="AG270" s="126">
        <v>0</v>
      </c>
      <c r="AH270" s="126">
        <v>0</v>
      </c>
      <c r="AI270" s="126">
        <v>0</v>
      </c>
      <c r="AJ270" s="126">
        <v>0</v>
      </c>
      <c r="AK270" s="126">
        <v>0</v>
      </c>
      <c r="AL270" s="126">
        <v>0</v>
      </c>
      <c r="AM270" s="126">
        <v>0</v>
      </c>
      <c r="AN270" s="126">
        <v>0</v>
      </c>
      <c r="AO270" s="126">
        <v>0</v>
      </c>
      <c r="AP270" s="126">
        <v>0</v>
      </c>
      <c r="AQ270" s="126">
        <v>0</v>
      </c>
      <c r="AR270" s="126">
        <v>0</v>
      </c>
      <c r="AS270" s="126">
        <v>0</v>
      </c>
      <c r="AT270" s="126">
        <v>0</v>
      </c>
      <c r="AU270" s="126">
        <v>0</v>
      </c>
      <c r="AV270" s="126">
        <v>0</v>
      </c>
      <c r="AW270" s="135">
        <v>47104.571135530845</v>
      </c>
      <c r="AX270" s="136">
        <v>33904.543765756753</v>
      </c>
      <c r="AY270" s="136">
        <v>5018.2113697740951</v>
      </c>
      <c r="AZ270" s="126">
        <v>8181.8159999999998</v>
      </c>
      <c r="BA270" s="126">
        <v>0</v>
      </c>
      <c r="BB270" s="126">
        <v>0</v>
      </c>
      <c r="BC270" s="126">
        <v>0</v>
      </c>
      <c r="BD270" s="126">
        <v>0</v>
      </c>
      <c r="BE270" s="126">
        <v>0</v>
      </c>
      <c r="BF270" s="126">
        <v>0</v>
      </c>
      <c r="BG270" s="126">
        <v>0</v>
      </c>
      <c r="BH270" s="126">
        <v>0</v>
      </c>
      <c r="BI270" s="137">
        <v>102415.01444421861</v>
      </c>
      <c r="BJ270" s="126">
        <v>0</v>
      </c>
      <c r="BK270" s="126">
        <v>0</v>
      </c>
      <c r="BL270" s="126">
        <v>1263.7098423381792</v>
      </c>
      <c r="BM270" s="126">
        <v>0</v>
      </c>
      <c r="BN270" s="126">
        <v>21064.978643999959</v>
      </c>
      <c r="BO270" s="126">
        <v>12093.554680918456</v>
      </c>
      <c r="BP270" s="126">
        <v>9921.821933821524</v>
      </c>
      <c r="BQ270" s="126">
        <v>53831.440340935806</v>
      </c>
      <c r="BR270" s="126">
        <v>2008.9526634771919</v>
      </c>
      <c r="BS270" s="126">
        <v>2230.5563387275079</v>
      </c>
      <c r="BT270" s="126">
        <v>0</v>
      </c>
      <c r="BU270" s="126">
        <v>0</v>
      </c>
      <c r="BV270" s="126">
        <v>0</v>
      </c>
      <c r="BW270" s="126">
        <v>13433.37742947359</v>
      </c>
      <c r="BX270" s="126">
        <v>47253.162205411914</v>
      </c>
      <c r="BY270" s="126">
        <v>41912.67094489294</v>
      </c>
      <c r="BZ270" s="126">
        <v>7979.0813452226666</v>
      </c>
      <c r="CA270" s="137">
        <v>28996.595583907394</v>
      </c>
      <c r="CB270" s="126">
        <v>0</v>
      </c>
      <c r="CC270" s="126">
        <v>0</v>
      </c>
      <c r="CD270" s="126">
        <v>28800</v>
      </c>
      <c r="CE270" s="126">
        <v>0</v>
      </c>
      <c r="CF270" s="126">
        <v>196.59558390739534</v>
      </c>
      <c r="CG270" s="137">
        <v>0</v>
      </c>
      <c r="CH270" s="126">
        <v>0</v>
      </c>
      <c r="CI270" s="126">
        <v>0</v>
      </c>
      <c r="CJ270" s="120"/>
      <c r="CK270" s="138">
        <v>294564.01367291703</v>
      </c>
      <c r="CL270" s="139">
        <v>31.331264218102984</v>
      </c>
      <c r="CM270" s="140">
        <v>385911.61</v>
      </c>
      <c r="CN270" s="125">
        <v>513.34</v>
      </c>
      <c r="CO270" s="125">
        <v>0</v>
      </c>
      <c r="CP270" s="125">
        <v>513.34</v>
      </c>
      <c r="CQ270" s="125">
        <v>1683.52</v>
      </c>
      <c r="CR270" s="125">
        <v>842.14</v>
      </c>
      <c r="CS270" s="125">
        <v>32529.07</v>
      </c>
      <c r="CT270" s="148">
        <v>2040.3240000000001</v>
      </c>
      <c r="CU270" s="141">
        <v>0</v>
      </c>
      <c r="CV270" s="142">
        <v>93387.920327082975</v>
      </c>
      <c r="CW270" s="143">
        <v>0.3101111883562091</v>
      </c>
      <c r="CX270" s="140">
        <v>100268.13</v>
      </c>
      <c r="CY270" s="140">
        <v>285643.48</v>
      </c>
    </row>
    <row r="271" spans="1:103" ht="12" customHeight="1" x14ac:dyDescent="0.25">
      <c r="A271" s="122">
        <v>266</v>
      </c>
      <c r="B271" s="154" t="s">
        <v>346</v>
      </c>
      <c r="C271" s="124">
        <v>8401</v>
      </c>
      <c r="D271" s="125">
        <v>8068.9</v>
      </c>
      <c r="E271" s="125">
        <v>332.1</v>
      </c>
      <c r="F271" s="125">
        <v>2571.6999999999998</v>
      </c>
      <c r="G271" s="149">
        <v>700.08333333333337</v>
      </c>
      <c r="H271" s="124">
        <v>700.08333333333337</v>
      </c>
      <c r="I271" s="126">
        <v>2</v>
      </c>
      <c r="J271" s="126">
        <v>2</v>
      </c>
      <c r="K271" s="127">
        <v>7.9840326665365884E-3</v>
      </c>
      <c r="L271" s="127"/>
      <c r="M271" s="127">
        <v>2.6845637583892617E-2</v>
      </c>
      <c r="N271" s="127"/>
      <c r="O271" s="128" t="s">
        <v>1495</v>
      </c>
      <c r="P271" s="155" t="s">
        <v>321</v>
      </c>
      <c r="Q271" s="130">
        <v>4.79</v>
      </c>
      <c r="R271" s="130">
        <v>3.43</v>
      </c>
      <c r="S271" s="130">
        <v>4.66</v>
      </c>
      <c r="T271" s="38">
        <v>0</v>
      </c>
      <c r="U271" s="131">
        <v>41.47</v>
      </c>
      <c r="V271" s="157">
        <v>0</v>
      </c>
      <c r="W271" s="132">
        <v>0</v>
      </c>
      <c r="X271" s="133">
        <v>60913.424528629192</v>
      </c>
      <c r="Y271" s="134">
        <v>0</v>
      </c>
      <c r="Z271" s="134">
        <v>4143.1249655022148</v>
      </c>
      <c r="AA271" s="134">
        <v>440.53115210893895</v>
      </c>
      <c r="AB271" s="134">
        <v>303.76841101803524</v>
      </c>
      <c r="AC271" s="126">
        <v>0</v>
      </c>
      <c r="AD271" s="126">
        <v>0</v>
      </c>
      <c r="AE271" s="126">
        <v>0</v>
      </c>
      <c r="AF271" s="126">
        <v>0</v>
      </c>
      <c r="AG271" s="126">
        <v>0</v>
      </c>
      <c r="AH271" s="126">
        <v>0</v>
      </c>
      <c r="AI271" s="126">
        <v>0</v>
      </c>
      <c r="AJ271" s="126">
        <v>0</v>
      </c>
      <c r="AK271" s="126">
        <v>0</v>
      </c>
      <c r="AL271" s="126">
        <v>0</v>
      </c>
      <c r="AM271" s="126">
        <v>0</v>
      </c>
      <c r="AN271" s="126">
        <v>0</v>
      </c>
      <c r="AO271" s="126">
        <v>0</v>
      </c>
      <c r="AP271" s="126">
        <v>0</v>
      </c>
      <c r="AQ271" s="126">
        <v>56026</v>
      </c>
      <c r="AR271" s="126">
        <v>0</v>
      </c>
      <c r="AS271" s="126">
        <v>0</v>
      </c>
      <c r="AT271" s="126">
        <v>0</v>
      </c>
      <c r="AU271" s="126">
        <v>0</v>
      </c>
      <c r="AV271" s="126">
        <v>0</v>
      </c>
      <c r="AW271" s="135">
        <v>42962.073178947699</v>
      </c>
      <c r="AX271" s="136">
        <v>30296.127486398327</v>
      </c>
      <c r="AY271" s="136">
        <v>4484.1296925493725</v>
      </c>
      <c r="AZ271" s="126">
        <v>8181.8159999999998</v>
      </c>
      <c r="BA271" s="126">
        <v>0</v>
      </c>
      <c r="BB271" s="126">
        <v>0</v>
      </c>
      <c r="BC271" s="126">
        <v>0</v>
      </c>
      <c r="BD271" s="126">
        <v>0</v>
      </c>
      <c r="BE271" s="126">
        <v>0</v>
      </c>
      <c r="BF271" s="126">
        <v>0</v>
      </c>
      <c r="BG271" s="126">
        <v>0</v>
      </c>
      <c r="BH271" s="126">
        <v>0</v>
      </c>
      <c r="BI271" s="137">
        <v>91515.118314529493</v>
      </c>
      <c r="BJ271" s="126">
        <v>0</v>
      </c>
      <c r="BK271" s="126">
        <v>0</v>
      </c>
      <c r="BL271" s="126">
        <v>1129.2148555015149</v>
      </c>
      <c r="BM271" s="126">
        <v>0</v>
      </c>
      <c r="BN271" s="126">
        <v>18823.060499089905</v>
      </c>
      <c r="BO271" s="126">
        <v>10806.453462644226</v>
      </c>
      <c r="BP271" s="126">
        <v>8865.8553933409876</v>
      </c>
      <c r="BQ271" s="126">
        <v>48102.230503765495</v>
      </c>
      <c r="BR271" s="126">
        <v>1795.1424572276942</v>
      </c>
      <c r="BS271" s="126">
        <v>1993.1611429596869</v>
      </c>
      <c r="BT271" s="126">
        <v>0</v>
      </c>
      <c r="BU271" s="126">
        <v>0</v>
      </c>
      <c r="BV271" s="126">
        <v>0</v>
      </c>
      <c r="BW271" s="126">
        <v>12003.680627234475</v>
      </c>
      <c r="BX271" s="126">
        <v>42224.069912319763</v>
      </c>
      <c r="BY271" s="126">
        <v>37451.960156573943</v>
      </c>
      <c r="BZ271" s="126">
        <v>7129.8781464022741</v>
      </c>
      <c r="CA271" s="137">
        <v>28975.672172864834</v>
      </c>
      <c r="CB271" s="126">
        <v>0</v>
      </c>
      <c r="CC271" s="126">
        <v>0</v>
      </c>
      <c r="CD271" s="126">
        <v>28800</v>
      </c>
      <c r="CE271" s="126">
        <v>0</v>
      </c>
      <c r="CF271" s="126">
        <v>175.67217286483452</v>
      </c>
      <c r="CG271" s="137">
        <v>0</v>
      </c>
      <c r="CH271" s="126">
        <v>0</v>
      </c>
      <c r="CI271" s="126">
        <v>0</v>
      </c>
      <c r="CJ271" s="120"/>
      <c r="CK271" s="138">
        <v>323175.87703750166</v>
      </c>
      <c r="CL271" s="139">
        <v>38.46873908314506</v>
      </c>
      <c r="CM271" s="140">
        <v>322408.55</v>
      </c>
      <c r="CN271" s="125">
        <v>346.36</v>
      </c>
      <c r="CO271" s="125">
        <v>0</v>
      </c>
      <c r="CP271" s="125">
        <v>346.36</v>
      </c>
      <c r="CQ271" s="125">
        <v>1136.31</v>
      </c>
      <c r="CR271" s="125">
        <v>568.48</v>
      </c>
      <c r="CS271" s="125">
        <v>21953.74</v>
      </c>
      <c r="CT271" s="148">
        <v>13772.187</v>
      </c>
      <c r="CU271" s="141">
        <v>0</v>
      </c>
      <c r="CV271" s="142">
        <v>13004.859962498304</v>
      </c>
      <c r="CW271" s="143">
        <v>-2.3743326529678255E-3</v>
      </c>
      <c r="CX271" s="140">
        <v>73751.490000000005</v>
      </c>
      <c r="CY271" s="140">
        <v>248657.06</v>
      </c>
    </row>
    <row r="272" spans="1:103" ht="12" customHeight="1" x14ac:dyDescent="0.25">
      <c r="A272" s="122">
        <v>267</v>
      </c>
      <c r="B272" s="154" t="s">
        <v>347</v>
      </c>
      <c r="C272" s="124">
        <v>9350.5</v>
      </c>
      <c r="D272" s="125">
        <v>9350.5</v>
      </c>
      <c r="E272" s="125">
        <v>0</v>
      </c>
      <c r="F272" s="125">
        <v>2155.4</v>
      </c>
      <c r="G272" s="149">
        <v>779.20833333333337</v>
      </c>
      <c r="H272" s="124">
        <v>779.20833333333337</v>
      </c>
      <c r="I272" s="126">
        <v>2</v>
      </c>
      <c r="J272" s="126">
        <v>2</v>
      </c>
      <c r="K272" s="127">
        <v>7.9840326665365884E-3</v>
      </c>
      <c r="L272" s="127"/>
      <c r="M272" s="127">
        <v>2.6845637583892617E-2</v>
      </c>
      <c r="N272" s="127"/>
      <c r="O272" s="128" t="s">
        <v>1495</v>
      </c>
      <c r="P272" s="155" t="s">
        <v>321</v>
      </c>
      <c r="Q272" s="130">
        <v>4.79</v>
      </c>
      <c r="R272" s="130">
        <v>3.43</v>
      </c>
      <c r="S272" s="130">
        <v>4.66</v>
      </c>
      <c r="T272" s="38">
        <v>0</v>
      </c>
      <c r="U272" s="131">
        <v>41.47</v>
      </c>
      <c r="V272" s="157">
        <v>0</v>
      </c>
      <c r="W272" s="132">
        <v>0</v>
      </c>
      <c r="X272" s="133">
        <v>5439.8122907924335</v>
      </c>
      <c r="Y272" s="134">
        <v>0</v>
      </c>
      <c r="Z272" s="134">
        <v>4611.39030947845</v>
      </c>
      <c r="AA272" s="134">
        <v>490.32097819243347</v>
      </c>
      <c r="AB272" s="134">
        <v>338.10100312154964</v>
      </c>
      <c r="AC272" s="126">
        <v>0</v>
      </c>
      <c r="AD272" s="126">
        <v>0</v>
      </c>
      <c r="AE272" s="126">
        <v>0</v>
      </c>
      <c r="AF272" s="126">
        <v>0</v>
      </c>
      <c r="AG272" s="126">
        <v>0</v>
      </c>
      <c r="AH272" s="126">
        <v>0</v>
      </c>
      <c r="AI272" s="126">
        <v>0</v>
      </c>
      <c r="AJ272" s="126">
        <v>0</v>
      </c>
      <c r="AK272" s="126">
        <v>0</v>
      </c>
      <c r="AL272" s="126">
        <v>0</v>
      </c>
      <c r="AM272" s="126">
        <v>0</v>
      </c>
      <c r="AN272" s="126">
        <v>0</v>
      </c>
      <c r="AO272" s="126">
        <v>0</v>
      </c>
      <c r="AP272" s="126">
        <v>0</v>
      </c>
      <c r="AQ272" s="126">
        <v>0</v>
      </c>
      <c r="AR272" s="126">
        <v>0</v>
      </c>
      <c r="AS272" s="126">
        <v>0</v>
      </c>
      <c r="AT272" s="126">
        <v>0</v>
      </c>
      <c r="AU272" s="126">
        <v>0</v>
      </c>
      <c r="AV272" s="126">
        <v>0</v>
      </c>
      <c r="AW272" s="135">
        <v>48711.196422777102</v>
      </c>
      <c r="AX272" s="136">
        <v>33720.264261584045</v>
      </c>
      <c r="AY272" s="136">
        <v>4990.9361611930608</v>
      </c>
      <c r="AZ272" s="126">
        <v>9999.9959999999992</v>
      </c>
      <c r="BA272" s="126">
        <v>0</v>
      </c>
      <c r="BB272" s="126">
        <v>0</v>
      </c>
      <c r="BC272" s="126">
        <v>0</v>
      </c>
      <c r="BD272" s="126">
        <v>0</v>
      </c>
      <c r="BE272" s="126">
        <v>0</v>
      </c>
      <c r="BF272" s="126">
        <v>0</v>
      </c>
      <c r="BG272" s="126">
        <v>0</v>
      </c>
      <c r="BH272" s="126">
        <v>0</v>
      </c>
      <c r="BI272" s="137">
        <v>101858.36374241259</v>
      </c>
      <c r="BJ272" s="126">
        <v>0</v>
      </c>
      <c r="BK272" s="126">
        <v>0</v>
      </c>
      <c r="BL272" s="126">
        <v>1256.8412696544358</v>
      </c>
      <c r="BM272" s="126">
        <v>0</v>
      </c>
      <c r="BN272" s="126">
        <v>20950.485322787783</v>
      </c>
      <c r="BO272" s="126">
        <v>12027.823247524679</v>
      </c>
      <c r="BP272" s="126">
        <v>9867.8944001231885</v>
      </c>
      <c r="BQ272" s="126">
        <v>53538.853270498665</v>
      </c>
      <c r="BR272" s="126">
        <v>1998.0335134278723</v>
      </c>
      <c r="BS272" s="126">
        <v>2218.4327183959713</v>
      </c>
      <c r="BT272" s="126">
        <v>0</v>
      </c>
      <c r="BU272" s="126">
        <v>0</v>
      </c>
      <c r="BV272" s="126">
        <v>0</v>
      </c>
      <c r="BW272" s="126">
        <v>13360.363731098196</v>
      </c>
      <c r="BX272" s="126">
        <v>46996.329688744903</v>
      </c>
      <c r="BY272" s="126">
        <v>41684.865306992579</v>
      </c>
      <c r="BZ272" s="126">
        <v>7935.7130827204464</v>
      </c>
      <c r="CA272" s="137">
        <v>28995.527038730226</v>
      </c>
      <c r="CB272" s="126">
        <v>0</v>
      </c>
      <c r="CC272" s="126">
        <v>0</v>
      </c>
      <c r="CD272" s="126">
        <v>28800</v>
      </c>
      <c r="CE272" s="126">
        <v>0</v>
      </c>
      <c r="CF272" s="126">
        <v>195.52703873022679</v>
      </c>
      <c r="CG272" s="137">
        <v>0</v>
      </c>
      <c r="CH272" s="126">
        <v>0</v>
      </c>
      <c r="CI272" s="126">
        <v>0</v>
      </c>
      <c r="CJ272" s="120"/>
      <c r="CK272" s="138">
        <v>294982.17130426847</v>
      </c>
      <c r="CL272" s="139">
        <v>31.547208310172554</v>
      </c>
      <c r="CM272" s="140">
        <v>387105.96</v>
      </c>
      <c r="CN272" s="125">
        <v>402.7</v>
      </c>
      <c r="CO272" s="125">
        <v>0</v>
      </c>
      <c r="CP272" s="125">
        <v>402.7</v>
      </c>
      <c r="CQ272" s="125">
        <v>1321.32</v>
      </c>
      <c r="CR272" s="125">
        <v>660.98</v>
      </c>
      <c r="CS272" s="125">
        <v>25526.42</v>
      </c>
      <c r="CT272" s="148">
        <v>0</v>
      </c>
      <c r="CU272" s="141">
        <v>0</v>
      </c>
      <c r="CV272" s="142">
        <v>92123.78869573155</v>
      </c>
      <c r="CW272" s="143">
        <v>0.31230290389552939</v>
      </c>
      <c r="CX272" s="140">
        <v>85383.43</v>
      </c>
      <c r="CY272" s="140">
        <v>301722.53000000003</v>
      </c>
    </row>
    <row r="273" spans="1:103" ht="12" customHeight="1" x14ac:dyDescent="0.25">
      <c r="A273" s="122">
        <v>268</v>
      </c>
      <c r="B273" s="154" t="s">
        <v>348</v>
      </c>
      <c r="C273" s="124">
        <v>10002.200000000001</v>
      </c>
      <c r="D273" s="125">
        <v>10002.200000000001</v>
      </c>
      <c r="E273" s="125">
        <v>0</v>
      </c>
      <c r="F273" s="125">
        <v>3808.6</v>
      </c>
      <c r="G273" s="149">
        <v>833.51666666666677</v>
      </c>
      <c r="H273" s="124">
        <v>833.51666666666677</v>
      </c>
      <c r="I273" s="126">
        <v>3</v>
      </c>
      <c r="J273" s="126">
        <v>3</v>
      </c>
      <c r="K273" s="127">
        <v>1.1976048999804883E-2</v>
      </c>
      <c r="L273" s="127"/>
      <c r="M273" s="127">
        <v>4.0268456375838924E-2</v>
      </c>
      <c r="N273" s="127"/>
      <c r="O273" s="128" t="s">
        <v>1495</v>
      </c>
      <c r="P273" s="155" t="s">
        <v>321</v>
      </c>
      <c r="Q273" s="130">
        <v>4.79</v>
      </c>
      <c r="R273" s="130">
        <v>3.43</v>
      </c>
      <c r="S273" s="130">
        <v>4.66</v>
      </c>
      <c r="T273" s="38">
        <v>0</v>
      </c>
      <c r="U273" s="131">
        <v>41.47</v>
      </c>
      <c r="V273" s="157">
        <v>0</v>
      </c>
      <c r="W273" s="132">
        <v>0</v>
      </c>
      <c r="X273" s="133">
        <v>5818.9498417158529</v>
      </c>
      <c r="Y273" s="134">
        <v>0</v>
      </c>
      <c r="Z273" s="134">
        <v>4932.7894929111126</v>
      </c>
      <c r="AA273" s="134">
        <v>524.4947850998725</v>
      </c>
      <c r="AB273" s="134">
        <v>361.66556370486757</v>
      </c>
      <c r="AC273" s="126">
        <v>0</v>
      </c>
      <c r="AD273" s="126">
        <v>0</v>
      </c>
      <c r="AE273" s="126">
        <v>0</v>
      </c>
      <c r="AF273" s="126">
        <v>0</v>
      </c>
      <c r="AG273" s="126">
        <v>0</v>
      </c>
      <c r="AH273" s="126">
        <v>0</v>
      </c>
      <c r="AI273" s="126">
        <v>0</v>
      </c>
      <c r="AJ273" s="126">
        <v>0</v>
      </c>
      <c r="AK273" s="126">
        <v>0</v>
      </c>
      <c r="AL273" s="126">
        <v>0</v>
      </c>
      <c r="AM273" s="126">
        <v>0</v>
      </c>
      <c r="AN273" s="126">
        <v>0</v>
      </c>
      <c r="AO273" s="126">
        <v>0</v>
      </c>
      <c r="AP273" s="126">
        <v>0</v>
      </c>
      <c r="AQ273" s="126">
        <v>0</v>
      </c>
      <c r="AR273" s="126">
        <v>0</v>
      </c>
      <c r="AS273" s="126">
        <v>0</v>
      </c>
      <c r="AT273" s="126">
        <v>0</v>
      </c>
      <c r="AU273" s="126">
        <v>0</v>
      </c>
      <c r="AV273" s="126">
        <v>0</v>
      </c>
      <c r="AW273" s="135">
        <v>51409.243512828318</v>
      </c>
      <c r="AX273" s="136">
        <v>36070.459033978499</v>
      </c>
      <c r="AY273" s="136">
        <v>5338.7884788498195</v>
      </c>
      <c r="AZ273" s="126">
        <v>9999.9959999999992</v>
      </c>
      <c r="BA273" s="126">
        <v>0</v>
      </c>
      <c r="BB273" s="126">
        <v>0</v>
      </c>
      <c r="BC273" s="126">
        <v>0</v>
      </c>
      <c r="BD273" s="126">
        <v>0</v>
      </c>
      <c r="BE273" s="126">
        <v>0</v>
      </c>
      <c r="BF273" s="126">
        <v>0</v>
      </c>
      <c r="BG273" s="126">
        <v>0</v>
      </c>
      <c r="BH273" s="126">
        <v>0</v>
      </c>
      <c r="BI273" s="137">
        <v>108957.56652845937</v>
      </c>
      <c r="BJ273" s="126">
        <v>0</v>
      </c>
      <c r="BK273" s="126">
        <v>0</v>
      </c>
      <c r="BL273" s="126">
        <v>1344.4390938813538</v>
      </c>
      <c r="BM273" s="126">
        <v>0</v>
      </c>
      <c r="BN273" s="126">
        <v>22410.667268658144</v>
      </c>
      <c r="BO273" s="126">
        <v>12866.124130943945</v>
      </c>
      <c r="BP273" s="126">
        <v>10555.655138111562</v>
      </c>
      <c r="BQ273" s="126">
        <v>57270.340429087402</v>
      </c>
      <c r="BR273" s="126">
        <v>2137.2900709061832</v>
      </c>
      <c r="BS273" s="126">
        <v>2373.0503968707753</v>
      </c>
      <c r="BT273" s="126">
        <v>0</v>
      </c>
      <c r="BU273" s="126">
        <v>0</v>
      </c>
      <c r="BV273" s="126">
        <v>0</v>
      </c>
      <c r="BW273" s="126">
        <v>14291.538432296711</v>
      </c>
      <c r="BX273" s="126">
        <v>50271.823839662517</v>
      </c>
      <c r="BY273" s="126">
        <v>44590.167346516355</v>
      </c>
      <c r="BZ273" s="126">
        <v>8488.8069510706864</v>
      </c>
      <c r="CA273" s="137">
        <v>43409.154649140415</v>
      </c>
      <c r="CB273" s="126">
        <v>0</v>
      </c>
      <c r="CC273" s="126">
        <v>0</v>
      </c>
      <c r="CD273" s="126">
        <v>43200</v>
      </c>
      <c r="CE273" s="126">
        <v>0</v>
      </c>
      <c r="CF273" s="126">
        <v>209.15464914041758</v>
      </c>
      <c r="CG273" s="137">
        <v>0</v>
      </c>
      <c r="CH273" s="126">
        <v>0</v>
      </c>
      <c r="CI273" s="126">
        <v>0</v>
      </c>
      <c r="CJ273" s="120"/>
      <c r="CK273" s="138">
        <v>327237.25110169023</v>
      </c>
      <c r="CL273" s="139">
        <v>32.71652747412471</v>
      </c>
      <c r="CM273" s="140">
        <v>415251.7</v>
      </c>
      <c r="CN273" s="125">
        <v>587.96</v>
      </c>
      <c r="CO273" s="125">
        <v>0</v>
      </c>
      <c r="CP273" s="125">
        <v>587.96</v>
      </c>
      <c r="CQ273" s="125">
        <v>1930.03</v>
      </c>
      <c r="CR273" s="125">
        <v>965.17</v>
      </c>
      <c r="CS273" s="125">
        <v>31943.53</v>
      </c>
      <c r="CT273" s="148">
        <v>0</v>
      </c>
      <c r="CU273" s="141">
        <v>0</v>
      </c>
      <c r="CV273" s="142">
        <v>88014.448898309784</v>
      </c>
      <c r="CW273" s="143">
        <v>0.2689621936438984</v>
      </c>
      <c r="CX273" s="140">
        <v>79573.61</v>
      </c>
      <c r="CY273" s="140">
        <v>335678.09</v>
      </c>
    </row>
    <row r="274" spans="1:103" ht="12" customHeight="1" x14ac:dyDescent="0.25">
      <c r="A274" s="122">
        <v>269</v>
      </c>
      <c r="B274" s="154" t="s">
        <v>349</v>
      </c>
      <c r="C274" s="124">
        <v>12324.3</v>
      </c>
      <c r="D274" s="125">
        <v>12324.3</v>
      </c>
      <c r="E274" s="125">
        <v>0</v>
      </c>
      <c r="F274" s="125">
        <v>4414.2</v>
      </c>
      <c r="G274" s="149">
        <v>1027.0249999999999</v>
      </c>
      <c r="H274" s="124">
        <v>1027.0249999999999</v>
      </c>
      <c r="I274" s="126">
        <v>3</v>
      </c>
      <c r="J274" s="126">
        <v>3</v>
      </c>
      <c r="K274" s="127">
        <v>1.1976048999804883E-2</v>
      </c>
      <c r="L274" s="127"/>
      <c r="M274" s="127">
        <v>4.0268456375838924E-2</v>
      </c>
      <c r="N274" s="127"/>
      <c r="O274" s="128" t="s">
        <v>1495</v>
      </c>
      <c r="P274" s="155" t="s">
        <v>321</v>
      </c>
      <c r="Q274" s="130">
        <v>4.79</v>
      </c>
      <c r="R274" s="130">
        <v>3.43</v>
      </c>
      <c r="S274" s="130">
        <v>4.66</v>
      </c>
      <c r="T274" s="38">
        <v>0</v>
      </c>
      <c r="U274" s="131">
        <v>41.47</v>
      </c>
      <c r="V274" s="157">
        <v>0</v>
      </c>
      <c r="W274" s="132">
        <v>0</v>
      </c>
      <c r="X274" s="133">
        <v>7169.8709818098696</v>
      </c>
      <c r="Y274" s="134">
        <v>0</v>
      </c>
      <c r="Z274" s="134">
        <v>6077.9805990166578</v>
      </c>
      <c r="AA274" s="134">
        <v>646.26093059590471</v>
      </c>
      <c r="AB274" s="134">
        <v>445.62945219730642</v>
      </c>
      <c r="AC274" s="126">
        <v>0</v>
      </c>
      <c r="AD274" s="126">
        <v>0</v>
      </c>
      <c r="AE274" s="126">
        <v>0</v>
      </c>
      <c r="AF274" s="126">
        <v>0</v>
      </c>
      <c r="AG274" s="126">
        <v>0</v>
      </c>
      <c r="AH274" s="126">
        <v>0</v>
      </c>
      <c r="AI274" s="126">
        <v>0</v>
      </c>
      <c r="AJ274" s="126">
        <v>0</v>
      </c>
      <c r="AK274" s="126">
        <v>0</v>
      </c>
      <c r="AL274" s="126">
        <v>0</v>
      </c>
      <c r="AM274" s="126">
        <v>0</v>
      </c>
      <c r="AN274" s="126">
        <v>0</v>
      </c>
      <c r="AO274" s="126">
        <v>0</v>
      </c>
      <c r="AP274" s="126">
        <v>0</v>
      </c>
      <c r="AQ274" s="126">
        <v>0</v>
      </c>
      <c r="AR274" s="126">
        <v>0</v>
      </c>
      <c r="AS274" s="126">
        <v>0</v>
      </c>
      <c r="AT274" s="126">
        <v>0</v>
      </c>
      <c r="AU274" s="126">
        <v>0</v>
      </c>
      <c r="AV274" s="126">
        <v>0</v>
      </c>
      <c r="AW274" s="135">
        <v>61022.76990197655</v>
      </c>
      <c r="AX274" s="136">
        <v>44444.538028879753</v>
      </c>
      <c r="AY274" s="136">
        <v>6578.2358730967999</v>
      </c>
      <c r="AZ274" s="126">
        <v>9999.9959999999992</v>
      </c>
      <c r="BA274" s="126">
        <v>0</v>
      </c>
      <c r="BB274" s="126">
        <v>0</v>
      </c>
      <c r="BC274" s="126">
        <v>0</v>
      </c>
      <c r="BD274" s="126">
        <v>0</v>
      </c>
      <c r="BE274" s="126">
        <v>0</v>
      </c>
      <c r="BF274" s="126">
        <v>0</v>
      </c>
      <c r="BG274" s="126">
        <v>0</v>
      </c>
      <c r="BH274" s="126">
        <v>0</v>
      </c>
      <c r="BI274" s="137">
        <v>134253.03804829853</v>
      </c>
      <c r="BJ274" s="126">
        <v>0</v>
      </c>
      <c r="BK274" s="126">
        <v>0</v>
      </c>
      <c r="BL274" s="126">
        <v>1656.5626286938839</v>
      </c>
      <c r="BM274" s="126">
        <v>0</v>
      </c>
      <c r="BN274" s="126">
        <v>27613.503691100308</v>
      </c>
      <c r="BO274" s="126">
        <v>15853.109678569956</v>
      </c>
      <c r="BP274" s="126">
        <v>13006.244688031462</v>
      </c>
      <c r="BQ274" s="126">
        <v>70566.161099578268</v>
      </c>
      <c r="BR274" s="126">
        <v>2633.4810362589296</v>
      </c>
      <c r="BS274" s="126">
        <v>2923.9752260657142</v>
      </c>
      <c r="BT274" s="126">
        <v>0</v>
      </c>
      <c r="BU274" s="126">
        <v>0</v>
      </c>
      <c r="BV274" s="126">
        <v>0</v>
      </c>
      <c r="BW274" s="126">
        <v>17609.446631856423</v>
      </c>
      <c r="BX274" s="126">
        <v>61942.876421902438</v>
      </c>
      <c r="BY274" s="126">
        <v>54942.172664880869</v>
      </c>
      <c r="BZ274" s="126">
        <v>10459.559247673555</v>
      </c>
      <c r="CA274" s="137">
        <v>43457.711767651243</v>
      </c>
      <c r="CB274" s="126">
        <v>0</v>
      </c>
      <c r="CC274" s="126">
        <v>0</v>
      </c>
      <c r="CD274" s="126">
        <v>43200</v>
      </c>
      <c r="CE274" s="126">
        <v>0</v>
      </c>
      <c r="CF274" s="126">
        <v>257.71176765124147</v>
      </c>
      <c r="CG274" s="137">
        <v>0</v>
      </c>
      <c r="CH274" s="126">
        <v>0</v>
      </c>
      <c r="CI274" s="126">
        <v>0</v>
      </c>
      <c r="CJ274" s="120"/>
      <c r="CK274" s="138">
        <v>390857.44566604949</v>
      </c>
      <c r="CL274" s="139">
        <v>31.714372878463646</v>
      </c>
      <c r="CM274" s="140">
        <v>511022.47</v>
      </c>
      <c r="CN274" s="125">
        <v>728.93</v>
      </c>
      <c r="CO274" s="125">
        <v>0</v>
      </c>
      <c r="CP274" s="125">
        <v>728.93</v>
      </c>
      <c r="CQ274" s="125">
        <v>2392.02</v>
      </c>
      <c r="CR274" s="125">
        <v>1196.5999999999999</v>
      </c>
      <c r="CS274" s="125">
        <v>46205.78</v>
      </c>
      <c r="CT274" s="148">
        <v>0</v>
      </c>
      <c r="CU274" s="141">
        <v>0</v>
      </c>
      <c r="CV274" s="142">
        <v>120165.02433395048</v>
      </c>
      <c r="CW274" s="143">
        <v>0.30743951705763339</v>
      </c>
      <c r="CX274" s="140">
        <v>95602.22</v>
      </c>
      <c r="CY274" s="140">
        <v>415420.25</v>
      </c>
    </row>
    <row r="275" spans="1:103" ht="12" customHeight="1" x14ac:dyDescent="0.25">
      <c r="A275" s="122">
        <v>270</v>
      </c>
      <c r="B275" s="154" t="s">
        <v>350</v>
      </c>
      <c r="C275" s="124">
        <v>12389.5</v>
      </c>
      <c r="D275" s="125">
        <v>12389.5</v>
      </c>
      <c r="E275" s="125">
        <v>0</v>
      </c>
      <c r="F275" s="125">
        <v>4505.5</v>
      </c>
      <c r="G275" s="149">
        <v>1032.4583333333333</v>
      </c>
      <c r="H275" s="124">
        <v>1032.4583333333333</v>
      </c>
      <c r="I275" s="126">
        <v>3</v>
      </c>
      <c r="J275" s="126">
        <v>3</v>
      </c>
      <c r="K275" s="127">
        <v>1.1976048999804883E-2</v>
      </c>
      <c r="L275" s="127"/>
      <c r="M275" s="127">
        <v>4.0268456375838924E-2</v>
      </c>
      <c r="N275" s="127"/>
      <c r="O275" s="128" t="s">
        <v>1495</v>
      </c>
      <c r="P275" s="155" t="s">
        <v>321</v>
      </c>
      <c r="Q275" s="130">
        <v>4.79</v>
      </c>
      <c r="R275" s="130">
        <v>3.43</v>
      </c>
      <c r="S275" s="130">
        <v>4.66</v>
      </c>
      <c r="T275" s="38">
        <v>0</v>
      </c>
      <c r="U275" s="131">
        <v>41.47</v>
      </c>
      <c r="V275" s="157">
        <v>0</v>
      </c>
      <c r="W275" s="132">
        <v>0</v>
      </c>
      <c r="X275" s="133">
        <v>7207.802189912074</v>
      </c>
      <c r="Y275" s="134">
        <v>0</v>
      </c>
      <c r="Z275" s="134">
        <v>6110.1353124734778</v>
      </c>
      <c r="AA275" s="134">
        <v>649.67988442491344</v>
      </c>
      <c r="AB275" s="134">
        <v>447.98699301368254</v>
      </c>
      <c r="AC275" s="126">
        <v>0</v>
      </c>
      <c r="AD275" s="126">
        <v>0</v>
      </c>
      <c r="AE275" s="126">
        <v>0</v>
      </c>
      <c r="AF275" s="126">
        <v>0</v>
      </c>
      <c r="AG275" s="126">
        <v>0</v>
      </c>
      <c r="AH275" s="126">
        <v>0</v>
      </c>
      <c r="AI275" s="126">
        <v>0</v>
      </c>
      <c r="AJ275" s="126">
        <v>0</v>
      </c>
      <c r="AK275" s="126">
        <v>0</v>
      </c>
      <c r="AL275" s="126">
        <v>0</v>
      </c>
      <c r="AM275" s="126">
        <v>0</v>
      </c>
      <c r="AN275" s="126">
        <v>0</v>
      </c>
      <c r="AO275" s="126">
        <v>0</v>
      </c>
      <c r="AP275" s="126">
        <v>0</v>
      </c>
      <c r="AQ275" s="126">
        <v>0</v>
      </c>
      <c r="AR275" s="126">
        <v>0</v>
      </c>
      <c r="AS275" s="126">
        <v>0</v>
      </c>
      <c r="AT275" s="126">
        <v>0</v>
      </c>
      <c r="AU275" s="126">
        <v>0</v>
      </c>
      <c r="AV275" s="126">
        <v>0</v>
      </c>
      <c r="AW275" s="135">
        <v>61292.698811400129</v>
      </c>
      <c r="AX275" s="136">
        <v>44679.665693695038</v>
      </c>
      <c r="AY275" s="136">
        <v>6613.0371177050874</v>
      </c>
      <c r="AZ275" s="126">
        <v>9999.9959999999992</v>
      </c>
      <c r="BA275" s="126">
        <v>0</v>
      </c>
      <c r="BB275" s="126">
        <v>0</v>
      </c>
      <c r="BC275" s="126">
        <v>0</v>
      </c>
      <c r="BD275" s="126">
        <v>0</v>
      </c>
      <c r="BE275" s="126">
        <v>0</v>
      </c>
      <c r="BF275" s="126">
        <v>0</v>
      </c>
      <c r="BG275" s="126">
        <v>0</v>
      </c>
      <c r="BH275" s="126">
        <v>0</v>
      </c>
      <c r="BI275" s="137">
        <v>134963.28512770659</v>
      </c>
      <c r="BJ275" s="126">
        <v>0</v>
      </c>
      <c r="BK275" s="126">
        <v>0</v>
      </c>
      <c r="BL275" s="126">
        <v>1665.3264435467227</v>
      </c>
      <c r="BM275" s="126">
        <v>0</v>
      </c>
      <c r="BN275" s="126">
        <v>27759.589102901362</v>
      </c>
      <c r="BO275" s="126">
        <v>15936.978356794501</v>
      </c>
      <c r="BP275" s="126">
        <v>13075.052421830515</v>
      </c>
      <c r="BQ275" s="126">
        <v>70939.481588668321</v>
      </c>
      <c r="BR275" s="126">
        <v>2647.4131024666722</v>
      </c>
      <c r="BS275" s="126">
        <v>2939.4441114985166</v>
      </c>
      <c r="BT275" s="126">
        <v>0</v>
      </c>
      <c r="BU275" s="126">
        <v>0</v>
      </c>
      <c r="BV275" s="126">
        <v>0</v>
      </c>
      <c r="BW275" s="126">
        <v>17702.606967161231</v>
      </c>
      <c r="BX275" s="126">
        <v>62270.576619293613</v>
      </c>
      <c r="BY275" s="126">
        <v>55232.83660991225</v>
      </c>
      <c r="BZ275" s="126">
        <v>10514.894095328053</v>
      </c>
      <c r="CA275" s="137">
        <v>43459.075156018196</v>
      </c>
      <c r="CB275" s="126">
        <v>0</v>
      </c>
      <c r="CC275" s="126">
        <v>0</v>
      </c>
      <c r="CD275" s="126">
        <v>43200</v>
      </c>
      <c r="CE275" s="126">
        <v>0</v>
      </c>
      <c r="CF275" s="126">
        <v>259.07515601819631</v>
      </c>
      <c r="CG275" s="137">
        <v>0</v>
      </c>
      <c r="CH275" s="126">
        <v>0</v>
      </c>
      <c r="CI275" s="126">
        <v>0</v>
      </c>
      <c r="CJ275" s="120"/>
      <c r="CK275" s="138">
        <v>392643.77557673218</v>
      </c>
      <c r="CL275" s="139">
        <v>31.691656287722036</v>
      </c>
      <c r="CM275" s="140">
        <v>513921.18</v>
      </c>
      <c r="CN275" s="125">
        <v>595.17999999999995</v>
      </c>
      <c r="CO275" s="125">
        <v>0</v>
      </c>
      <c r="CP275" s="125">
        <v>595.17999999999995</v>
      </c>
      <c r="CQ275" s="125">
        <v>1953.02</v>
      </c>
      <c r="CR275" s="125">
        <v>977.01</v>
      </c>
      <c r="CS275" s="125">
        <v>37729.019999999997</v>
      </c>
      <c r="CT275" s="148">
        <v>0</v>
      </c>
      <c r="CU275" s="141">
        <v>0</v>
      </c>
      <c r="CV275" s="142">
        <v>121277.40442326781</v>
      </c>
      <c r="CW275" s="143">
        <v>0.30887387491404983</v>
      </c>
      <c r="CX275" s="140">
        <v>85635.13</v>
      </c>
      <c r="CY275" s="140">
        <v>428286.05</v>
      </c>
    </row>
    <row r="276" spans="1:103" ht="12" customHeight="1" x14ac:dyDescent="0.25">
      <c r="A276" s="122">
        <v>271</v>
      </c>
      <c r="B276" s="154" t="s">
        <v>351</v>
      </c>
      <c r="C276" s="124">
        <v>8641.2599999999984</v>
      </c>
      <c r="D276" s="125">
        <v>8258.9599999999991</v>
      </c>
      <c r="E276" s="125">
        <v>382.3</v>
      </c>
      <c r="F276" s="125">
        <v>3075.9</v>
      </c>
      <c r="G276" s="149">
        <v>720.1049999999999</v>
      </c>
      <c r="H276" s="124">
        <v>720.1049999999999</v>
      </c>
      <c r="I276" s="126">
        <v>2</v>
      </c>
      <c r="J276" s="126">
        <v>2</v>
      </c>
      <c r="K276" s="127">
        <v>7.9840326665365884E-3</v>
      </c>
      <c r="L276" s="127"/>
      <c r="M276" s="127">
        <v>2.6845637583892617E-2</v>
      </c>
      <c r="N276" s="127"/>
      <c r="O276" s="128" t="s">
        <v>1495</v>
      </c>
      <c r="P276" s="155" t="s">
        <v>321</v>
      </c>
      <c r="Q276" s="130">
        <v>4.79</v>
      </c>
      <c r="R276" s="130">
        <v>3.43</v>
      </c>
      <c r="S276" s="130">
        <v>4.66</v>
      </c>
      <c r="T276" s="38">
        <v>0</v>
      </c>
      <c r="U276" s="131">
        <v>41.47</v>
      </c>
      <c r="V276" s="157">
        <v>0</v>
      </c>
      <c r="W276" s="132">
        <v>0</v>
      </c>
      <c r="X276" s="133">
        <v>5027.1998669518225</v>
      </c>
      <c r="Y276" s="134">
        <v>0</v>
      </c>
      <c r="Z276" s="134">
        <v>4261.6140982496918</v>
      </c>
      <c r="AA276" s="134">
        <v>453.12989209295188</v>
      </c>
      <c r="AB276" s="134">
        <v>312.45587660917829</v>
      </c>
      <c r="AC276" s="126">
        <v>0</v>
      </c>
      <c r="AD276" s="126">
        <v>0</v>
      </c>
      <c r="AE276" s="126">
        <v>0</v>
      </c>
      <c r="AF276" s="126">
        <v>0</v>
      </c>
      <c r="AG276" s="126">
        <v>0</v>
      </c>
      <c r="AH276" s="126">
        <v>0</v>
      </c>
      <c r="AI276" s="126">
        <v>0</v>
      </c>
      <c r="AJ276" s="126">
        <v>0</v>
      </c>
      <c r="AK276" s="126">
        <v>0</v>
      </c>
      <c r="AL276" s="126">
        <v>0</v>
      </c>
      <c r="AM276" s="126">
        <v>0</v>
      </c>
      <c r="AN276" s="126">
        <v>0</v>
      </c>
      <c r="AO276" s="126">
        <v>0</v>
      </c>
      <c r="AP276" s="126">
        <v>0</v>
      </c>
      <c r="AQ276" s="126">
        <v>0</v>
      </c>
      <c r="AR276" s="126">
        <v>0</v>
      </c>
      <c r="AS276" s="126">
        <v>0</v>
      </c>
      <c r="AT276" s="126">
        <v>0</v>
      </c>
      <c r="AU276" s="126">
        <v>0</v>
      </c>
      <c r="AV276" s="126">
        <v>0</v>
      </c>
      <c r="AW276" s="135">
        <v>45774.932930145638</v>
      </c>
      <c r="AX276" s="136">
        <v>31162.565718737573</v>
      </c>
      <c r="AY276" s="136">
        <v>4612.3712114080681</v>
      </c>
      <c r="AZ276" s="126">
        <v>9999.9959999999992</v>
      </c>
      <c r="BA276" s="126">
        <v>0</v>
      </c>
      <c r="BB276" s="126">
        <v>0</v>
      </c>
      <c r="BC276" s="126">
        <v>0</v>
      </c>
      <c r="BD276" s="126">
        <v>0</v>
      </c>
      <c r="BE276" s="126">
        <v>0</v>
      </c>
      <c r="BF276" s="126">
        <v>0</v>
      </c>
      <c r="BG276" s="126">
        <v>0</v>
      </c>
      <c r="BH276" s="126">
        <v>0</v>
      </c>
      <c r="BI276" s="137">
        <v>94132.357015428046</v>
      </c>
      <c r="BJ276" s="126">
        <v>0</v>
      </c>
      <c r="BK276" s="126">
        <v>0</v>
      </c>
      <c r="BL276" s="126">
        <v>1161.5092444055492</v>
      </c>
      <c r="BM276" s="126">
        <v>0</v>
      </c>
      <c r="BN276" s="126">
        <v>19361.380760429187</v>
      </c>
      <c r="BO276" s="126">
        <v>11115.506969242831</v>
      </c>
      <c r="BP276" s="126">
        <v>9119.4097817238107</v>
      </c>
      <c r="BQ276" s="126">
        <v>49477.905054513576</v>
      </c>
      <c r="BR276" s="126">
        <v>1846.4816938392312</v>
      </c>
      <c r="BS276" s="126">
        <v>2050.163511273875</v>
      </c>
      <c r="BT276" s="126">
        <v>0</v>
      </c>
      <c r="BU276" s="126">
        <v>0</v>
      </c>
      <c r="BV276" s="126">
        <v>0</v>
      </c>
      <c r="BW276" s="126">
        <v>12346.973605153691</v>
      </c>
      <c r="BX276" s="126">
        <v>43431.635087552939</v>
      </c>
      <c r="BY276" s="126">
        <v>38523.047877942634</v>
      </c>
      <c r="BZ276" s="126">
        <v>7333.785362621129</v>
      </c>
      <c r="CA276" s="137">
        <v>28980.696217175333</v>
      </c>
      <c r="CB276" s="126">
        <v>0</v>
      </c>
      <c r="CC276" s="126">
        <v>0</v>
      </c>
      <c r="CD276" s="126">
        <v>28800</v>
      </c>
      <c r="CE276" s="126">
        <v>0</v>
      </c>
      <c r="CF276" s="126">
        <v>180.69621717533386</v>
      </c>
      <c r="CG276" s="137">
        <v>0</v>
      </c>
      <c r="CH276" s="126">
        <v>0</v>
      </c>
      <c r="CI276" s="126">
        <v>0</v>
      </c>
      <c r="CJ276" s="120"/>
      <c r="CK276" s="138">
        <v>275550.62796297128</v>
      </c>
      <c r="CL276" s="139">
        <v>31.887783490251575</v>
      </c>
      <c r="CM276" s="140">
        <v>338211.14</v>
      </c>
      <c r="CN276" s="125">
        <v>595</v>
      </c>
      <c r="CO276" s="125">
        <v>0</v>
      </c>
      <c r="CP276" s="125">
        <v>595</v>
      </c>
      <c r="CQ276" s="125">
        <v>1952.4</v>
      </c>
      <c r="CR276" s="125">
        <v>976.75</v>
      </c>
      <c r="CS276" s="125">
        <v>37719.18</v>
      </c>
      <c r="CT276" s="148">
        <v>15853.981</v>
      </c>
      <c r="CU276" s="141">
        <v>0</v>
      </c>
      <c r="CV276" s="142">
        <v>78514.493037028762</v>
      </c>
      <c r="CW276" s="143">
        <v>0.22740108596467845</v>
      </c>
      <c r="CX276" s="140">
        <v>67475.86</v>
      </c>
      <c r="CY276" s="140">
        <v>270735.28000000003</v>
      </c>
    </row>
    <row r="277" spans="1:103" ht="12" customHeight="1" x14ac:dyDescent="0.25">
      <c r="A277" s="122">
        <v>272</v>
      </c>
      <c r="B277" s="154" t="s">
        <v>352</v>
      </c>
      <c r="C277" s="124">
        <v>3526.3</v>
      </c>
      <c r="D277" s="125">
        <v>3526.3</v>
      </c>
      <c r="E277" s="125">
        <v>0</v>
      </c>
      <c r="F277" s="125">
        <v>1356.5</v>
      </c>
      <c r="G277" s="149">
        <v>293.85833333333335</v>
      </c>
      <c r="H277" s="124">
        <v>293.85833333333335</v>
      </c>
      <c r="I277" s="126">
        <v>1</v>
      </c>
      <c r="J277" s="126">
        <v>1</v>
      </c>
      <c r="K277" s="127">
        <v>3.9920163332682942E-3</v>
      </c>
      <c r="L277" s="127"/>
      <c r="M277" s="127">
        <v>1.3422818791946308E-2</v>
      </c>
      <c r="N277" s="127"/>
      <c r="O277" s="128" t="s">
        <v>1495</v>
      </c>
      <c r="P277" s="155" t="s">
        <v>321</v>
      </c>
      <c r="Q277" s="130">
        <v>4.79</v>
      </c>
      <c r="R277" s="130">
        <v>3.43</v>
      </c>
      <c r="S277" s="130">
        <v>4.66</v>
      </c>
      <c r="T277" s="38">
        <v>0</v>
      </c>
      <c r="U277" s="131">
        <v>41.47</v>
      </c>
      <c r="V277" s="157">
        <v>0</v>
      </c>
      <c r="W277" s="132">
        <v>0</v>
      </c>
      <c r="X277" s="133">
        <v>2051.4849559939425</v>
      </c>
      <c r="Y277" s="134">
        <v>0</v>
      </c>
      <c r="Z277" s="134">
        <v>1739.0669641531319</v>
      </c>
      <c r="AA277" s="134">
        <v>184.9119154483694</v>
      </c>
      <c r="AB277" s="134">
        <v>127.5060763924411</v>
      </c>
      <c r="AC277" s="126">
        <v>0</v>
      </c>
      <c r="AD277" s="126">
        <v>0</v>
      </c>
      <c r="AE277" s="126">
        <v>0</v>
      </c>
      <c r="AF277" s="126">
        <v>0</v>
      </c>
      <c r="AG277" s="126">
        <v>0</v>
      </c>
      <c r="AH277" s="126">
        <v>0</v>
      </c>
      <c r="AI277" s="126">
        <v>0</v>
      </c>
      <c r="AJ277" s="126">
        <v>0</v>
      </c>
      <c r="AK277" s="126">
        <v>0</v>
      </c>
      <c r="AL277" s="126">
        <v>0</v>
      </c>
      <c r="AM277" s="126">
        <v>0</v>
      </c>
      <c r="AN277" s="126">
        <v>0</v>
      </c>
      <c r="AO277" s="126">
        <v>0</v>
      </c>
      <c r="AP277" s="126">
        <v>0</v>
      </c>
      <c r="AQ277" s="126">
        <v>0</v>
      </c>
      <c r="AR277" s="126">
        <v>0</v>
      </c>
      <c r="AS277" s="126">
        <v>0</v>
      </c>
      <c r="AT277" s="126">
        <v>0</v>
      </c>
      <c r="AU277" s="126">
        <v>0</v>
      </c>
      <c r="AV277" s="126">
        <v>0</v>
      </c>
      <c r="AW277" s="135">
        <v>24598.927185587818</v>
      </c>
      <c r="AX277" s="136">
        <v>12716.728288928272</v>
      </c>
      <c r="AY277" s="136">
        <v>1882.2028966595467</v>
      </c>
      <c r="AZ277" s="126">
        <v>9999.9959999999992</v>
      </c>
      <c r="BA277" s="126">
        <v>0</v>
      </c>
      <c r="BB277" s="126">
        <v>0</v>
      </c>
      <c r="BC277" s="126">
        <v>0</v>
      </c>
      <c r="BD277" s="126">
        <v>0</v>
      </c>
      <c r="BE277" s="126">
        <v>0</v>
      </c>
      <c r="BF277" s="126">
        <v>0</v>
      </c>
      <c r="BG277" s="126">
        <v>0</v>
      </c>
      <c r="BH277" s="126">
        <v>0</v>
      </c>
      <c r="BI277" s="137">
        <v>38413.255768661518</v>
      </c>
      <c r="BJ277" s="126">
        <v>0</v>
      </c>
      <c r="BK277" s="126">
        <v>0</v>
      </c>
      <c r="BL277" s="126">
        <v>473.98528091358077</v>
      </c>
      <c r="BM277" s="126">
        <v>0</v>
      </c>
      <c r="BN277" s="126">
        <v>7900.9353931604255</v>
      </c>
      <c r="BO277" s="126">
        <v>4535.983435938856</v>
      </c>
      <c r="BP277" s="126">
        <v>3721.421958521405</v>
      </c>
      <c r="BQ277" s="126">
        <v>20190.798169911708</v>
      </c>
      <c r="BR277" s="126">
        <v>753.50682620188286</v>
      </c>
      <c r="BS277" s="126">
        <v>836.6247040136584</v>
      </c>
      <c r="BT277" s="126">
        <v>0</v>
      </c>
      <c r="BU277" s="126">
        <v>0</v>
      </c>
      <c r="BV277" s="126">
        <v>0</v>
      </c>
      <c r="BW277" s="126">
        <v>5038.5167237015739</v>
      </c>
      <c r="BX277" s="126">
        <v>17723.454080682441</v>
      </c>
      <c r="BY277" s="126">
        <v>15720.372229511569</v>
      </c>
      <c r="BZ277" s="126">
        <v>2992.7495902462015</v>
      </c>
      <c r="CA277" s="137">
        <v>14473.737981570441</v>
      </c>
      <c r="CB277" s="126">
        <v>0</v>
      </c>
      <c r="CC277" s="126">
        <v>0</v>
      </c>
      <c r="CD277" s="126">
        <v>14400</v>
      </c>
      <c r="CE277" s="126">
        <v>0</v>
      </c>
      <c r="CF277" s="126">
        <v>73.737981570439942</v>
      </c>
      <c r="CG277" s="137">
        <v>0</v>
      </c>
      <c r="CH277" s="126">
        <v>0</v>
      </c>
      <c r="CI277" s="126">
        <v>0</v>
      </c>
      <c r="CJ277" s="120"/>
      <c r="CK277" s="138">
        <v>121012.49851595549</v>
      </c>
      <c r="CL277" s="139">
        <v>34.317130849886702</v>
      </c>
      <c r="CM277" s="140">
        <v>145381.42000000001</v>
      </c>
      <c r="CN277" s="125">
        <v>223.07</v>
      </c>
      <c r="CO277" s="125">
        <v>0</v>
      </c>
      <c r="CP277" s="125">
        <v>223.07</v>
      </c>
      <c r="CQ277" s="125">
        <v>731.72</v>
      </c>
      <c r="CR277" s="125">
        <v>366.08</v>
      </c>
      <c r="CS277" s="125">
        <v>14136.21</v>
      </c>
      <c r="CT277" s="148">
        <v>0</v>
      </c>
      <c r="CU277" s="141">
        <v>0</v>
      </c>
      <c r="CV277" s="142">
        <v>24368.92148404452</v>
      </c>
      <c r="CW277" s="143">
        <v>0.20137524456477096</v>
      </c>
      <c r="CX277" s="140">
        <v>41483.050000000003</v>
      </c>
      <c r="CY277" s="140">
        <v>103898.37</v>
      </c>
    </row>
    <row r="278" spans="1:103" ht="12" customHeight="1" x14ac:dyDescent="0.25">
      <c r="A278" s="122">
        <v>273</v>
      </c>
      <c r="B278" s="154" t="s">
        <v>353</v>
      </c>
      <c r="C278" s="124">
        <v>12594.5</v>
      </c>
      <c r="D278" s="125">
        <v>12320</v>
      </c>
      <c r="E278" s="125">
        <v>274.5</v>
      </c>
      <c r="F278" s="125">
        <v>4453.8999999999996</v>
      </c>
      <c r="G278" s="149">
        <v>1049.5416666666667</v>
      </c>
      <c r="H278" s="124">
        <v>1049.5416666666667</v>
      </c>
      <c r="I278" s="126">
        <v>3</v>
      </c>
      <c r="J278" s="126">
        <v>3</v>
      </c>
      <c r="K278" s="127">
        <v>1.1976048999804883E-2</v>
      </c>
      <c r="L278" s="127"/>
      <c r="M278" s="127">
        <v>4.0268456375838924E-2</v>
      </c>
      <c r="N278" s="127"/>
      <c r="O278" s="128" t="s">
        <v>1495</v>
      </c>
      <c r="P278" s="155" t="s">
        <v>321</v>
      </c>
      <c r="Q278" s="130">
        <v>4.79</v>
      </c>
      <c r="R278" s="130">
        <v>3.43</v>
      </c>
      <c r="S278" s="130">
        <v>4.66</v>
      </c>
      <c r="T278" s="38">
        <v>0</v>
      </c>
      <c r="U278" s="131">
        <v>41.47</v>
      </c>
      <c r="V278" s="157">
        <v>0</v>
      </c>
      <c r="W278" s="132">
        <v>0</v>
      </c>
      <c r="X278" s="133">
        <v>7327.0644239757557</v>
      </c>
      <c r="Y278" s="134">
        <v>0</v>
      </c>
      <c r="Z278" s="134">
        <v>6211.2352550907808</v>
      </c>
      <c r="AA278" s="134">
        <v>660.42966256826946</v>
      </c>
      <c r="AB278" s="134">
        <v>455.39950631670575</v>
      </c>
      <c r="AC278" s="126">
        <v>0</v>
      </c>
      <c r="AD278" s="126">
        <v>0</v>
      </c>
      <c r="AE278" s="126">
        <v>0</v>
      </c>
      <c r="AF278" s="126">
        <v>0</v>
      </c>
      <c r="AG278" s="126">
        <v>0</v>
      </c>
      <c r="AH278" s="126">
        <v>0</v>
      </c>
      <c r="AI278" s="126">
        <v>0</v>
      </c>
      <c r="AJ278" s="126">
        <v>0</v>
      </c>
      <c r="AK278" s="126">
        <v>0</v>
      </c>
      <c r="AL278" s="126">
        <v>0</v>
      </c>
      <c r="AM278" s="126">
        <v>0</v>
      </c>
      <c r="AN278" s="126">
        <v>0</v>
      </c>
      <c r="AO278" s="126">
        <v>0</v>
      </c>
      <c r="AP278" s="126">
        <v>0</v>
      </c>
      <c r="AQ278" s="126">
        <v>0</v>
      </c>
      <c r="AR278" s="126">
        <v>0</v>
      </c>
      <c r="AS278" s="126">
        <v>0</v>
      </c>
      <c r="AT278" s="126">
        <v>0</v>
      </c>
      <c r="AU278" s="126">
        <v>0</v>
      </c>
      <c r="AV278" s="126">
        <v>0</v>
      </c>
      <c r="AW278" s="135">
        <v>62141.401670784049</v>
      </c>
      <c r="AX278" s="136">
        <v>45418.9474619026</v>
      </c>
      <c r="AY278" s="136">
        <v>6722.4582088814504</v>
      </c>
      <c r="AZ278" s="126">
        <v>9999.9959999999992</v>
      </c>
      <c r="BA278" s="126">
        <v>0</v>
      </c>
      <c r="BB278" s="126">
        <v>0</v>
      </c>
      <c r="BC278" s="126">
        <v>0</v>
      </c>
      <c r="BD278" s="126">
        <v>0</v>
      </c>
      <c r="BE278" s="126">
        <v>0</v>
      </c>
      <c r="BF278" s="126">
        <v>0</v>
      </c>
      <c r="BG278" s="126">
        <v>0</v>
      </c>
      <c r="BH278" s="126">
        <v>0</v>
      </c>
      <c r="BI278" s="137">
        <v>137196.42395099893</v>
      </c>
      <c r="BJ278" s="126">
        <v>0</v>
      </c>
      <c r="BK278" s="126">
        <v>0</v>
      </c>
      <c r="BL278" s="126">
        <v>1692.8813828846364</v>
      </c>
      <c r="BM278" s="126">
        <v>0</v>
      </c>
      <c r="BN278" s="126">
        <v>28218.906732030449</v>
      </c>
      <c r="BO278" s="126">
        <v>16200.675888021986</v>
      </c>
      <c r="BP278" s="126">
        <v>13291.395756628148</v>
      </c>
      <c r="BQ278" s="126">
        <v>72113.265335040414</v>
      </c>
      <c r="BR278" s="126">
        <v>2691.2179118621825</v>
      </c>
      <c r="BS278" s="126">
        <v>2988.0809445311011</v>
      </c>
      <c r="BT278" s="126">
        <v>0</v>
      </c>
      <c r="BU278" s="126">
        <v>0</v>
      </c>
      <c r="BV278" s="126">
        <v>0</v>
      </c>
      <c r="BW278" s="126">
        <v>17995.519064361932</v>
      </c>
      <c r="BX278" s="126">
        <v>63300.922331949921</v>
      </c>
      <c r="BY278" s="126">
        <v>56146.733983093742</v>
      </c>
      <c r="BZ278" s="126">
        <v>10688.876361726396</v>
      </c>
      <c r="CA278" s="137">
        <v>43463.361883245583</v>
      </c>
      <c r="CB278" s="126">
        <v>0</v>
      </c>
      <c r="CC278" s="126">
        <v>0</v>
      </c>
      <c r="CD278" s="126">
        <v>43200</v>
      </c>
      <c r="CE278" s="126">
        <v>0</v>
      </c>
      <c r="CF278" s="126">
        <v>263.36188324558486</v>
      </c>
      <c r="CG278" s="137">
        <v>0</v>
      </c>
      <c r="CH278" s="126">
        <v>0</v>
      </c>
      <c r="CI278" s="126">
        <v>0</v>
      </c>
      <c r="CJ278" s="120"/>
      <c r="CK278" s="138">
        <v>398260.30367013632</v>
      </c>
      <c r="CL278" s="139">
        <v>31.621763759588418</v>
      </c>
      <c r="CM278" s="140">
        <v>508385.08</v>
      </c>
      <c r="CN278" s="125">
        <v>677.85</v>
      </c>
      <c r="CO278" s="125">
        <v>0</v>
      </c>
      <c r="CP278" s="125">
        <v>677.85</v>
      </c>
      <c r="CQ278" s="125">
        <v>2224.63</v>
      </c>
      <c r="CR278" s="125">
        <v>1112.9100000000001</v>
      </c>
      <c r="CS278" s="125">
        <v>42978.68</v>
      </c>
      <c r="CT278" s="148">
        <v>11383.514999999999</v>
      </c>
      <c r="CU278" s="141">
        <v>0</v>
      </c>
      <c r="CV278" s="142">
        <v>121508.29132986371</v>
      </c>
      <c r="CW278" s="143">
        <v>0.27651456927797602</v>
      </c>
      <c r="CX278" s="140">
        <v>84099.67</v>
      </c>
      <c r="CY278" s="140">
        <v>424285.41</v>
      </c>
    </row>
    <row r="279" spans="1:103" ht="12" customHeight="1" x14ac:dyDescent="0.25">
      <c r="A279" s="122">
        <v>274</v>
      </c>
      <c r="B279" s="154" t="s">
        <v>354</v>
      </c>
      <c r="C279" s="124">
        <v>3755.4</v>
      </c>
      <c r="D279" s="125">
        <v>3536.6</v>
      </c>
      <c r="E279" s="125">
        <v>218.8</v>
      </c>
      <c r="F279" s="125">
        <v>1635.6</v>
      </c>
      <c r="G279" s="149">
        <v>312.95</v>
      </c>
      <c r="H279" s="124">
        <v>312.95</v>
      </c>
      <c r="I279" s="126">
        <v>1</v>
      </c>
      <c r="J279" s="126">
        <v>1</v>
      </c>
      <c r="K279" s="127">
        <v>3.9920163332682942E-3</v>
      </c>
      <c r="L279" s="127"/>
      <c r="M279" s="127">
        <v>1.3422818791946308E-2</v>
      </c>
      <c r="N279" s="127"/>
      <c r="O279" s="128" t="s">
        <v>1495</v>
      </c>
      <c r="P279" s="155" t="s">
        <v>321</v>
      </c>
      <c r="Q279" s="130">
        <v>4.79</v>
      </c>
      <c r="R279" s="130">
        <v>3.43</v>
      </c>
      <c r="S279" s="130">
        <v>4.66</v>
      </c>
      <c r="T279" s="38">
        <v>0</v>
      </c>
      <c r="U279" s="131">
        <v>41.47</v>
      </c>
      <c r="V279" s="157">
        <v>0</v>
      </c>
      <c r="W279" s="132">
        <v>0</v>
      </c>
      <c r="X279" s="133">
        <v>2184.7677746475483</v>
      </c>
      <c r="Y279" s="134">
        <v>0</v>
      </c>
      <c r="Z279" s="134">
        <v>1852.052314658614</v>
      </c>
      <c r="AA279" s="134">
        <v>196.92544799784659</v>
      </c>
      <c r="AB279" s="134">
        <v>135.79001199108791</v>
      </c>
      <c r="AC279" s="126">
        <v>0</v>
      </c>
      <c r="AD279" s="126">
        <v>0</v>
      </c>
      <c r="AE279" s="126">
        <v>0</v>
      </c>
      <c r="AF279" s="126">
        <v>0</v>
      </c>
      <c r="AG279" s="126">
        <v>0</v>
      </c>
      <c r="AH279" s="126">
        <v>0</v>
      </c>
      <c r="AI279" s="126">
        <v>0</v>
      </c>
      <c r="AJ279" s="126">
        <v>0</v>
      </c>
      <c r="AK279" s="126">
        <v>0</v>
      </c>
      <c r="AL279" s="126">
        <v>0</v>
      </c>
      <c r="AM279" s="126">
        <v>0</v>
      </c>
      <c r="AN279" s="126">
        <v>0</v>
      </c>
      <c r="AO279" s="126">
        <v>0</v>
      </c>
      <c r="AP279" s="126">
        <v>0</v>
      </c>
      <c r="AQ279" s="126">
        <v>0</v>
      </c>
      <c r="AR279" s="126">
        <v>0</v>
      </c>
      <c r="AS279" s="126">
        <v>0</v>
      </c>
      <c r="AT279" s="126">
        <v>0</v>
      </c>
      <c r="AU279" s="126">
        <v>0</v>
      </c>
      <c r="AV279" s="126">
        <v>0</v>
      </c>
      <c r="AW279" s="135">
        <v>25547.404381123699</v>
      </c>
      <c r="AX279" s="136">
        <v>13542.920743056811</v>
      </c>
      <c r="AY279" s="136">
        <v>2004.4876380668861</v>
      </c>
      <c r="AZ279" s="126">
        <v>9999.9959999999992</v>
      </c>
      <c r="BA279" s="126">
        <v>0</v>
      </c>
      <c r="BB279" s="126">
        <v>0</v>
      </c>
      <c r="BC279" s="126">
        <v>0</v>
      </c>
      <c r="BD279" s="126">
        <v>0</v>
      </c>
      <c r="BE279" s="126">
        <v>0</v>
      </c>
      <c r="BF279" s="126">
        <v>0</v>
      </c>
      <c r="BG279" s="126">
        <v>0</v>
      </c>
      <c r="BH279" s="126">
        <v>0</v>
      </c>
      <c r="BI279" s="137">
        <v>40908.924570692077</v>
      </c>
      <c r="BJ279" s="126">
        <v>0</v>
      </c>
      <c r="BK279" s="126">
        <v>0</v>
      </c>
      <c r="BL279" s="126">
        <v>504.77960580292688</v>
      </c>
      <c r="BM279" s="126">
        <v>0</v>
      </c>
      <c r="BN279" s="126">
        <v>8414.250850884684</v>
      </c>
      <c r="BO279" s="126">
        <v>4830.6815062033238</v>
      </c>
      <c r="BP279" s="126">
        <v>3963.1988268245141</v>
      </c>
      <c r="BQ279" s="126">
        <v>21502.573078662175</v>
      </c>
      <c r="BR279" s="126">
        <v>802.46137172632803</v>
      </c>
      <c r="BS279" s="126">
        <v>890.97933058812146</v>
      </c>
      <c r="BT279" s="126">
        <v>0</v>
      </c>
      <c r="BU279" s="126">
        <v>0</v>
      </c>
      <c r="BV279" s="126">
        <v>0</v>
      </c>
      <c r="BW279" s="126">
        <v>5365.8638528170859</v>
      </c>
      <c r="BX279" s="126">
        <v>18874.92824053394</v>
      </c>
      <c r="BY279" s="126">
        <v>16741.708269491461</v>
      </c>
      <c r="BZ279" s="126">
        <v>3187.1853816211283</v>
      </c>
      <c r="CA279" s="137">
        <v>14478.528660632854</v>
      </c>
      <c r="CB279" s="126">
        <v>0</v>
      </c>
      <c r="CC279" s="126">
        <v>0</v>
      </c>
      <c r="CD279" s="126">
        <v>14400</v>
      </c>
      <c r="CE279" s="126">
        <v>0</v>
      </c>
      <c r="CF279" s="126">
        <v>78.528660632853175</v>
      </c>
      <c r="CG279" s="137">
        <v>0</v>
      </c>
      <c r="CH279" s="126">
        <v>0</v>
      </c>
      <c r="CI279" s="126">
        <v>0</v>
      </c>
      <c r="CJ279" s="120"/>
      <c r="CK279" s="138">
        <v>127289.31113155978</v>
      </c>
      <c r="CL279" s="139">
        <v>33.895007490962286</v>
      </c>
      <c r="CM279" s="140">
        <v>138045.38</v>
      </c>
      <c r="CN279" s="125">
        <v>213.66</v>
      </c>
      <c r="CO279" s="125">
        <v>0</v>
      </c>
      <c r="CP279" s="125">
        <v>213.66</v>
      </c>
      <c r="CQ279" s="125">
        <v>701.11</v>
      </c>
      <c r="CR279" s="125">
        <v>350.77</v>
      </c>
      <c r="CS279" s="125">
        <v>13546.16</v>
      </c>
      <c r="CT279" s="148">
        <v>9073.6360000000004</v>
      </c>
      <c r="CU279" s="141">
        <v>0</v>
      </c>
      <c r="CV279" s="142">
        <v>19829.704868440225</v>
      </c>
      <c r="CW279" s="143">
        <v>8.4500959057931313E-2</v>
      </c>
      <c r="CX279" s="140">
        <v>39059.980000000003</v>
      </c>
      <c r="CY279" s="140">
        <v>98985.4</v>
      </c>
    </row>
    <row r="280" spans="1:103" ht="12" customHeight="1" x14ac:dyDescent="0.25">
      <c r="A280" s="122">
        <v>275</v>
      </c>
      <c r="B280" s="154" t="s">
        <v>355</v>
      </c>
      <c r="C280" s="124">
        <v>3339.9</v>
      </c>
      <c r="D280" s="125">
        <v>3339.9</v>
      </c>
      <c r="E280" s="125">
        <v>0</v>
      </c>
      <c r="F280" s="125">
        <v>1341.3</v>
      </c>
      <c r="G280" s="149">
        <v>278.32499999999999</v>
      </c>
      <c r="H280" s="124">
        <v>278.32499999999999</v>
      </c>
      <c r="I280" s="126">
        <v>1</v>
      </c>
      <c r="J280" s="126">
        <v>1</v>
      </c>
      <c r="K280" s="127">
        <v>3.9920163332682942E-3</v>
      </c>
      <c r="L280" s="127"/>
      <c r="M280" s="127">
        <v>1.3422818791946308E-2</v>
      </c>
      <c r="N280" s="127"/>
      <c r="O280" s="128" t="s">
        <v>1495</v>
      </c>
      <c r="P280" s="155" t="s">
        <v>321</v>
      </c>
      <c r="Q280" s="130">
        <v>4.79</v>
      </c>
      <c r="R280" s="130">
        <v>3.43</v>
      </c>
      <c r="S280" s="130">
        <v>4.66</v>
      </c>
      <c r="T280" s="38">
        <v>0</v>
      </c>
      <c r="U280" s="131">
        <v>41.47</v>
      </c>
      <c r="V280" s="157">
        <v>0</v>
      </c>
      <c r="W280" s="132">
        <v>0</v>
      </c>
      <c r="X280" s="133">
        <v>1943.0435880453074</v>
      </c>
      <c r="Y280" s="134">
        <v>0</v>
      </c>
      <c r="Z280" s="134">
        <v>1647.1399919391556</v>
      </c>
      <c r="AA280" s="134">
        <v>175.13748302923997</v>
      </c>
      <c r="AB280" s="134">
        <v>120.76611307691178</v>
      </c>
      <c r="AC280" s="126">
        <v>0</v>
      </c>
      <c r="AD280" s="126">
        <v>0</v>
      </c>
      <c r="AE280" s="126">
        <v>0</v>
      </c>
      <c r="AF280" s="126">
        <v>0</v>
      </c>
      <c r="AG280" s="126">
        <v>0</v>
      </c>
      <c r="AH280" s="126">
        <v>0</v>
      </c>
      <c r="AI280" s="126">
        <v>0</v>
      </c>
      <c r="AJ280" s="126">
        <v>0</v>
      </c>
      <c r="AK280" s="126">
        <v>0</v>
      </c>
      <c r="AL280" s="126">
        <v>0</v>
      </c>
      <c r="AM280" s="126">
        <v>0</v>
      </c>
      <c r="AN280" s="126">
        <v>0</v>
      </c>
      <c r="AO280" s="126">
        <v>0</v>
      </c>
      <c r="AP280" s="126">
        <v>0</v>
      </c>
      <c r="AQ280" s="126">
        <v>0</v>
      </c>
      <c r="AR280" s="126">
        <v>0</v>
      </c>
      <c r="AS280" s="126">
        <v>0</v>
      </c>
      <c r="AT280" s="126">
        <v>0</v>
      </c>
      <c r="AU280" s="126">
        <v>0</v>
      </c>
      <c r="AV280" s="126">
        <v>0</v>
      </c>
      <c r="AW280" s="135">
        <v>23827.264585640689</v>
      </c>
      <c r="AX280" s="136">
        <v>12044.522817738574</v>
      </c>
      <c r="AY280" s="136">
        <v>1782.7097679021124</v>
      </c>
      <c r="AZ280" s="126">
        <v>10000.032000000001</v>
      </c>
      <c r="BA280" s="126">
        <v>0</v>
      </c>
      <c r="BB280" s="126">
        <v>0</v>
      </c>
      <c r="BC280" s="126">
        <v>0</v>
      </c>
      <c r="BD280" s="126">
        <v>0</v>
      </c>
      <c r="BE280" s="126">
        <v>0</v>
      </c>
      <c r="BF280" s="126">
        <v>0</v>
      </c>
      <c r="BG280" s="126">
        <v>0</v>
      </c>
      <c r="BH280" s="126">
        <v>0</v>
      </c>
      <c r="BI280" s="137">
        <v>36382.733443482575</v>
      </c>
      <c r="BJ280" s="126">
        <v>0</v>
      </c>
      <c r="BK280" s="126">
        <v>0</v>
      </c>
      <c r="BL280" s="126">
        <v>448.93044826681461</v>
      </c>
      <c r="BM280" s="126">
        <v>0</v>
      </c>
      <c r="BN280" s="126">
        <v>7483.2924367230526</v>
      </c>
      <c r="BO280" s="126">
        <v>4296.2116319349416</v>
      </c>
      <c r="BP280" s="126">
        <v>3524.7078238566314</v>
      </c>
      <c r="BQ280" s="126">
        <v>19123.513826868988</v>
      </c>
      <c r="BR280" s="126">
        <v>713.67650195152669</v>
      </c>
      <c r="BS280" s="126">
        <v>792.40077388061638</v>
      </c>
      <c r="BT280" s="126">
        <v>0</v>
      </c>
      <c r="BU280" s="126">
        <v>0</v>
      </c>
      <c r="BV280" s="126">
        <v>0</v>
      </c>
      <c r="BW280" s="126">
        <v>4772.1810411737197</v>
      </c>
      <c r="BX280" s="126">
        <v>16786.593393662275</v>
      </c>
      <c r="BY280" s="126">
        <v>14889.394325311427</v>
      </c>
      <c r="BZ280" s="126">
        <v>2834.5530319210752</v>
      </c>
      <c r="CA280" s="137">
        <v>14469.840196423194</v>
      </c>
      <c r="CB280" s="126">
        <v>0</v>
      </c>
      <c r="CC280" s="126">
        <v>0</v>
      </c>
      <c r="CD280" s="126">
        <v>14400</v>
      </c>
      <c r="CE280" s="126">
        <v>0</v>
      </c>
      <c r="CF280" s="126">
        <v>69.840196423194953</v>
      </c>
      <c r="CG280" s="137">
        <v>0</v>
      </c>
      <c r="CH280" s="126">
        <v>0</v>
      </c>
      <c r="CI280" s="126">
        <v>0</v>
      </c>
      <c r="CJ280" s="120"/>
      <c r="CK280" s="138">
        <v>115905.60360566026</v>
      </c>
      <c r="CL280" s="139">
        <v>34.703315550064453</v>
      </c>
      <c r="CM280" s="140">
        <v>138426.85999999999</v>
      </c>
      <c r="CN280" s="125">
        <v>223.8</v>
      </c>
      <c r="CO280" s="125">
        <v>0</v>
      </c>
      <c r="CP280" s="125">
        <v>223.8</v>
      </c>
      <c r="CQ280" s="125">
        <v>734.69</v>
      </c>
      <c r="CR280" s="125">
        <v>367.44</v>
      </c>
      <c r="CS280" s="125">
        <v>12161.48</v>
      </c>
      <c r="CT280" s="148">
        <v>0</v>
      </c>
      <c r="CU280" s="141">
        <v>0</v>
      </c>
      <c r="CV280" s="142">
        <v>22521.256394339725</v>
      </c>
      <c r="CW280" s="143">
        <v>0.19430688158065812</v>
      </c>
      <c r="CX280" s="140">
        <v>33859.040000000001</v>
      </c>
      <c r="CY280" s="140">
        <v>104567.82</v>
      </c>
    </row>
    <row r="281" spans="1:103" ht="12" customHeight="1" thickBot="1" x14ac:dyDescent="0.3">
      <c r="A281" s="458" t="s">
        <v>293</v>
      </c>
      <c r="B281" s="458"/>
      <c r="C281" s="135">
        <v>1370653.3769767075</v>
      </c>
      <c r="D281" s="135">
        <v>1320201.7669767065</v>
      </c>
      <c r="E281" s="135">
        <v>50451.609999999986</v>
      </c>
      <c r="F281" s="135">
        <v>264874.44</v>
      </c>
      <c r="G281" s="135">
        <v>1071850.1753100399</v>
      </c>
      <c r="H281" s="135">
        <v>768492.44781004079</v>
      </c>
      <c r="I281" s="135">
        <v>337</v>
      </c>
      <c r="J281" s="135">
        <v>164</v>
      </c>
      <c r="K281" s="160">
        <v>1</v>
      </c>
      <c r="L281" s="160">
        <v>1.0000000000000011</v>
      </c>
      <c r="M281" s="160">
        <v>0.99999999999999933</v>
      </c>
      <c r="N281" s="160">
        <v>1</v>
      </c>
      <c r="O281" s="161" t="s">
        <v>67</v>
      </c>
      <c r="P281" s="161" t="s">
        <v>67</v>
      </c>
      <c r="Q281" s="161" t="s">
        <v>67</v>
      </c>
      <c r="R281" s="161" t="s">
        <v>67</v>
      </c>
      <c r="S281" s="161" t="s">
        <v>67</v>
      </c>
      <c r="T281" s="161" t="s">
        <v>67</v>
      </c>
      <c r="U281" s="161"/>
      <c r="V281" s="135">
        <v>415</v>
      </c>
      <c r="W281" s="160">
        <v>0.99999999999999833</v>
      </c>
      <c r="X281" s="162">
        <v>74676732.959999964</v>
      </c>
      <c r="Y281" s="137">
        <v>15266234.470000003</v>
      </c>
      <c r="Z281" s="137">
        <v>2855805.9100000039</v>
      </c>
      <c r="AA281" s="137">
        <v>674467.41</v>
      </c>
      <c r="AB281" s="137">
        <v>465079.24</v>
      </c>
      <c r="AC281" s="137">
        <v>3897649.3399999994</v>
      </c>
      <c r="AD281" s="137">
        <v>2037323.3199999996</v>
      </c>
      <c r="AE281" s="137">
        <v>840954.4800000001</v>
      </c>
      <c r="AF281" s="137">
        <v>303070.5</v>
      </c>
      <c r="AG281" s="137">
        <v>51091.66</v>
      </c>
      <c r="AH281" s="137">
        <v>104394.61</v>
      </c>
      <c r="AI281" s="137">
        <v>415479.31</v>
      </c>
      <c r="AJ281" s="137">
        <v>33862.710000000006</v>
      </c>
      <c r="AK281" s="137">
        <v>2049943.9</v>
      </c>
      <c r="AL281" s="137">
        <v>765491.53</v>
      </c>
      <c r="AM281" s="137">
        <v>145500</v>
      </c>
      <c r="AN281" s="137">
        <v>713537.9800000001</v>
      </c>
      <c r="AO281" s="137">
        <v>282411.42</v>
      </c>
      <c r="AP281" s="137">
        <v>32358973.309999995</v>
      </c>
      <c r="AQ281" s="137">
        <v>500640.32999999996</v>
      </c>
      <c r="AR281" s="137">
        <v>19808.330000000002</v>
      </c>
      <c r="AS281" s="137">
        <v>71320</v>
      </c>
      <c r="AT281" s="137">
        <v>10674857.630000001</v>
      </c>
      <c r="AU281" s="137">
        <v>2210.5700000000002</v>
      </c>
      <c r="AV281" s="137">
        <v>146625</v>
      </c>
      <c r="AW281" s="162">
        <v>111451297.69807103</v>
      </c>
      <c r="AX281" s="162">
        <v>93765880.356000036</v>
      </c>
      <c r="AY281" s="162">
        <v>6865347.2639999995</v>
      </c>
      <c r="AZ281" s="162">
        <v>269999.99999999988</v>
      </c>
      <c r="BA281" s="162">
        <v>1202099.9996254297</v>
      </c>
      <c r="BB281" s="162">
        <v>117291.12000000001</v>
      </c>
      <c r="BC281" s="162">
        <v>5645412.9959999966</v>
      </c>
      <c r="BD281" s="162">
        <v>448800.00084917893</v>
      </c>
      <c r="BE281" s="162">
        <v>744304.38</v>
      </c>
      <c r="BF281" s="162">
        <v>864355.37070557021</v>
      </c>
      <c r="BG281" s="162">
        <v>294432.00055709755</v>
      </c>
      <c r="BH281" s="162">
        <v>1233374.2103336784</v>
      </c>
      <c r="BI281" s="162">
        <v>170062917.2489987</v>
      </c>
      <c r="BJ281" s="162">
        <v>1103910.7700887201</v>
      </c>
      <c r="BK281" s="162">
        <v>1570800.0029721251</v>
      </c>
      <c r="BL281" s="162">
        <v>1728864.3840000008</v>
      </c>
      <c r="BM281" s="162">
        <v>1669968.207159763</v>
      </c>
      <c r="BN281" s="162">
        <v>28818713.052000016</v>
      </c>
      <c r="BO281" s="162">
        <v>16545028.98</v>
      </c>
      <c r="BP281" s="162">
        <v>13573910.712000005</v>
      </c>
      <c r="BQ281" s="162">
        <v>73646067.179999992</v>
      </c>
      <c r="BR281" s="162">
        <v>2748421.032000002</v>
      </c>
      <c r="BS281" s="162">
        <v>3051594.03</v>
      </c>
      <c r="BT281" s="162">
        <v>14838751.19807655</v>
      </c>
      <c r="BU281" s="162">
        <v>10651101.360482434</v>
      </c>
      <c r="BV281" s="162">
        <v>115786.34021908048</v>
      </c>
      <c r="BW281" s="162">
        <v>18378022.403999995</v>
      </c>
      <c r="BX281" s="162">
        <v>65186413.624861807</v>
      </c>
      <c r="BY281" s="162">
        <v>57327951.70416002</v>
      </c>
      <c r="BZ281" s="162">
        <v>7826578.991999994</v>
      </c>
      <c r="CA281" s="162">
        <v>32756151.03430004</v>
      </c>
      <c r="CB281" s="162">
        <v>1097912.52</v>
      </c>
      <c r="CC281" s="162">
        <v>29893160.388000004</v>
      </c>
      <c r="CD281" s="162">
        <v>1072800</v>
      </c>
      <c r="CE281" s="162">
        <v>500630.83199999994</v>
      </c>
      <c r="CF281" s="162">
        <v>191647.29430003979</v>
      </c>
      <c r="CG281" s="162">
        <v>10132133.202450573</v>
      </c>
      <c r="CH281" s="162">
        <v>2382920.1480000005</v>
      </c>
      <c r="CI281" s="162">
        <v>7749213.0544505753</v>
      </c>
      <c r="CJ281" s="120"/>
      <c r="CK281" s="163">
        <v>547798198.8688426</v>
      </c>
      <c r="CM281" s="164">
        <v>461339488.70999992</v>
      </c>
      <c r="CN281" s="165">
        <v>708712.88</v>
      </c>
      <c r="CO281" s="165">
        <v>701552.24999999977</v>
      </c>
      <c r="CP281" s="165">
        <v>16864.71</v>
      </c>
      <c r="CQ281" s="165">
        <v>2708893.3399999994</v>
      </c>
      <c r="CR281" s="165">
        <v>1490252.1299999997</v>
      </c>
      <c r="CS281" s="165">
        <v>30874249.059999995</v>
      </c>
      <c r="CT281" s="166">
        <v>19186709.721388817</v>
      </c>
      <c r="CU281" s="167">
        <v>367920.00000000064</v>
      </c>
      <c r="CV281" s="168">
        <v>-66904080.437453285</v>
      </c>
      <c r="CX281" s="165">
        <v>444427336.81999993</v>
      </c>
      <c r="CY281" s="165">
        <v>113887397.37000009</v>
      </c>
    </row>
    <row r="282" spans="1:103" ht="12" hidden="1" customHeight="1" outlineLevel="1" x14ac:dyDescent="0.25">
      <c r="A282" s="169"/>
      <c r="B282" s="169"/>
      <c r="C282" s="170"/>
      <c r="D282" s="170"/>
      <c r="E282" s="170"/>
      <c r="F282" s="170"/>
      <c r="G282" s="170"/>
      <c r="H282" s="170"/>
      <c r="I282" s="170"/>
      <c r="J282" s="170"/>
      <c r="K282" s="170"/>
      <c r="L282" s="170"/>
      <c r="M282" s="170"/>
      <c r="N282" s="170"/>
      <c r="O282" s="170"/>
      <c r="P282" s="169"/>
      <c r="Q282" s="169"/>
      <c r="R282" s="169"/>
      <c r="S282" s="169"/>
      <c r="T282" s="169"/>
      <c r="U282" s="169"/>
      <c r="V282" s="169"/>
      <c r="W282" s="169"/>
      <c r="Y282" s="171"/>
      <c r="Z282" s="171"/>
      <c r="AA282" s="171"/>
      <c r="AB282" s="171"/>
      <c r="AC282" s="171"/>
      <c r="AD282" s="171"/>
      <c r="AI282" s="172"/>
    </row>
    <row r="283" spans="1:103" ht="12" hidden="1" customHeight="1" outlineLevel="1" x14ac:dyDescent="0.25">
      <c r="X283" s="173" t="s">
        <v>1493</v>
      </c>
      <c r="Y283" s="174">
        <v>508283.32717022422</v>
      </c>
      <c r="Z283" s="175">
        <v>1087110.6600000001</v>
      </c>
      <c r="AA283" s="175"/>
      <c r="AB283" s="175"/>
      <c r="AT283" s="174">
        <v>653609.38</v>
      </c>
      <c r="AW283" s="173" t="s">
        <v>1493</v>
      </c>
      <c r="AX283" s="174">
        <v>508283.32717022422</v>
      </c>
      <c r="AY283" s="176">
        <v>35028381.108000003</v>
      </c>
      <c r="BA283" s="174">
        <v>1091100</v>
      </c>
      <c r="BC283" s="174">
        <v>2419.21</v>
      </c>
      <c r="BD283" s="174">
        <v>448800</v>
      </c>
      <c r="BF283" s="174">
        <v>571560</v>
      </c>
      <c r="BG283" s="174">
        <v>294432</v>
      </c>
      <c r="BH283" s="175">
        <v>1233374.2079999999</v>
      </c>
      <c r="BJ283" s="175">
        <v>1103910.7679999999</v>
      </c>
      <c r="BK283" s="175">
        <v>1570800</v>
      </c>
      <c r="BL283" s="175">
        <v>1728864.3840000001</v>
      </c>
      <c r="BM283" s="175">
        <v>1669968.2039999999</v>
      </c>
      <c r="BN283" s="175">
        <v>28818713.052000001</v>
      </c>
      <c r="BO283" s="175">
        <v>16545028.98</v>
      </c>
      <c r="BP283" s="175">
        <v>13573910.711999999</v>
      </c>
      <c r="BQ283" s="175">
        <v>73646067.179999992</v>
      </c>
      <c r="BR283" s="175">
        <v>2748421.0319999997</v>
      </c>
      <c r="BS283" s="175">
        <v>3051594.03</v>
      </c>
      <c r="BT283" s="175">
        <v>14838751.170000002</v>
      </c>
      <c r="BU283" s="175">
        <v>10651101.609999999</v>
      </c>
      <c r="BV283" s="175">
        <v>115786.34</v>
      </c>
      <c r="BW283" s="175">
        <v>18378022.403999999</v>
      </c>
      <c r="BX283" s="175">
        <v>540000</v>
      </c>
      <c r="BY283" s="175">
        <v>121974365.32799999</v>
      </c>
      <c r="BZ283" s="175">
        <v>7826578.9919999996</v>
      </c>
      <c r="CA283" s="175"/>
      <c r="CC283" s="175">
        <v>29893160.387999997</v>
      </c>
      <c r="CD283" s="175">
        <v>1072800</v>
      </c>
      <c r="CE283" s="175">
        <v>500630.83199999994</v>
      </c>
      <c r="CF283" s="175">
        <v>191647.03199999998</v>
      </c>
      <c r="CH283" s="175"/>
      <c r="CI283" s="175">
        <v>7749213</v>
      </c>
      <c r="CT283" s="150">
        <v>18690493.822000001</v>
      </c>
      <c r="CU283" s="174">
        <v>367920</v>
      </c>
    </row>
    <row r="284" spans="1:103" ht="12" hidden="1" customHeight="1" outlineLevel="1" x14ac:dyDescent="0.25">
      <c r="X284" s="173" t="s">
        <v>279</v>
      </c>
      <c r="Y284" s="174">
        <v>29071.478333333333</v>
      </c>
      <c r="Z284" s="175">
        <v>15256.67</v>
      </c>
      <c r="AA284" s="175"/>
      <c r="AB284" s="175"/>
      <c r="AT284" s="174">
        <v>6.3054401681066414</v>
      </c>
      <c r="AW284" s="173" t="s">
        <v>279</v>
      </c>
      <c r="AX284" s="174">
        <v>29071.478333333333</v>
      </c>
      <c r="AY284" s="176">
        <v>4148777.0639999993</v>
      </c>
      <c r="BA284" s="177">
        <v>1.9355900351120399</v>
      </c>
      <c r="BC284" s="174">
        <v>0.51964558049618736</v>
      </c>
      <c r="BD284" s="174">
        <v>0.42959259297370112</v>
      </c>
      <c r="BF284" s="174">
        <v>0.56290027462710368</v>
      </c>
      <c r="BG284" s="174">
        <v>0.28183111928349547</v>
      </c>
      <c r="BH284" s="174">
        <v>1.1805891803066062</v>
      </c>
      <c r="BJ284" s="174">
        <v>1.0566664198678917</v>
      </c>
      <c r="BK284" s="174">
        <v>1.5035740754079538</v>
      </c>
      <c r="BL284" s="174">
        <v>1.6129720588046874</v>
      </c>
      <c r="BM284" s="174">
        <v>1.5984981527183479</v>
      </c>
      <c r="BN284" s="174">
        <v>26.886885607556106</v>
      </c>
      <c r="BO284" s="174">
        <v>15.43595304746229</v>
      </c>
      <c r="BP284" s="174">
        <v>12.664000085715015</v>
      </c>
      <c r="BQ284" s="174">
        <v>68.709292470561351</v>
      </c>
      <c r="BR284" s="174">
        <v>2.564183964615204</v>
      </c>
      <c r="BS284" s="174">
        <v>2.8470341287366079</v>
      </c>
      <c r="BT284" s="174">
        <v>14.203693385944389</v>
      </c>
      <c r="BU284" s="174">
        <v>88.175743234287864</v>
      </c>
      <c r="BV284" s="174">
        <v>0.11083100274406098</v>
      </c>
      <c r="BW284" s="174">
        <v>17.146073982479905</v>
      </c>
      <c r="BX284" s="174">
        <v>0.5168894835245067</v>
      </c>
      <c r="BY284" s="175">
        <v>64646413.623839997</v>
      </c>
      <c r="BZ284" s="174">
        <v>10.184327789171205</v>
      </c>
      <c r="CA284" s="174"/>
      <c r="CC284" s="174"/>
      <c r="CD284" s="174"/>
      <c r="CE284" s="174"/>
      <c r="CF284" s="174">
        <v>0.25093037428615811</v>
      </c>
      <c r="CH284" s="174"/>
      <c r="CI284" s="174">
        <v>11.328569451665821</v>
      </c>
      <c r="CT284" s="174">
        <v>42.540096559598574</v>
      </c>
    </row>
    <row r="285" spans="1:103" ht="12" hidden="1" customHeight="1" outlineLevel="1" x14ac:dyDescent="0.25">
      <c r="X285" s="173" t="s">
        <v>70</v>
      </c>
      <c r="Y285" s="174">
        <v>96107.719806482841</v>
      </c>
      <c r="Z285" s="175">
        <v>257082.69</v>
      </c>
      <c r="AA285" s="175"/>
      <c r="AB285" s="175"/>
      <c r="AW285" s="173" t="s">
        <v>70</v>
      </c>
      <c r="AX285" s="174">
        <v>96107.719806482841</v>
      </c>
      <c r="AY285" s="176">
        <v>5244684.4079999998</v>
      </c>
      <c r="BA285" s="172" t="s">
        <v>1498</v>
      </c>
      <c r="BC285" s="172" t="s">
        <v>1499</v>
      </c>
      <c r="BD285" s="172" t="s">
        <v>1500</v>
      </c>
      <c r="BF285" s="172" t="s">
        <v>1501</v>
      </c>
      <c r="BG285" s="172" t="s">
        <v>1500</v>
      </c>
      <c r="BH285" s="172" t="s">
        <v>1500</v>
      </c>
      <c r="BJ285" s="172" t="s">
        <v>1500</v>
      </c>
      <c r="BK285" s="172" t="s">
        <v>1500</v>
      </c>
      <c r="BL285" s="172"/>
      <c r="BM285" s="172" t="s">
        <v>1500</v>
      </c>
      <c r="BN285" s="172"/>
      <c r="BO285" s="172"/>
      <c r="BP285" s="172"/>
      <c r="BQ285" s="172"/>
      <c r="BR285" s="172"/>
      <c r="BS285" s="172"/>
      <c r="BT285" s="172" t="s">
        <v>1500</v>
      </c>
      <c r="BU285" s="172"/>
      <c r="BV285" s="172" t="s">
        <v>1500</v>
      </c>
      <c r="BX285" s="172" t="s">
        <v>1500</v>
      </c>
      <c r="BY285" s="175">
        <v>60.312919765246654</v>
      </c>
      <c r="CT285" s="172" t="s">
        <v>1502</v>
      </c>
    </row>
    <row r="286" spans="1:103" ht="12" hidden="1" customHeight="1" outlineLevel="1" x14ac:dyDescent="0.25">
      <c r="X286" s="173" t="s">
        <v>51</v>
      </c>
      <c r="Y286" s="174">
        <v>272640.76</v>
      </c>
      <c r="Z286" s="175">
        <v>880372.18</v>
      </c>
      <c r="AA286" s="175"/>
      <c r="AB286" s="175"/>
      <c r="AW286" s="173" t="s">
        <v>51</v>
      </c>
      <c r="AX286" s="174">
        <v>272640.76</v>
      </c>
      <c r="AY286" s="176">
        <v>26153802.456000004</v>
      </c>
      <c r="BY286" s="175">
        <v>57327951.704159997</v>
      </c>
    </row>
    <row r="287" spans="1:103" ht="12" hidden="1" customHeight="1" outlineLevel="1" x14ac:dyDescent="0.25">
      <c r="X287" s="173" t="s">
        <v>74</v>
      </c>
      <c r="Y287" s="174">
        <v>136895.76666666666</v>
      </c>
      <c r="Z287" s="175">
        <v>455371.37</v>
      </c>
      <c r="AA287" s="175"/>
      <c r="AB287" s="175"/>
      <c r="AW287" s="173" t="s">
        <v>74</v>
      </c>
      <c r="AX287" s="174">
        <v>136895.76666666666</v>
      </c>
      <c r="AY287" s="176">
        <v>20864113.655999999</v>
      </c>
      <c r="BY287" s="175">
        <v>53.496431600867432</v>
      </c>
    </row>
    <row r="288" spans="1:103" ht="12" hidden="1" customHeight="1" outlineLevel="1" x14ac:dyDescent="0.25">
      <c r="X288" s="173" t="s">
        <v>321</v>
      </c>
      <c r="Y288" s="174">
        <v>27139.423333333332</v>
      </c>
      <c r="Z288" s="175">
        <v>160612.34</v>
      </c>
      <c r="AA288" s="175"/>
      <c r="AB288" s="175"/>
      <c r="AW288" s="173" t="s">
        <v>321</v>
      </c>
      <c r="AX288" s="174">
        <v>27139.423333333332</v>
      </c>
      <c r="AY288" s="176">
        <v>1174459.368</v>
      </c>
    </row>
    <row r="289" spans="24:100" ht="12" hidden="1" customHeight="1" outlineLevel="1" x14ac:dyDescent="0.25">
      <c r="X289" s="173" t="s">
        <v>66</v>
      </c>
      <c r="Y289" s="174">
        <v>1711.7</v>
      </c>
      <c r="Z289" s="175">
        <v>0</v>
      </c>
      <c r="AA289" s="175"/>
      <c r="AB289" s="175"/>
      <c r="AW289" s="173" t="s">
        <v>66</v>
      </c>
      <c r="AX289" s="174">
        <v>1711.7</v>
      </c>
      <c r="AY289" s="176">
        <v>1151662.2959999999</v>
      </c>
    </row>
    <row r="290" spans="24:100" ht="12" hidden="1" customHeight="1" outlineLevel="1" x14ac:dyDescent="0.25">
      <c r="Y290" s="138">
        <v>1071850.1753100404</v>
      </c>
      <c r="Z290" s="138">
        <v>2855805.91</v>
      </c>
      <c r="AA290" s="138"/>
      <c r="AB290" s="138"/>
      <c r="AX290" s="138">
        <v>1071850.1753100404</v>
      </c>
      <c r="AY290" s="163">
        <v>93765880.356000021</v>
      </c>
      <c r="BC290" s="178"/>
      <c r="BD290" s="178"/>
      <c r="BE290" s="178"/>
    </row>
    <row r="291" spans="24:100" ht="12" hidden="1" customHeight="1" outlineLevel="1" x14ac:dyDescent="0.25">
      <c r="X291" s="179" t="s">
        <v>5</v>
      </c>
      <c r="Y291" s="179" t="s">
        <v>1503</v>
      </c>
      <c r="Z291" s="180" t="s">
        <v>1297</v>
      </c>
      <c r="AA291" s="180"/>
      <c r="AB291" s="180"/>
      <c r="AW291" s="179" t="s">
        <v>5</v>
      </c>
      <c r="AX291" s="179" t="s">
        <v>1503</v>
      </c>
      <c r="AY291" s="180" t="s">
        <v>1297</v>
      </c>
    </row>
    <row r="292" spans="24:100" ht="12" hidden="1" customHeight="1" outlineLevel="1" x14ac:dyDescent="0.25"/>
    <row r="293" spans="24:100" ht="12" customHeight="1" collapsed="1" x14ac:dyDescent="0.25">
      <c r="BX293" s="270">
        <f>BX281/(SUM($BX$281:$BZ$281))</f>
        <v>0.50012230588349604</v>
      </c>
      <c r="BY293" s="270">
        <f t="shared" ref="BY293:BZ293" si="0">BY281/(SUM($BX$281:$BZ$281))</f>
        <v>0.43983072243948729</v>
      </c>
      <c r="BZ293" s="270">
        <f t="shared" si="0"/>
        <v>6.0046971677016593E-2</v>
      </c>
    </row>
    <row r="294" spans="24:100" ht="12" customHeight="1" x14ac:dyDescent="0.25">
      <c r="BX294" s="121">
        <f>BX296*BX295</f>
        <v>81570905.882388905</v>
      </c>
      <c r="BY294" s="121">
        <f t="shared" ref="BY294:BZ294" si="1">BY296*BY295</f>
        <v>71737233.157227352</v>
      </c>
      <c r="BZ294" s="121">
        <f t="shared" si="1"/>
        <v>9793776.0775049422</v>
      </c>
      <c r="CA294" s="121">
        <f>SUM(BX294:BZ294)</f>
        <v>163101915.11712119</v>
      </c>
      <c r="CU294" s="172" t="s">
        <v>1504</v>
      </c>
      <c r="CV294" s="181">
        <v>480894118.43138874</v>
      </c>
    </row>
    <row r="295" spans="24:100" ht="12" customHeight="1" x14ac:dyDescent="0.25">
      <c r="BX295" s="121">
        <v>1.0083791499999999</v>
      </c>
      <c r="BY295" s="121">
        <f>BX295</f>
        <v>1.0083791499999999</v>
      </c>
      <c r="BZ295" s="121">
        <f>BX295</f>
        <v>1.0083791499999999</v>
      </c>
      <c r="CA295" s="271">
        <f>'60Ф'!O151+'60Ф'!P151-Супер!EL281-Супер!EM281-Супер!EN281</f>
        <v>-55171.999328371137</v>
      </c>
      <c r="CU295" s="172" t="s">
        <v>1505</v>
      </c>
      <c r="CV295" s="181">
        <v>547798198.8688426</v>
      </c>
    </row>
    <row r="296" spans="24:100" ht="12" customHeight="1" x14ac:dyDescent="0.25">
      <c r="BX296" s="121">
        <f>('60Ф'!$O$151+'60Ф'!$P$151)*отчёт!BX293</f>
        <v>80893090.54276748</v>
      </c>
      <c r="BY296" s="121">
        <f>('60Ф'!$O$151+'60Ф'!$P$151)*отчёт!BY293</f>
        <v>71141130.949829102</v>
      </c>
      <c r="BZ296" s="121">
        <f>('60Ф'!$O$151+'60Ф'!$P$151)*отчёт!BZ293</f>
        <v>9712394.4674034007</v>
      </c>
      <c r="CV296" s="182">
        <v>-0.12213271342550081</v>
      </c>
    </row>
    <row r="297" spans="24:100" ht="12" customHeight="1" x14ac:dyDescent="0.25">
      <c r="CV297" s="183"/>
    </row>
  </sheetData>
  <autoFilter ref="A4:CW281"/>
  <mergeCells count="111">
    <mergeCell ref="A1:A4"/>
    <mergeCell ref="B1:B4"/>
    <mergeCell ref="C1:C4"/>
    <mergeCell ref="D1:E1"/>
    <mergeCell ref="F1:F4"/>
    <mergeCell ref="G1:G4"/>
    <mergeCell ref="D2:D4"/>
    <mergeCell ref="E2:E4"/>
    <mergeCell ref="H1:H4"/>
    <mergeCell ref="I1:J1"/>
    <mergeCell ref="K1:K4"/>
    <mergeCell ref="L1:N1"/>
    <mergeCell ref="O1:O4"/>
    <mergeCell ref="P1:P4"/>
    <mergeCell ref="I2:I4"/>
    <mergeCell ref="J2:J4"/>
    <mergeCell ref="L2:L4"/>
    <mergeCell ref="M2:M4"/>
    <mergeCell ref="N2:N4"/>
    <mergeCell ref="R1:R4"/>
    <mergeCell ref="S1:S4"/>
    <mergeCell ref="T1:T4"/>
    <mergeCell ref="U1:U4"/>
    <mergeCell ref="V1:W3"/>
    <mergeCell ref="AH2:AH4"/>
    <mergeCell ref="AI2:AI4"/>
    <mergeCell ref="AJ2:AJ4"/>
    <mergeCell ref="AK2:AK4"/>
    <mergeCell ref="Y2:Y4"/>
    <mergeCell ref="Z2:Z4"/>
    <mergeCell ref="AA2:AA4"/>
    <mergeCell ref="AB2:AB4"/>
    <mergeCell ref="AC2:AC4"/>
    <mergeCell ref="X1:X4"/>
    <mergeCell ref="Y1:AV1"/>
    <mergeCell ref="AV2:AV4"/>
    <mergeCell ref="AD2:AD4"/>
    <mergeCell ref="AE2:AE4"/>
    <mergeCell ref="AF2:AF4"/>
    <mergeCell ref="AG2:AG4"/>
    <mergeCell ref="AL2:AL4"/>
    <mergeCell ref="AM2:AM4"/>
    <mergeCell ref="BP1:BR1"/>
    <mergeCell ref="BS1:BV1"/>
    <mergeCell ref="BW1:BW4"/>
    <mergeCell ref="BX1:BX4"/>
    <mergeCell ref="BY1:BY4"/>
    <mergeCell ref="BZ1:BZ4"/>
    <mergeCell ref="BT2:BT4"/>
    <mergeCell ref="BU2:BU4"/>
    <mergeCell ref="BV2:BV4"/>
    <mergeCell ref="CA1:CA4"/>
    <mergeCell ref="CB1:CF1"/>
    <mergeCell ref="CG1:CG4"/>
    <mergeCell ref="CH1:CI1"/>
    <mergeCell ref="CK1:CK4"/>
    <mergeCell ref="CL1:CL4"/>
    <mergeCell ref="CB2:CB4"/>
    <mergeCell ref="CC2:CC4"/>
    <mergeCell ref="CD2:CD4"/>
    <mergeCell ref="CE2:CE4"/>
    <mergeCell ref="CF2:CF4"/>
    <mergeCell ref="CH2:CH4"/>
    <mergeCell ref="CI2:CI4"/>
    <mergeCell ref="CS1:CS4"/>
    <mergeCell ref="CT1:CT4"/>
    <mergeCell ref="CU1:CU4"/>
    <mergeCell ref="CV1:CV4"/>
    <mergeCell ref="CX1:CX4"/>
    <mergeCell ref="CY1:CY4"/>
    <mergeCell ref="CM1:CM4"/>
    <mergeCell ref="CN1:CN4"/>
    <mergeCell ref="CO1:CO4"/>
    <mergeCell ref="CP1:CP4"/>
    <mergeCell ref="CQ1:CQ4"/>
    <mergeCell ref="CR1:CR4"/>
    <mergeCell ref="AX2:AX4"/>
    <mergeCell ref="AY2:AY4"/>
    <mergeCell ref="AZ2:AZ4"/>
    <mergeCell ref="AN2:AN4"/>
    <mergeCell ref="AO2:AO4"/>
    <mergeCell ref="AP2:AP4"/>
    <mergeCell ref="AQ2:AQ4"/>
    <mergeCell ref="AR2:AR4"/>
    <mergeCell ref="AS2:AS4"/>
    <mergeCell ref="AW1:AW4"/>
    <mergeCell ref="AX1:BH1"/>
    <mergeCell ref="A281:B281"/>
    <mergeCell ref="BN2:BN4"/>
    <mergeCell ref="BO2:BO4"/>
    <mergeCell ref="BP2:BP4"/>
    <mergeCell ref="BQ2:BQ4"/>
    <mergeCell ref="BR2:BR4"/>
    <mergeCell ref="BS2:BS4"/>
    <mergeCell ref="BG2:BG4"/>
    <mergeCell ref="BH2:BH4"/>
    <mergeCell ref="BJ2:BJ4"/>
    <mergeCell ref="BK2:BK4"/>
    <mergeCell ref="BL2:BL4"/>
    <mergeCell ref="BM2:BM4"/>
    <mergeCell ref="BA2:BA4"/>
    <mergeCell ref="BB2:BB4"/>
    <mergeCell ref="BC2:BC4"/>
    <mergeCell ref="BD2:BD4"/>
    <mergeCell ref="BE2:BE4"/>
    <mergeCell ref="BF2:BF4"/>
    <mergeCell ref="AT2:AT4"/>
    <mergeCell ref="AU2:AU4"/>
    <mergeCell ref="BI1:BI4"/>
    <mergeCell ref="BJ1:BO1"/>
    <mergeCell ref="Q1:Q4"/>
  </mergeCells>
  <pageMargins left="0.70866141732283472" right="0.70866141732283472" top="0.74803149606299213" bottom="0.74803149606299213" header="0.31496062992125984" footer="0.31496062992125984"/>
  <pageSetup paperSize="9" scale="15" fitToWidth="2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242"/>
  <sheetViews>
    <sheetView view="pageBreakPreview" topLeftCell="A13" zoomScaleSheetLayoutView="100" workbookViewId="0">
      <selection activeCell="EB284" sqref="EB284"/>
    </sheetView>
  </sheetViews>
  <sheetFormatPr defaultRowHeight="15" outlineLevelCol="1" x14ac:dyDescent="0.25"/>
  <cols>
    <col min="1" max="1" width="9.140625" style="184" customWidth="1"/>
    <col min="2" max="2" width="43.85546875" style="184" customWidth="1"/>
    <col min="3" max="3" width="24.5703125" style="184" customWidth="1"/>
    <col min="4" max="4" width="30.7109375" style="184" customWidth="1"/>
    <col min="5" max="10" width="9.140625" style="184"/>
    <col min="11" max="11" width="50.7109375" style="185" hidden="1" customWidth="1" outlineLevel="1"/>
    <col min="12" max="12" width="9.140625" style="184" collapsed="1"/>
    <col min="13" max="16384" width="9.140625" style="184"/>
  </cols>
  <sheetData>
    <row r="1" spans="1:11" ht="15" customHeight="1" x14ac:dyDescent="0.25">
      <c r="A1" s="329" t="s">
        <v>1506</v>
      </c>
      <c r="B1" s="329"/>
      <c r="C1" s="329"/>
      <c r="D1" s="329"/>
      <c r="K1" s="185" t="s">
        <v>878</v>
      </c>
    </row>
    <row r="2" spans="1:11" ht="15" customHeight="1" x14ac:dyDescent="0.25">
      <c r="A2" s="329" t="s">
        <v>1507</v>
      </c>
      <c r="B2" s="329"/>
      <c r="C2" s="329"/>
      <c r="D2" s="329"/>
      <c r="K2" s="185" t="s">
        <v>879</v>
      </c>
    </row>
    <row r="3" spans="1:11" ht="15" customHeight="1" x14ac:dyDescent="0.25">
      <c r="A3" s="329" t="s">
        <v>1508</v>
      </c>
      <c r="B3" s="329"/>
      <c r="C3" s="329"/>
      <c r="D3" s="329"/>
      <c r="K3" s="185" t="s">
        <v>1336</v>
      </c>
    </row>
    <row r="4" spans="1:11" ht="15" customHeight="1" x14ac:dyDescent="0.25">
      <c r="A4" s="186" t="s">
        <v>1509</v>
      </c>
      <c r="B4" s="330" t="s">
        <v>55</v>
      </c>
      <c r="C4" s="330"/>
      <c r="D4" s="330"/>
      <c r="K4" s="187" t="s">
        <v>50</v>
      </c>
    </row>
    <row r="5" spans="1:11" ht="6.75" customHeight="1" x14ac:dyDescent="0.25">
      <c r="A5" s="188"/>
      <c r="B5" s="188"/>
      <c r="C5" s="188"/>
      <c r="D5" s="188"/>
      <c r="K5" s="187" t="s">
        <v>1337</v>
      </c>
    </row>
    <row r="6" spans="1:11" ht="15" customHeight="1" thickBot="1" x14ac:dyDescent="0.3">
      <c r="A6" s="189"/>
      <c r="B6" s="190" t="s">
        <v>1510</v>
      </c>
      <c r="C6" s="191">
        <f>SUMIF(отчёт!$B:$B,$B$4,отчёт!$C:$C)</f>
        <v>2262.31</v>
      </c>
      <c r="D6" s="192" t="s">
        <v>1511</v>
      </c>
      <c r="K6" s="187" t="s">
        <v>1338</v>
      </c>
    </row>
    <row r="7" spans="1:11" ht="24.95" customHeight="1" thickBot="1" x14ac:dyDescent="0.3">
      <c r="A7" s="193"/>
      <c r="B7" s="194" t="s">
        <v>1512</v>
      </c>
      <c r="C7" s="195">
        <f>SUMIF(отчёт!$B:$B,$B$4,отчёт!$U:$U)</f>
        <v>45.06</v>
      </c>
      <c r="D7" s="196" t="s">
        <v>1513</v>
      </c>
      <c r="K7" s="187" t="s">
        <v>53</v>
      </c>
    </row>
    <row r="8" spans="1:11" ht="15" customHeight="1" thickBot="1" x14ac:dyDescent="0.3">
      <c r="A8" s="193"/>
      <c r="B8" s="197" t="s">
        <v>1514</v>
      </c>
      <c r="C8" s="191">
        <f>SUMIF(отчёт!$B:$B,$B$4,отчёт!$CM:$CM)</f>
        <v>1175012.54</v>
      </c>
      <c r="D8" s="196" t="s">
        <v>1515</v>
      </c>
      <c r="K8" s="187" t="s">
        <v>54</v>
      </c>
    </row>
    <row r="9" spans="1:11" ht="15" customHeight="1" thickBot="1" x14ac:dyDescent="0.3">
      <c r="A9" s="193"/>
      <c r="B9" s="197" t="s">
        <v>1516</v>
      </c>
      <c r="C9" s="191">
        <f>SUMIF(отчёт!$B:$B,$B$4,отчёт!$CX:$CX)</f>
        <v>1170064.27</v>
      </c>
      <c r="D9" s="196" t="s">
        <v>1515</v>
      </c>
      <c r="K9" s="187" t="s">
        <v>1339</v>
      </c>
    </row>
    <row r="10" spans="1:11" ht="23.25" customHeight="1" thickBot="1" x14ac:dyDescent="0.3">
      <c r="A10" s="193"/>
      <c r="B10" s="194" t="s">
        <v>1517</v>
      </c>
      <c r="C10" s="191">
        <f>SUMIF(отчёт!$B:$B,$B$4,отчёт!$CY:$CY)</f>
        <v>174775.98</v>
      </c>
      <c r="D10" s="196" t="s">
        <v>1515</v>
      </c>
      <c r="K10" s="187" t="s">
        <v>55</v>
      </c>
    </row>
    <row r="11" spans="1:11" ht="24.95" customHeight="1" thickBot="1" x14ac:dyDescent="0.3">
      <c r="A11" s="193"/>
      <c r="B11" s="198" t="s">
        <v>1518</v>
      </c>
      <c r="C11" s="199">
        <f>SUMIF(отчёт!$B:$B,$B$4,отчёт!$CU:$CU)</f>
        <v>886.55421686746979</v>
      </c>
      <c r="D11" s="196"/>
      <c r="K11" s="187" t="s">
        <v>56</v>
      </c>
    </row>
    <row r="12" spans="1:11" ht="20.100000000000001" customHeight="1" x14ac:dyDescent="0.25">
      <c r="A12" s="200" t="s">
        <v>1519</v>
      </c>
      <c r="B12" s="201" t="s">
        <v>1520</v>
      </c>
      <c r="C12" s="202" t="s">
        <v>1521</v>
      </c>
      <c r="D12" s="203" t="s">
        <v>1522</v>
      </c>
      <c r="K12" s="187" t="s">
        <v>57</v>
      </c>
    </row>
    <row r="13" spans="1:11" ht="20.100000000000001" customHeight="1" x14ac:dyDescent="0.25">
      <c r="A13" s="204"/>
      <c r="B13" s="205" t="s">
        <v>1523</v>
      </c>
      <c r="C13" s="206">
        <f>SUM(C14,C35,C45,C46,C47,C48,C49,C50,C51,C52,C53)</f>
        <v>1071238.1251863888</v>
      </c>
      <c r="D13" s="207">
        <f t="shared" ref="D13:D53" si="0">C13/$C$6/12</f>
        <v>39.459598271471371</v>
      </c>
      <c r="K13" s="187" t="s">
        <v>58</v>
      </c>
    </row>
    <row r="14" spans="1:11" ht="15" customHeight="1" x14ac:dyDescent="0.25">
      <c r="A14" s="208" t="s">
        <v>1524</v>
      </c>
      <c r="B14" s="205" t="s">
        <v>1525</v>
      </c>
      <c r="C14" s="206">
        <f>SUM(C15:C34)</f>
        <v>58235.738993360355</v>
      </c>
      <c r="D14" s="207">
        <f>C14/$C$6/12</f>
        <v>2.1451429067840819</v>
      </c>
      <c r="K14" s="187" t="s">
        <v>59</v>
      </c>
    </row>
    <row r="15" spans="1:11" ht="20.100000000000001" customHeight="1" x14ac:dyDescent="0.25">
      <c r="A15" s="208" t="s">
        <v>360</v>
      </c>
      <c r="B15" s="209" t="s">
        <v>1460</v>
      </c>
      <c r="C15" s="210">
        <f>SUMIF(отчёт!$B:$B,$B$4,отчёт!$AK:$AK)</f>
        <v>0</v>
      </c>
      <c r="D15" s="211">
        <f t="shared" si="0"/>
        <v>0</v>
      </c>
      <c r="K15" s="187" t="s">
        <v>60</v>
      </c>
    </row>
    <row r="16" spans="1:11" ht="20.100000000000001" customHeight="1" x14ac:dyDescent="0.25">
      <c r="A16" s="208" t="s">
        <v>361</v>
      </c>
      <c r="B16" s="209" t="s">
        <v>1464</v>
      </c>
      <c r="C16" s="210">
        <f>SUMIF(отчёт!$B:$B,$B$4,отчёт!$AU:$AU)</f>
        <v>0</v>
      </c>
      <c r="D16" s="211">
        <f t="shared" si="0"/>
        <v>0</v>
      </c>
      <c r="K16" s="187" t="s">
        <v>61</v>
      </c>
    </row>
    <row r="17" spans="1:11" ht="20.100000000000001" customHeight="1" x14ac:dyDescent="0.25">
      <c r="A17" s="208" t="s">
        <v>362</v>
      </c>
      <c r="B17" s="209" t="s">
        <v>1465</v>
      </c>
      <c r="C17" s="210">
        <f>SUMIF(отчёт!$B:$B,$B$4,отчёт!$AV:$AV)</f>
        <v>0</v>
      </c>
      <c r="D17" s="211">
        <f t="shared" si="0"/>
        <v>0</v>
      </c>
      <c r="K17" s="187" t="s">
        <v>62</v>
      </c>
    </row>
    <row r="18" spans="1:11" ht="20.100000000000001" customHeight="1" x14ac:dyDescent="0.25">
      <c r="A18" s="208" t="s">
        <v>363</v>
      </c>
      <c r="B18" s="209" t="s">
        <v>1228</v>
      </c>
      <c r="C18" s="210">
        <f>SUMIF(отчёт!$B:$B,$B$4,отчёт!$AE:$AE)</f>
        <v>0</v>
      </c>
      <c r="D18" s="211">
        <f t="shared" si="0"/>
        <v>0</v>
      </c>
      <c r="K18" s="187" t="s">
        <v>63</v>
      </c>
    </row>
    <row r="19" spans="1:11" ht="20.100000000000001" customHeight="1" x14ac:dyDescent="0.25">
      <c r="A19" s="208" t="s">
        <v>364</v>
      </c>
      <c r="B19" s="209" t="s">
        <v>1456</v>
      </c>
      <c r="C19" s="210">
        <f>SUMIF(отчёт!$B:$B,$B$4,отчёт!$AC:$AC)</f>
        <v>0</v>
      </c>
      <c r="D19" s="211">
        <f t="shared" si="0"/>
        <v>0</v>
      </c>
      <c r="K19" s="187" t="s">
        <v>64</v>
      </c>
    </row>
    <row r="20" spans="1:11" ht="20.100000000000001" customHeight="1" x14ac:dyDescent="0.25">
      <c r="A20" s="208" t="s">
        <v>365</v>
      </c>
      <c r="B20" s="209" t="s">
        <v>1244</v>
      </c>
      <c r="C20" s="210">
        <f>SUMIF(отчёт!$B:$B,$B$4,отчёт!$AN:$AN)</f>
        <v>0</v>
      </c>
      <c r="D20" s="211">
        <f t="shared" si="0"/>
        <v>0</v>
      </c>
      <c r="K20" s="187" t="s">
        <v>65</v>
      </c>
    </row>
    <row r="21" spans="1:11" ht="20.100000000000001" customHeight="1" x14ac:dyDescent="0.25">
      <c r="A21" s="208" t="s">
        <v>366</v>
      </c>
      <c r="B21" s="209" t="s">
        <v>1462</v>
      </c>
      <c r="C21" s="210">
        <f>SUMIF(отчёт!$B:$B,$B$4,отчёт!$AQ:$AQ)</f>
        <v>0</v>
      </c>
      <c r="D21" s="211">
        <f t="shared" si="0"/>
        <v>0</v>
      </c>
      <c r="K21" s="187" t="s">
        <v>68</v>
      </c>
    </row>
    <row r="22" spans="1:11" ht="20.100000000000001" customHeight="1" x14ac:dyDescent="0.25">
      <c r="A22" s="208" t="s">
        <v>367</v>
      </c>
      <c r="B22" s="209" t="s">
        <v>1236</v>
      </c>
      <c r="C22" s="210">
        <f>SUMIF(отчёт!$B:$B,$B$4,отчёт!$AP:$AP)+SUMIF(отчёт!$B:$B,$B$4,отчёт!$AS:$AS)</f>
        <v>0</v>
      </c>
      <c r="D22" s="211">
        <f t="shared" si="0"/>
        <v>0</v>
      </c>
      <c r="K22" s="187" t="s">
        <v>69</v>
      </c>
    </row>
    <row r="23" spans="1:11" ht="20.100000000000001" customHeight="1" x14ac:dyDescent="0.25">
      <c r="A23" s="208" t="s">
        <v>368</v>
      </c>
      <c r="B23" s="209" t="s">
        <v>1275</v>
      </c>
      <c r="C23" s="210">
        <f>SUMIF(отчёт!$B:$B,$B$4,отчёт!$AR:$AR)</f>
        <v>0</v>
      </c>
      <c r="D23" s="211">
        <f t="shared" si="0"/>
        <v>0</v>
      </c>
      <c r="K23" s="187" t="s">
        <v>71</v>
      </c>
    </row>
    <row r="24" spans="1:11" ht="20.100000000000001" customHeight="1" x14ac:dyDescent="0.25">
      <c r="A24" s="208" t="s">
        <v>369</v>
      </c>
      <c r="B24" s="209" t="s">
        <v>1457</v>
      </c>
      <c r="C24" s="210">
        <f>SUMIF(отчёт!$B:$B,$B$4,отчёт!$AG:$AG)</f>
        <v>0</v>
      </c>
      <c r="D24" s="211">
        <f t="shared" si="0"/>
        <v>0</v>
      </c>
      <c r="K24" s="187" t="s">
        <v>72</v>
      </c>
    </row>
    <row r="25" spans="1:11" ht="20.100000000000001" customHeight="1" x14ac:dyDescent="0.25">
      <c r="A25" s="208" t="s">
        <v>370</v>
      </c>
      <c r="B25" s="209" t="s">
        <v>1458</v>
      </c>
      <c r="C25" s="210">
        <f>SUMIF(отчёт!$B:$B,$B$4,отчёт!$AH:$AH)</f>
        <v>0</v>
      </c>
      <c r="D25" s="211">
        <f t="shared" si="0"/>
        <v>0</v>
      </c>
      <c r="K25" s="187" t="s">
        <v>880</v>
      </c>
    </row>
    <row r="26" spans="1:11" ht="20.100000000000001" customHeight="1" x14ac:dyDescent="0.25">
      <c r="A26" s="208" t="s">
        <v>371</v>
      </c>
      <c r="B26" s="209" t="s">
        <v>1526</v>
      </c>
      <c r="C26" s="210">
        <f>SUMIF(отчёт!$B:$B,$B$4,отчёт!$AM:$AM)</f>
        <v>0</v>
      </c>
      <c r="D26" s="211">
        <f t="shared" si="0"/>
        <v>0</v>
      </c>
      <c r="K26" s="187" t="s">
        <v>73</v>
      </c>
    </row>
    <row r="27" spans="1:11" ht="20.100000000000001" customHeight="1" x14ac:dyDescent="0.25">
      <c r="A27" s="208" t="s">
        <v>1527</v>
      </c>
      <c r="B27" s="209" t="s">
        <v>1528</v>
      </c>
      <c r="C27" s="210">
        <f>SUMIF(отчёт!$B:$B,$B$4,отчёт!$AI:$AI)</f>
        <v>0</v>
      </c>
      <c r="D27" s="211">
        <f t="shared" si="0"/>
        <v>0</v>
      </c>
      <c r="K27" s="187" t="s">
        <v>76</v>
      </c>
    </row>
    <row r="28" spans="1:11" ht="20.100000000000001" customHeight="1" x14ac:dyDescent="0.25">
      <c r="A28" s="208" t="s">
        <v>1529</v>
      </c>
      <c r="B28" s="209" t="s">
        <v>1463</v>
      </c>
      <c r="C28" s="210">
        <f>SUMIF(отчёт!$B:$B,$B$4,отчёт!$AT:$AT)</f>
        <v>0</v>
      </c>
      <c r="D28" s="211">
        <f t="shared" si="0"/>
        <v>0</v>
      </c>
      <c r="K28" s="187" t="s">
        <v>77</v>
      </c>
    </row>
    <row r="29" spans="1:11" ht="20.100000000000001" customHeight="1" x14ac:dyDescent="0.25">
      <c r="A29" s="208" t="s">
        <v>1530</v>
      </c>
      <c r="B29" s="209" t="s">
        <v>1461</v>
      </c>
      <c r="C29" s="210">
        <f>SUMIF(отчёт!$B:$B,$B$4,отчёт!$AO:$AO)</f>
        <v>0</v>
      </c>
      <c r="D29" s="211">
        <f t="shared" si="0"/>
        <v>0</v>
      </c>
      <c r="K29" s="187" t="s">
        <v>78</v>
      </c>
    </row>
    <row r="30" spans="1:11" ht="20.100000000000001" customHeight="1" x14ac:dyDescent="0.25">
      <c r="A30" s="208" t="s">
        <v>1531</v>
      </c>
      <c r="B30" s="209" t="s">
        <v>1459</v>
      </c>
      <c r="C30" s="210">
        <f>SUMIF(отчёт!$B:$B,$B$4,отчёт!$AJ:$AJ)</f>
        <v>0</v>
      </c>
      <c r="D30" s="211">
        <f t="shared" si="0"/>
        <v>0</v>
      </c>
      <c r="K30" s="187" t="s">
        <v>79</v>
      </c>
    </row>
    <row r="31" spans="1:11" ht="20.100000000000001" customHeight="1" x14ac:dyDescent="0.25">
      <c r="A31" s="208" t="s">
        <v>1532</v>
      </c>
      <c r="B31" s="209" t="s">
        <v>1242</v>
      </c>
      <c r="C31" s="210">
        <f>SUMIF(отчёт!$B:$B,$B$4,отчёт!$AD:$AD)</f>
        <v>0</v>
      </c>
      <c r="D31" s="211">
        <f t="shared" si="0"/>
        <v>0</v>
      </c>
      <c r="K31" s="187" t="s">
        <v>80</v>
      </c>
    </row>
    <row r="32" spans="1:11" ht="20.100000000000001" customHeight="1" x14ac:dyDescent="0.25">
      <c r="A32" s="208" t="s">
        <v>1533</v>
      </c>
      <c r="B32" s="209" t="s">
        <v>1227</v>
      </c>
      <c r="C32" s="210">
        <f>SUMIF(отчёт!$B:$B,$B$4,отчёт!$AF:$AF)</f>
        <v>0</v>
      </c>
      <c r="D32" s="211">
        <f t="shared" si="0"/>
        <v>0</v>
      </c>
      <c r="K32" s="187" t="s">
        <v>83</v>
      </c>
    </row>
    <row r="33" spans="1:11" ht="20.100000000000001" customHeight="1" x14ac:dyDescent="0.25">
      <c r="A33" s="208" t="s">
        <v>1534</v>
      </c>
      <c r="B33" s="209" t="s">
        <v>1247</v>
      </c>
      <c r="C33" s="210">
        <f>SUMIF(отчёт!$B:$B,$B$4,отчёт!$AL:$AL)</f>
        <v>0</v>
      </c>
      <c r="D33" s="211">
        <f t="shared" si="0"/>
        <v>0</v>
      </c>
      <c r="K33" s="187" t="s">
        <v>1346</v>
      </c>
    </row>
    <row r="34" spans="1:11" ht="20.100000000000001" customHeight="1" x14ac:dyDescent="0.25">
      <c r="A34" s="208" t="s">
        <v>1535</v>
      </c>
      <c r="B34" s="209" t="s">
        <v>1536</v>
      </c>
      <c r="C34" s="210">
        <f>SUMIF(отчёт!$B:$B,$B$4,отчёт!$Y:$Y)+SUMIF(отчёт!$B:$B,$B$4,отчёт!$Z:$Z)+SUMIF(отчёт!$B:$B,$B$4,отчёт!$AA:$AA)+SUMIF(отчёт!$B:$B,$B$4,отчёт!$AB:$AB)</f>
        <v>58235.738993360355</v>
      </c>
      <c r="D34" s="211">
        <f t="shared" si="0"/>
        <v>2.1451429067840819</v>
      </c>
      <c r="K34" s="187" t="s">
        <v>1347</v>
      </c>
    </row>
    <row r="35" spans="1:11" ht="24" customHeight="1" x14ac:dyDescent="0.25">
      <c r="A35" s="208" t="s">
        <v>1537</v>
      </c>
      <c r="B35" s="212" t="s">
        <v>1538</v>
      </c>
      <c r="C35" s="213">
        <f>SUM(C36:C44)</f>
        <v>241441.29168097049</v>
      </c>
      <c r="D35" s="214">
        <f t="shared" si="0"/>
        <v>8.8936121221587126</v>
      </c>
      <c r="K35" s="187"/>
    </row>
    <row r="36" spans="1:11" ht="20.100000000000001" customHeight="1" x14ac:dyDescent="0.25">
      <c r="A36" s="208" t="s">
        <v>373</v>
      </c>
      <c r="B36" s="215" t="s">
        <v>1258</v>
      </c>
      <c r="C36" s="210">
        <f>SUMIF(отчёт!$B:$B,$B$4,отчёт!$BC:$BC)</f>
        <v>0</v>
      </c>
      <c r="D36" s="211">
        <f t="shared" si="0"/>
        <v>0</v>
      </c>
      <c r="K36" s="187" t="s">
        <v>84</v>
      </c>
    </row>
    <row r="37" spans="1:11" ht="20.100000000000001" customHeight="1" x14ac:dyDescent="0.25">
      <c r="A37" s="208" t="s">
        <v>374</v>
      </c>
      <c r="B37" s="215" t="s">
        <v>1470</v>
      </c>
      <c r="C37" s="210">
        <f>SUMIF(отчёт!$B:$B,$B$4,отчёт!$BD:$BD)</f>
        <v>971.8716190103338</v>
      </c>
      <c r="D37" s="211">
        <f t="shared" si="0"/>
        <v>3.5799382747808424E-2</v>
      </c>
      <c r="K37" s="187" t="s">
        <v>85</v>
      </c>
    </row>
    <row r="38" spans="1:11" ht="20.100000000000001" customHeight="1" x14ac:dyDescent="0.25">
      <c r="A38" s="208" t="s">
        <v>375</v>
      </c>
      <c r="B38" s="215" t="s">
        <v>1472</v>
      </c>
      <c r="C38" s="210">
        <f>SUMIF(отчёт!$B:$B,$B$4,отчёт!$BG:$BG)</f>
        <v>637.58935946624467</v>
      </c>
      <c r="D38" s="211">
        <f t="shared" si="0"/>
        <v>2.3485926606957957E-2</v>
      </c>
      <c r="K38" s="187" t="s">
        <v>86</v>
      </c>
    </row>
    <row r="39" spans="1:11" ht="20.100000000000001" customHeight="1" x14ac:dyDescent="0.25">
      <c r="A39" s="208" t="s">
        <v>376</v>
      </c>
      <c r="B39" s="215" t="s">
        <v>1471</v>
      </c>
      <c r="C39" s="210">
        <f>SUMIF(отчёт!$B:$B,$B$4,отчёт!$BE:$BE)</f>
        <v>0</v>
      </c>
      <c r="D39" s="211">
        <f t="shared" si="0"/>
        <v>0</v>
      </c>
      <c r="K39" s="187" t="s">
        <v>87</v>
      </c>
    </row>
    <row r="40" spans="1:11" ht="20.100000000000001" customHeight="1" x14ac:dyDescent="0.25">
      <c r="A40" s="208" t="s">
        <v>377</v>
      </c>
      <c r="B40" s="215" t="s">
        <v>1469</v>
      </c>
      <c r="C40" s="210">
        <f>SUMIF(отчёт!$B:$B,$B$4,отчёт!$BB:$BB)</f>
        <v>0</v>
      </c>
      <c r="D40" s="211">
        <f t="shared" si="0"/>
        <v>0</v>
      </c>
      <c r="K40" s="187" t="s">
        <v>88</v>
      </c>
    </row>
    <row r="41" spans="1:11" ht="20.100000000000001" customHeight="1" x14ac:dyDescent="0.25">
      <c r="A41" s="208" t="s">
        <v>378</v>
      </c>
      <c r="B41" s="215" t="s">
        <v>1109</v>
      </c>
      <c r="C41" s="210">
        <f>SUMIF(отчёт!$B:$B,$B$4,отчёт!$AZ:$AZ)</f>
        <v>0</v>
      </c>
      <c r="D41" s="211">
        <f t="shared" si="0"/>
        <v>0</v>
      </c>
      <c r="K41" s="187" t="s">
        <v>89</v>
      </c>
    </row>
    <row r="42" spans="1:11" ht="20.100000000000001" customHeight="1" x14ac:dyDescent="0.25">
      <c r="A42" s="208" t="s">
        <v>379</v>
      </c>
      <c r="B42" s="215" t="s">
        <v>1468</v>
      </c>
      <c r="C42" s="210">
        <f>SUMIF(отчёт!$B:$B,$B$4,отчёт!$BA:$BA)</f>
        <v>4378.9046923343185</v>
      </c>
      <c r="D42" s="211">
        <f t="shared" si="0"/>
        <v>0.16129916959266996</v>
      </c>
      <c r="K42" s="187" t="s">
        <v>90</v>
      </c>
    </row>
    <row r="43" spans="1:11" ht="20.100000000000001" customHeight="1" x14ac:dyDescent="0.25">
      <c r="A43" s="208" t="s">
        <v>380</v>
      </c>
      <c r="B43" s="215" t="s">
        <v>1110</v>
      </c>
      <c r="C43" s="210">
        <f>SUMIF(отчёт!$B:$B,$B$4,отчёт!$BF:$BF)</f>
        <v>1273.4549202916428</v>
      </c>
      <c r="D43" s="211">
        <f t="shared" si="0"/>
        <v>4.6908356218925307E-2</v>
      </c>
      <c r="K43" s="187" t="s">
        <v>91</v>
      </c>
    </row>
    <row r="44" spans="1:11" ht="20.100000000000001" customHeight="1" x14ac:dyDescent="0.25">
      <c r="A44" s="208" t="s">
        <v>381</v>
      </c>
      <c r="B44" s="215" t="s">
        <v>1539</v>
      </c>
      <c r="C44" s="210">
        <f>SUMIF(отчёт!$B:$B,$B$4,отчёт!$AX:$AX)+SUMIF(отчёт!$B:$B,$B$4,отчёт!$AY:$AY)+SUMIF(отчёт!$B:$B,$B$4,отчёт!$BH:$BH)</f>
        <v>234179.47108986796</v>
      </c>
      <c r="D44" s="211">
        <f t="shared" si="0"/>
        <v>8.6261192869923509</v>
      </c>
      <c r="K44" s="187" t="s">
        <v>92</v>
      </c>
    </row>
    <row r="45" spans="1:11" ht="15" customHeight="1" x14ac:dyDescent="0.25">
      <c r="A45" s="208" t="s">
        <v>1540</v>
      </c>
      <c r="B45" s="216" t="s">
        <v>1541</v>
      </c>
      <c r="C45" s="206">
        <f>SUMIF(отчёт!$B:$B,$B$4,отчёт!$BI:$BI)-C46-C53</f>
        <v>319237.49335881078</v>
      </c>
      <c r="D45" s="207">
        <f t="shared" si="0"/>
        <v>11.759274567396849</v>
      </c>
      <c r="K45" s="187" t="s">
        <v>93</v>
      </c>
    </row>
    <row r="46" spans="1:11" ht="15" customHeight="1" x14ac:dyDescent="0.25">
      <c r="A46" s="208" t="s">
        <v>1542</v>
      </c>
      <c r="B46" s="216" t="s">
        <v>1475</v>
      </c>
      <c r="C46" s="206">
        <f>SUMIF(отчёт!$B:$B,$B$4,отчёт!$BJ:$BJ)+SUMIF(отчёт!$B:$B,$B$4,отчёт!$BK:$BK)+SUMIF(отчёт!$B:$B,$B$4,отчёт!$BR:$BR)</f>
        <v>11593.036699856119</v>
      </c>
      <c r="D46" s="207">
        <f t="shared" si="0"/>
        <v>0.42703537165758743</v>
      </c>
      <c r="K46" s="187" t="s">
        <v>94</v>
      </c>
    </row>
    <row r="47" spans="1:11" ht="15" customHeight="1" x14ac:dyDescent="0.25">
      <c r="A47" s="208" t="s">
        <v>1543</v>
      </c>
      <c r="B47" s="216" t="s">
        <v>17</v>
      </c>
      <c r="C47" s="206">
        <f>SUMIF(отчёт!$B:$B,$B$4,отчёт!$BX:$BX)</f>
        <v>137615.88576158747</v>
      </c>
      <c r="D47" s="207">
        <f t="shared" si="0"/>
        <v>5.0691507707309293</v>
      </c>
      <c r="K47" s="187" t="s">
        <v>95</v>
      </c>
    </row>
    <row r="48" spans="1:11" ht="15" customHeight="1" x14ac:dyDescent="0.25">
      <c r="A48" s="208" t="s">
        <v>1544</v>
      </c>
      <c r="B48" s="216" t="s">
        <v>18</v>
      </c>
      <c r="C48" s="206">
        <f>SUMIF(отчёт!$B:$B,$B$4,отчёт!$BY:$BY)</f>
        <v>121025.51217495839</v>
      </c>
      <c r="D48" s="207">
        <f t="shared" si="0"/>
        <v>4.4580359667389526</v>
      </c>
      <c r="K48" s="187" t="s">
        <v>96</v>
      </c>
    </row>
    <row r="49" spans="1:11" ht="15" customHeight="1" x14ac:dyDescent="0.25">
      <c r="A49" s="208" t="s">
        <v>1545</v>
      </c>
      <c r="B49" s="216" t="s">
        <v>36</v>
      </c>
      <c r="C49" s="206">
        <f>SUMIF(отчёт!$B:$B,$B$4,отчёт!$BZ:$BZ)</f>
        <v>23040.106600719908</v>
      </c>
      <c r="D49" s="207">
        <f t="shared" si="0"/>
        <v>0.84869398243093375</v>
      </c>
      <c r="K49" s="187" t="s">
        <v>97</v>
      </c>
    </row>
    <row r="50" spans="1:11" ht="15" customHeight="1" x14ac:dyDescent="0.25">
      <c r="A50" s="208" t="s">
        <v>1546</v>
      </c>
      <c r="B50" s="217" t="s">
        <v>37</v>
      </c>
      <c r="C50" s="206">
        <f>SUMIF(отчёт!$B:$B,$B$4,отчёт!$CA:$CA)</f>
        <v>78818.981463023301</v>
      </c>
      <c r="D50" s="207">
        <f t="shared" si="0"/>
        <v>2.9033370560409235</v>
      </c>
      <c r="K50" s="187" t="s">
        <v>98</v>
      </c>
    </row>
    <row r="51" spans="1:11" ht="15" customHeight="1" x14ac:dyDescent="0.25">
      <c r="A51" s="208" t="s">
        <v>1547</v>
      </c>
      <c r="B51" s="216" t="s">
        <v>1548</v>
      </c>
      <c r="C51" s="206">
        <f>SUMIF(отчёт!$B:$B,$B$4,отчёт!$CG:$CG)</f>
        <v>34748.735956198099</v>
      </c>
      <c r="D51" s="207">
        <f t="shared" si="0"/>
        <v>1.2799872680356987</v>
      </c>
      <c r="K51" s="187" t="s">
        <v>1491</v>
      </c>
    </row>
    <row r="52" spans="1:11" ht="15" customHeight="1" x14ac:dyDescent="0.25">
      <c r="A52" s="208" t="s">
        <v>1549</v>
      </c>
      <c r="B52" s="216" t="s">
        <v>1550</v>
      </c>
      <c r="C52" s="206">
        <f>SUMIF(отчёт!$B:$B,$B$4,отчёт!$BW:$BW)</f>
        <v>38789.734631304113</v>
      </c>
      <c r="D52" s="207">
        <f t="shared" si="0"/>
        <v>1.4288394985399921</v>
      </c>
      <c r="K52" s="187" t="s">
        <v>1492</v>
      </c>
    </row>
    <row r="53" spans="1:11" ht="15" customHeight="1" thickBot="1" x14ac:dyDescent="0.3">
      <c r="A53" s="218" t="s">
        <v>1551</v>
      </c>
      <c r="B53" s="219" t="s">
        <v>1552</v>
      </c>
      <c r="C53" s="220">
        <f>SUMIF(отчёт!$B:$B,$B$4,отчёт!$BS:$BS)+SUMIF(отчёт!$B:$B,$B$4,отчёт!$BV:$BV)</f>
        <v>6691.6078656000318</v>
      </c>
      <c r="D53" s="221">
        <f t="shared" si="0"/>
        <v>0.24648876095672242</v>
      </c>
      <c r="K53" s="187" t="s">
        <v>101</v>
      </c>
    </row>
    <row r="54" spans="1:11" ht="15" customHeight="1" x14ac:dyDescent="0.25">
      <c r="A54" s="222"/>
      <c r="B54" s="223"/>
      <c r="C54" s="224"/>
      <c r="D54" s="225"/>
      <c r="K54" s="187" t="s">
        <v>102</v>
      </c>
    </row>
    <row r="55" spans="1:11" ht="15" customHeight="1" x14ac:dyDescent="0.25">
      <c r="A55" s="222"/>
      <c r="B55" s="223"/>
      <c r="C55" s="224"/>
      <c r="D55" s="225"/>
      <c r="K55" s="187" t="s">
        <v>103</v>
      </c>
    </row>
    <row r="56" spans="1:11" ht="15" customHeight="1" x14ac:dyDescent="0.25">
      <c r="A56" s="222"/>
      <c r="B56" s="223"/>
      <c r="C56" s="224"/>
      <c r="D56" s="225"/>
      <c r="K56" s="187" t="s">
        <v>104</v>
      </c>
    </row>
    <row r="57" spans="1:11" ht="15" customHeight="1" x14ac:dyDescent="0.25">
      <c r="A57" s="328" t="s">
        <v>1553</v>
      </c>
      <c r="B57" s="328"/>
      <c r="C57" s="328"/>
      <c r="D57" s="328"/>
      <c r="K57" s="187" t="s">
        <v>105</v>
      </c>
    </row>
    <row r="58" spans="1:11" ht="15" customHeight="1" x14ac:dyDescent="0.25">
      <c r="A58" s="222"/>
      <c r="B58" s="226"/>
      <c r="C58" s="227"/>
      <c r="D58" s="225"/>
      <c r="K58" s="187" t="s">
        <v>106</v>
      </c>
    </row>
    <row r="59" spans="1:11" ht="15" customHeight="1" x14ac:dyDescent="0.25">
      <c r="A59" s="328" t="s">
        <v>1554</v>
      </c>
      <c r="B59" s="328"/>
      <c r="C59" s="328"/>
      <c r="D59" s="328"/>
      <c r="K59" s="187" t="s">
        <v>107</v>
      </c>
    </row>
    <row r="60" spans="1:11" ht="15" customHeight="1" x14ac:dyDescent="0.25">
      <c r="K60" s="187" t="s">
        <v>108</v>
      </c>
    </row>
    <row r="61" spans="1:11" ht="15" customHeight="1" x14ac:dyDescent="0.25">
      <c r="K61" s="187" t="s">
        <v>109</v>
      </c>
    </row>
    <row r="62" spans="1:11" ht="15" customHeight="1" x14ac:dyDescent="0.25">
      <c r="K62" s="187" t="s">
        <v>110</v>
      </c>
    </row>
    <row r="63" spans="1:11" ht="15" customHeight="1" x14ac:dyDescent="0.25">
      <c r="K63" s="187" t="s">
        <v>112</v>
      </c>
    </row>
    <row r="64" spans="1:11" ht="15" customHeight="1" x14ac:dyDescent="0.25">
      <c r="K64" s="187" t="s">
        <v>113</v>
      </c>
    </row>
    <row r="65" spans="11:11" ht="15" customHeight="1" x14ac:dyDescent="0.25">
      <c r="K65" s="187" t="s">
        <v>115</v>
      </c>
    </row>
    <row r="66" spans="11:11" ht="15" customHeight="1" x14ac:dyDescent="0.25">
      <c r="K66" s="187" t="s">
        <v>116</v>
      </c>
    </row>
    <row r="67" spans="11:11" ht="15" customHeight="1" x14ac:dyDescent="0.25">
      <c r="K67" s="187" t="s">
        <v>117</v>
      </c>
    </row>
    <row r="68" spans="11:11" ht="15" customHeight="1" x14ac:dyDescent="0.25">
      <c r="K68" s="187" t="s">
        <v>118</v>
      </c>
    </row>
    <row r="69" spans="11:11" ht="15" customHeight="1" x14ac:dyDescent="0.25">
      <c r="K69" s="187" t="s">
        <v>119</v>
      </c>
    </row>
    <row r="70" spans="11:11" ht="15" customHeight="1" x14ac:dyDescent="0.25">
      <c r="K70" s="187" t="s">
        <v>120</v>
      </c>
    </row>
    <row r="71" spans="11:11" ht="15" customHeight="1" x14ac:dyDescent="0.25">
      <c r="K71" s="187" t="s">
        <v>121</v>
      </c>
    </row>
    <row r="72" spans="11:11" ht="15" customHeight="1" x14ac:dyDescent="0.25">
      <c r="K72" s="187" t="s">
        <v>124</v>
      </c>
    </row>
    <row r="73" spans="11:11" ht="15" customHeight="1" x14ac:dyDescent="0.25">
      <c r="K73" s="187" t="s">
        <v>122</v>
      </c>
    </row>
    <row r="74" spans="11:11" ht="15" customHeight="1" x14ac:dyDescent="0.25">
      <c r="K74" s="187" t="s">
        <v>123</v>
      </c>
    </row>
    <row r="75" spans="11:11" ht="15" customHeight="1" x14ac:dyDescent="0.25">
      <c r="K75" s="187" t="s">
        <v>125</v>
      </c>
    </row>
    <row r="76" spans="11:11" ht="15" customHeight="1" x14ac:dyDescent="0.25">
      <c r="K76" s="187" t="s">
        <v>126</v>
      </c>
    </row>
    <row r="77" spans="11:11" ht="15" customHeight="1" x14ac:dyDescent="0.25">
      <c r="K77" s="187" t="s">
        <v>127</v>
      </c>
    </row>
    <row r="78" spans="11:11" ht="15" customHeight="1" x14ac:dyDescent="0.25">
      <c r="K78" s="187" t="s">
        <v>128</v>
      </c>
    </row>
    <row r="79" spans="11:11" ht="15" customHeight="1" x14ac:dyDescent="0.25">
      <c r="K79" s="187" t="s">
        <v>129</v>
      </c>
    </row>
    <row r="80" spans="11:11" ht="15" customHeight="1" x14ac:dyDescent="0.25">
      <c r="K80" s="187" t="s">
        <v>130</v>
      </c>
    </row>
    <row r="81" spans="11:11" ht="15" customHeight="1" x14ac:dyDescent="0.25">
      <c r="K81" s="187" t="s">
        <v>131</v>
      </c>
    </row>
    <row r="82" spans="11:11" ht="15" customHeight="1" x14ac:dyDescent="0.25">
      <c r="K82" s="187" t="s">
        <v>132</v>
      </c>
    </row>
    <row r="83" spans="11:11" ht="15" customHeight="1" x14ac:dyDescent="0.25">
      <c r="K83" s="187" t="s">
        <v>133</v>
      </c>
    </row>
    <row r="84" spans="11:11" ht="15" customHeight="1" x14ac:dyDescent="0.25">
      <c r="K84" s="187" t="s">
        <v>134</v>
      </c>
    </row>
    <row r="85" spans="11:11" ht="15" customHeight="1" x14ac:dyDescent="0.25">
      <c r="K85" s="187" t="s">
        <v>135</v>
      </c>
    </row>
    <row r="86" spans="11:11" ht="15" customHeight="1" x14ac:dyDescent="0.25">
      <c r="K86" s="187" t="s">
        <v>136</v>
      </c>
    </row>
    <row r="87" spans="11:11" ht="15" customHeight="1" x14ac:dyDescent="0.25">
      <c r="K87" s="187" t="s">
        <v>137</v>
      </c>
    </row>
    <row r="88" spans="11:11" ht="15" customHeight="1" x14ac:dyDescent="0.25">
      <c r="K88" s="187" t="s">
        <v>138</v>
      </c>
    </row>
    <row r="89" spans="11:11" ht="15" customHeight="1" x14ac:dyDescent="0.25">
      <c r="K89" s="187" t="s">
        <v>139</v>
      </c>
    </row>
    <row r="90" spans="11:11" ht="15" customHeight="1" x14ac:dyDescent="0.25">
      <c r="K90" s="187" t="s">
        <v>140</v>
      </c>
    </row>
    <row r="91" spans="11:11" ht="15" customHeight="1" x14ac:dyDescent="0.25">
      <c r="K91" s="187" t="s">
        <v>141</v>
      </c>
    </row>
    <row r="92" spans="11:11" ht="15" customHeight="1" x14ac:dyDescent="0.25">
      <c r="K92" s="187" t="s">
        <v>142</v>
      </c>
    </row>
    <row r="93" spans="11:11" ht="15" customHeight="1" x14ac:dyDescent="0.25">
      <c r="K93" s="187" t="s">
        <v>143</v>
      </c>
    </row>
    <row r="94" spans="11:11" ht="15" customHeight="1" x14ac:dyDescent="0.25">
      <c r="K94" s="187" t="s">
        <v>144</v>
      </c>
    </row>
    <row r="95" spans="11:11" ht="15" customHeight="1" x14ac:dyDescent="0.25">
      <c r="K95" s="187" t="s">
        <v>145</v>
      </c>
    </row>
    <row r="96" spans="11:11" ht="15" customHeight="1" x14ac:dyDescent="0.25">
      <c r="K96" s="187" t="s">
        <v>146</v>
      </c>
    </row>
    <row r="97" spans="11:11" ht="15" customHeight="1" x14ac:dyDescent="0.25">
      <c r="K97" s="187" t="s">
        <v>147</v>
      </c>
    </row>
    <row r="98" spans="11:11" ht="15" customHeight="1" x14ac:dyDescent="0.25">
      <c r="K98" s="187" t="s">
        <v>148</v>
      </c>
    </row>
    <row r="99" spans="11:11" ht="15" customHeight="1" x14ac:dyDescent="0.25">
      <c r="K99" s="187" t="s">
        <v>1496</v>
      </c>
    </row>
    <row r="100" spans="11:11" ht="15" customHeight="1" x14ac:dyDescent="0.25">
      <c r="K100" s="187" t="s">
        <v>150</v>
      </c>
    </row>
    <row r="101" spans="11:11" ht="15" customHeight="1" x14ac:dyDescent="0.25">
      <c r="K101" s="187" t="s">
        <v>151</v>
      </c>
    </row>
    <row r="102" spans="11:11" ht="15" customHeight="1" x14ac:dyDescent="0.25">
      <c r="K102" s="187" t="s">
        <v>152</v>
      </c>
    </row>
    <row r="103" spans="11:11" ht="15" customHeight="1" x14ac:dyDescent="0.25">
      <c r="K103" s="187" t="s">
        <v>153</v>
      </c>
    </row>
    <row r="104" spans="11:11" ht="15" customHeight="1" x14ac:dyDescent="0.25">
      <c r="K104" s="187" t="s">
        <v>154</v>
      </c>
    </row>
    <row r="105" spans="11:11" ht="15" customHeight="1" x14ac:dyDescent="0.25">
      <c r="K105" s="187" t="s">
        <v>155</v>
      </c>
    </row>
    <row r="106" spans="11:11" ht="15" customHeight="1" x14ac:dyDescent="0.25">
      <c r="K106" s="187" t="s">
        <v>156</v>
      </c>
    </row>
    <row r="107" spans="11:11" ht="15" customHeight="1" x14ac:dyDescent="0.25">
      <c r="K107" s="187" t="s">
        <v>157</v>
      </c>
    </row>
    <row r="108" spans="11:11" ht="15" customHeight="1" x14ac:dyDescent="0.25">
      <c r="K108" s="187" t="s">
        <v>158</v>
      </c>
    </row>
    <row r="109" spans="11:11" ht="15" customHeight="1" x14ac:dyDescent="0.25">
      <c r="K109" s="187" t="s">
        <v>159</v>
      </c>
    </row>
    <row r="110" spans="11:11" ht="15" customHeight="1" x14ac:dyDescent="0.25">
      <c r="K110" s="187" t="s">
        <v>160</v>
      </c>
    </row>
    <row r="111" spans="11:11" ht="15" customHeight="1" x14ac:dyDescent="0.25">
      <c r="K111" s="187" t="s">
        <v>161</v>
      </c>
    </row>
    <row r="112" spans="11:11" ht="15" customHeight="1" x14ac:dyDescent="0.25">
      <c r="K112" s="187" t="s">
        <v>162</v>
      </c>
    </row>
    <row r="113" spans="11:11" ht="15" customHeight="1" x14ac:dyDescent="0.25">
      <c r="K113" s="187" t="s">
        <v>163</v>
      </c>
    </row>
    <row r="114" spans="11:11" ht="15" customHeight="1" x14ac:dyDescent="0.25">
      <c r="K114" s="187" t="s">
        <v>164</v>
      </c>
    </row>
    <row r="115" spans="11:11" ht="15" customHeight="1" x14ac:dyDescent="0.25">
      <c r="K115" s="187" t="s">
        <v>165</v>
      </c>
    </row>
    <row r="116" spans="11:11" ht="15" customHeight="1" x14ac:dyDescent="0.25">
      <c r="K116" s="187" t="s">
        <v>166</v>
      </c>
    </row>
    <row r="117" spans="11:11" ht="15" customHeight="1" x14ac:dyDescent="0.25">
      <c r="K117" s="187" t="s">
        <v>167</v>
      </c>
    </row>
    <row r="118" spans="11:11" ht="15" customHeight="1" x14ac:dyDescent="0.25">
      <c r="K118" s="187" t="s">
        <v>168</v>
      </c>
    </row>
    <row r="119" spans="11:11" ht="15" customHeight="1" x14ac:dyDescent="0.25">
      <c r="K119" s="187" t="s">
        <v>169</v>
      </c>
    </row>
    <row r="120" spans="11:11" ht="15" customHeight="1" x14ac:dyDescent="0.25">
      <c r="K120" s="187" t="s">
        <v>170</v>
      </c>
    </row>
    <row r="121" spans="11:11" ht="15" customHeight="1" x14ac:dyDescent="0.25">
      <c r="K121" s="187" t="s">
        <v>171</v>
      </c>
    </row>
    <row r="122" spans="11:11" ht="15" customHeight="1" x14ac:dyDescent="0.25">
      <c r="K122" s="187" t="s">
        <v>172</v>
      </c>
    </row>
    <row r="123" spans="11:11" ht="15" customHeight="1" x14ac:dyDescent="0.25">
      <c r="K123" s="187" t="s">
        <v>173</v>
      </c>
    </row>
    <row r="124" spans="11:11" ht="15" customHeight="1" x14ac:dyDescent="0.25">
      <c r="K124" s="187" t="s">
        <v>174</v>
      </c>
    </row>
    <row r="125" spans="11:11" ht="15" customHeight="1" x14ac:dyDescent="0.25">
      <c r="K125" s="187" t="s">
        <v>175</v>
      </c>
    </row>
    <row r="126" spans="11:11" ht="15" customHeight="1" x14ac:dyDescent="0.25">
      <c r="K126" s="187" t="s">
        <v>176</v>
      </c>
    </row>
    <row r="127" spans="11:11" ht="15" customHeight="1" x14ac:dyDescent="0.25">
      <c r="K127" s="187" t="s">
        <v>177</v>
      </c>
    </row>
    <row r="128" spans="11:11" ht="15" customHeight="1" x14ac:dyDescent="0.25">
      <c r="K128" s="187" t="s">
        <v>178</v>
      </c>
    </row>
    <row r="129" spans="11:11" ht="15" customHeight="1" x14ac:dyDescent="0.25">
      <c r="K129" s="187" t="s">
        <v>179</v>
      </c>
    </row>
    <row r="130" spans="11:11" ht="15" customHeight="1" x14ac:dyDescent="0.25">
      <c r="K130" s="187" t="s">
        <v>180</v>
      </c>
    </row>
    <row r="131" spans="11:11" ht="15" customHeight="1" x14ac:dyDescent="0.25">
      <c r="K131" s="187" t="s">
        <v>181</v>
      </c>
    </row>
    <row r="132" spans="11:11" ht="15" customHeight="1" x14ac:dyDescent="0.25">
      <c r="K132" s="187" t="s">
        <v>182</v>
      </c>
    </row>
    <row r="133" spans="11:11" ht="15" customHeight="1" x14ac:dyDescent="0.25">
      <c r="K133" s="187" t="s">
        <v>183</v>
      </c>
    </row>
    <row r="134" spans="11:11" ht="15" customHeight="1" x14ac:dyDescent="0.25">
      <c r="K134" s="187" t="s">
        <v>184</v>
      </c>
    </row>
    <row r="135" spans="11:11" ht="15" customHeight="1" x14ac:dyDescent="0.25">
      <c r="K135" s="187" t="s">
        <v>185</v>
      </c>
    </row>
    <row r="136" spans="11:11" ht="15" customHeight="1" x14ac:dyDescent="0.25">
      <c r="K136" s="187" t="s">
        <v>186</v>
      </c>
    </row>
    <row r="137" spans="11:11" ht="15" customHeight="1" x14ac:dyDescent="0.25">
      <c r="K137" s="187" t="s">
        <v>187</v>
      </c>
    </row>
    <row r="138" spans="11:11" ht="15" customHeight="1" x14ac:dyDescent="0.25">
      <c r="K138" s="187" t="s">
        <v>188</v>
      </c>
    </row>
    <row r="139" spans="11:11" ht="15" customHeight="1" x14ac:dyDescent="0.25">
      <c r="K139" s="187" t="s">
        <v>189</v>
      </c>
    </row>
    <row r="140" spans="11:11" ht="15" customHeight="1" x14ac:dyDescent="0.25">
      <c r="K140" s="187" t="s">
        <v>190</v>
      </c>
    </row>
    <row r="141" spans="11:11" ht="15" customHeight="1" x14ac:dyDescent="0.25">
      <c r="K141" s="187" t="s">
        <v>191</v>
      </c>
    </row>
    <row r="142" spans="11:11" ht="15" customHeight="1" x14ac:dyDescent="0.25">
      <c r="K142" s="187" t="s">
        <v>192</v>
      </c>
    </row>
    <row r="143" spans="11:11" ht="15" customHeight="1" x14ac:dyDescent="0.25">
      <c r="K143" s="187" t="s">
        <v>193</v>
      </c>
    </row>
    <row r="144" spans="11:11" ht="15" customHeight="1" x14ac:dyDescent="0.25">
      <c r="K144" s="187" t="s">
        <v>194</v>
      </c>
    </row>
    <row r="145" spans="11:11" ht="15" customHeight="1" x14ac:dyDescent="0.25">
      <c r="K145" s="187" t="s">
        <v>195</v>
      </c>
    </row>
    <row r="146" spans="11:11" ht="15" customHeight="1" x14ac:dyDescent="0.25">
      <c r="K146" s="187" t="s">
        <v>196</v>
      </c>
    </row>
    <row r="147" spans="11:11" ht="15" customHeight="1" x14ac:dyDescent="0.25">
      <c r="K147" s="187" t="s">
        <v>197</v>
      </c>
    </row>
    <row r="148" spans="11:11" ht="15" customHeight="1" x14ac:dyDescent="0.25">
      <c r="K148" s="187" t="s">
        <v>198</v>
      </c>
    </row>
    <row r="149" spans="11:11" ht="15" customHeight="1" x14ac:dyDescent="0.25">
      <c r="K149" s="187" t="s">
        <v>199</v>
      </c>
    </row>
    <row r="150" spans="11:11" ht="15" customHeight="1" x14ac:dyDescent="0.25">
      <c r="K150" s="187" t="s">
        <v>200</v>
      </c>
    </row>
    <row r="151" spans="11:11" ht="15" customHeight="1" x14ac:dyDescent="0.25">
      <c r="K151" s="187" t="s">
        <v>201</v>
      </c>
    </row>
    <row r="152" spans="11:11" ht="15" customHeight="1" x14ac:dyDescent="0.25">
      <c r="K152" s="187" t="s">
        <v>202</v>
      </c>
    </row>
    <row r="153" spans="11:11" ht="15" customHeight="1" x14ac:dyDescent="0.25">
      <c r="K153" s="187" t="s">
        <v>203</v>
      </c>
    </row>
    <row r="154" spans="11:11" ht="15" customHeight="1" x14ac:dyDescent="0.25">
      <c r="K154" s="187" t="s">
        <v>204</v>
      </c>
    </row>
    <row r="155" spans="11:11" ht="15" customHeight="1" x14ac:dyDescent="0.25">
      <c r="K155" s="187" t="s">
        <v>205</v>
      </c>
    </row>
    <row r="156" spans="11:11" ht="15" customHeight="1" x14ac:dyDescent="0.25">
      <c r="K156" s="187" t="s">
        <v>206</v>
      </c>
    </row>
    <row r="157" spans="11:11" ht="15" customHeight="1" x14ac:dyDescent="0.25">
      <c r="K157" s="187" t="s">
        <v>207</v>
      </c>
    </row>
    <row r="158" spans="11:11" ht="15" customHeight="1" x14ac:dyDescent="0.25">
      <c r="K158" s="187" t="s">
        <v>208</v>
      </c>
    </row>
    <row r="159" spans="11:11" ht="15" customHeight="1" x14ac:dyDescent="0.25">
      <c r="K159" s="187" t="s">
        <v>209</v>
      </c>
    </row>
    <row r="160" spans="11:11" ht="15" customHeight="1" x14ac:dyDescent="0.25">
      <c r="K160" s="187" t="s">
        <v>210</v>
      </c>
    </row>
    <row r="161" spans="11:11" ht="15" customHeight="1" x14ac:dyDescent="0.25">
      <c r="K161" s="187" t="s">
        <v>211</v>
      </c>
    </row>
    <row r="162" spans="11:11" ht="15" customHeight="1" x14ac:dyDescent="0.25">
      <c r="K162" s="187" t="s">
        <v>212</v>
      </c>
    </row>
    <row r="163" spans="11:11" ht="15" customHeight="1" x14ac:dyDescent="0.25">
      <c r="K163" s="187" t="s">
        <v>213</v>
      </c>
    </row>
    <row r="164" spans="11:11" ht="15" customHeight="1" x14ac:dyDescent="0.25">
      <c r="K164" s="187" t="s">
        <v>214</v>
      </c>
    </row>
    <row r="165" spans="11:11" ht="15" customHeight="1" x14ac:dyDescent="0.25">
      <c r="K165" s="187" t="s">
        <v>215</v>
      </c>
    </row>
    <row r="166" spans="11:11" ht="15" customHeight="1" x14ac:dyDescent="0.25">
      <c r="K166" s="187" t="s">
        <v>216</v>
      </c>
    </row>
    <row r="167" spans="11:11" ht="15" customHeight="1" x14ac:dyDescent="0.25">
      <c r="K167" s="187" t="s">
        <v>217</v>
      </c>
    </row>
    <row r="168" spans="11:11" ht="15" customHeight="1" x14ac:dyDescent="0.25">
      <c r="K168" s="187" t="s">
        <v>218</v>
      </c>
    </row>
    <row r="169" spans="11:11" ht="15" customHeight="1" x14ac:dyDescent="0.25">
      <c r="K169" s="187" t="s">
        <v>219</v>
      </c>
    </row>
    <row r="170" spans="11:11" ht="15" customHeight="1" x14ac:dyDescent="0.25">
      <c r="K170" s="187" t="s">
        <v>220</v>
      </c>
    </row>
    <row r="171" spans="11:11" ht="15" customHeight="1" x14ac:dyDescent="0.25">
      <c r="K171" s="187" t="s">
        <v>221</v>
      </c>
    </row>
    <row r="172" spans="11:11" ht="15" customHeight="1" x14ac:dyDescent="0.25">
      <c r="K172" s="187" t="s">
        <v>222</v>
      </c>
    </row>
    <row r="173" spans="11:11" ht="15" customHeight="1" x14ac:dyDescent="0.25">
      <c r="K173" s="187" t="s">
        <v>223</v>
      </c>
    </row>
    <row r="174" spans="11:11" ht="15" customHeight="1" x14ac:dyDescent="0.25">
      <c r="K174" s="187" t="s">
        <v>224</v>
      </c>
    </row>
    <row r="175" spans="11:11" ht="15" customHeight="1" x14ac:dyDescent="0.25">
      <c r="K175" s="187" t="s">
        <v>225</v>
      </c>
    </row>
    <row r="176" spans="11:11" ht="15" customHeight="1" x14ac:dyDescent="0.25">
      <c r="K176" s="187" t="s">
        <v>226</v>
      </c>
    </row>
    <row r="177" spans="11:11" ht="15" customHeight="1" x14ac:dyDescent="0.25">
      <c r="K177" s="187" t="s">
        <v>227</v>
      </c>
    </row>
    <row r="178" spans="11:11" ht="15" customHeight="1" x14ac:dyDescent="0.25">
      <c r="K178" s="187" t="s">
        <v>228</v>
      </c>
    </row>
    <row r="179" spans="11:11" ht="15" customHeight="1" x14ac:dyDescent="0.25">
      <c r="K179" s="187" t="s">
        <v>229</v>
      </c>
    </row>
    <row r="180" spans="11:11" ht="15" customHeight="1" x14ac:dyDescent="0.25">
      <c r="K180" s="187" t="s">
        <v>230</v>
      </c>
    </row>
    <row r="181" spans="11:11" ht="15" customHeight="1" x14ac:dyDescent="0.25">
      <c r="K181" s="187" t="s">
        <v>231</v>
      </c>
    </row>
    <row r="182" spans="11:11" ht="15" customHeight="1" x14ac:dyDescent="0.25">
      <c r="K182" s="187" t="s">
        <v>232</v>
      </c>
    </row>
    <row r="183" spans="11:11" ht="15" customHeight="1" x14ac:dyDescent="0.25">
      <c r="K183" s="187" t="s">
        <v>233</v>
      </c>
    </row>
    <row r="184" spans="11:11" ht="15" customHeight="1" x14ac:dyDescent="0.25">
      <c r="K184" s="187" t="s">
        <v>234</v>
      </c>
    </row>
    <row r="185" spans="11:11" ht="15" customHeight="1" x14ac:dyDescent="0.25">
      <c r="K185" s="187" t="s">
        <v>235</v>
      </c>
    </row>
    <row r="186" spans="11:11" ht="15" customHeight="1" x14ac:dyDescent="0.25">
      <c r="K186" s="187" t="s">
        <v>236</v>
      </c>
    </row>
    <row r="187" spans="11:11" ht="15" customHeight="1" x14ac:dyDescent="0.25">
      <c r="K187" s="187" t="s">
        <v>237</v>
      </c>
    </row>
    <row r="188" spans="11:11" ht="15" customHeight="1" x14ac:dyDescent="0.25">
      <c r="K188" s="187" t="s">
        <v>238</v>
      </c>
    </row>
    <row r="189" spans="11:11" ht="15" customHeight="1" x14ac:dyDescent="0.25">
      <c r="K189" s="187" t="s">
        <v>239</v>
      </c>
    </row>
    <row r="190" spans="11:11" ht="15" customHeight="1" x14ac:dyDescent="0.25">
      <c r="K190" s="187" t="s">
        <v>240</v>
      </c>
    </row>
    <row r="191" spans="11:11" ht="15" customHeight="1" x14ac:dyDescent="0.25">
      <c r="K191" s="187" t="s">
        <v>241</v>
      </c>
    </row>
    <row r="192" spans="11:11" ht="15" customHeight="1" x14ac:dyDescent="0.25">
      <c r="K192" s="187" t="s">
        <v>242</v>
      </c>
    </row>
    <row r="193" spans="11:11" ht="15" customHeight="1" x14ac:dyDescent="0.25">
      <c r="K193" s="187" t="s">
        <v>243</v>
      </c>
    </row>
    <row r="194" spans="11:11" ht="15" customHeight="1" x14ac:dyDescent="0.25">
      <c r="K194" s="187" t="s">
        <v>244</v>
      </c>
    </row>
    <row r="195" spans="11:11" ht="15" customHeight="1" x14ac:dyDescent="0.25">
      <c r="K195" s="187" t="s">
        <v>245</v>
      </c>
    </row>
    <row r="196" spans="11:11" ht="15" customHeight="1" x14ac:dyDescent="0.25">
      <c r="K196" s="187" t="s">
        <v>246</v>
      </c>
    </row>
    <row r="197" spans="11:11" ht="15" customHeight="1" x14ac:dyDescent="0.25">
      <c r="K197" s="187" t="s">
        <v>247</v>
      </c>
    </row>
    <row r="198" spans="11:11" ht="15" customHeight="1" x14ac:dyDescent="0.25">
      <c r="K198" s="187" t="s">
        <v>248</v>
      </c>
    </row>
    <row r="199" spans="11:11" ht="15" customHeight="1" x14ac:dyDescent="0.25">
      <c r="K199" s="187" t="s">
        <v>249</v>
      </c>
    </row>
    <row r="200" spans="11:11" ht="15" customHeight="1" x14ac:dyDescent="0.25">
      <c r="K200" s="187" t="s">
        <v>250</v>
      </c>
    </row>
    <row r="201" spans="11:11" ht="15" customHeight="1" x14ac:dyDescent="0.25">
      <c r="K201" s="187" t="s">
        <v>251</v>
      </c>
    </row>
    <row r="202" spans="11:11" ht="15" customHeight="1" x14ac:dyDescent="0.25">
      <c r="K202" s="187" t="s">
        <v>252</v>
      </c>
    </row>
    <row r="203" spans="11:11" ht="15" customHeight="1" x14ac:dyDescent="0.25">
      <c r="K203" s="187" t="s">
        <v>253</v>
      </c>
    </row>
    <row r="204" spans="11:11" ht="15" customHeight="1" x14ac:dyDescent="0.25">
      <c r="K204" s="187" t="s">
        <v>254</v>
      </c>
    </row>
    <row r="205" spans="11:11" ht="15" customHeight="1" x14ac:dyDescent="0.25">
      <c r="K205" s="187" t="s">
        <v>255</v>
      </c>
    </row>
    <row r="206" spans="11:11" ht="15" customHeight="1" x14ac:dyDescent="0.25">
      <c r="K206" s="187" t="s">
        <v>256</v>
      </c>
    </row>
    <row r="207" spans="11:11" ht="15" customHeight="1" x14ac:dyDescent="0.25">
      <c r="K207" s="187" t="s">
        <v>257</v>
      </c>
    </row>
    <row r="208" spans="11:11" ht="15" customHeight="1" x14ac:dyDescent="0.25">
      <c r="K208" s="187" t="s">
        <v>258</v>
      </c>
    </row>
    <row r="209" spans="11:11" ht="15" customHeight="1" x14ac:dyDescent="0.25">
      <c r="K209" s="187" t="s">
        <v>259</v>
      </c>
    </row>
    <row r="210" spans="11:11" ht="15" customHeight="1" x14ac:dyDescent="0.25">
      <c r="K210" s="187" t="s">
        <v>260</v>
      </c>
    </row>
    <row r="211" spans="11:11" ht="15" customHeight="1" x14ac:dyDescent="0.25">
      <c r="K211" s="187" t="s">
        <v>261</v>
      </c>
    </row>
    <row r="212" spans="11:11" ht="15" customHeight="1" x14ac:dyDescent="0.25">
      <c r="K212" s="187" t="s">
        <v>262</v>
      </c>
    </row>
    <row r="213" spans="11:11" ht="15" customHeight="1" x14ac:dyDescent="0.25">
      <c r="K213" s="187" t="s">
        <v>263</v>
      </c>
    </row>
    <row r="214" spans="11:11" ht="15" customHeight="1" x14ac:dyDescent="0.25">
      <c r="K214" s="187" t="s">
        <v>264</v>
      </c>
    </row>
    <row r="215" spans="11:11" ht="15" customHeight="1" x14ac:dyDescent="0.25">
      <c r="K215" s="187" t="s">
        <v>265</v>
      </c>
    </row>
    <row r="216" spans="11:11" ht="15" customHeight="1" x14ac:dyDescent="0.25">
      <c r="K216" s="187" t="s">
        <v>266</v>
      </c>
    </row>
    <row r="217" spans="11:11" ht="15" customHeight="1" x14ac:dyDescent="0.25">
      <c r="K217" s="187" t="s">
        <v>267</v>
      </c>
    </row>
    <row r="218" spans="11:11" ht="15" customHeight="1" x14ac:dyDescent="0.25">
      <c r="K218" s="187" t="s">
        <v>268</v>
      </c>
    </row>
    <row r="219" spans="11:11" ht="15" customHeight="1" x14ac:dyDescent="0.25">
      <c r="K219" s="187" t="s">
        <v>269</v>
      </c>
    </row>
    <row r="220" spans="11:11" ht="15" customHeight="1" x14ac:dyDescent="0.25">
      <c r="K220" s="187" t="s">
        <v>270</v>
      </c>
    </row>
    <row r="221" spans="11:11" ht="15" customHeight="1" x14ac:dyDescent="0.25">
      <c r="K221" s="187" t="s">
        <v>271</v>
      </c>
    </row>
    <row r="222" spans="11:11" ht="15" customHeight="1" x14ac:dyDescent="0.25">
      <c r="K222" s="187" t="s">
        <v>272</v>
      </c>
    </row>
    <row r="223" spans="11:11" ht="15" customHeight="1" x14ac:dyDescent="0.25">
      <c r="K223" s="187" t="s">
        <v>273</v>
      </c>
    </row>
    <row r="224" spans="11:11" ht="15" customHeight="1" x14ac:dyDescent="0.25">
      <c r="K224" s="187" t="s">
        <v>274</v>
      </c>
    </row>
    <row r="225" spans="11:11" ht="15" customHeight="1" x14ac:dyDescent="0.25">
      <c r="K225" s="187" t="s">
        <v>275</v>
      </c>
    </row>
    <row r="226" spans="11:11" ht="15" customHeight="1" x14ac:dyDescent="0.25">
      <c r="K226" s="187" t="s">
        <v>276</v>
      </c>
    </row>
    <row r="227" spans="11:11" ht="15" customHeight="1" x14ac:dyDescent="0.25">
      <c r="K227" s="187" t="s">
        <v>277</v>
      </c>
    </row>
    <row r="228" spans="11:11" ht="15" customHeight="1" x14ac:dyDescent="0.25">
      <c r="K228" s="187" t="s">
        <v>278</v>
      </c>
    </row>
    <row r="229" spans="11:11" ht="15" customHeight="1" x14ac:dyDescent="0.25">
      <c r="K229" s="187" t="s">
        <v>280</v>
      </c>
    </row>
    <row r="230" spans="11:11" ht="15" customHeight="1" x14ac:dyDescent="0.25">
      <c r="K230" s="187" t="s">
        <v>281</v>
      </c>
    </row>
    <row r="231" spans="11:11" ht="15" customHeight="1" x14ac:dyDescent="0.25">
      <c r="K231" s="187" t="s">
        <v>282</v>
      </c>
    </row>
    <row r="232" spans="11:11" ht="15" customHeight="1" x14ac:dyDescent="0.25">
      <c r="K232" s="187"/>
    </row>
    <row r="233" spans="11:11" ht="15" customHeight="1" x14ac:dyDescent="0.25">
      <c r="K233" s="187" t="s">
        <v>283</v>
      </c>
    </row>
    <row r="234" spans="11:11" ht="15" customHeight="1" x14ac:dyDescent="0.25">
      <c r="K234" s="187" t="s">
        <v>284</v>
      </c>
    </row>
    <row r="235" spans="11:11" ht="15" customHeight="1" x14ac:dyDescent="0.25">
      <c r="K235" s="187" t="s">
        <v>285</v>
      </c>
    </row>
    <row r="236" spans="11:11" ht="15" customHeight="1" x14ac:dyDescent="0.25">
      <c r="K236" s="187" t="s">
        <v>286</v>
      </c>
    </row>
    <row r="237" spans="11:11" ht="15" customHeight="1" x14ac:dyDescent="0.25">
      <c r="K237" s="185" t="s">
        <v>287</v>
      </c>
    </row>
    <row r="238" spans="11:11" ht="15" customHeight="1" x14ac:dyDescent="0.25">
      <c r="K238" s="185" t="s">
        <v>288</v>
      </c>
    </row>
    <row r="239" spans="11:11" ht="15" customHeight="1" x14ac:dyDescent="0.25">
      <c r="K239" s="185" t="s">
        <v>289</v>
      </c>
    </row>
    <row r="240" spans="11:11" ht="15" customHeight="1" x14ac:dyDescent="0.25">
      <c r="K240" s="185" t="s">
        <v>290</v>
      </c>
    </row>
    <row r="241" spans="11:11" ht="15" customHeight="1" x14ac:dyDescent="0.25">
      <c r="K241" s="185" t="s">
        <v>291</v>
      </c>
    </row>
    <row r="242" spans="11:11" ht="15" customHeight="1" x14ac:dyDescent="0.25">
      <c r="K242" s="185" t="s">
        <v>292</v>
      </c>
    </row>
  </sheetData>
  <protectedRanges>
    <protectedRange sqref="B4:D4" name="Диапазон1"/>
  </protectedRanges>
  <mergeCells count="6">
    <mergeCell ref="A59:D59"/>
    <mergeCell ref="A1:D1"/>
    <mergeCell ref="A2:D2"/>
    <mergeCell ref="A3:D3"/>
    <mergeCell ref="B4:D4"/>
    <mergeCell ref="A57:D57"/>
  </mergeCells>
  <dataValidations count="1">
    <dataValidation type="list" allowBlank="1" showInputMessage="1" showErrorMessage="1" sqref="B4:D4">
      <formula1>$K$1:$K$243</formula1>
    </dataValidation>
  </dataValidation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286"/>
  <sheetViews>
    <sheetView zoomScaleNormal="100" workbookViewId="0">
      <pane xSplit="2" ySplit="4" topLeftCell="K236" activePane="bottomRight" state="frozen"/>
      <selection activeCell="EB284" sqref="EB284"/>
      <selection pane="topRight" activeCell="EB284" sqref="EB284"/>
      <selection pane="bottomLeft" activeCell="EB284" sqref="EB284"/>
      <selection pane="bottomRight" activeCell="EB284" sqref="EB284"/>
    </sheetView>
  </sheetViews>
  <sheetFormatPr defaultColWidth="10.7109375" defaultRowHeight="12" customHeight="1" outlineLevelCol="1" x14ac:dyDescent="0.25"/>
  <cols>
    <col min="1" max="1" width="5.7109375" style="1" customWidth="1"/>
    <col min="2" max="2" width="50.7109375" style="1" customWidth="1"/>
    <col min="3" max="3" width="33.28515625" style="1" customWidth="1" outlineLevel="1"/>
    <col min="4" max="9" width="10.7109375" style="1" customWidth="1"/>
    <col min="10" max="12" width="8.7109375" style="1" customWidth="1"/>
    <col min="13" max="21" width="8.7109375" style="13" hidden="1" customWidth="1" outlineLevel="1"/>
    <col min="22" max="25" width="8.7109375" style="1" hidden="1" customWidth="1" outlineLevel="1"/>
    <col min="26" max="26" width="8.7109375" style="1" hidden="1" customWidth="1" outlineLevel="1" collapsed="1"/>
    <col min="27" max="27" width="8.7109375" style="1" hidden="1" customWidth="1" outlineLevel="1"/>
    <col min="28" max="29" width="8.7109375" style="13" hidden="1" customWidth="1" outlineLevel="1"/>
    <col min="30" max="32" width="8.7109375" style="1" hidden="1" customWidth="1" outlineLevel="1"/>
    <col min="33" max="41" width="12.7109375" style="1" hidden="1" customWidth="1" outlineLevel="1"/>
    <col min="42" max="42" width="10.7109375" style="1" hidden="1" customWidth="1" outlineLevel="1"/>
    <col min="43" max="43" width="10.7109375" style="24" collapsed="1"/>
    <col min="44" max="44" width="10.7109375" style="1" hidden="1" customWidth="1" outlineLevel="1"/>
    <col min="45" max="45" width="10.28515625" style="1" hidden="1" customWidth="1" outlineLevel="1"/>
    <col min="46" max="55" width="10.7109375" style="1" hidden="1" customWidth="1" outlineLevel="1"/>
    <col min="56" max="56" width="10.7109375" style="1" collapsed="1"/>
    <col min="57" max="68" width="10.7109375" style="1" hidden="1" customWidth="1" outlineLevel="1"/>
    <col min="69" max="69" width="14.140625" style="1" bestFit="1" customWidth="1" collapsed="1"/>
    <col min="70" max="72" width="13.140625" style="26" hidden="1" customWidth="1" outlineLevel="1"/>
    <col min="73" max="75" width="11.42578125" style="26" hidden="1" customWidth="1" outlineLevel="1"/>
    <col min="76" max="77" width="13.140625" style="26" hidden="1" customWidth="1" outlineLevel="1"/>
    <col min="78" max="78" width="11.42578125" style="26" hidden="1" customWidth="1" outlineLevel="1"/>
    <col min="79" max="79" width="13.140625" style="26" hidden="1" customWidth="1" outlineLevel="1"/>
    <col min="80" max="81" width="11.42578125" style="26" hidden="1" customWidth="1" outlineLevel="1"/>
    <col min="82" max="82" width="10.7109375" style="1" hidden="1" customWidth="1" outlineLevel="1"/>
    <col min="83" max="83" width="10.7109375" style="1" collapsed="1"/>
    <col min="84" max="84" width="13.5703125" style="1" bestFit="1" customWidth="1"/>
    <col min="85" max="86" width="13.5703125" style="1" customWidth="1"/>
    <col min="87" max="87" width="11.28515625" style="1" bestFit="1" customWidth="1"/>
    <col min="88" max="88" width="10.85546875" style="1" hidden="1" customWidth="1" outlineLevel="1"/>
    <col min="89" max="89" width="11.7109375" style="228" hidden="1" customWidth="1" outlineLevel="1"/>
    <col min="90" max="106" width="10.85546875" style="1" hidden="1" customWidth="1" outlineLevel="1"/>
    <col min="107" max="107" width="11.7109375" style="1" hidden="1" customWidth="1" outlineLevel="1"/>
    <col min="108" max="110" width="10.85546875" style="1" hidden="1" customWidth="1" outlineLevel="1"/>
    <col min="111" max="111" width="11.7109375" style="1" hidden="1" customWidth="1" outlineLevel="1"/>
    <col min="112" max="116" width="10.85546875" style="1" hidden="1" customWidth="1" outlineLevel="1"/>
    <col min="117" max="117" width="11.85546875" customWidth="1" collapsed="1"/>
    <col min="118" max="127" width="10.85546875" style="1" hidden="1" customWidth="1" outlineLevel="1"/>
    <col min="128" max="128" width="11.140625" hidden="1" customWidth="1" outlineLevel="1"/>
    <col min="129" max="130" width="10.7109375" hidden="1" customWidth="1" outlineLevel="1"/>
    <col min="131" max="131" width="10.85546875" style="1" hidden="1" customWidth="1" outlineLevel="1"/>
    <col min="132" max="132" width="12.28515625" style="1" customWidth="1" collapsed="1"/>
    <col min="133" max="140" width="10.85546875" style="1" hidden="1" customWidth="1" outlineLevel="1"/>
    <col min="141" max="141" width="10.85546875" style="1" customWidth="1" collapsed="1"/>
    <col min="142" max="143" width="10.85546875" style="1" customWidth="1"/>
    <col min="145" max="145" width="10.7109375" style="1"/>
    <col min="146" max="147" width="10.85546875" style="1" hidden="1" customWidth="1" outlineLevel="1"/>
    <col min="148" max="148" width="10.7109375" style="1" hidden="1" customWidth="1" outlineLevel="1"/>
    <col min="149" max="149" width="10.7109375" style="1" collapsed="1"/>
    <col min="150" max="152" width="10.85546875" style="1" hidden="1" customWidth="1" outlineLevel="1"/>
    <col min="153" max="153" width="10.7109375" style="1" collapsed="1"/>
    <col min="154" max="154" width="10.7109375" style="1"/>
    <col min="155" max="156" width="10.7109375" style="1" hidden="1" customWidth="1" outlineLevel="1"/>
    <col min="157" max="157" width="10.7109375" style="24" collapsed="1"/>
    <col min="158" max="158" width="14.7109375" style="1" customWidth="1"/>
    <col min="159" max="161" width="10.7109375" style="1"/>
    <col min="162" max="162" width="12.5703125" style="1" bestFit="1" customWidth="1"/>
    <col min="163" max="16384" width="10.7109375" style="1"/>
  </cols>
  <sheetData>
    <row r="1" spans="1:158" ht="20.100000000000001" customHeight="1" x14ac:dyDescent="0.25">
      <c r="A1" s="356" t="s">
        <v>0</v>
      </c>
      <c r="B1" s="356" t="s">
        <v>1</v>
      </c>
      <c r="C1" s="356" t="s">
        <v>1</v>
      </c>
      <c r="D1" s="357" t="s">
        <v>2</v>
      </c>
      <c r="E1" s="357" t="s">
        <v>3</v>
      </c>
      <c r="F1" s="357"/>
      <c r="G1" s="357" t="s">
        <v>4</v>
      </c>
      <c r="H1" s="359" t="s">
        <v>1428</v>
      </c>
      <c r="I1" s="359"/>
      <c r="J1" s="358" t="s">
        <v>5</v>
      </c>
      <c r="K1" s="358" t="s">
        <v>6</v>
      </c>
      <c r="L1" s="358" t="s">
        <v>7</v>
      </c>
      <c r="M1" s="358" t="s">
        <v>8</v>
      </c>
      <c r="N1" s="355" t="s">
        <v>3</v>
      </c>
      <c r="O1" s="355"/>
      <c r="P1" s="355"/>
      <c r="Q1" s="355"/>
      <c r="R1" s="355"/>
      <c r="S1" s="355"/>
      <c r="T1" s="355"/>
      <c r="U1" s="355"/>
      <c r="V1" s="337" t="s">
        <v>9</v>
      </c>
      <c r="W1" s="338"/>
      <c r="X1" s="338"/>
      <c r="Y1" s="338"/>
      <c r="Z1" s="338"/>
      <c r="AA1" s="338"/>
      <c r="AB1" s="338"/>
      <c r="AC1" s="338"/>
      <c r="AD1" s="338"/>
      <c r="AE1" s="338"/>
      <c r="AF1" s="339"/>
      <c r="AG1" s="340" t="s">
        <v>10</v>
      </c>
      <c r="AH1" s="343" t="s">
        <v>3</v>
      </c>
      <c r="AI1" s="343"/>
      <c r="AJ1" s="343"/>
      <c r="AK1" s="343"/>
      <c r="AL1" s="343"/>
      <c r="AM1" s="343"/>
      <c r="AN1" s="343"/>
      <c r="AO1" s="343"/>
      <c r="AQ1" s="344" t="s">
        <v>8</v>
      </c>
      <c r="AR1" s="345" t="s">
        <v>3</v>
      </c>
      <c r="AS1" s="346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7" t="s">
        <v>8</v>
      </c>
      <c r="BE1" s="348" t="s">
        <v>3</v>
      </c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9" t="s">
        <v>11</v>
      </c>
      <c r="BR1" s="341" t="s">
        <v>3</v>
      </c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F1" s="380" t="s">
        <v>1829</v>
      </c>
      <c r="CG1" s="380" t="s">
        <v>1839</v>
      </c>
      <c r="CH1" s="380" t="s">
        <v>1831</v>
      </c>
      <c r="CI1" s="378" t="s">
        <v>14</v>
      </c>
      <c r="CJ1" s="236"/>
      <c r="CK1" s="237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6"/>
      <c r="DJ1" s="236"/>
      <c r="DK1" s="236"/>
      <c r="DL1" s="236"/>
      <c r="DM1" s="378" t="s">
        <v>15</v>
      </c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93"/>
      <c r="DY1" s="293"/>
      <c r="DZ1" s="293"/>
      <c r="EA1" s="236"/>
      <c r="EB1" s="334" t="s">
        <v>16</v>
      </c>
      <c r="EC1" s="274"/>
      <c r="ED1" s="274"/>
      <c r="EE1" s="274"/>
      <c r="EF1" s="274"/>
      <c r="EG1" s="274"/>
      <c r="EH1" s="274"/>
      <c r="EI1" s="274"/>
      <c r="EJ1" s="274"/>
      <c r="EK1" s="334" t="s">
        <v>1734</v>
      </c>
      <c r="EL1" s="334" t="s">
        <v>17</v>
      </c>
      <c r="EM1" s="334" t="s">
        <v>18</v>
      </c>
      <c r="EN1" s="334" t="s">
        <v>36</v>
      </c>
      <c r="EO1" s="334" t="s">
        <v>20</v>
      </c>
      <c r="EP1" s="236"/>
      <c r="EQ1" s="236"/>
      <c r="ER1" s="236"/>
      <c r="ES1" s="334" t="s">
        <v>1737</v>
      </c>
      <c r="ET1" s="331" t="s">
        <v>1335</v>
      </c>
      <c r="EU1" s="331" t="s">
        <v>1349</v>
      </c>
      <c r="EV1" s="331" t="s">
        <v>956</v>
      </c>
      <c r="EW1" s="332" t="s">
        <v>1735</v>
      </c>
      <c r="EX1" s="332" t="s">
        <v>39</v>
      </c>
      <c r="EY1" s="379" t="s">
        <v>1828</v>
      </c>
      <c r="EZ1" s="380" t="s">
        <v>1830</v>
      </c>
      <c r="FA1" s="335" t="s">
        <v>1736</v>
      </c>
      <c r="FB1" s="384" t="s">
        <v>1835</v>
      </c>
    </row>
    <row r="2" spans="1:158" ht="24.95" customHeight="1" x14ac:dyDescent="0.25">
      <c r="A2" s="356"/>
      <c r="B2" s="356"/>
      <c r="C2" s="356"/>
      <c r="D2" s="357"/>
      <c r="E2" s="357" t="s">
        <v>12</v>
      </c>
      <c r="F2" s="357" t="s">
        <v>13</v>
      </c>
      <c r="G2" s="357"/>
      <c r="H2" s="360" t="s">
        <v>1448</v>
      </c>
      <c r="I2" s="360" t="s">
        <v>1449</v>
      </c>
      <c r="J2" s="358"/>
      <c r="K2" s="358"/>
      <c r="L2" s="358"/>
      <c r="M2" s="358"/>
      <c r="N2" s="355" t="s">
        <v>14</v>
      </c>
      <c r="O2" s="355" t="s">
        <v>15</v>
      </c>
      <c r="P2" s="355" t="s">
        <v>16</v>
      </c>
      <c r="Q2" s="355" t="s">
        <v>17</v>
      </c>
      <c r="R2" s="355" t="s">
        <v>18</v>
      </c>
      <c r="S2" s="355" t="s">
        <v>19</v>
      </c>
      <c r="T2" s="355" t="s">
        <v>20</v>
      </c>
      <c r="U2" s="355" t="s">
        <v>21</v>
      </c>
      <c r="V2" s="355" t="s">
        <v>22</v>
      </c>
      <c r="W2" s="355" t="s">
        <v>23</v>
      </c>
      <c r="X2" s="355"/>
      <c r="Y2" s="355"/>
      <c r="Z2" s="355" t="s">
        <v>24</v>
      </c>
      <c r="AA2" s="355" t="s">
        <v>25</v>
      </c>
      <c r="AB2" s="355" t="s">
        <v>26</v>
      </c>
      <c r="AC2" s="355"/>
      <c r="AD2" s="355" t="s">
        <v>27</v>
      </c>
      <c r="AE2" s="366" t="s">
        <v>28</v>
      </c>
      <c r="AF2" s="366" t="s">
        <v>29</v>
      </c>
      <c r="AG2" s="340"/>
      <c r="AH2" s="343" t="s">
        <v>14</v>
      </c>
      <c r="AI2" s="343" t="s">
        <v>15</v>
      </c>
      <c r="AJ2" s="343" t="s">
        <v>16</v>
      </c>
      <c r="AK2" s="343" t="s">
        <v>17</v>
      </c>
      <c r="AL2" s="343" t="s">
        <v>18</v>
      </c>
      <c r="AM2" s="343" t="s">
        <v>19</v>
      </c>
      <c r="AN2" s="343" t="s">
        <v>20</v>
      </c>
      <c r="AO2" s="343" t="s">
        <v>21</v>
      </c>
      <c r="AQ2" s="344"/>
      <c r="AR2" s="352" t="s">
        <v>30</v>
      </c>
      <c r="AS2" s="365" t="s">
        <v>31</v>
      </c>
      <c r="AT2" s="350" t="s">
        <v>16</v>
      </c>
      <c r="AU2" s="350" t="s">
        <v>32</v>
      </c>
      <c r="AV2" s="350" t="s">
        <v>33</v>
      </c>
      <c r="AW2" s="350" t="s">
        <v>34</v>
      </c>
      <c r="AX2" s="350" t="s">
        <v>17</v>
      </c>
      <c r="AY2" s="350" t="s">
        <v>35</v>
      </c>
      <c r="AZ2" s="350" t="s">
        <v>36</v>
      </c>
      <c r="BA2" s="350" t="s">
        <v>37</v>
      </c>
      <c r="BB2" s="350" t="s">
        <v>38</v>
      </c>
      <c r="BC2" s="352" t="s">
        <v>39</v>
      </c>
      <c r="BD2" s="347"/>
      <c r="BE2" s="354" t="s">
        <v>30</v>
      </c>
      <c r="BF2" s="354" t="s">
        <v>31</v>
      </c>
      <c r="BG2" s="354" t="s">
        <v>16</v>
      </c>
      <c r="BH2" s="354" t="s">
        <v>32</v>
      </c>
      <c r="BI2" s="354" t="s">
        <v>33</v>
      </c>
      <c r="BJ2" s="354" t="s">
        <v>34</v>
      </c>
      <c r="BK2" s="354" t="s">
        <v>17</v>
      </c>
      <c r="BL2" s="354" t="s">
        <v>35</v>
      </c>
      <c r="BM2" s="354" t="s">
        <v>36</v>
      </c>
      <c r="BN2" s="354" t="s">
        <v>37</v>
      </c>
      <c r="BO2" s="354" t="s">
        <v>38</v>
      </c>
      <c r="BP2" s="354" t="s">
        <v>39</v>
      </c>
      <c r="BQ2" s="349"/>
      <c r="BR2" s="368" t="s">
        <v>30</v>
      </c>
      <c r="BS2" s="372" t="s">
        <v>31</v>
      </c>
      <c r="BT2" s="363" t="s">
        <v>16</v>
      </c>
      <c r="BU2" s="363" t="s">
        <v>32</v>
      </c>
      <c r="BV2" s="363" t="s">
        <v>33</v>
      </c>
      <c r="BW2" s="363" t="s">
        <v>34</v>
      </c>
      <c r="BX2" s="363" t="s">
        <v>17</v>
      </c>
      <c r="BY2" s="363" t="s">
        <v>35</v>
      </c>
      <c r="BZ2" s="363" t="s">
        <v>36</v>
      </c>
      <c r="CA2" s="363" t="s">
        <v>37</v>
      </c>
      <c r="CB2" s="363" t="s">
        <v>38</v>
      </c>
      <c r="CC2" s="368" t="s">
        <v>39</v>
      </c>
      <c r="CF2" s="380"/>
      <c r="CG2" s="380"/>
      <c r="CH2" s="380"/>
      <c r="CI2" s="378"/>
      <c r="CJ2" s="377" t="s">
        <v>1281</v>
      </c>
      <c r="CK2" s="377" t="s">
        <v>1279</v>
      </c>
      <c r="CL2" s="377" t="s">
        <v>1333</v>
      </c>
      <c r="CM2" s="377" t="s">
        <v>1269</v>
      </c>
      <c r="CN2" s="377" t="s">
        <v>1268</v>
      </c>
      <c r="CO2" s="377" t="s">
        <v>1259</v>
      </c>
      <c r="CP2" s="377" t="s">
        <v>1276</v>
      </c>
      <c r="CQ2" s="377" t="s">
        <v>1257</v>
      </c>
      <c r="CR2" s="377" t="s">
        <v>1256</v>
      </c>
      <c r="CS2" s="377" t="s">
        <v>1254</v>
      </c>
      <c r="CT2" s="377" t="s">
        <v>1253</v>
      </c>
      <c r="CU2" s="377" t="s">
        <v>1249</v>
      </c>
      <c r="CV2" s="377" t="s">
        <v>1247</v>
      </c>
      <c r="CW2" s="377" t="s">
        <v>1246</v>
      </c>
      <c r="CX2" s="377" t="s">
        <v>1245</v>
      </c>
      <c r="CY2" s="377" t="s">
        <v>1244</v>
      </c>
      <c r="CZ2" s="377" t="s">
        <v>1340</v>
      </c>
      <c r="DA2" s="377" t="s">
        <v>1241</v>
      </c>
      <c r="DB2" s="377" t="s">
        <v>1237</v>
      </c>
      <c r="DC2" s="377" t="s">
        <v>1342</v>
      </c>
      <c r="DD2" s="377" t="s">
        <v>1344</v>
      </c>
      <c r="DE2" s="377" t="s">
        <v>1228</v>
      </c>
      <c r="DF2" s="377" t="s">
        <v>1227</v>
      </c>
      <c r="DG2" s="377" t="s">
        <v>1226</v>
      </c>
      <c r="DH2" s="377" t="s">
        <v>1224</v>
      </c>
      <c r="DI2" s="377" t="s">
        <v>955</v>
      </c>
      <c r="DJ2" s="377" t="s">
        <v>947</v>
      </c>
      <c r="DK2" s="377" t="s">
        <v>935</v>
      </c>
      <c r="DL2" s="377" t="s">
        <v>1726</v>
      </c>
      <c r="DM2" s="378"/>
      <c r="DN2" s="377" t="s">
        <v>1110</v>
      </c>
      <c r="DO2" s="377" t="s">
        <v>1837</v>
      </c>
      <c r="DP2" s="377" t="s">
        <v>1084</v>
      </c>
      <c r="DQ2" s="377" t="s">
        <v>1081</v>
      </c>
      <c r="DR2" s="377" t="s">
        <v>1114</v>
      </c>
      <c r="DS2" s="377" t="s">
        <v>1348</v>
      </c>
      <c r="DT2" s="377" t="s">
        <v>1223</v>
      </c>
      <c r="DU2" s="377" t="s">
        <v>1258</v>
      </c>
      <c r="DV2" s="377" t="s">
        <v>1255</v>
      </c>
      <c r="DW2" s="377" t="s">
        <v>1280</v>
      </c>
      <c r="DX2" s="377" t="s">
        <v>1727</v>
      </c>
      <c r="DY2" s="377" t="s">
        <v>1733</v>
      </c>
      <c r="DZ2" s="377" t="s">
        <v>1286</v>
      </c>
      <c r="EA2" s="273"/>
      <c r="EB2" s="334"/>
      <c r="EC2" s="385" t="s">
        <v>1728</v>
      </c>
      <c r="ED2" s="336" t="s">
        <v>1732</v>
      </c>
      <c r="EE2" s="336" t="s">
        <v>1729</v>
      </c>
      <c r="EF2" s="336" t="s">
        <v>1731</v>
      </c>
      <c r="EG2" s="336" t="s">
        <v>1738</v>
      </c>
      <c r="EH2" s="381" t="s">
        <v>1832</v>
      </c>
      <c r="EI2" s="381" t="s">
        <v>1356</v>
      </c>
      <c r="EJ2" s="333" t="s">
        <v>1475</v>
      </c>
      <c r="EK2" s="334"/>
      <c r="EL2" s="334"/>
      <c r="EM2" s="334"/>
      <c r="EN2" s="334"/>
      <c r="EO2" s="334"/>
      <c r="EP2" s="377" t="s">
        <v>1267</v>
      </c>
      <c r="EQ2" s="377" t="s">
        <v>1334</v>
      </c>
      <c r="ER2" s="377" t="s">
        <v>1827</v>
      </c>
      <c r="ES2" s="334"/>
      <c r="ET2" s="331"/>
      <c r="EU2" s="331" t="s">
        <v>1349</v>
      </c>
      <c r="EV2" s="331"/>
      <c r="EW2" s="332"/>
      <c r="EX2" s="332"/>
      <c r="EY2" s="379"/>
      <c r="EZ2" s="380"/>
      <c r="FA2" s="335"/>
      <c r="FB2" s="384"/>
    </row>
    <row r="3" spans="1:158" ht="24.95" customHeight="1" x14ac:dyDescent="0.25">
      <c r="A3" s="356"/>
      <c r="B3" s="356"/>
      <c r="C3" s="356"/>
      <c r="D3" s="357"/>
      <c r="E3" s="357"/>
      <c r="F3" s="357"/>
      <c r="G3" s="357"/>
      <c r="H3" s="361"/>
      <c r="I3" s="361"/>
      <c r="J3" s="358"/>
      <c r="K3" s="358"/>
      <c r="L3" s="358"/>
      <c r="M3" s="358"/>
      <c r="N3" s="355"/>
      <c r="O3" s="355"/>
      <c r="P3" s="355"/>
      <c r="Q3" s="355"/>
      <c r="R3" s="355"/>
      <c r="S3" s="355"/>
      <c r="T3" s="355"/>
      <c r="U3" s="355"/>
      <c r="V3" s="355"/>
      <c r="W3" s="106" t="s">
        <v>40</v>
      </c>
      <c r="X3" s="106" t="s">
        <v>41</v>
      </c>
      <c r="Y3" s="106" t="s">
        <v>42</v>
      </c>
      <c r="Z3" s="355"/>
      <c r="AA3" s="355"/>
      <c r="AB3" s="106" t="s">
        <v>43</v>
      </c>
      <c r="AC3" s="106" t="s">
        <v>44</v>
      </c>
      <c r="AD3" s="355"/>
      <c r="AE3" s="367"/>
      <c r="AF3" s="367"/>
      <c r="AG3" s="340"/>
      <c r="AH3" s="343"/>
      <c r="AI3" s="343"/>
      <c r="AJ3" s="343"/>
      <c r="AK3" s="343"/>
      <c r="AL3" s="343"/>
      <c r="AM3" s="343"/>
      <c r="AN3" s="343"/>
      <c r="AO3" s="343"/>
      <c r="AQ3" s="344"/>
      <c r="AR3" s="353"/>
      <c r="AS3" s="365"/>
      <c r="AT3" s="351"/>
      <c r="AU3" s="351"/>
      <c r="AV3" s="351"/>
      <c r="AW3" s="351"/>
      <c r="AX3" s="351"/>
      <c r="AY3" s="351"/>
      <c r="AZ3" s="351"/>
      <c r="BA3" s="351"/>
      <c r="BB3" s="351"/>
      <c r="BC3" s="353"/>
      <c r="BD3" s="347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49"/>
      <c r="BR3" s="369"/>
      <c r="BS3" s="372"/>
      <c r="BT3" s="364"/>
      <c r="BU3" s="364"/>
      <c r="BV3" s="364"/>
      <c r="BW3" s="364"/>
      <c r="BX3" s="364"/>
      <c r="BY3" s="364"/>
      <c r="BZ3" s="364"/>
      <c r="CA3" s="364"/>
      <c r="CB3" s="364"/>
      <c r="CC3" s="369"/>
      <c r="CF3" s="380"/>
      <c r="CG3" s="380"/>
      <c r="CH3" s="380"/>
      <c r="CI3" s="378"/>
      <c r="CJ3" s="377"/>
      <c r="CK3" s="377"/>
      <c r="CL3" s="377"/>
      <c r="CM3" s="377"/>
      <c r="CN3" s="377"/>
      <c r="CO3" s="377"/>
      <c r="CP3" s="377"/>
      <c r="CQ3" s="377"/>
      <c r="CR3" s="377"/>
      <c r="CS3" s="377"/>
      <c r="CT3" s="377"/>
      <c r="CU3" s="377"/>
      <c r="CV3" s="377"/>
      <c r="CW3" s="377"/>
      <c r="CX3" s="377"/>
      <c r="CY3" s="377"/>
      <c r="CZ3" s="377"/>
      <c r="DA3" s="377"/>
      <c r="DB3" s="377"/>
      <c r="DC3" s="377"/>
      <c r="DD3" s="377"/>
      <c r="DE3" s="377"/>
      <c r="DF3" s="377"/>
      <c r="DG3" s="377"/>
      <c r="DH3" s="377"/>
      <c r="DI3" s="377"/>
      <c r="DJ3" s="377"/>
      <c r="DK3" s="377"/>
      <c r="DL3" s="377"/>
      <c r="DM3" s="378"/>
      <c r="DN3" s="377"/>
      <c r="DO3" s="377"/>
      <c r="DP3" s="377"/>
      <c r="DQ3" s="377"/>
      <c r="DR3" s="377"/>
      <c r="DS3" s="377"/>
      <c r="DT3" s="377"/>
      <c r="DU3" s="377"/>
      <c r="DV3" s="377"/>
      <c r="DW3" s="377"/>
      <c r="DX3" s="377"/>
      <c r="DY3" s="377"/>
      <c r="DZ3" s="377"/>
      <c r="EA3" s="273"/>
      <c r="EB3" s="334"/>
      <c r="EC3" s="385"/>
      <c r="ED3" s="336"/>
      <c r="EE3" s="336"/>
      <c r="EF3" s="336"/>
      <c r="EG3" s="336"/>
      <c r="EH3" s="382"/>
      <c r="EI3" s="382"/>
      <c r="EJ3" s="333"/>
      <c r="EK3" s="334"/>
      <c r="EL3" s="334"/>
      <c r="EM3" s="334"/>
      <c r="EN3" s="334"/>
      <c r="EO3" s="334"/>
      <c r="EP3" s="377"/>
      <c r="EQ3" s="377"/>
      <c r="ER3" s="377"/>
      <c r="ES3" s="334"/>
      <c r="ET3" s="331"/>
      <c r="EU3" s="331"/>
      <c r="EV3" s="331"/>
      <c r="EW3" s="332"/>
      <c r="EX3" s="332"/>
      <c r="EY3" s="379"/>
      <c r="EZ3" s="380"/>
      <c r="FA3" s="335"/>
      <c r="FB3" s="384"/>
    </row>
    <row r="4" spans="1:158" ht="20.100000000000001" customHeight="1" x14ac:dyDescent="0.25">
      <c r="A4" s="356"/>
      <c r="B4" s="356"/>
      <c r="C4" s="356"/>
      <c r="D4" s="357"/>
      <c r="E4" s="357"/>
      <c r="F4" s="357"/>
      <c r="G4" s="357"/>
      <c r="H4" s="362"/>
      <c r="I4" s="362"/>
      <c r="J4" s="358"/>
      <c r="K4" s="358"/>
      <c r="L4" s="358"/>
      <c r="M4" s="358"/>
      <c r="N4" s="355"/>
      <c r="O4" s="355"/>
      <c r="P4" s="355"/>
      <c r="Q4" s="355"/>
      <c r="R4" s="355"/>
      <c r="S4" s="355"/>
      <c r="T4" s="355"/>
      <c r="U4" s="355"/>
      <c r="V4" s="2" t="s">
        <v>45</v>
      </c>
      <c r="W4" s="2" t="s">
        <v>45</v>
      </c>
      <c r="X4" s="2" t="s">
        <v>46</v>
      </c>
      <c r="Y4" s="2" t="s">
        <v>47</v>
      </c>
      <c r="Z4" s="2" t="s">
        <v>45</v>
      </c>
      <c r="AA4" s="2" t="s">
        <v>46</v>
      </c>
      <c r="AB4" s="2" t="s">
        <v>45</v>
      </c>
      <c r="AC4" s="2" t="s">
        <v>45</v>
      </c>
      <c r="AD4" s="2" t="s">
        <v>48</v>
      </c>
      <c r="AE4" s="2" t="s">
        <v>49</v>
      </c>
      <c r="AF4" s="2" t="s">
        <v>49</v>
      </c>
      <c r="AG4" s="340"/>
      <c r="AH4" s="343"/>
      <c r="AI4" s="343"/>
      <c r="AJ4" s="343"/>
      <c r="AK4" s="343"/>
      <c r="AL4" s="343"/>
      <c r="AM4" s="343"/>
      <c r="AN4" s="343"/>
      <c r="AO4" s="343"/>
      <c r="AQ4" s="344"/>
      <c r="AR4" s="353"/>
      <c r="AS4" s="365"/>
      <c r="AT4" s="351"/>
      <c r="AU4" s="351"/>
      <c r="AV4" s="351"/>
      <c r="AW4" s="351"/>
      <c r="AX4" s="351"/>
      <c r="AY4" s="351"/>
      <c r="AZ4" s="351"/>
      <c r="BA4" s="351"/>
      <c r="BB4" s="351"/>
      <c r="BC4" s="353"/>
      <c r="BD4" s="107">
        <v>0.13300000000000001</v>
      </c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49"/>
      <c r="BR4" s="369"/>
      <c r="BS4" s="372"/>
      <c r="BT4" s="364"/>
      <c r="BU4" s="364"/>
      <c r="BV4" s="364"/>
      <c r="BW4" s="364"/>
      <c r="BX4" s="364"/>
      <c r="BY4" s="364"/>
      <c r="BZ4" s="364"/>
      <c r="CA4" s="364"/>
      <c r="CB4" s="364"/>
      <c r="CC4" s="369"/>
      <c r="CF4" s="380"/>
      <c r="CG4" s="380"/>
      <c r="CH4" s="380"/>
      <c r="CI4" s="378"/>
      <c r="CJ4" s="377"/>
      <c r="CK4" s="377"/>
      <c r="CL4" s="377"/>
      <c r="CM4" s="377"/>
      <c r="CN4" s="377"/>
      <c r="CO4" s="377"/>
      <c r="CP4" s="377"/>
      <c r="CQ4" s="377"/>
      <c r="CR4" s="377"/>
      <c r="CS4" s="377"/>
      <c r="CT4" s="377"/>
      <c r="CU4" s="377"/>
      <c r="CV4" s="377"/>
      <c r="CW4" s="377"/>
      <c r="CX4" s="377"/>
      <c r="CY4" s="377"/>
      <c r="CZ4" s="377"/>
      <c r="DA4" s="377"/>
      <c r="DB4" s="377"/>
      <c r="DC4" s="377"/>
      <c r="DD4" s="377"/>
      <c r="DE4" s="377"/>
      <c r="DF4" s="377"/>
      <c r="DG4" s="377"/>
      <c r="DH4" s="377"/>
      <c r="DI4" s="377"/>
      <c r="DJ4" s="377"/>
      <c r="DK4" s="377"/>
      <c r="DL4" s="377"/>
      <c r="DM4" s="378"/>
      <c r="DN4" s="377"/>
      <c r="DO4" s="377"/>
      <c r="DP4" s="377"/>
      <c r="DQ4" s="377"/>
      <c r="DR4" s="377"/>
      <c r="DS4" s="377"/>
      <c r="DT4" s="377"/>
      <c r="DU4" s="377"/>
      <c r="DV4" s="377"/>
      <c r="DW4" s="377"/>
      <c r="DX4" s="377"/>
      <c r="DY4" s="377"/>
      <c r="DZ4" s="377"/>
      <c r="EA4" s="273"/>
      <c r="EB4" s="334"/>
      <c r="EC4" s="385"/>
      <c r="ED4" s="336"/>
      <c r="EE4" s="336"/>
      <c r="EF4" s="336"/>
      <c r="EG4" s="336"/>
      <c r="EH4" s="383"/>
      <c r="EI4" s="383"/>
      <c r="EJ4" s="333"/>
      <c r="EK4" s="334"/>
      <c r="EL4" s="334"/>
      <c r="EM4" s="334"/>
      <c r="EN4" s="334"/>
      <c r="EO4" s="334"/>
      <c r="EP4" s="377"/>
      <c r="EQ4" s="377"/>
      <c r="ER4" s="377"/>
      <c r="ES4" s="334"/>
      <c r="ET4" s="331"/>
      <c r="EU4" s="331"/>
      <c r="EV4" s="331"/>
      <c r="EW4" s="332"/>
      <c r="EX4" s="332"/>
      <c r="EY4" s="379"/>
      <c r="EZ4" s="380"/>
      <c r="FA4" s="335"/>
      <c r="FB4" s="384"/>
    </row>
    <row r="5" spans="1:158" ht="12" customHeight="1" x14ac:dyDescent="0.25">
      <c r="A5" s="3">
        <v>1</v>
      </c>
      <c r="B5" s="4" t="s">
        <v>878</v>
      </c>
      <c r="C5" s="56"/>
      <c r="D5" s="5">
        <f>SUMIF(отчёт!$B:$B,$B:$B,отчёт!C:C)</f>
        <v>599.6</v>
      </c>
      <c r="E5" s="5">
        <f>SUMIF(отчёт!$B:$B,$B:$B,отчёт!D:D)</f>
        <v>599.6</v>
      </c>
      <c r="F5" s="5">
        <f>SUMIF(отчёт!$B:$B,$B:$B,отчёт!E:E)</f>
        <v>0</v>
      </c>
      <c r="G5" s="5">
        <f>SUMIF(отчёт!$B:$B,$B:$B,отчёт!F:F)</f>
        <v>47.8</v>
      </c>
      <c r="H5" s="5">
        <f>SUMIF(отчёт!$B:$B,$B:$B,отчёт!I:I)</f>
        <v>0</v>
      </c>
      <c r="I5" s="5">
        <f>SUMIF(отчёт!$B:$B,$B:$B,отчёт!J:J)</f>
        <v>0</v>
      </c>
      <c r="J5" s="3"/>
      <c r="K5" s="105"/>
      <c r="L5" s="105"/>
      <c r="M5" s="7"/>
      <c r="N5" s="8"/>
      <c r="O5" s="8"/>
      <c r="P5" s="8"/>
      <c r="Q5" s="8"/>
      <c r="R5" s="8"/>
      <c r="S5" s="8"/>
      <c r="T5" s="8"/>
      <c r="U5" s="8"/>
      <c r="V5" s="9"/>
      <c r="W5" s="9"/>
      <c r="X5" s="9"/>
      <c r="Y5" s="8"/>
      <c r="Z5" s="9"/>
      <c r="AA5" s="9"/>
      <c r="AB5" s="8"/>
      <c r="AC5" s="10"/>
      <c r="AD5" s="8"/>
      <c r="AE5" s="8"/>
      <c r="AF5" s="8"/>
      <c r="AG5" s="7"/>
      <c r="AH5" s="8"/>
      <c r="AI5" s="8"/>
      <c r="AJ5" s="8"/>
      <c r="AK5" s="8"/>
      <c r="AL5" s="8"/>
      <c r="AM5" s="8"/>
      <c r="AN5" s="8"/>
      <c r="AO5" s="8"/>
      <c r="AQ5" s="104"/>
      <c r="AR5" s="95"/>
      <c r="AS5" s="104"/>
      <c r="AT5" s="96"/>
      <c r="AU5" s="96"/>
      <c r="AV5" s="96"/>
      <c r="AW5" s="96"/>
      <c r="AX5" s="96"/>
      <c r="AY5" s="96"/>
      <c r="AZ5" s="96"/>
      <c r="BA5" s="96"/>
      <c r="BB5" s="96"/>
      <c r="BC5" s="275">
        <v>0.93</v>
      </c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1"/>
      <c r="BQ5" s="103"/>
      <c r="BR5" s="97"/>
      <c r="BS5" s="103"/>
      <c r="BT5" s="98"/>
      <c r="BU5" s="98"/>
      <c r="BV5" s="98"/>
      <c r="BW5" s="98"/>
      <c r="BX5" s="98"/>
      <c r="BY5" s="98"/>
      <c r="BZ5" s="98"/>
      <c r="CA5" s="98"/>
      <c r="CB5" s="98"/>
      <c r="CC5" s="97"/>
      <c r="CF5" s="277">
        <f>SUMIF(Оборот!$A:$A,$B:$B,Оборот!H:H)</f>
        <v>228252.50000000003</v>
      </c>
      <c r="CG5" s="277">
        <f>SUMIF(Оборот!$A:$A,$B:$B,Оборот!I:I)</f>
        <v>30580.560000000005</v>
      </c>
      <c r="CH5" s="277">
        <f t="shared" ref="CH5:CH68" si="0">CI5+DM5+EB5+EK5+EL5+EM5+EN5+EO5+ES5+EW5+EX5</f>
        <v>256667.43208341493</v>
      </c>
      <c r="CI5" s="239">
        <f>SUM(CJ5:DL5)</f>
        <v>5273.6827811571648</v>
      </c>
      <c r="CJ5" s="276">
        <f>SUMIF('20Ф'!$H:$H,$B:$B,'20Ф'!M:M)*1.2</f>
        <v>0</v>
      </c>
      <c r="CK5" s="276">
        <f>SUMIF('20Ф'!$H:$H,$B:$B,'20Ф'!O:O)*1.2</f>
        <v>0</v>
      </c>
      <c r="CL5" s="276">
        <f>SUMIF('20Ф'!$H:$H,$B:$B,'20Ф'!Q:Q)*1.2</f>
        <v>0</v>
      </c>
      <c r="CM5" s="276">
        <f>SUMIF('20Ф'!$H:$H,$B:$B,'20Ф'!R:R)*1.2</f>
        <v>0</v>
      </c>
      <c r="CN5" s="276">
        <f>SUMIF('20Ф'!$H:$H,$B:$B,'20Ф'!S:S)*1.2</f>
        <v>0</v>
      </c>
      <c r="CO5" s="276">
        <f>SUMIF('20Ф'!$H:$H,$B:$B,'20Ф'!W:W)*1.2</f>
        <v>0</v>
      </c>
      <c r="CP5" s="276">
        <f>SUMIF('20Ф'!$H:$H,$B:$B,'20Ф'!P:P)*1.2</f>
        <v>0</v>
      </c>
      <c r="CQ5" s="276">
        <f>SUMIF('20Ф'!$H:$H,$B:$B,'20Ф'!Y:Y)*1.2</f>
        <v>0</v>
      </c>
      <c r="CR5" s="276">
        <f>SUMIF('20Ф'!$H:$H,$B:$B,'20Ф'!Z:Z)*1.2</f>
        <v>0</v>
      </c>
      <c r="CS5" s="276">
        <f>SUMIF('20Ф'!$H:$H,$B:$B,'20Ф'!AB:AB)*1.2</f>
        <v>0</v>
      </c>
      <c r="CT5" s="276">
        <f>SUMIF('20Ф'!$H:$H,$B:$B,'20Ф'!AC:AC)*1.2</f>
        <v>0</v>
      </c>
      <c r="CU5" s="276">
        <f>SUMIF('20Ф'!$H:$H,$B:$B,'20Ф'!AD:AD)*1.2</f>
        <v>0</v>
      </c>
      <c r="CV5" s="276">
        <f>SUMIF('20Ф'!$H:$H,$B:$B,'20Ф'!AE:AE)*1.2</f>
        <v>0</v>
      </c>
      <c r="CW5" s="276">
        <f>SUMIF('20Ф'!$H:$H,$B:$B,'20Ф'!AF:AF)*1.2</f>
        <v>0</v>
      </c>
      <c r="CX5" s="276">
        <f>SUMIF('20Ф'!$H:$H,$B:$B,'20Ф'!AG:AG)*1.2</f>
        <v>0</v>
      </c>
      <c r="CY5" s="276">
        <f>SUMIF('20Ф'!$H:$H,$B:$B,'20Ф'!AH:AH)*1.2</f>
        <v>0</v>
      </c>
      <c r="CZ5" s="276">
        <f>SUMIF('20Ф'!$H:$H,$B:$B,'20Ф'!AI:AI)*1.2</f>
        <v>0</v>
      </c>
      <c r="DA5" s="276">
        <f>SUMIF('20Ф'!$H:$H,$B:$B,'20Ф'!AJ:AJ)*1.2</f>
        <v>0</v>
      </c>
      <c r="DB5" s="276">
        <f>SUMIF('20Ф'!$H:$H,$B:$B,'20Ф'!AK:AK)*1.2</f>
        <v>0</v>
      </c>
      <c r="DC5" s="276">
        <f>SUMIF('20Ф'!$H:$H,$B:$B,'20Ф'!AL:AL)*1.2</f>
        <v>0</v>
      </c>
      <c r="DD5" s="276">
        <f>SUMIF('20Ф'!$H:$H,$B:$B,'20Ф'!AM:AM)*1.2</f>
        <v>0</v>
      </c>
      <c r="DE5" s="276">
        <f>SUMIF('20Ф'!$H:$H,$B:$B,'20Ф'!AN:AN)*1.2</f>
        <v>0</v>
      </c>
      <c r="DF5" s="276">
        <f>SUMIF('20Ф'!$H:$H,$B:$B,'20Ф'!AO:AO)*1.2</f>
        <v>0</v>
      </c>
      <c r="DG5" s="276">
        <f>SUMIF('20Ф'!$H:$H,$B:$B,'20Ф'!AP:AP)*1.2</f>
        <v>0</v>
      </c>
      <c r="DH5" s="276">
        <f>SUMIF('20Ф'!$H:$H,$B:$B,'20Ф'!AQ:AQ)*1.2</f>
        <v>0</v>
      </c>
      <c r="DI5" s="276">
        <f>SUMIF('20Ф'!$H:$H,$B:$B,'20Ф'!BA:BA)*1.2</f>
        <v>0</v>
      </c>
      <c r="DJ5" s="276">
        <f>SUMIF('20Ф'!$H:$H,$B:$B,'20Ф'!BB:BB)*1.2</f>
        <v>0</v>
      </c>
      <c r="DK5" s="276">
        <f>SUMIF('20Ф'!$H:$H,$B:$B,'20Ф'!BC:BC)*1.2</f>
        <v>0</v>
      </c>
      <c r="DL5" s="276">
        <f>$D5/$D$281*'20Ф'!$H$218</f>
        <v>5273.6827811571648</v>
      </c>
      <c r="DM5" s="240">
        <f t="shared" ref="DM5:DM68" si="1">SUM(DN5:DZ5)</f>
        <v>106071.97746155446</v>
      </c>
      <c r="DN5" s="276">
        <f>SUMIF('20Ф'!$H:$H,$B:$B,'20Ф'!AV:AV)*1.2</f>
        <v>0</v>
      </c>
      <c r="DO5" s="276">
        <f>SUMIF('20Ф'!$H:$H,$B:$B,'20Ф'!AW:AW)*1.2+$D5/$D$281*'26Ф'!$D$42</f>
        <v>2806.3809885438</v>
      </c>
      <c r="DP5" s="276">
        <f>SUMIF('20Ф'!$H:$H,$B:$B,'20Ф'!AX:AX)*1.2</f>
        <v>0</v>
      </c>
      <c r="DQ5" s="276">
        <f>SUMIF('20Ф'!$H:$H,$B:$B,'20Ф'!AY:AY)*1.2</f>
        <v>12907.008</v>
      </c>
      <c r="DR5" s="276">
        <f>SUMIF('20Ф'!$H:$H,$B:$B,'20Ф'!AU:AU)*1.2</f>
        <v>0</v>
      </c>
      <c r="DS5" s="276">
        <f>SUMIF('20Ф'!$H:$H,$B:$B,'20Ф'!AS:AS)*1.2</f>
        <v>31591.559999999998</v>
      </c>
      <c r="DT5" s="276">
        <f>SUMIF('20Ф'!$H:$H,$B:$B,'20Ф'!AR:AR)*1.2</f>
        <v>0</v>
      </c>
      <c r="DU5" s="276">
        <f>SUMIF('20Ф'!$H:$H,$B:$B,'20Ф'!X:X)*1.2</f>
        <v>9262.92</v>
      </c>
      <c r="DV5" s="276">
        <f>SUMIF('20Ф'!$H:$H,$B:$B,'20Ф'!AA:AA)*1.2</f>
        <v>0</v>
      </c>
      <c r="DW5" s="276">
        <f>SUMIF('20Ф'!$H:$H,$B:$B,'20Ф'!N:N)*1.2</f>
        <v>0</v>
      </c>
      <c r="DX5" s="276">
        <f>$D5/$D$281*('25Ф'!$D$37)</f>
        <v>47171.753569041677</v>
      </c>
      <c r="DY5" s="276">
        <f>$D5/$D$281*'25Ф'!$D$30</f>
        <v>1505.5742933439842</v>
      </c>
      <c r="DZ5" s="276">
        <f>$D5/$D$281*'25Ф'!$D$31</f>
        <v>826.78061062499432</v>
      </c>
      <c r="EA5" s="276"/>
      <c r="EB5" s="276">
        <f t="shared" ref="EB5:EB68" si="2">SUM(EC5:EJ5)</f>
        <v>29718.945111939225</v>
      </c>
      <c r="EC5" s="276">
        <f>$D5/$D$281*'26Ф'!$D$36</f>
        <v>15469.668022299124</v>
      </c>
      <c r="ED5" s="276">
        <f>$D5/$D$281*'26Ф'!$D$37</f>
        <v>1858.664090951703</v>
      </c>
      <c r="EE5" s="276">
        <f>$D5/$D$281*'26Ф'!$D$38</f>
        <v>1877.7265201553391</v>
      </c>
      <c r="EF5" s="276">
        <f>$D5/$D$281*'26Ф'!$D$39</f>
        <v>1317.2234401323067</v>
      </c>
      <c r="EG5" s="276">
        <f>$D5/$D$281*'91Ф'!$D$10</f>
        <v>406.36288345493216</v>
      </c>
      <c r="EH5" s="276">
        <f>$D5/$D$281*('20Ф'!$I$509+'26Ф'!$D$41+'20Ф'!$I$507)</f>
        <v>2874.8835914799888</v>
      </c>
      <c r="EI5" s="276">
        <f>$D5/$D$281*'91Ф'!$D$31</f>
        <v>5270.0838852244642</v>
      </c>
      <c r="EJ5" s="276">
        <f>$D5/$D$281*'20Ф'!$I$1316</f>
        <v>644.33267824136908</v>
      </c>
      <c r="EK5" s="276">
        <f>$D5/$D$281*('20Ф'!$I$1105+'20Ф'!$I$1282+'91Ф'!$D$17+'91Ф'!$D$41)</f>
        <v>21160.603004578796</v>
      </c>
      <c r="EL5" s="276">
        <f>$D5/$D$281*отчёт!BX$294</f>
        <v>35374.074743420577</v>
      </c>
      <c r="EM5" s="276">
        <f>$D5/$D$281*отчёт!BY$294</f>
        <v>31109.599925845905</v>
      </c>
      <c r="EN5" s="276">
        <f>SUMIF(отчёт!$B:$B,$B:$B,отчёт!BZ:BZ)/отчёт!BZ$281*('60Ф'!$O$151+'60Ф'!$P$151)*отчёт!BZ$293</f>
        <v>0</v>
      </c>
      <c r="EO5" s="240">
        <f t="shared" ref="EO5:EO54" si="3">SUM(EP5:EQ5)</f>
        <v>0</v>
      </c>
      <c r="EP5" s="276">
        <f>SUMIF('20Ф'!$H:$H,$B:$B,'20Ф'!T:T)*1.2</f>
        <v>0</v>
      </c>
      <c r="EQ5" s="276">
        <f>SUMIF('20Ф'!$H:$H,$B:$B,'20Ф'!U:U)*1.2</f>
        <v>0</v>
      </c>
      <c r="ER5" s="236"/>
      <c r="ES5" s="239">
        <f>SUM(ET5:EV5)</f>
        <v>11839.716289413003</v>
      </c>
      <c r="ET5" s="276">
        <f>$D5/$D$282*'20Ф'!$I$381</f>
        <v>904.92085990232704</v>
      </c>
      <c r="EU5" s="276">
        <f>$D5/$D$282*('20Ф'!$I$75+'20Ф'!$I$1098)*1.2</f>
        <v>10452.23765104306</v>
      </c>
      <c r="EV5" s="276">
        <f>$D5/$D$282*('20Ф'!$I$1286)</f>
        <v>482.55777846761498</v>
      </c>
      <c r="EW5" s="276">
        <f>SUMIF('91.1Ф'!$N:$N,$B:$B,'91.1Ф'!$F:$F)+$D5/$D$281*('91Ф'!$D$12+'91Ф'!$D$11+'91Ф'!$D$19+'91Ф'!$D$20)</f>
        <v>2788.8640470810237</v>
      </c>
      <c r="EX5" s="276">
        <f t="shared" ref="EX5:EX68" si="4">SUM(EY5:EZ5)</f>
        <v>13329.968718424763</v>
      </c>
      <c r="EY5" s="276">
        <f>SUMIF('20Ф'!$H:$H,$B:$B,'20Ф'!$AY:$AY)*1.2</f>
        <v>12907.008</v>
      </c>
      <c r="EZ5" s="295">
        <f>D5/$D$286*'20Ф'!$I$1163</f>
        <v>422.96071842476294</v>
      </c>
      <c r="FA5" s="277">
        <f>SUMIF(отчёт!$B:$B,$B:$B,отчёт!$CU:$CU)/отчёт!$CU$281*'20Ф'!$I$1341</f>
        <v>0</v>
      </c>
      <c r="FB5" s="276">
        <f>SUMIF(Сальдо!$A:$A,$B:$B,Сальдо!$H:$H)-SUMIF(Сальдо!$A:$A,$B:$B,Сальдо!$I:$I)</f>
        <v>368570.55000000005</v>
      </c>
    </row>
    <row r="6" spans="1:158" ht="12" customHeight="1" x14ac:dyDescent="0.25">
      <c r="A6" s="3">
        <f>A5+1</f>
        <v>2</v>
      </c>
      <c r="B6" s="4" t="s">
        <v>879</v>
      </c>
      <c r="C6" s="56"/>
      <c r="D6" s="5">
        <f>SUMIF(отчёт!$B:$B,$B:$B,отчёт!C:C)</f>
        <v>464.76</v>
      </c>
      <c r="E6" s="5">
        <f>SUMIF(отчёт!$B:$B,$B:$B,отчёт!D:D)</f>
        <v>464.76</v>
      </c>
      <c r="F6" s="5">
        <f>SUMIF(отчёт!$B:$B,$B:$B,отчёт!E:E)</f>
        <v>0</v>
      </c>
      <c r="G6" s="5">
        <f>SUMIF(отчёт!$B:$B,$B:$B,отчёт!F:F)</f>
        <v>59.3</v>
      </c>
      <c r="H6" s="5">
        <f>SUMIF(отчёт!$B:$B,$B:$B,отчёт!I:I)</f>
        <v>0</v>
      </c>
      <c r="I6" s="5">
        <f>SUMIF(отчёт!$B:$B,$B:$B,отчёт!J:J)</f>
        <v>0</v>
      </c>
      <c r="J6" s="3"/>
      <c r="K6" s="105"/>
      <c r="L6" s="105"/>
      <c r="M6" s="7"/>
      <c r="N6" s="8"/>
      <c r="O6" s="8"/>
      <c r="P6" s="8"/>
      <c r="Q6" s="8"/>
      <c r="R6" s="8"/>
      <c r="S6" s="8"/>
      <c r="T6" s="8"/>
      <c r="U6" s="8"/>
      <c r="V6" s="9"/>
      <c r="W6" s="9"/>
      <c r="X6" s="9"/>
      <c r="Y6" s="8"/>
      <c r="Z6" s="9"/>
      <c r="AA6" s="9"/>
      <c r="AB6" s="8"/>
      <c r="AC6" s="10"/>
      <c r="AD6" s="8"/>
      <c r="AE6" s="8"/>
      <c r="AF6" s="8"/>
      <c r="AG6" s="7"/>
      <c r="AH6" s="8"/>
      <c r="AI6" s="8"/>
      <c r="AJ6" s="8"/>
      <c r="AK6" s="8"/>
      <c r="AL6" s="8"/>
      <c r="AM6" s="8"/>
      <c r="AN6" s="8"/>
      <c r="AO6" s="8"/>
      <c r="AQ6" s="104"/>
      <c r="AR6" s="95"/>
      <c r="AS6" s="104"/>
      <c r="AT6" s="96"/>
      <c r="AU6" s="96"/>
      <c r="AV6" s="96"/>
      <c r="AW6" s="96"/>
      <c r="AX6" s="96"/>
      <c r="AY6" s="96"/>
      <c r="AZ6" s="96"/>
      <c r="BA6" s="96"/>
      <c r="BB6" s="96"/>
      <c r="BC6" s="275">
        <v>0.93</v>
      </c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1"/>
      <c r="BQ6" s="103"/>
      <c r="BR6" s="97"/>
      <c r="BS6" s="103"/>
      <c r="BT6" s="98"/>
      <c r="BU6" s="98"/>
      <c r="BV6" s="98"/>
      <c r="BW6" s="98"/>
      <c r="BX6" s="98"/>
      <c r="BY6" s="98"/>
      <c r="BZ6" s="98"/>
      <c r="CA6" s="98"/>
      <c r="CB6" s="98"/>
      <c r="CC6" s="97"/>
      <c r="CF6" s="277">
        <f>SUMIF(Оборот!$A:$A,$B:$B,Оборот!H:H)</f>
        <v>176924.88</v>
      </c>
      <c r="CG6" s="277">
        <f>SUMIF(Оборот!$A:$A,$B:$B,Оборот!I:I)</f>
        <v>29160.3</v>
      </c>
      <c r="CH6" s="277">
        <f t="shared" si="0"/>
        <v>203611.68079474301</v>
      </c>
      <c r="CI6" s="239">
        <f t="shared" ref="CI6:CI69" si="5">SUM(CJ6:DL6)</f>
        <v>4087.7198288368968</v>
      </c>
      <c r="CJ6" s="276">
        <f>SUMIF('20Ф'!$H:$H,$B:$B,'20Ф'!M:M)*1.2</f>
        <v>0</v>
      </c>
      <c r="CK6" s="276">
        <f>SUMIF('20Ф'!$H:$H,$B:$B,'20Ф'!O:O)*1.2</f>
        <v>0</v>
      </c>
      <c r="CL6" s="276">
        <f>SUMIF('20Ф'!$H:$H,$B:$B,'20Ф'!Q:Q)*1.2</f>
        <v>0</v>
      </c>
      <c r="CM6" s="276">
        <f>SUMIF('20Ф'!$H:$H,$B:$B,'20Ф'!R:R)*1.2</f>
        <v>0</v>
      </c>
      <c r="CN6" s="276">
        <f>SUMIF('20Ф'!$H:$H,$B:$B,'20Ф'!S:S)*1.2</f>
        <v>0</v>
      </c>
      <c r="CO6" s="276">
        <f>SUMIF('20Ф'!$H:$H,$B:$B,'20Ф'!W:W)*1.2</f>
        <v>0</v>
      </c>
      <c r="CP6" s="276">
        <f>SUMIF('20Ф'!$H:$H,$B:$B,'20Ф'!P:P)*1.2</f>
        <v>0</v>
      </c>
      <c r="CQ6" s="276">
        <f>SUMIF('20Ф'!$H:$H,$B:$B,'20Ф'!Y:Y)*1.2</f>
        <v>0</v>
      </c>
      <c r="CR6" s="276">
        <f>SUMIF('20Ф'!$H:$H,$B:$B,'20Ф'!Z:Z)*1.2</f>
        <v>0</v>
      </c>
      <c r="CS6" s="276">
        <f>SUMIF('20Ф'!$H:$H,$B:$B,'20Ф'!AB:AB)*1.2</f>
        <v>0</v>
      </c>
      <c r="CT6" s="276">
        <f>SUMIF('20Ф'!$H:$H,$B:$B,'20Ф'!AC:AC)*1.2</f>
        <v>0</v>
      </c>
      <c r="CU6" s="276">
        <f>SUMIF('20Ф'!$H:$H,$B:$B,'20Ф'!AD:AD)*1.2</f>
        <v>0</v>
      </c>
      <c r="CV6" s="276">
        <f>SUMIF('20Ф'!$H:$H,$B:$B,'20Ф'!AE:AE)*1.2</f>
        <v>0</v>
      </c>
      <c r="CW6" s="276">
        <f>SUMIF('20Ф'!$H:$H,$B:$B,'20Ф'!AF:AF)*1.2</f>
        <v>0</v>
      </c>
      <c r="CX6" s="276">
        <f>SUMIF('20Ф'!$H:$H,$B:$B,'20Ф'!AG:AG)*1.2</f>
        <v>0</v>
      </c>
      <c r="CY6" s="276">
        <f>SUMIF('20Ф'!$H:$H,$B:$B,'20Ф'!AH:AH)*1.2</f>
        <v>0</v>
      </c>
      <c r="CZ6" s="276">
        <f>SUMIF('20Ф'!$H:$H,$B:$B,'20Ф'!AI:AI)*1.2</f>
        <v>0</v>
      </c>
      <c r="DA6" s="276">
        <f>SUMIF('20Ф'!$H:$H,$B:$B,'20Ф'!AJ:AJ)*1.2</f>
        <v>0</v>
      </c>
      <c r="DB6" s="276">
        <f>SUMIF('20Ф'!$H:$H,$B:$B,'20Ф'!AK:AK)*1.2</f>
        <v>0</v>
      </c>
      <c r="DC6" s="276">
        <f>SUMIF('20Ф'!$H:$H,$B:$B,'20Ф'!AL:AL)*1.2</f>
        <v>0</v>
      </c>
      <c r="DD6" s="276">
        <f>SUMIF('20Ф'!$H:$H,$B:$B,'20Ф'!AM:AM)*1.2</f>
        <v>0</v>
      </c>
      <c r="DE6" s="276">
        <f>SUMIF('20Ф'!$H:$H,$B:$B,'20Ф'!AN:AN)*1.2</f>
        <v>0</v>
      </c>
      <c r="DF6" s="276">
        <f>SUMIF('20Ф'!$H:$H,$B:$B,'20Ф'!AO:AO)*1.2</f>
        <v>0</v>
      </c>
      <c r="DG6" s="276">
        <f>SUMIF('20Ф'!$H:$H,$B:$B,'20Ф'!AP:AP)*1.2</f>
        <v>0</v>
      </c>
      <c r="DH6" s="276">
        <f>SUMIF('20Ф'!$H:$H,$B:$B,'20Ф'!AQ:AQ)*1.2</f>
        <v>0</v>
      </c>
      <c r="DI6" s="276">
        <f>SUMIF('20Ф'!$H:$H,$B:$B,'20Ф'!BA:BA)*1.2</f>
        <v>0</v>
      </c>
      <c r="DJ6" s="276">
        <f>SUMIF('20Ф'!$H:$H,$B:$B,'20Ф'!BB:BB)*1.2</f>
        <v>0</v>
      </c>
      <c r="DK6" s="276">
        <f>SUMIF('20Ф'!$H:$H,$B:$B,'20Ф'!BC:BC)*1.2</f>
        <v>0</v>
      </c>
      <c r="DL6" s="276">
        <f>$D6/$D$281*'20Ф'!$H$218</f>
        <v>4087.7198288368968</v>
      </c>
      <c r="DM6" s="240">
        <f t="shared" si="1"/>
        <v>87776.060294449722</v>
      </c>
      <c r="DN6" s="276">
        <f>SUMIF('20Ф'!$H:$H,$B:$B,'20Ф'!AV:AV)*1.2</f>
        <v>0</v>
      </c>
      <c r="DO6" s="276">
        <f>SUMIF('20Ф'!$H:$H,$B:$B,'20Ф'!AW:AW)*1.2+$D6/$D$281*'26Ф'!$D$42</f>
        <v>2175.2728956564652</v>
      </c>
      <c r="DP6" s="276">
        <f>SUMIF('20Ф'!$H:$H,$B:$B,'20Ф'!AX:AX)*1.2</f>
        <v>0</v>
      </c>
      <c r="DQ6" s="276">
        <f>SUMIF('20Ф'!$H:$H,$B:$B,'20Ф'!AY:AY)*1.2</f>
        <v>9111</v>
      </c>
      <c r="DR6" s="276">
        <f>SUMIF('20Ф'!$H:$H,$B:$B,'20Ф'!AU:AU)*1.2</f>
        <v>0</v>
      </c>
      <c r="DS6" s="276">
        <f>SUMIF('20Ф'!$H:$H,$B:$B,'20Ф'!AS:AS)*1.2</f>
        <v>27887.16</v>
      </c>
      <c r="DT6" s="276">
        <f>SUMIF('20Ф'!$H:$H,$B:$B,'20Ф'!AR:AR)*1.2</f>
        <v>0</v>
      </c>
      <c r="DU6" s="276">
        <f>SUMIF('20Ф'!$H:$H,$B:$B,'20Ф'!X:X)*1.2</f>
        <v>10231.163999999999</v>
      </c>
      <c r="DV6" s="276">
        <f>SUMIF('20Ф'!$H:$H,$B:$B,'20Ф'!AA:AA)*1.2</f>
        <v>0</v>
      </c>
      <c r="DW6" s="276">
        <f>SUMIF('20Ф'!$H:$H,$B:$B,'20Ф'!N:N)*1.2</f>
        <v>0</v>
      </c>
      <c r="DX6" s="276">
        <f>$D6/$D$281*('25Ф'!$D$37)</f>
        <v>36563.616058618762</v>
      </c>
      <c r="DY6" s="276">
        <f>$D6/$D$281*'25Ф'!$D$30</f>
        <v>1166.9958448541527</v>
      </c>
      <c r="DZ6" s="276">
        <f>$D6/$D$281*'25Ф'!$D$31</f>
        <v>640.85149532033404</v>
      </c>
      <c r="EA6" s="276"/>
      <c r="EB6" s="276">
        <f t="shared" si="2"/>
        <v>23035.65198503148</v>
      </c>
      <c r="EC6" s="276">
        <f>$D6/$D$281*'26Ф'!$D$36</f>
        <v>11990.798715883489</v>
      </c>
      <c r="ED6" s="276">
        <f>$D6/$D$281*'26Ф'!$D$37</f>
        <v>1440.6816592907162</v>
      </c>
      <c r="EE6" s="276">
        <f>$D6/$D$281*'26Ф'!$D$38</f>
        <v>1455.4572673572302</v>
      </c>
      <c r="EF6" s="276">
        <f>$D6/$D$281*'26Ф'!$D$39</f>
        <v>1021.001944689611</v>
      </c>
      <c r="EG6" s="276">
        <f>$D6/$D$281*'91Ф'!$D$10</f>
        <v>314.97867530772891</v>
      </c>
      <c r="EH6" s="276">
        <f>$D6/$D$281*('20Ф'!$I$509+'26Ф'!$D$41+'20Ф'!$I$507)</f>
        <v>2228.3704102338884</v>
      </c>
      <c r="EI6" s="276">
        <f>$D6/$D$281*'91Ф'!$D$31</f>
        <v>4084.9302643377614</v>
      </c>
      <c r="EJ6" s="276">
        <f>$D6/$D$281*'20Ф'!$I$1316</f>
        <v>499.43304793105182</v>
      </c>
      <c r="EK6" s="276">
        <f>$D6/$D$281*('20Ф'!$I$1105+'20Ф'!$I$1282+'91Ф'!$D$17+'91Ф'!$D$41)</f>
        <v>16401.93771248839</v>
      </c>
      <c r="EL6" s="276">
        <f>$D6/$D$281*отчёт!BX$294</f>
        <v>27419.037654690037</v>
      </c>
      <c r="EM6" s="276">
        <f>$D6/$D$281*отчёт!BY$294</f>
        <v>24113.571817104974</v>
      </c>
      <c r="EN6" s="276">
        <f>SUMIF(отчёт!$B:$B,$B:$B,отчёт!BZ:BZ)/отчёт!BZ$281*('60Ф'!$O$151+'60Ф'!$P$151)*отчёт!BZ$293</f>
        <v>0</v>
      </c>
      <c r="EO6" s="240">
        <f t="shared" si="3"/>
        <v>0</v>
      </c>
      <c r="EP6" s="276">
        <f>SUMIF('20Ф'!$H:$H,$B:$B,'20Ф'!T:T)*1.2</f>
        <v>0</v>
      </c>
      <c r="EQ6" s="276">
        <f>SUMIF('20Ф'!$H:$H,$B:$B,'20Ф'!U:U)*1.2</f>
        <v>0</v>
      </c>
      <c r="ER6" s="236"/>
      <c r="ES6" s="239">
        <f t="shared" ref="ES6:ES69" si="6">SUM(ET6:EV6)</f>
        <v>9177.1623460099836</v>
      </c>
      <c r="ET6" s="276">
        <f>$D6/$D$282*'20Ф'!$I$381</f>
        <v>701.41931095431198</v>
      </c>
      <c r="EU6" s="276">
        <f>$D6/$D$282*('20Ф'!$I$75+'20Ф'!$I$1098)*1.2</f>
        <v>8101.7044207784729</v>
      </c>
      <c r="EV6" s="276">
        <f>$D6/$D$282*('20Ф'!$I$1286)</f>
        <v>374.03861427719937</v>
      </c>
      <c r="EW6" s="276">
        <f>SUMIF('91.1Ф'!$N:$N,$B:$B,'91.1Ф'!$F:$F)+$D6/$D$281*('91Ф'!$D$12+'91Ф'!$D$11+'91Ф'!$D$19+'91Ф'!$D$20)</f>
        <v>2161.6952210163049</v>
      </c>
      <c r="EX6" s="276">
        <f t="shared" si="4"/>
        <v>9438.8439351152319</v>
      </c>
      <c r="EY6" s="276">
        <f>SUMIF('20Ф'!$H:$H,$B:$B,'20Ф'!$AY:$AY)*1.2</f>
        <v>9111</v>
      </c>
      <c r="EZ6" s="295">
        <f>D6/$D$286*'20Ф'!$I$1163</f>
        <v>327.84393511523155</v>
      </c>
      <c r="FA6" s="277">
        <f>SUMIF(отчёт!$B:$B,$B:$B,отчёт!$CU:$CU)/отчёт!$CU$281*'20Ф'!$I$1341</f>
        <v>0</v>
      </c>
      <c r="FB6" s="276">
        <f>SUMIF(Сальдо!$A:$A,$B:$B,Сальдо!$H:$H)-SUMIF(Сальдо!$A:$A,$B:$B,Сальдо!$I:$I)</f>
        <v>296923.43</v>
      </c>
    </row>
    <row r="7" spans="1:158" ht="12" customHeight="1" x14ac:dyDescent="0.25">
      <c r="A7" s="3">
        <f t="shared" ref="A7:A70" si="7">A6+1</f>
        <v>3</v>
      </c>
      <c r="B7" s="4" t="s">
        <v>1336</v>
      </c>
      <c r="C7" s="56"/>
      <c r="D7" s="5">
        <f>SUMIF(отчёт!$B:$B,$B:$B,отчёт!C:C)</f>
        <v>490.28</v>
      </c>
      <c r="E7" s="5">
        <f>SUMIF(отчёт!$B:$B,$B:$B,отчёт!D:D)</f>
        <v>490.28</v>
      </c>
      <c r="F7" s="5">
        <f>SUMIF(отчёт!$B:$B,$B:$B,отчёт!E:E)</f>
        <v>0</v>
      </c>
      <c r="G7" s="5">
        <f>SUMIF(отчёт!$B:$B,$B:$B,отчёт!F:F)</f>
        <v>67.7</v>
      </c>
      <c r="H7" s="5">
        <f>SUMIF(отчёт!$B:$B,$B:$B,отчёт!I:I)</f>
        <v>0</v>
      </c>
      <c r="I7" s="5">
        <f>SUMIF(отчёт!$B:$B,$B:$B,отчёт!J:J)</f>
        <v>0</v>
      </c>
      <c r="J7" s="3"/>
      <c r="K7" s="105"/>
      <c r="L7" s="105"/>
      <c r="M7" s="7"/>
      <c r="N7" s="8"/>
      <c r="O7" s="8"/>
      <c r="P7" s="8"/>
      <c r="Q7" s="8"/>
      <c r="R7" s="8"/>
      <c r="S7" s="8"/>
      <c r="T7" s="8"/>
      <c r="U7" s="8"/>
      <c r="V7" s="9"/>
      <c r="W7" s="9"/>
      <c r="X7" s="9"/>
      <c r="Y7" s="8"/>
      <c r="Z7" s="9"/>
      <c r="AA7" s="9"/>
      <c r="AB7" s="8"/>
      <c r="AC7" s="10"/>
      <c r="AD7" s="8"/>
      <c r="AE7" s="8"/>
      <c r="AF7" s="8"/>
      <c r="AG7" s="7"/>
      <c r="AH7" s="8"/>
      <c r="AI7" s="8"/>
      <c r="AJ7" s="8"/>
      <c r="AK7" s="8"/>
      <c r="AL7" s="8"/>
      <c r="AM7" s="8"/>
      <c r="AN7" s="8"/>
      <c r="AO7" s="8"/>
      <c r="AQ7" s="104"/>
      <c r="AR7" s="95"/>
      <c r="AS7" s="104"/>
      <c r="AT7" s="96"/>
      <c r="AU7" s="96"/>
      <c r="AV7" s="96"/>
      <c r="AW7" s="96"/>
      <c r="AX7" s="96"/>
      <c r="AY7" s="96"/>
      <c r="AZ7" s="96"/>
      <c r="BA7" s="96"/>
      <c r="BB7" s="96"/>
      <c r="BC7" s="275">
        <v>0.93</v>
      </c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1"/>
      <c r="BQ7" s="103"/>
      <c r="BR7" s="97"/>
      <c r="BS7" s="103"/>
      <c r="BT7" s="98"/>
      <c r="BU7" s="98"/>
      <c r="BV7" s="98"/>
      <c r="BW7" s="98"/>
      <c r="BX7" s="98"/>
      <c r="BY7" s="98"/>
      <c r="BZ7" s="98"/>
      <c r="CA7" s="98"/>
      <c r="CB7" s="98"/>
      <c r="CC7" s="97"/>
      <c r="CF7" s="277">
        <f>SUMIF(Оборот!$A:$A,$B:$B,Оборот!H:H)</f>
        <v>170377.23999999996</v>
      </c>
      <c r="CG7" s="277">
        <f>SUMIF(Оборот!$A:$A,$B:$B,Оборот!I:I)</f>
        <v>28992.300000000003</v>
      </c>
      <c r="CH7" s="277">
        <f t="shared" si="0"/>
        <v>162468.88799562483</v>
      </c>
      <c r="CI7" s="239">
        <f t="shared" si="5"/>
        <v>4312.1767744258414</v>
      </c>
      <c r="CJ7" s="276">
        <f>SUMIF('20Ф'!$H:$H,$B:$B,'20Ф'!M:M)*1.2</f>
        <v>0</v>
      </c>
      <c r="CK7" s="276">
        <f>SUMIF('20Ф'!$H:$H,$B:$B,'20Ф'!O:O)*1.2</f>
        <v>0</v>
      </c>
      <c r="CL7" s="276">
        <f>SUMIF('20Ф'!$H:$H,$B:$B,'20Ф'!Q:Q)*1.2</f>
        <v>0</v>
      </c>
      <c r="CM7" s="276">
        <f>SUMIF('20Ф'!$H:$H,$B:$B,'20Ф'!R:R)*1.2</f>
        <v>0</v>
      </c>
      <c r="CN7" s="276">
        <f>SUMIF('20Ф'!$H:$H,$B:$B,'20Ф'!S:S)*1.2</f>
        <v>0</v>
      </c>
      <c r="CO7" s="276">
        <f>SUMIF('20Ф'!$H:$H,$B:$B,'20Ф'!W:W)*1.2</f>
        <v>0</v>
      </c>
      <c r="CP7" s="276">
        <f>SUMIF('20Ф'!$H:$H,$B:$B,'20Ф'!P:P)*1.2</f>
        <v>0</v>
      </c>
      <c r="CQ7" s="276">
        <f>SUMIF('20Ф'!$H:$H,$B:$B,'20Ф'!Y:Y)*1.2</f>
        <v>0</v>
      </c>
      <c r="CR7" s="276">
        <f>SUMIF('20Ф'!$H:$H,$B:$B,'20Ф'!Z:Z)*1.2</f>
        <v>0</v>
      </c>
      <c r="CS7" s="276">
        <f>SUMIF('20Ф'!$H:$H,$B:$B,'20Ф'!AB:AB)*1.2</f>
        <v>0</v>
      </c>
      <c r="CT7" s="276">
        <f>SUMIF('20Ф'!$H:$H,$B:$B,'20Ф'!AC:AC)*1.2</f>
        <v>0</v>
      </c>
      <c r="CU7" s="276">
        <f>SUMIF('20Ф'!$H:$H,$B:$B,'20Ф'!AD:AD)*1.2</f>
        <v>0</v>
      </c>
      <c r="CV7" s="276">
        <f>SUMIF('20Ф'!$H:$H,$B:$B,'20Ф'!AE:AE)*1.2</f>
        <v>0</v>
      </c>
      <c r="CW7" s="276">
        <f>SUMIF('20Ф'!$H:$H,$B:$B,'20Ф'!AF:AF)*1.2</f>
        <v>0</v>
      </c>
      <c r="CX7" s="276">
        <f>SUMIF('20Ф'!$H:$H,$B:$B,'20Ф'!AG:AG)*1.2</f>
        <v>0</v>
      </c>
      <c r="CY7" s="276">
        <f>SUMIF('20Ф'!$H:$H,$B:$B,'20Ф'!AH:AH)*1.2</f>
        <v>0</v>
      </c>
      <c r="CZ7" s="276">
        <f>SUMIF('20Ф'!$H:$H,$B:$B,'20Ф'!AI:AI)*1.2</f>
        <v>0</v>
      </c>
      <c r="DA7" s="276">
        <f>SUMIF('20Ф'!$H:$H,$B:$B,'20Ф'!AJ:AJ)*1.2</f>
        <v>0</v>
      </c>
      <c r="DB7" s="276">
        <f>SUMIF('20Ф'!$H:$H,$B:$B,'20Ф'!AK:AK)*1.2</f>
        <v>0</v>
      </c>
      <c r="DC7" s="276">
        <f>SUMIF('20Ф'!$H:$H,$B:$B,'20Ф'!AL:AL)*1.2</f>
        <v>0</v>
      </c>
      <c r="DD7" s="276">
        <f>SUMIF('20Ф'!$H:$H,$B:$B,'20Ф'!AM:AM)*1.2</f>
        <v>0</v>
      </c>
      <c r="DE7" s="276">
        <f>SUMIF('20Ф'!$H:$H,$B:$B,'20Ф'!AN:AN)*1.2</f>
        <v>0</v>
      </c>
      <c r="DF7" s="276">
        <f>SUMIF('20Ф'!$H:$H,$B:$B,'20Ф'!AO:AO)*1.2</f>
        <v>0</v>
      </c>
      <c r="DG7" s="276">
        <f>SUMIF('20Ф'!$H:$H,$B:$B,'20Ф'!AP:AP)*1.2</f>
        <v>0</v>
      </c>
      <c r="DH7" s="276">
        <f>SUMIF('20Ф'!$H:$H,$B:$B,'20Ф'!AQ:AQ)*1.2</f>
        <v>0</v>
      </c>
      <c r="DI7" s="276">
        <f>SUMIF('20Ф'!$H:$H,$B:$B,'20Ф'!BA:BA)*1.2</f>
        <v>0</v>
      </c>
      <c r="DJ7" s="276">
        <f>SUMIF('20Ф'!$H:$H,$B:$B,'20Ф'!BB:BB)*1.2</f>
        <v>0</v>
      </c>
      <c r="DK7" s="276">
        <f>SUMIF('20Ф'!$H:$H,$B:$B,'20Ф'!BC:BC)*1.2</f>
        <v>0</v>
      </c>
      <c r="DL7" s="276">
        <f>$D7/$D$281*'20Ф'!$H$218</f>
        <v>4312.1767744258414</v>
      </c>
      <c r="DM7" s="240">
        <f t="shared" si="1"/>
        <v>49884.012062059563</v>
      </c>
      <c r="DN7" s="276">
        <f>SUMIF('20Ф'!$H:$H,$B:$B,'20Ф'!AV:AV)*1.2</f>
        <v>0</v>
      </c>
      <c r="DO7" s="276">
        <f>SUMIF('20Ф'!$H:$H,$B:$B,'20Ф'!AW:AW)*1.2+$D7/$D$281*'26Ф'!$D$42</f>
        <v>2294.7172632809443</v>
      </c>
      <c r="DP7" s="276">
        <f>SUMIF('20Ф'!$H:$H,$B:$B,'20Ф'!AX:AX)*1.2</f>
        <v>0</v>
      </c>
      <c r="DQ7" s="276">
        <f>SUMIF('20Ф'!$H:$H,$B:$B,'20Ф'!AY:AY)*1.2</f>
        <v>0</v>
      </c>
      <c r="DR7" s="276">
        <f>SUMIF('20Ф'!$H:$H,$B:$B,'20Ф'!AU:AU)*1.2</f>
        <v>0</v>
      </c>
      <c r="DS7" s="276">
        <f>SUMIF('20Ф'!$H:$H,$B:$B,'20Ф'!AS:AS)*1.2</f>
        <v>3778.0679999999998</v>
      </c>
      <c r="DT7" s="276">
        <f>SUMIF('20Ф'!$H:$H,$B:$B,'20Ф'!AR:AR)*1.2</f>
        <v>0</v>
      </c>
      <c r="DU7" s="276">
        <f>SUMIF('20Ф'!$H:$H,$B:$B,'20Ф'!X:X)*1.2</f>
        <v>3332.7840000000001</v>
      </c>
      <c r="DV7" s="276">
        <f>SUMIF('20Ф'!$H:$H,$B:$B,'20Ф'!AA:AA)*1.2</f>
        <v>0</v>
      </c>
      <c r="DW7" s="276">
        <f>SUMIF('20Ф'!$H:$H,$B:$B,'20Ф'!N:N)*1.2</f>
        <v>0</v>
      </c>
      <c r="DX7" s="276">
        <f>$D7/$D$281*('25Ф'!$D$37)</f>
        <v>38571.326450683373</v>
      </c>
      <c r="DY7" s="276">
        <f>$D7/$D$281*'25Ф'!$D$30</f>
        <v>1231.0756580064851</v>
      </c>
      <c r="DZ7" s="276">
        <f>$D7/$D$281*'25Ф'!$D$31</f>
        <v>676.04069008876274</v>
      </c>
      <c r="EA7" s="276"/>
      <c r="EB7" s="276">
        <f t="shared" si="2"/>
        <v>24300.541043164714</v>
      </c>
      <c r="EC7" s="276">
        <f>$D7/$D$281*'26Ф'!$D$36</f>
        <v>12649.214206092083</v>
      </c>
      <c r="ED7" s="276">
        <f>$D7/$D$281*'26Ф'!$D$37</f>
        <v>1519.7895772378265</v>
      </c>
      <c r="EE7" s="276">
        <f>$D7/$D$281*'26Ф'!$D$38</f>
        <v>1535.3765148461632</v>
      </c>
      <c r="EF7" s="276">
        <f>$D7/$D$281*'26Ф'!$D$39</f>
        <v>1077.0652238626872</v>
      </c>
      <c r="EG7" s="276">
        <f>$D7/$D$281*'91Ф'!$D$10</f>
        <v>332.27417361621764</v>
      </c>
      <c r="EH7" s="276">
        <f>$D7/$D$281*('20Ф'!$I$509+'26Ф'!$D$41+'20Ф'!$I$507)</f>
        <v>2350.7303656284334</v>
      </c>
      <c r="EI7" s="276">
        <f>$D7/$D$281*'91Ф'!$D$31</f>
        <v>4309.2340347695963</v>
      </c>
      <c r="EJ7" s="276">
        <f>$D7/$D$281*'20Ф'!$I$1316</f>
        <v>526.85694711170515</v>
      </c>
      <c r="EK7" s="276">
        <f>$D7/$D$281*('20Ф'!$I$1105+'20Ф'!$I$1282+'91Ф'!$D$17+'91Ф'!$D$41)</f>
        <v>17302.569114551185</v>
      </c>
      <c r="EL7" s="276">
        <f>$D7/$D$281*отчёт!BX$294</f>
        <v>28924.618687798928</v>
      </c>
      <c r="EM7" s="276">
        <f>$D7/$D$281*отчёт!BY$294</f>
        <v>25437.649519085604</v>
      </c>
      <c r="EN7" s="276">
        <f>SUMIF(отчёт!$B:$B,$B:$B,отчёт!BZ:BZ)/отчёт!BZ$281*('60Ф'!$O$151+'60Ф'!$P$151)*отчёт!BZ$293</f>
        <v>0</v>
      </c>
      <c r="EO7" s="240">
        <f t="shared" si="3"/>
        <v>0</v>
      </c>
      <c r="EP7" s="276">
        <f>SUMIF('20Ф'!$H:$H,$B:$B,'20Ф'!T:T)*1.2</f>
        <v>0</v>
      </c>
      <c r="EQ7" s="276">
        <f>SUMIF('20Ф'!$H:$H,$B:$B,'20Ф'!U:U)*1.2</f>
        <v>0</v>
      </c>
      <c r="ER7" s="236"/>
      <c r="ES7" s="239">
        <f t="shared" si="6"/>
        <v>9681.0808912164866</v>
      </c>
      <c r="ET7" s="276">
        <f>$D7/$D$282*'20Ф'!$I$381</f>
        <v>739.93428818030827</v>
      </c>
      <c r="EU7" s="276">
        <f>$D7/$D$282*('20Ф'!$I$75+'20Ф'!$I$1098)*1.2</f>
        <v>8546.5695055927135</v>
      </c>
      <c r="EV7" s="276">
        <f>$D7/$D$282*('20Ф'!$I$1286)</f>
        <v>394.57709744346607</v>
      </c>
      <c r="EW7" s="276">
        <f>SUMIF('91.1Ф'!$N:$N,$B:$B,'91.1Ф'!$F:$F)+$D7/$D$281*('91Ф'!$D$12+'91Ф'!$D$11+'91Ф'!$D$19+'91Ф'!$D$20)</f>
        <v>2280.3940376966048</v>
      </c>
      <c r="EX7" s="276">
        <f t="shared" si="4"/>
        <v>345.84586562590522</v>
      </c>
      <c r="EY7" s="276">
        <f>SUMIF('20Ф'!$H:$H,$B:$B,'20Ф'!$AY:$AY)*1.2</f>
        <v>0</v>
      </c>
      <c r="EZ7" s="295">
        <f>D7/$D$286*'20Ф'!$I$1163</f>
        <v>345.84586562590522</v>
      </c>
      <c r="FA7" s="277">
        <f>SUMIF(отчёт!$B:$B,$B:$B,отчёт!$CU:$CU)/отчёт!$CU$281*'20Ф'!$I$1341</f>
        <v>0</v>
      </c>
      <c r="FB7" s="276">
        <f>SUMIF(Сальдо!$A:$A,$B:$B,Сальдо!$H:$H)-SUMIF(Сальдо!$A:$A,$B:$B,Сальдо!$I:$I)</f>
        <v>0</v>
      </c>
    </row>
    <row r="8" spans="1:158" ht="12" customHeight="1" x14ac:dyDescent="0.25">
      <c r="A8" s="3">
        <f t="shared" si="7"/>
        <v>4</v>
      </c>
      <c r="B8" s="4" t="s">
        <v>50</v>
      </c>
      <c r="C8" s="4" t="s">
        <v>50</v>
      </c>
      <c r="D8" s="5">
        <f>SUMIF(отчёт!$B:$B,$B:$B,отчёт!C:C)</f>
        <v>1544.17</v>
      </c>
      <c r="E8" s="5">
        <f>SUMIF(отчёт!$B:$B,$B:$B,отчёт!D:D)</f>
        <v>1279.77</v>
      </c>
      <c r="F8" s="5">
        <f>SUMIF(отчёт!$B:$B,$B:$B,отчёт!E:E)</f>
        <v>264.39999999999998</v>
      </c>
      <c r="G8" s="5">
        <f>SUMIF(отчёт!$B:$B,$B:$B,отчёт!F:F)</f>
        <v>217.8</v>
      </c>
      <c r="H8" s="5">
        <f>SUMIF(отчёт!$B:$B,$B:$B,отчёт!I:I)</f>
        <v>0</v>
      </c>
      <c r="I8" s="5">
        <f>SUMIF(отчёт!$B:$B,$B:$B,отчёт!J:J)</f>
        <v>0</v>
      </c>
      <c r="J8" s="3" t="s">
        <v>51</v>
      </c>
      <c r="K8" s="105">
        <v>7</v>
      </c>
      <c r="L8" s="105" t="s">
        <v>52</v>
      </c>
      <c r="M8" s="7">
        <v>31</v>
      </c>
      <c r="N8" s="8">
        <v>5.0999999999999996</v>
      </c>
      <c r="O8" s="8">
        <v>6.59</v>
      </c>
      <c r="P8" s="8">
        <v>8.98</v>
      </c>
      <c r="Q8" s="8">
        <v>6.92</v>
      </c>
      <c r="R8" s="8">
        <v>3.15</v>
      </c>
      <c r="S8" s="8">
        <v>0</v>
      </c>
      <c r="T8" s="8">
        <v>0</v>
      </c>
      <c r="U8" s="8">
        <v>0.26</v>
      </c>
      <c r="V8" s="9">
        <v>40</v>
      </c>
      <c r="W8" s="9">
        <v>40</v>
      </c>
      <c r="X8" s="9">
        <v>2604.04</v>
      </c>
      <c r="Y8" s="8">
        <v>195.98199600000001</v>
      </c>
      <c r="Z8" s="9">
        <v>42.3</v>
      </c>
      <c r="AA8" s="9">
        <v>2604.04</v>
      </c>
      <c r="AB8" s="8">
        <v>7.85</v>
      </c>
      <c r="AC8" s="10">
        <v>0</v>
      </c>
      <c r="AD8" s="8">
        <v>6.73</v>
      </c>
      <c r="AE8" s="8">
        <v>10.67</v>
      </c>
      <c r="AF8" s="8">
        <v>14</v>
      </c>
      <c r="AG8" s="7">
        <v>287215.62</v>
      </c>
      <c r="AH8" s="8">
        <v>47251.601999999999</v>
      </c>
      <c r="AI8" s="8">
        <v>61056.481799999994</v>
      </c>
      <c r="AJ8" s="8">
        <v>83199.879600000015</v>
      </c>
      <c r="AK8" s="8">
        <v>64113.938399999999</v>
      </c>
      <c r="AL8" s="8">
        <v>29184.813000000002</v>
      </c>
      <c r="AM8" s="8">
        <v>0</v>
      </c>
      <c r="AN8" s="8">
        <v>0</v>
      </c>
      <c r="AO8" s="8">
        <v>2408.9052000000001</v>
      </c>
      <c r="AQ8" s="104">
        <v>33.17</v>
      </c>
      <c r="AR8" s="370">
        <v>13.89</v>
      </c>
      <c r="AS8" s="370"/>
      <c r="AT8" s="104">
        <v>5.9</v>
      </c>
      <c r="AU8" s="104">
        <v>1.53</v>
      </c>
      <c r="AV8" s="104">
        <v>0.32</v>
      </c>
      <c r="AW8" s="104">
        <v>0.6</v>
      </c>
      <c r="AX8" s="104">
        <v>5.01</v>
      </c>
      <c r="AY8" s="104">
        <v>4.99</v>
      </c>
      <c r="AZ8" s="104">
        <v>0</v>
      </c>
      <c r="BA8" s="104">
        <v>0</v>
      </c>
      <c r="BB8" s="104">
        <v>0</v>
      </c>
      <c r="BC8" s="101">
        <v>0.93</v>
      </c>
      <c r="BD8" s="104">
        <v>37.581610000000005</v>
      </c>
      <c r="BE8" s="370">
        <v>15.737370000000004</v>
      </c>
      <c r="BF8" s="370">
        <v>0</v>
      </c>
      <c r="BG8" s="104">
        <v>6.6847000000000012</v>
      </c>
      <c r="BH8" s="104">
        <v>1.7334900000000002</v>
      </c>
      <c r="BI8" s="104">
        <v>0.36256000000000005</v>
      </c>
      <c r="BJ8" s="104">
        <v>0.67980000000000007</v>
      </c>
      <c r="BK8" s="104">
        <v>5.6763300000000001</v>
      </c>
      <c r="BL8" s="104">
        <v>5.65367</v>
      </c>
      <c r="BM8" s="104">
        <v>0</v>
      </c>
      <c r="BN8" s="104">
        <v>0</v>
      </c>
      <c r="BO8" s="104">
        <v>0</v>
      </c>
      <c r="BP8" s="101">
        <v>1.0536900000000002</v>
      </c>
      <c r="BQ8" s="103">
        <v>682764.18493700027</v>
      </c>
      <c r="BR8" s="371">
        <v>285908.78892900009</v>
      </c>
      <c r="BS8" s="371">
        <v>0</v>
      </c>
      <c r="BT8" s="103">
        <v>121444.33799000001</v>
      </c>
      <c r="BU8" s="103">
        <v>31493.192733</v>
      </c>
      <c r="BV8" s="103">
        <v>6586.8115520000001</v>
      </c>
      <c r="BW8" s="103">
        <v>12350.271660000002</v>
      </c>
      <c r="BX8" s="103">
        <v>103124.76836099999</v>
      </c>
      <c r="BY8" s="103">
        <v>102713.09263900001</v>
      </c>
      <c r="BZ8" s="103">
        <v>0</v>
      </c>
      <c r="CA8" s="103">
        <v>0</v>
      </c>
      <c r="CB8" s="103">
        <v>0</v>
      </c>
      <c r="CC8" s="103">
        <v>19142.921073000005</v>
      </c>
      <c r="CD8" s="1">
        <v>1</v>
      </c>
      <c r="CF8" s="277">
        <f>SUMIF(Оборот!$A:$A,$B:$B,Оборот!H:H)</f>
        <v>502509.12</v>
      </c>
      <c r="CG8" s="277">
        <f>SUMIF(Оборот!$A:$A,$B:$B,Оборот!I:I)</f>
        <v>385770.27</v>
      </c>
      <c r="CH8" s="277">
        <f t="shared" si="0"/>
        <v>575040.86764364038</v>
      </c>
      <c r="CI8" s="239">
        <f t="shared" si="5"/>
        <v>26598.708228451396</v>
      </c>
      <c r="CJ8" s="276">
        <f>SUMIF('20Ф'!$H:$H,$B:$B,'20Ф'!M:M)*1.2</f>
        <v>0</v>
      </c>
      <c r="CK8" s="276">
        <f>SUMIF('20Ф'!$H:$H,$B:$B,'20Ф'!O:O)*1.2</f>
        <v>0</v>
      </c>
      <c r="CL8" s="276">
        <f>SUMIF('20Ф'!$H:$H,$B:$B,'20Ф'!Q:Q)*1.2</f>
        <v>0</v>
      </c>
      <c r="CM8" s="276">
        <f>SUMIF('20Ф'!$H:$H,$B:$B,'20Ф'!R:R)*1.2</f>
        <v>0</v>
      </c>
      <c r="CN8" s="276">
        <f>SUMIF('20Ф'!$H:$H,$B:$B,'20Ф'!S:S)*1.2</f>
        <v>0</v>
      </c>
      <c r="CO8" s="276">
        <f>SUMIF('20Ф'!$H:$H,$B:$B,'20Ф'!W:W)*1.2</f>
        <v>0</v>
      </c>
      <c r="CP8" s="276">
        <f>SUMIF('20Ф'!$H:$H,$B:$B,'20Ф'!P:P)*1.2</f>
        <v>0</v>
      </c>
      <c r="CQ8" s="276">
        <f>SUMIF('20Ф'!$H:$H,$B:$B,'20Ф'!Y:Y)*1.2</f>
        <v>0</v>
      </c>
      <c r="CR8" s="276">
        <f>SUMIF('20Ф'!$H:$H,$B:$B,'20Ф'!Z:Z)*1.2</f>
        <v>0</v>
      </c>
      <c r="CS8" s="276">
        <f>SUMIF('20Ф'!$H:$H,$B:$B,'20Ф'!AB:AB)*1.2</f>
        <v>0</v>
      </c>
      <c r="CT8" s="276">
        <f>SUMIF('20Ф'!$H:$H,$B:$B,'20Ф'!AC:AC)*1.2</f>
        <v>0</v>
      </c>
      <c r="CU8" s="276">
        <f>SUMIF('20Ф'!$H:$H,$B:$B,'20Ф'!AD:AD)*1.2</f>
        <v>0</v>
      </c>
      <c r="CV8" s="276">
        <f>SUMIF('20Ф'!$H:$H,$B:$B,'20Ф'!AE:AE)*1.2</f>
        <v>0</v>
      </c>
      <c r="CW8" s="276">
        <f>SUMIF('20Ф'!$H:$H,$B:$B,'20Ф'!AF:AF)*1.2</f>
        <v>0</v>
      </c>
      <c r="CX8" s="276">
        <f>SUMIF('20Ф'!$H:$H,$B:$B,'20Ф'!AG:AG)*1.2</f>
        <v>0</v>
      </c>
      <c r="CY8" s="276">
        <f>SUMIF('20Ф'!$H:$H,$B:$B,'20Ф'!AH:AH)*1.2</f>
        <v>0</v>
      </c>
      <c r="CZ8" s="276">
        <f>SUMIF('20Ф'!$H:$H,$B:$B,'20Ф'!AI:AI)*1.2</f>
        <v>0</v>
      </c>
      <c r="DA8" s="276">
        <f>SUMIF('20Ф'!$H:$H,$B:$B,'20Ф'!AJ:AJ)*1.2</f>
        <v>13017.216</v>
      </c>
      <c r="DB8" s="276">
        <f>SUMIF('20Ф'!$H:$H,$B:$B,'20Ф'!AK:AK)*1.2</f>
        <v>0</v>
      </c>
      <c r="DC8" s="276">
        <f>SUMIF('20Ф'!$H:$H,$B:$B,'20Ф'!AL:AL)*1.2</f>
        <v>0</v>
      </c>
      <c r="DD8" s="276">
        <f>SUMIF('20Ф'!$H:$H,$B:$B,'20Ф'!AM:AM)*1.2</f>
        <v>0</v>
      </c>
      <c r="DE8" s="276">
        <f>SUMIF('20Ф'!$H:$H,$B:$B,'20Ф'!AN:AN)*1.2</f>
        <v>0</v>
      </c>
      <c r="DF8" s="276">
        <f>SUMIF('20Ф'!$H:$H,$B:$B,'20Ф'!AO:AO)*1.2</f>
        <v>0</v>
      </c>
      <c r="DG8" s="276">
        <f>SUMIF('20Ф'!$H:$H,$B:$B,'20Ф'!AP:AP)*1.2</f>
        <v>0</v>
      </c>
      <c r="DH8" s="276">
        <f>SUMIF('20Ф'!$H:$H,$B:$B,'20Ф'!AQ:AQ)*1.2</f>
        <v>0</v>
      </c>
      <c r="DI8" s="276">
        <f>SUMIF('20Ф'!$H:$H,$B:$B,'20Ф'!BA:BA)*1.2</f>
        <v>0</v>
      </c>
      <c r="DJ8" s="276">
        <f>SUMIF('20Ф'!$H:$H,$B:$B,'20Ф'!BB:BB)*1.2</f>
        <v>0</v>
      </c>
      <c r="DK8" s="276">
        <f>SUMIF('20Ф'!$H:$H,$B:$B,'20Ф'!BC:BC)*1.2</f>
        <v>0</v>
      </c>
      <c r="DL8" s="276">
        <f>$D8/$D$281*'20Ф'!$H$218</f>
        <v>13581.492228451398</v>
      </c>
      <c r="DM8" s="240">
        <f t="shared" si="1"/>
        <v>194036.96682563133</v>
      </c>
      <c r="DN8" s="276">
        <f>SUMIF('20Ф'!$H:$H,$B:$B,'20Ф'!AV:AV)*1.2</f>
        <v>0</v>
      </c>
      <c r="DO8" s="276">
        <f>SUMIF('20Ф'!$H:$H,$B:$B,'20Ф'!AW:AW)*1.2+$D8/$D$281*'26Ф'!$D$42</f>
        <v>7227.3671298860563</v>
      </c>
      <c r="DP8" s="276">
        <f>SUMIF('20Ф'!$H:$H,$B:$B,'20Ф'!AX:AX)*1.2</f>
        <v>0</v>
      </c>
      <c r="DQ8" s="276">
        <f>SUMIF('20Ф'!$H:$H,$B:$B,'20Ф'!AY:AY)*1.2</f>
        <v>13393.008</v>
      </c>
      <c r="DR8" s="276">
        <f>SUMIF('20Ф'!$H:$H,$B:$B,'20Ф'!AU:AU)*1.2</f>
        <v>0</v>
      </c>
      <c r="DS8" s="276">
        <f>SUMIF('20Ф'!$H:$H,$B:$B,'20Ф'!AS:AS)*1.2</f>
        <v>39085.991999999998</v>
      </c>
      <c r="DT8" s="276">
        <f>SUMIF('20Ф'!$H:$H,$B:$B,'20Ф'!AR:AR)*1.2</f>
        <v>0</v>
      </c>
      <c r="DU8" s="276">
        <f>SUMIF('20Ф'!$H:$H,$B:$B,'20Ф'!X:X)*1.2</f>
        <v>6841.0079999999998</v>
      </c>
      <c r="DV8" s="276">
        <f>SUMIF('20Ф'!$H:$H,$B:$B,'20Ф'!AA:AA)*1.2</f>
        <v>0</v>
      </c>
      <c r="DW8" s="276">
        <f>SUMIF('20Ф'!$H:$H,$B:$B,'20Ф'!N:N)*1.2</f>
        <v>0</v>
      </c>
      <c r="DX8" s="276">
        <f>$D8/$D$281*('25Ф'!$D$37)</f>
        <v>121482.99984774365</v>
      </c>
      <c r="DY8" s="276">
        <f>$D8/$D$281*'25Ф'!$D$30</f>
        <v>3877.3559982538022</v>
      </c>
      <c r="DZ8" s="276">
        <f>$D8/$D$281*'25Ф'!$D$31</f>
        <v>2129.2358497478276</v>
      </c>
      <c r="EA8" s="276"/>
      <c r="EB8" s="276">
        <f t="shared" si="2"/>
        <v>76536.196586896593</v>
      </c>
      <c r="EC8" s="276">
        <f>$D8/$D$281*'26Ф'!$D$36</f>
        <v>39839.555153425012</v>
      </c>
      <c r="ED8" s="276">
        <f>$D8/$D$281*'26Ф'!$D$37</f>
        <v>4786.6800022096249</v>
      </c>
      <c r="EE8" s="276">
        <f>$D8/$D$281*'26Ф'!$D$38</f>
        <v>4835.7721157909764</v>
      </c>
      <c r="EF8" s="276">
        <f>$D8/$D$281*'26Ф'!$D$39</f>
        <v>3392.289725732328</v>
      </c>
      <c r="EG8" s="276">
        <f>$D8/$D$281*'91Ф'!$D$10</f>
        <v>1046.5199695540402</v>
      </c>
      <c r="EH8" s="276">
        <f>$D8/$D$281*('20Ф'!$I$509+'26Ф'!$D$41+'20Ф'!$I$507)</f>
        <v>7403.7841818806774</v>
      </c>
      <c r="EI8" s="276">
        <f>$D8/$D$281*'91Ф'!$D$31</f>
        <v>13572.22387099243</v>
      </c>
      <c r="EJ8" s="276">
        <f>$D8/$D$281*'20Ф'!$I$1316</f>
        <v>1659.3715673114991</v>
      </c>
      <c r="EK8" s="276">
        <f>$D8/$D$281*('20Ф'!$I$1105+'20Ф'!$I$1282+'91Ф'!$D$17+'91Ф'!$D$41)</f>
        <v>54495.610976618467</v>
      </c>
      <c r="EL8" s="276">
        <f>$D8/$D$281*отчёт!BX$294</f>
        <v>91100.041688705387</v>
      </c>
      <c r="EM8" s="276">
        <f>$D8/$D$281*отчёт!BY$294</f>
        <v>80117.596593551483</v>
      </c>
      <c r="EN8" s="276">
        <f>SUMIF(отчёт!$B:$B,$B:$B,отчёт!BZ:BZ)/отчёт!BZ$281*('60Ф'!$O$151+'60Ф'!$P$151)*отчёт!BZ$293</f>
        <v>0</v>
      </c>
      <c r="EO8" s="240">
        <f t="shared" si="3"/>
        <v>0</v>
      </c>
      <c r="EP8" s="276">
        <f>SUMIF('20Ф'!$H:$H,$B:$B,'20Ф'!T:T)*1.2</f>
        <v>0</v>
      </c>
      <c r="EQ8" s="276">
        <f>SUMIF('20Ф'!$H:$H,$B:$B,'20Ф'!U:U)*1.2</f>
        <v>0</v>
      </c>
      <c r="ER8" s="236"/>
      <c r="ES8" s="239">
        <f t="shared" si="6"/>
        <v>30491.218650138217</v>
      </c>
      <c r="ET8" s="276">
        <f>$D8/$D$282*'20Ф'!$I$381</f>
        <v>2330.4730557628022</v>
      </c>
      <c r="EU8" s="276">
        <f>$D8/$D$282*('20Ф'!$I$75+'20Ф'!$I$1098)*1.2</f>
        <v>26917.998354921881</v>
      </c>
      <c r="EV8" s="276">
        <f>$D8/$D$282*('20Ф'!$I$1286)</f>
        <v>1242.7472394535307</v>
      </c>
      <c r="EW8" s="276">
        <f>SUMIF('91.1Ф'!$N:$N,$B:$B,'91.1Ф'!$F:$F)+$D8/$D$281*('91Ф'!$D$12+'91Ф'!$D$11+'91Ф'!$D$19+'91Ф'!$D$20)</f>
        <v>7182.2551627436687</v>
      </c>
      <c r="EX8" s="276">
        <f t="shared" si="4"/>
        <v>14482.27293090388</v>
      </c>
      <c r="EY8" s="276">
        <f>SUMIF('20Ф'!$H:$H,$B:$B,'20Ф'!$AY:$AY)*1.2</f>
        <v>13393.008</v>
      </c>
      <c r="EZ8" s="295">
        <f>D8/$D$286*'20Ф'!$I$1163</f>
        <v>1089.2649309038798</v>
      </c>
      <c r="FA8" s="277">
        <f>SUMIF(отчёт!$B:$B,$B:$B,отчёт!$CU:$CU)/отчёт!$CU$281*'20Ф'!$I$1341</f>
        <v>0</v>
      </c>
      <c r="FB8" s="276">
        <f>SUMIF(Сальдо!$A:$A,$B:$B,Сальдо!$H:$H)-SUMIF(Сальдо!$A:$A,$B:$B,Сальдо!$I:$I)</f>
        <v>1317269.8299999998</v>
      </c>
    </row>
    <row r="9" spans="1:158" ht="12" customHeight="1" x14ac:dyDescent="0.25">
      <c r="A9" s="3">
        <f t="shared" si="7"/>
        <v>5</v>
      </c>
      <c r="B9" s="4" t="s">
        <v>1337</v>
      </c>
      <c r="C9" s="4"/>
      <c r="D9" s="5">
        <f>SUMIF(отчёт!$B:$B,$B:$B,отчёт!C:C)</f>
        <v>543.29999999999995</v>
      </c>
      <c r="E9" s="5">
        <f>SUMIF(отчёт!$B:$B,$B:$B,отчёт!D:D)</f>
        <v>543.29999999999995</v>
      </c>
      <c r="F9" s="5">
        <f>SUMIF(отчёт!$B:$B,$B:$B,отчёт!E:E)</f>
        <v>0</v>
      </c>
      <c r="G9" s="5">
        <f>SUMIF(отчёт!$B:$B,$B:$B,отчёт!F:F)</f>
        <v>84.8</v>
      </c>
      <c r="H9" s="5">
        <f>SUMIF(отчёт!$B:$B,$B:$B,отчёт!I:I)</f>
        <v>0</v>
      </c>
      <c r="I9" s="5">
        <f>SUMIF(отчёт!$B:$B,$B:$B,отчёт!J:J)</f>
        <v>0</v>
      </c>
      <c r="J9" s="3"/>
      <c r="K9" s="105"/>
      <c r="L9" s="105"/>
      <c r="M9" s="7"/>
      <c r="N9" s="8"/>
      <c r="O9" s="8"/>
      <c r="P9" s="8"/>
      <c r="Q9" s="8"/>
      <c r="R9" s="8"/>
      <c r="S9" s="8"/>
      <c r="T9" s="8"/>
      <c r="U9" s="8"/>
      <c r="V9" s="9"/>
      <c r="W9" s="9"/>
      <c r="X9" s="9"/>
      <c r="Y9" s="8"/>
      <c r="Z9" s="9"/>
      <c r="AA9" s="9"/>
      <c r="AB9" s="8"/>
      <c r="AC9" s="10"/>
      <c r="AD9" s="8"/>
      <c r="AE9" s="8"/>
      <c r="AF9" s="8"/>
      <c r="AG9" s="7"/>
      <c r="AH9" s="8"/>
      <c r="AI9" s="8"/>
      <c r="AJ9" s="8"/>
      <c r="AK9" s="8"/>
      <c r="AL9" s="8"/>
      <c r="AM9" s="8"/>
      <c r="AN9" s="8"/>
      <c r="AO9" s="8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275">
        <v>0.93</v>
      </c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1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F9" s="277">
        <f>SUMIF(Оборот!$A:$A,$B:$B,Оборот!H:H)</f>
        <v>92940.069999999992</v>
      </c>
      <c r="CG9" s="277">
        <f>SUMIF(Оборот!$A:$A,$B:$B,Оборот!I:I)</f>
        <v>12455.970000000001</v>
      </c>
      <c r="CH9" s="277">
        <f t="shared" si="0"/>
        <v>191570.70516297416</v>
      </c>
      <c r="CI9" s="239">
        <f t="shared" si="5"/>
        <v>4778.5054286235609</v>
      </c>
      <c r="CJ9" s="276">
        <f>SUMIF('20Ф'!$H:$H,$B:$B,'20Ф'!M:M)*1.2</f>
        <v>0</v>
      </c>
      <c r="CK9" s="276">
        <f>SUMIF('20Ф'!$H:$H,$B:$B,'20Ф'!O:O)*1.2</f>
        <v>0</v>
      </c>
      <c r="CL9" s="276">
        <f>SUMIF('20Ф'!$H:$H,$B:$B,'20Ф'!Q:Q)*1.2</f>
        <v>0</v>
      </c>
      <c r="CM9" s="276">
        <f>SUMIF('20Ф'!$H:$H,$B:$B,'20Ф'!R:R)*1.2</f>
        <v>0</v>
      </c>
      <c r="CN9" s="276">
        <f>SUMIF('20Ф'!$H:$H,$B:$B,'20Ф'!S:S)*1.2</f>
        <v>0</v>
      </c>
      <c r="CO9" s="276">
        <f>SUMIF('20Ф'!$H:$H,$B:$B,'20Ф'!W:W)*1.2</f>
        <v>0</v>
      </c>
      <c r="CP9" s="276">
        <f>SUMIF('20Ф'!$H:$H,$B:$B,'20Ф'!P:P)*1.2</f>
        <v>0</v>
      </c>
      <c r="CQ9" s="276">
        <f>SUMIF('20Ф'!$H:$H,$B:$B,'20Ф'!Y:Y)*1.2</f>
        <v>0</v>
      </c>
      <c r="CR9" s="276">
        <f>SUMIF('20Ф'!$H:$H,$B:$B,'20Ф'!Z:Z)*1.2</f>
        <v>0</v>
      </c>
      <c r="CS9" s="276">
        <f>SUMIF('20Ф'!$H:$H,$B:$B,'20Ф'!AB:AB)*1.2</f>
        <v>0</v>
      </c>
      <c r="CT9" s="276">
        <f>SUMIF('20Ф'!$H:$H,$B:$B,'20Ф'!AC:AC)*1.2</f>
        <v>0</v>
      </c>
      <c r="CU9" s="276">
        <f>SUMIF('20Ф'!$H:$H,$B:$B,'20Ф'!AD:AD)*1.2</f>
        <v>0</v>
      </c>
      <c r="CV9" s="276">
        <f>SUMIF('20Ф'!$H:$H,$B:$B,'20Ф'!AE:AE)*1.2</f>
        <v>0</v>
      </c>
      <c r="CW9" s="276">
        <f>SUMIF('20Ф'!$H:$H,$B:$B,'20Ф'!AF:AF)*1.2</f>
        <v>0</v>
      </c>
      <c r="CX9" s="276">
        <f>SUMIF('20Ф'!$H:$H,$B:$B,'20Ф'!AG:AG)*1.2</f>
        <v>0</v>
      </c>
      <c r="CY9" s="276">
        <f>SUMIF('20Ф'!$H:$H,$B:$B,'20Ф'!AH:AH)*1.2</f>
        <v>0</v>
      </c>
      <c r="CZ9" s="276">
        <f>SUMIF('20Ф'!$H:$H,$B:$B,'20Ф'!AI:AI)*1.2</f>
        <v>0</v>
      </c>
      <c r="DA9" s="276">
        <f>SUMIF('20Ф'!$H:$H,$B:$B,'20Ф'!AJ:AJ)*1.2</f>
        <v>0</v>
      </c>
      <c r="DB9" s="276">
        <f>SUMIF('20Ф'!$H:$H,$B:$B,'20Ф'!AK:AK)*1.2</f>
        <v>0</v>
      </c>
      <c r="DC9" s="276">
        <f>SUMIF('20Ф'!$H:$H,$B:$B,'20Ф'!AL:AL)*1.2</f>
        <v>0</v>
      </c>
      <c r="DD9" s="276">
        <f>SUMIF('20Ф'!$H:$H,$B:$B,'20Ф'!AM:AM)*1.2</f>
        <v>0</v>
      </c>
      <c r="DE9" s="276">
        <f>SUMIF('20Ф'!$H:$H,$B:$B,'20Ф'!AN:AN)*1.2</f>
        <v>0</v>
      </c>
      <c r="DF9" s="276">
        <f>SUMIF('20Ф'!$H:$H,$B:$B,'20Ф'!AO:AO)*1.2</f>
        <v>0</v>
      </c>
      <c r="DG9" s="276">
        <f>SUMIF('20Ф'!$H:$H,$B:$B,'20Ф'!AP:AP)*1.2</f>
        <v>0</v>
      </c>
      <c r="DH9" s="276">
        <f>SUMIF('20Ф'!$H:$H,$B:$B,'20Ф'!AQ:AQ)*1.2</f>
        <v>0</v>
      </c>
      <c r="DI9" s="276">
        <f>SUMIF('20Ф'!$H:$H,$B:$B,'20Ф'!BA:BA)*1.2</f>
        <v>0</v>
      </c>
      <c r="DJ9" s="276">
        <f>SUMIF('20Ф'!$H:$H,$B:$B,'20Ф'!BB:BB)*1.2</f>
        <v>0</v>
      </c>
      <c r="DK9" s="276">
        <f>SUMIF('20Ф'!$H:$H,$B:$B,'20Ф'!BC:BC)*1.2</f>
        <v>0</v>
      </c>
      <c r="DL9" s="276">
        <f>$D9/$D$281*'20Ф'!$H$218</f>
        <v>4778.5054286235609</v>
      </c>
      <c r="DM9" s="240">
        <f t="shared" si="1"/>
        <v>66810.643372352453</v>
      </c>
      <c r="DN9" s="276">
        <f>SUMIF('20Ф'!$H:$H,$B:$B,'20Ф'!AV:AV)*1.2</f>
        <v>0</v>
      </c>
      <c r="DO9" s="276">
        <f>SUMIF('20Ф'!$H:$H,$B:$B,'20Ф'!AW:AW)*1.2+$D9/$D$281*'26Ф'!$D$42</f>
        <v>2542.8732339490434</v>
      </c>
      <c r="DP9" s="276">
        <f>SUMIF('20Ф'!$H:$H,$B:$B,'20Ф'!AX:AX)*1.2</f>
        <v>0</v>
      </c>
      <c r="DQ9" s="276">
        <f>SUMIF('20Ф'!$H:$H,$B:$B,'20Ф'!AY:AY)*1.2</f>
        <v>0</v>
      </c>
      <c r="DR9" s="276">
        <f>SUMIF('20Ф'!$H:$H,$B:$B,'20Ф'!AU:AU)*1.2</f>
        <v>0</v>
      </c>
      <c r="DS9" s="276">
        <f>SUMIF('20Ф'!$H:$H,$B:$B,'20Ф'!AS:AS)*1.2</f>
        <v>8061.6839999999993</v>
      </c>
      <c r="DT9" s="276">
        <f>SUMIF('20Ф'!$H:$H,$B:$B,'20Ф'!AR:AR)*1.2</f>
        <v>0</v>
      </c>
      <c r="DU9" s="276">
        <f>SUMIF('20Ф'!$H:$H,$B:$B,'20Ф'!X:X)*1.2</f>
        <v>11350.212</v>
      </c>
      <c r="DV9" s="276">
        <f>SUMIF('20Ф'!$H:$H,$B:$B,'20Ф'!AA:AA)*1.2</f>
        <v>0</v>
      </c>
      <c r="DW9" s="276">
        <f>SUMIF('20Ф'!$H:$H,$B:$B,'20Ф'!N:N)*1.2</f>
        <v>0</v>
      </c>
      <c r="DX9" s="276">
        <f>$D9/$D$281*('25Ф'!$D$37)</f>
        <v>42742.517868679693</v>
      </c>
      <c r="DY9" s="276">
        <f>$D9/$D$281*'25Ф'!$D$30</f>
        <v>1364.2069939522789</v>
      </c>
      <c r="DZ9" s="276">
        <f>$D9/$D$281*'25Ф'!$D$31</f>
        <v>749.14927577144658</v>
      </c>
      <c r="EA9" s="276"/>
      <c r="EB9" s="276">
        <f t="shared" si="2"/>
        <v>26928.457103596698</v>
      </c>
      <c r="EC9" s="276">
        <f>$D9/$D$281*'26Ф'!$D$36</f>
        <v>14017.129146956493</v>
      </c>
      <c r="ED9" s="276">
        <f>$D9/$D$281*'26Ф'!$D$37</f>
        <v>1684.1430964210476</v>
      </c>
      <c r="EE9" s="276">
        <f>$D9/$D$281*'26Ф'!$D$38</f>
        <v>1701.4156410947226</v>
      </c>
      <c r="EF9" s="276">
        <f>$D9/$D$281*'26Ф'!$D$39</f>
        <v>1193.5415193860608</v>
      </c>
      <c r="EG9" s="276">
        <f>$D9/$D$281*'91Ф'!$D$10</f>
        <v>368.20706234333659</v>
      </c>
      <c r="EH9" s="276">
        <f>$D9/$D$281*('20Ф'!$I$509+'26Ф'!$D$41+'20Ф'!$I$507)</f>
        <v>2604.9437212326179</v>
      </c>
      <c r="EI9" s="276">
        <f>$D9/$D$281*'91Ф'!$D$31</f>
        <v>4775.2444543736683</v>
      </c>
      <c r="EJ9" s="276">
        <f>$D9/$D$281*'20Ф'!$I$1316</f>
        <v>583.8324617887522</v>
      </c>
      <c r="EK9" s="276">
        <f>$D9/$D$281*('20Ф'!$I$1105+'20Ф'!$I$1282+'91Ф'!$D$17+'91Ф'!$D$41)</f>
        <v>19173.708492974747</v>
      </c>
      <c r="EL9" s="276">
        <f>$D9/$D$281*отчёт!BX$294</f>
        <v>32052.593075551031</v>
      </c>
      <c r="EM9" s="276">
        <f>$D9/$D$281*отчёт!BY$294</f>
        <v>28188.535089579851</v>
      </c>
      <c r="EN9" s="276">
        <f>SUMIF(отчёт!$B:$B,$B:$B,отчёт!BZ:BZ)/отчёт!BZ$281*('60Ф'!$O$151+'60Ф'!$P$151)*отчёт!BZ$293</f>
        <v>0</v>
      </c>
      <c r="EO9" s="240">
        <f t="shared" si="3"/>
        <v>0</v>
      </c>
      <c r="EP9" s="276">
        <f>SUMIF('20Ф'!$H:$H,$B:$B,'20Ф'!T:T)*1.2</f>
        <v>0</v>
      </c>
      <c r="EQ9" s="276">
        <f>SUMIF('20Ф'!$H:$H,$B:$B,'20Ф'!U:U)*1.2</f>
        <v>0</v>
      </c>
      <c r="ER9" s="236"/>
      <c r="ES9" s="239">
        <f t="shared" si="6"/>
        <v>10728.015110136896</v>
      </c>
      <c r="ET9" s="276">
        <f>$D9/$D$282*'20Ф'!$I$381</f>
        <v>819.95247362397288</v>
      </c>
      <c r="EU9" s="276">
        <f>$D9/$D$282*('20Ф'!$I$75+'20Ф'!$I$1098)*1.2</f>
        <v>9470.8150697326437</v>
      </c>
      <c r="EV9" s="276">
        <f>$D9/$D$282*('20Ф'!$I$1286)</f>
        <v>437.24756678027882</v>
      </c>
      <c r="EW9" s="276">
        <f>SUMIF('91.1Ф'!$N:$N,$B:$B,'91.1Ф'!$F:$F)+$D9/$D$281*('91Ф'!$D$12+'91Ф'!$D$11+'91Ф'!$D$19+'91Ф'!$D$20)</f>
        <v>2527.0010620065377</v>
      </c>
      <c r="EX9" s="276">
        <f t="shared" si="4"/>
        <v>383.24642815239105</v>
      </c>
      <c r="EY9" s="276">
        <f>SUMIF('20Ф'!$H:$H,$B:$B,'20Ф'!$AY:$AY)*1.2</f>
        <v>0</v>
      </c>
      <c r="EZ9" s="295">
        <f>D9/$D$286*'20Ф'!$I$1163</f>
        <v>383.24642815239105</v>
      </c>
      <c r="FA9" s="277">
        <f>SUMIF(отчёт!$B:$B,$B:$B,отчёт!$CU:$CU)/отчёт!$CU$281*'20Ф'!$I$1341</f>
        <v>0</v>
      </c>
      <c r="FB9" s="276">
        <f>SUMIF(Сальдо!$A:$A,$B:$B,Сальдо!$H:$H)-SUMIF(Сальдо!$A:$A,$B:$B,Сальдо!$I:$I)</f>
        <v>0</v>
      </c>
    </row>
    <row r="10" spans="1:158" ht="12" customHeight="1" x14ac:dyDescent="0.25">
      <c r="A10" s="3">
        <f t="shared" si="7"/>
        <v>6</v>
      </c>
      <c r="B10" s="4" t="s">
        <v>1338</v>
      </c>
      <c r="C10" s="4"/>
      <c r="D10" s="5">
        <f>SUMIF(отчёт!$B:$B,$B:$B,отчёт!C:C)</f>
        <v>724.96</v>
      </c>
      <c r="E10" s="5">
        <f>SUMIF(отчёт!$B:$B,$B:$B,отчёт!D:D)</f>
        <v>724.96</v>
      </c>
      <c r="F10" s="5">
        <f>SUMIF(отчёт!$B:$B,$B:$B,отчёт!E:E)</f>
        <v>0</v>
      </c>
      <c r="G10" s="5">
        <f>SUMIF(отчёт!$B:$B,$B:$B,отчёт!F:F)</f>
        <v>94.7</v>
      </c>
      <c r="H10" s="5">
        <f>SUMIF(отчёт!$B:$B,$B:$B,отчёт!I:I)</f>
        <v>0</v>
      </c>
      <c r="I10" s="5">
        <f>SUMIF(отчёт!$B:$B,$B:$B,отчёт!J:J)</f>
        <v>0</v>
      </c>
      <c r="J10" s="3"/>
      <c r="K10" s="105"/>
      <c r="L10" s="105"/>
      <c r="M10" s="7"/>
      <c r="N10" s="8"/>
      <c r="O10" s="8"/>
      <c r="P10" s="8"/>
      <c r="Q10" s="8"/>
      <c r="R10" s="8"/>
      <c r="S10" s="8"/>
      <c r="T10" s="8"/>
      <c r="U10" s="8"/>
      <c r="V10" s="9"/>
      <c r="W10" s="9"/>
      <c r="X10" s="9"/>
      <c r="Y10" s="8"/>
      <c r="Z10" s="9"/>
      <c r="AA10" s="9"/>
      <c r="AB10" s="8"/>
      <c r="AC10" s="10"/>
      <c r="AD10" s="8"/>
      <c r="AE10" s="8"/>
      <c r="AF10" s="8"/>
      <c r="AG10" s="7"/>
      <c r="AH10" s="8"/>
      <c r="AI10" s="8"/>
      <c r="AJ10" s="8"/>
      <c r="AK10" s="8"/>
      <c r="AL10" s="8"/>
      <c r="AM10" s="8"/>
      <c r="AN10" s="8"/>
      <c r="AO10" s="8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275">
        <v>0.93</v>
      </c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1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F10" s="277">
        <f>SUMIF(Оборот!$A:$A,$B:$B,Оборот!H:H)</f>
        <v>247289.40000000002</v>
      </c>
      <c r="CG10" s="277">
        <f>SUMIF(Оборот!$A:$A,$B:$B,Оборот!I:I)</f>
        <v>65115.770000000004</v>
      </c>
      <c r="CH10" s="277">
        <f t="shared" si="0"/>
        <v>260786.56952473731</v>
      </c>
      <c r="CI10" s="239">
        <f t="shared" si="5"/>
        <v>6376.2659590188423</v>
      </c>
      <c r="CJ10" s="276">
        <f>SUMIF('20Ф'!$H:$H,$B:$B,'20Ф'!M:M)*1.2</f>
        <v>0</v>
      </c>
      <c r="CK10" s="276">
        <f>SUMIF('20Ф'!$H:$H,$B:$B,'20Ф'!O:O)*1.2</f>
        <v>0</v>
      </c>
      <c r="CL10" s="276">
        <f>SUMIF('20Ф'!$H:$H,$B:$B,'20Ф'!Q:Q)*1.2</f>
        <v>0</v>
      </c>
      <c r="CM10" s="276">
        <f>SUMIF('20Ф'!$H:$H,$B:$B,'20Ф'!R:R)*1.2</f>
        <v>0</v>
      </c>
      <c r="CN10" s="276">
        <f>SUMIF('20Ф'!$H:$H,$B:$B,'20Ф'!S:S)*1.2</f>
        <v>0</v>
      </c>
      <c r="CO10" s="276">
        <f>SUMIF('20Ф'!$H:$H,$B:$B,'20Ф'!W:W)*1.2</f>
        <v>0</v>
      </c>
      <c r="CP10" s="276">
        <f>SUMIF('20Ф'!$H:$H,$B:$B,'20Ф'!P:P)*1.2</f>
        <v>0</v>
      </c>
      <c r="CQ10" s="276">
        <f>SUMIF('20Ф'!$H:$H,$B:$B,'20Ф'!Y:Y)*1.2</f>
        <v>0</v>
      </c>
      <c r="CR10" s="276">
        <f>SUMIF('20Ф'!$H:$H,$B:$B,'20Ф'!Z:Z)*1.2</f>
        <v>0</v>
      </c>
      <c r="CS10" s="276">
        <f>SUMIF('20Ф'!$H:$H,$B:$B,'20Ф'!AB:AB)*1.2</f>
        <v>0</v>
      </c>
      <c r="CT10" s="276">
        <f>SUMIF('20Ф'!$H:$H,$B:$B,'20Ф'!AC:AC)*1.2</f>
        <v>0</v>
      </c>
      <c r="CU10" s="276">
        <f>SUMIF('20Ф'!$H:$H,$B:$B,'20Ф'!AD:AD)*1.2</f>
        <v>0</v>
      </c>
      <c r="CV10" s="276">
        <f>SUMIF('20Ф'!$H:$H,$B:$B,'20Ф'!AE:AE)*1.2</f>
        <v>0</v>
      </c>
      <c r="CW10" s="276">
        <f>SUMIF('20Ф'!$H:$H,$B:$B,'20Ф'!AF:AF)*1.2</f>
        <v>0</v>
      </c>
      <c r="CX10" s="276">
        <f>SUMIF('20Ф'!$H:$H,$B:$B,'20Ф'!AG:AG)*1.2</f>
        <v>0</v>
      </c>
      <c r="CY10" s="276">
        <f>SUMIF('20Ф'!$H:$H,$B:$B,'20Ф'!AH:AH)*1.2</f>
        <v>0</v>
      </c>
      <c r="CZ10" s="276">
        <f>SUMIF('20Ф'!$H:$H,$B:$B,'20Ф'!AI:AI)*1.2</f>
        <v>0</v>
      </c>
      <c r="DA10" s="276">
        <f>SUMIF('20Ф'!$H:$H,$B:$B,'20Ф'!AJ:AJ)*1.2</f>
        <v>0</v>
      </c>
      <c r="DB10" s="276">
        <f>SUMIF('20Ф'!$H:$H,$B:$B,'20Ф'!AK:AK)*1.2</f>
        <v>0</v>
      </c>
      <c r="DC10" s="276">
        <f>SUMIF('20Ф'!$H:$H,$B:$B,'20Ф'!AL:AL)*1.2</f>
        <v>0</v>
      </c>
      <c r="DD10" s="276">
        <f>SUMIF('20Ф'!$H:$H,$B:$B,'20Ф'!AM:AM)*1.2</f>
        <v>0</v>
      </c>
      <c r="DE10" s="276">
        <f>SUMIF('20Ф'!$H:$H,$B:$B,'20Ф'!AN:AN)*1.2</f>
        <v>0</v>
      </c>
      <c r="DF10" s="276">
        <f>SUMIF('20Ф'!$H:$H,$B:$B,'20Ф'!AO:AO)*1.2</f>
        <v>0</v>
      </c>
      <c r="DG10" s="276">
        <f>SUMIF('20Ф'!$H:$H,$B:$B,'20Ф'!AP:AP)*1.2</f>
        <v>0</v>
      </c>
      <c r="DH10" s="276">
        <f>SUMIF('20Ф'!$H:$H,$B:$B,'20Ф'!AQ:AQ)*1.2</f>
        <v>0</v>
      </c>
      <c r="DI10" s="276">
        <f>SUMIF('20Ф'!$H:$H,$B:$B,'20Ф'!BA:BA)*1.2</f>
        <v>0</v>
      </c>
      <c r="DJ10" s="276">
        <f>SUMIF('20Ф'!$H:$H,$B:$B,'20Ф'!BB:BB)*1.2</f>
        <v>0</v>
      </c>
      <c r="DK10" s="276">
        <f>SUMIF('20Ф'!$H:$H,$B:$B,'20Ф'!BC:BC)*1.2</f>
        <v>0</v>
      </c>
      <c r="DL10" s="276">
        <f>$D10/$D$281*'20Ф'!$H$218</f>
        <v>6376.2659590188423</v>
      </c>
      <c r="DM10" s="240">
        <f t="shared" si="1"/>
        <v>84450.22552376338</v>
      </c>
      <c r="DN10" s="276">
        <f>SUMIF('20Ф'!$H:$H,$B:$B,'20Ф'!AV:AV)*1.2</f>
        <v>0</v>
      </c>
      <c r="DO10" s="276">
        <f>SUMIF('20Ф'!$H:$H,$B:$B,'20Ф'!AW:AW)*1.2+$D10/$D$281*'26Ф'!$D$42</f>
        <v>3393.1186815455526</v>
      </c>
      <c r="DP10" s="276">
        <f>SUMIF('20Ф'!$H:$H,$B:$B,'20Ф'!AX:AX)*1.2</f>
        <v>0</v>
      </c>
      <c r="DQ10" s="276">
        <f>SUMIF('20Ф'!$H:$H,$B:$B,'20Ф'!AY:AY)*1.2</f>
        <v>9861</v>
      </c>
      <c r="DR10" s="276">
        <f>SUMIF('20Ф'!$H:$H,$B:$B,'20Ф'!AU:AU)*1.2</f>
        <v>0</v>
      </c>
      <c r="DS10" s="276">
        <f>SUMIF('20Ф'!$H:$H,$B:$B,'20Ф'!AS:AS)*1.2</f>
        <v>7559.3759999999993</v>
      </c>
      <c r="DT10" s="276">
        <f>SUMIF('20Ф'!$H:$H,$B:$B,'20Ф'!AR:AR)*1.2</f>
        <v>0</v>
      </c>
      <c r="DU10" s="276">
        <f>SUMIF('20Ф'!$H:$H,$B:$B,'20Ф'!X:X)*1.2</f>
        <v>3782.6639999999998</v>
      </c>
      <c r="DV10" s="276">
        <f>SUMIF('20Ф'!$H:$H,$B:$B,'20Ф'!AA:AA)*1.2</f>
        <v>0</v>
      </c>
      <c r="DW10" s="276">
        <f>SUMIF('20Ф'!$H:$H,$B:$B,'20Ф'!N:N)*1.2</f>
        <v>0</v>
      </c>
      <c r="DX10" s="276">
        <f>$D10/$D$281*('25Ф'!$D$37)</f>
        <v>57034.080165797961</v>
      </c>
      <c r="DY10" s="276">
        <f>$D10/$D$281*'25Ф'!$D$30</f>
        <v>1820.3487987035603</v>
      </c>
      <c r="DZ10" s="276">
        <f>$D10/$D$281*'25Ф'!$D$31</f>
        <v>999.63787771630405</v>
      </c>
      <c r="EA10" s="276"/>
      <c r="EB10" s="276">
        <f t="shared" si="2"/>
        <v>35932.365657690898</v>
      </c>
      <c r="EC10" s="276">
        <f>$D10/$D$281*'26Ф'!$D$36</f>
        <v>18703.953518088681</v>
      </c>
      <c r="ED10" s="276">
        <f>$D10/$D$281*'26Ф'!$D$37</f>
        <v>2247.2600389865688</v>
      </c>
      <c r="EE10" s="276">
        <f>$D10/$D$281*'26Ф'!$D$38</f>
        <v>2270.3079020210384</v>
      </c>
      <c r="EF10" s="276">
        <f>$D10/$D$281*'26Ф'!$D$39</f>
        <v>1592.6189212113359</v>
      </c>
      <c r="EG10" s="276">
        <f>$D10/$D$281*'91Ф'!$D$10</f>
        <v>491.32227483236761</v>
      </c>
      <c r="EH10" s="276">
        <f>$D10/$D$281*('20Ф'!$I$509+'26Ф'!$D$41+'20Ф'!$I$507)</f>
        <v>3475.9433096720027</v>
      </c>
      <c r="EI10" s="276">
        <f>$D10/$D$281*'91Ф'!$D$31</f>
        <v>6371.9146321419748</v>
      </c>
      <c r="EJ10" s="276">
        <f>$D10/$D$281*'20Ф'!$I$1316</f>
        <v>779.0450607369296</v>
      </c>
      <c r="EK10" s="276">
        <f>$D10/$D$281*('20Ф'!$I$1105+'20Ф'!$I$1282+'91Ф'!$D$17+'91Ф'!$D$41)</f>
        <v>25584.707728818285</v>
      </c>
      <c r="EL10" s="276">
        <f>$D10/$D$281*отчёт!BX$294</f>
        <v>42769.828595714112</v>
      </c>
      <c r="EM10" s="276">
        <f>$D10/$D$281*отчёт!BY$294</f>
        <v>37613.768449368326</v>
      </c>
      <c r="EN10" s="276">
        <f>SUMIF(отчёт!$B:$B,$B:$B,отчёт!BZ:BZ)/отчёт!BZ$281*('60Ф'!$O$151+'60Ф'!$P$151)*отчёт!BZ$293</f>
        <v>0</v>
      </c>
      <c r="EO10" s="240">
        <f t="shared" si="3"/>
        <v>0</v>
      </c>
      <c r="EP10" s="276">
        <f>SUMIF('20Ф'!$H:$H,$B:$B,'20Ф'!T:T)*1.2</f>
        <v>0</v>
      </c>
      <c r="EQ10" s="276">
        <f>SUMIF('20Ф'!$H:$H,$B:$B,'20Ф'!U:U)*1.2</f>
        <v>0</v>
      </c>
      <c r="ER10" s="236"/>
      <c r="ES10" s="239">
        <f t="shared" si="6"/>
        <v>14315.077920568461</v>
      </c>
      <c r="ET10" s="276">
        <f>$D10/$D$282*'20Ф'!$I$381</f>
        <v>1094.1151210720329</v>
      </c>
      <c r="EU10" s="276">
        <f>$D10/$D$282*('20Ф'!$I$75+'20Ф'!$I$1098)*1.2</f>
        <v>12637.515356071008</v>
      </c>
      <c r="EV10" s="276">
        <f>$D10/$D$282*('20Ф'!$I$1286)</f>
        <v>583.44744342542049</v>
      </c>
      <c r="EW10" s="276">
        <f>SUMIF('91.1Ф'!$N:$N,$B:$B,'91.1Ф'!$F:$F)+$D10/$D$281*('91Ф'!$D$12+'91Ф'!$D$11+'91Ф'!$D$19+'91Ф'!$D$20)</f>
        <v>3371.939425570145</v>
      </c>
      <c r="EX10" s="276">
        <f t="shared" si="4"/>
        <v>10372.390264224843</v>
      </c>
      <c r="EY10" s="276">
        <f>SUMIF('20Ф'!$H:$H,$B:$B,'20Ф'!$AY:$AY)*1.2</f>
        <v>9861</v>
      </c>
      <c r="EZ10" s="295">
        <f>D10/$D$286*'20Ф'!$I$1163</f>
        <v>511.39026422484346</v>
      </c>
      <c r="FA10" s="277">
        <f>SUMIF(отчёт!$B:$B,$B:$B,отчёт!$CU:$CU)/отчёт!$CU$281*'20Ф'!$I$1341</f>
        <v>0</v>
      </c>
      <c r="FB10" s="276">
        <f>SUMIF(Сальдо!$A:$A,$B:$B,Сальдо!$H:$H)-SUMIF(Сальдо!$A:$A,$B:$B,Сальдо!$I:$I)</f>
        <v>0</v>
      </c>
    </row>
    <row r="11" spans="1:158" ht="12" customHeight="1" x14ac:dyDescent="0.25">
      <c r="A11" s="3">
        <f t="shared" si="7"/>
        <v>7</v>
      </c>
      <c r="B11" s="4" t="s">
        <v>53</v>
      </c>
      <c r="C11" s="4" t="s">
        <v>53</v>
      </c>
      <c r="D11" s="5">
        <f>SUMIF(отчёт!$B:$B,$B:$B,отчёт!C:C)</f>
        <v>1102.18</v>
      </c>
      <c r="E11" s="5">
        <f>SUMIF(отчёт!$B:$B,$B:$B,отчёт!D:D)</f>
        <v>1102.18</v>
      </c>
      <c r="F11" s="5">
        <f>SUMIF(отчёт!$B:$B,$B:$B,отчёт!E:E)</f>
        <v>0</v>
      </c>
      <c r="G11" s="5">
        <f>SUMIF(отчёт!$B:$B,$B:$B,отчёт!F:F)</f>
        <v>139.9</v>
      </c>
      <c r="H11" s="5">
        <f>SUMIF(отчёт!$B:$B,$B:$B,отчёт!I:I)</f>
        <v>0</v>
      </c>
      <c r="I11" s="5">
        <f>SUMIF(отчёт!$B:$B,$B:$B,отчёт!J:J)</f>
        <v>0</v>
      </c>
      <c r="J11" s="3" t="s">
        <v>51</v>
      </c>
      <c r="K11" s="105">
        <v>7</v>
      </c>
      <c r="L11" s="105" t="s">
        <v>52</v>
      </c>
      <c r="M11" s="7">
        <v>31</v>
      </c>
      <c r="N11" s="8">
        <v>5.0999999999999996</v>
      </c>
      <c r="O11" s="8">
        <v>6.59</v>
      </c>
      <c r="P11" s="8">
        <v>8.98</v>
      </c>
      <c r="Q11" s="8">
        <v>6.92</v>
      </c>
      <c r="R11" s="8">
        <v>3.15</v>
      </c>
      <c r="S11" s="8">
        <v>0</v>
      </c>
      <c r="T11" s="8">
        <v>0</v>
      </c>
      <c r="U11" s="8">
        <v>0.26</v>
      </c>
      <c r="V11" s="9">
        <v>40</v>
      </c>
      <c r="W11" s="9">
        <v>40</v>
      </c>
      <c r="X11" s="9">
        <v>2604.04</v>
      </c>
      <c r="Y11" s="8">
        <v>195.98199600000001</v>
      </c>
      <c r="Z11" s="9">
        <v>42.3</v>
      </c>
      <c r="AA11" s="9">
        <v>2604.04</v>
      </c>
      <c r="AB11" s="8">
        <v>7.85</v>
      </c>
      <c r="AC11" s="10">
        <v>0</v>
      </c>
      <c r="AD11" s="8">
        <v>6.73</v>
      </c>
      <c r="AE11" s="8">
        <v>10.67</v>
      </c>
      <c r="AF11" s="8">
        <v>14</v>
      </c>
      <c r="AG11" s="7">
        <v>205005.48</v>
      </c>
      <c r="AH11" s="8">
        <v>33726.707999999999</v>
      </c>
      <c r="AI11" s="8">
        <v>43580.197200000002</v>
      </c>
      <c r="AJ11" s="8">
        <v>59385.45840000001</v>
      </c>
      <c r="AK11" s="8">
        <v>45762.513600000006</v>
      </c>
      <c r="AL11" s="8">
        <v>20831.202000000001</v>
      </c>
      <c r="AM11" s="8">
        <v>0</v>
      </c>
      <c r="AN11" s="8">
        <v>0</v>
      </c>
      <c r="AO11" s="8">
        <v>1719.4007999999999</v>
      </c>
      <c r="AQ11" s="104">
        <v>33.17</v>
      </c>
      <c r="AR11" s="370">
        <v>13.89</v>
      </c>
      <c r="AS11" s="370"/>
      <c r="AT11" s="104">
        <v>5.9</v>
      </c>
      <c r="AU11" s="104">
        <v>1.53</v>
      </c>
      <c r="AV11" s="104">
        <v>0.32</v>
      </c>
      <c r="AW11" s="104">
        <v>0.6</v>
      </c>
      <c r="AX11" s="104">
        <v>5.01</v>
      </c>
      <c r="AY11" s="104">
        <v>4.99</v>
      </c>
      <c r="AZ11" s="104">
        <v>0</v>
      </c>
      <c r="BA11" s="104">
        <v>0</v>
      </c>
      <c r="BB11" s="104">
        <v>0</v>
      </c>
      <c r="BC11" s="101">
        <v>0.93</v>
      </c>
      <c r="BD11" s="104">
        <v>37.581610000000005</v>
      </c>
      <c r="BE11" s="370">
        <v>15.737370000000004</v>
      </c>
      <c r="BF11" s="370">
        <v>0</v>
      </c>
      <c r="BG11" s="104">
        <v>6.6847000000000012</v>
      </c>
      <c r="BH11" s="104">
        <v>1.7334900000000002</v>
      </c>
      <c r="BI11" s="104">
        <v>0.36256000000000005</v>
      </c>
      <c r="BJ11" s="104">
        <v>0.67980000000000007</v>
      </c>
      <c r="BK11" s="104">
        <v>5.6763300000000001</v>
      </c>
      <c r="BL11" s="104">
        <v>5.65367</v>
      </c>
      <c r="BM11" s="104">
        <v>0</v>
      </c>
      <c r="BN11" s="104">
        <v>0</v>
      </c>
      <c r="BO11" s="104">
        <v>0</v>
      </c>
      <c r="BP11" s="101">
        <v>1.0536900000000002</v>
      </c>
      <c r="BQ11" s="103">
        <v>487335.61029800004</v>
      </c>
      <c r="BR11" s="371">
        <v>204072.70506600005</v>
      </c>
      <c r="BS11" s="371">
        <v>0</v>
      </c>
      <c r="BT11" s="103">
        <v>86683.150460000004</v>
      </c>
      <c r="BU11" s="103">
        <v>22478.850882000002</v>
      </c>
      <c r="BV11" s="103">
        <v>4701.4590080000007</v>
      </c>
      <c r="BW11" s="103">
        <v>8815.2356400000026</v>
      </c>
      <c r="BX11" s="103">
        <v>73607.217594000002</v>
      </c>
      <c r="BY11" s="103">
        <v>73313.37640600001</v>
      </c>
      <c r="BZ11" s="103">
        <v>0</v>
      </c>
      <c r="CA11" s="103">
        <v>0</v>
      </c>
      <c r="CB11" s="103">
        <v>0</v>
      </c>
      <c r="CC11" s="103">
        <v>13663.615242000003</v>
      </c>
      <c r="CD11" s="1">
        <v>1</v>
      </c>
      <c r="CF11" s="277">
        <f>SUMIF(Оборот!$A:$A,$B:$B,Оборот!H:H)</f>
        <v>419577.84000000008</v>
      </c>
      <c r="CG11" s="277">
        <f>SUMIF(Оборот!$A:$A,$B:$B,Оборот!I:I)</f>
        <v>344162.22000000003</v>
      </c>
      <c r="CH11" s="277">
        <f t="shared" si="0"/>
        <v>429577.62865313247</v>
      </c>
      <c r="CI11" s="239">
        <f t="shared" si="5"/>
        <v>14617.078174342565</v>
      </c>
      <c r="CJ11" s="276">
        <f>SUMIF('20Ф'!$H:$H,$B:$B,'20Ф'!M:M)*1.2</f>
        <v>0</v>
      </c>
      <c r="CK11" s="276">
        <f>SUMIF('20Ф'!$H:$H,$B:$B,'20Ф'!O:O)*1.2</f>
        <v>0</v>
      </c>
      <c r="CL11" s="276">
        <f>SUMIF('20Ф'!$H:$H,$B:$B,'20Ф'!Q:Q)*1.2</f>
        <v>0</v>
      </c>
      <c r="CM11" s="276">
        <f>SUMIF('20Ф'!$H:$H,$B:$B,'20Ф'!R:R)*1.2</f>
        <v>0</v>
      </c>
      <c r="CN11" s="276">
        <f>SUMIF('20Ф'!$H:$H,$B:$B,'20Ф'!S:S)*1.2</f>
        <v>0</v>
      </c>
      <c r="CO11" s="276">
        <f>SUMIF('20Ф'!$H:$H,$B:$B,'20Ф'!W:W)*1.2</f>
        <v>0</v>
      </c>
      <c r="CP11" s="276">
        <f>SUMIF('20Ф'!$H:$H,$B:$B,'20Ф'!P:P)*1.2</f>
        <v>0</v>
      </c>
      <c r="CQ11" s="276">
        <f>SUMIF('20Ф'!$H:$H,$B:$B,'20Ф'!Y:Y)*1.2</f>
        <v>0</v>
      </c>
      <c r="CR11" s="276">
        <f>SUMIF('20Ф'!$H:$H,$B:$B,'20Ф'!Z:Z)*1.2</f>
        <v>0</v>
      </c>
      <c r="CS11" s="276">
        <f>SUMIF('20Ф'!$H:$H,$B:$B,'20Ф'!AB:AB)*1.2</f>
        <v>0</v>
      </c>
      <c r="CT11" s="276">
        <f>SUMIF('20Ф'!$H:$H,$B:$B,'20Ф'!AC:AC)*1.2</f>
        <v>0</v>
      </c>
      <c r="CU11" s="276">
        <f>SUMIF('20Ф'!$H:$H,$B:$B,'20Ф'!AD:AD)*1.2</f>
        <v>0</v>
      </c>
      <c r="CV11" s="276">
        <f>SUMIF('20Ф'!$H:$H,$B:$B,'20Ф'!AE:AE)*1.2</f>
        <v>0</v>
      </c>
      <c r="CW11" s="276">
        <f>SUMIF('20Ф'!$H:$H,$B:$B,'20Ф'!AF:AF)*1.2</f>
        <v>0</v>
      </c>
      <c r="CX11" s="276">
        <f>SUMIF('20Ф'!$H:$H,$B:$B,'20Ф'!AG:AG)*1.2</f>
        <v>0</v>
      </c>
      <c r="CY11" s="276">
        <f>SUMIF('20Ф'!$H:$H,$B:$B,'20Ф'!AH:AH)*1.2</f>
        <v>0</v>
      </c>
      <c r="CZ11" s="276">
        <f>SUMIF('20Ф'!$H:$H,$B:$B,'20Ф'!AI:AI)*1.2</f>
        <v>0</v>
      </c>
      <c r="DA11" s="276">
        <f>SUMIF('20Ф'!$H:$H,$B:$B,'20Ф'!AJ:AJ)*1.2</f>
        <v>4923.0359999999991</v>
      </c>
      <c r="DB11" s="276">
        <f>SUMIF('20Ф'!$H:$H,$B:$B,'20Ф'!AK:AK)*1.2</f>
        <v>0</v>
      </c>
      <c r="DC11" s="276">
        <f>SUMIF('20Ф'!$H:$H,$B:$B,'20Ф'!AL:AL)*1.2</f>
        <v>0</v>
      </c>
      <c r="DD11" s="276">
        <f>SUMIF('20Ф'!$H:$H,$B:$B,'20Ф'!AM:AM)*1.2</f>
        <v>0</v>
      </c>
      <c r="DE11" s="276">
        <f>SUMIF('20Ф'!$H:$H,$B:$B,'20Ф'!AN:AN)*1.2</f>
        <v>0</v>
      </c>
      <c r="DF11" s="276">
        <f>SUMIF('20Ф'!$H:$H,$B:$B,'20Ф'!AO:AO)*1.2</f>
        <v>0</v>
      </c>
      <c r="DG11" s="276">
        <f>SUMIF('20Ф'!$H:$H,$B:$B,'20Ф'!AP:AP)*1.2</f>
        <v>0</v>
      </c>
      <c r="DH11" s="276">
        <f>SUMIF('20Ф'!$H:$H,$B:$B,'20Ф'!AQ:AQ)*1.2</f>
        <v>0</v>
      </c>
      <c r="DI11" s="276">
        <f>SUMIF('20Ф'!$H:$H,$B:$B,'20Ф'!BA:BA)*1.2</f>
        <v>0</v>
      </c>
      <c r="DJ11" s="276">
        <f>SUMIF('20Ф'!$H:$H,$B:$B,'20Ф'!BB:BB)*1.2</f>
        <v>0</v>
      </c>
      <c r="DK11" s="276">
        <f>SUMIF('20Ф'!$H:$H,$B:$B,'20Ф'!BC:BC)*1.2</f>
        <v>0</v>
      </c>
      <c r="DL11" s="276">
        <f>$D11/$D$281*'20Ф'!$H$218</f>
        <v>9694.0421743425668</v>
      </c>
      <c r="DM11" s="240">
        <f t="shared" si="1"/>
        <v>157111.77394452316</v>
      </c>
      <c r="DN11" s="276">
        <f>SUMIF('20Ф'!$H:$H,$B:$B,'20Ф'!AV:AV)*1.2</f>
        <v>0</v>
      </c>
      <c r="DO11" s="276">
        <f>SUMIF('20Ф'!$H:$H,$B:$B,'20Ф'!AW:AW)*1.2+$D11/$D$281*'26Ф'!$D$42</f>
        <v>5158.6674415497091</v>
      </c>
      <c r="DP11" s="276">
        <f>SUMIF('20Ф'!$H:$H,$B:$B,'20Ф'!AX:AX)*1.2</f>
        <v>0</v>
      </c>
      <c r="DQ11" s="276">
        <f>SUMIF('20Ф'!$H:$H,$B:$B,'20Ф'!AY:AY)*1.2</f>
        <v>14445</v>
      </c>
      <c r="DR11" s="276">
        <f>SUMIF('20Ф'!$H:$H,$B:$B,'20Ф'!AU:AU)*1.2</f>
        <v>0</v>
      </c>
      <c r="DS11" s="276">
        <f>SUMIF('20Ф'!$H:$H,$B:$B,'20Ф'!AS:AS)*1.2</f>
        <v>27780.54</v>
      </c>
      <c r="DT11" s="276">
        <f>SUMIF('20Ф'!$H:$H,$B:$B,'20Ф'!AR:AR)*1.2</f>
        <v>0</v>
      </c>
      <c r="DU11" s="276">
        <f>SUMIF('20Ф'!$H:$H,$B:$B,'20Ф'!X:X)*1.2</f>
        <v>18729.504000000001</v>
      </c>
      <c r="DV11" s="276">
        <f>SUMIF('20Ф'!$H:$H,$B:$B,'20Ф'!AA:AA)*1.2</f>
        <v>0</v>
      </c>
      <c r="DW11" s="276">
        <f>SUMIF('20Ф'!$H:$H,$B:$B,'20Ф'!N:N)*1.2</f>
        <v>0</v>
      </c>
      <c r="DX11" s="276">
        <f>$D11/$D$281*('25Ф'!$D$37)</f>
        <v>86710.746078596334</v>
      </c>
      <c r="DY11" s="276">
        <f>$D11/$D$281*'25Ф'!$D$30</f>
        <v>2767.5348142726357</v>
      </c>
      <c r="DZ11" s="276">
        <f>$D11/$D$281*'25Ф'!$D$31</f>
        <v>1519.7816101044968</v>
      </c>
      <c r="EA11" s="276"/>
      <c r="EB11" s="276">
        <f t="shared" si="2"/>
        <v>54629.130959768467</v>
      </c>
      <c r="EC11" s="276">
        <f>$D11/$D$281*'26Ф'!$D$36</f>
        <v>28436.221982684536</v>
      </c>
      <c r="ED11" s="276">
        <f>$D11/$D$281*'26Ф'!$D$37</f>
        <v>3416.5817007424084</v>
      </c>
      <c r="EE11" s="276">
        <f>$D11/$D$281*'26Ф'!$D$38</f>
        <v>3451.6221080467171</v>
      </c>
      <c r="EF11" s="276">
        <f>$D11/$D$281*'26Ф'!$D$39</f>
        <v>2421.3097585807632</v>
      </c>
      <c r="EG11" s="276">
        <f>$D11/$D$281*'91Ф'!$D$10</f>
        <v>746.9730535129371</v>
      </c>
      <c r="EH11" s="276">
        <f>$D11/$D$281*('20Ф'!$I$509+'26Ф'!$D$41+'20Ф'!$I$507)</f>
        <v>5284.5883870203697</v>
      </c>
      <c r="EI11" s="276">
        <f>$D11/$D$281*'91Ф'!$D$31</f>
        <v>9687.4267121692792</v>
      </c>
      <c r="EJ11" s="276">
        <f>$D11/$D$281*'20Ф'!$I$1316</f>
        <v>1184.4072570114613</v>
      </c>
      <c r="EK11" s="276">
        <f>$D11/$D$281*('20Ф'!$I$1105+'20Ф'!$I$1282+'91Ф'!$D$17+'91Ф'!$D$41)</f>
        <v>38897.2538685568</v>
      </c>
      <c r="EL11" s="276">
        <f>$D11/$D$281*отчёт!BX$294</f>
        <v>65024.345731659923</v>
      </c>
      <c r="EM11" s="276">
        <f>$D11/$D$281*отчёт!BY$294</f>
        <v>57185.421691575786</v>
      </c>
      <c r="EN11" s="276">
        <f>SUMIF(отчёт!$B:$B,$B:$B,отчёт!BZ:BZ)/отчёт!BZ$281*('60Ф'!$O$151+'60Ф'!$P$151)*отчёт!BZ$293</f>
        <v>0</v>
      </c>
      <c r="EO11" s="240">
        <f t="shared" si="3"/>
        <v>0</v>
      </c>
      <c r="EP11" s="276">
        <f>SUMIF('20Ф'!$H:$H,$B:$B,'20Ф'!T:T)*1.2</f>
        <v>0</v>
      </c>
      <c r="EQ11" s="276">
        <f>SUMIF('20Ф'!$H:$H,$B:$B,'20Ф'!U:U)*1.2</f>
        <v>0</v>
      </c>
      <c r="ER11" s="236"/>
      <c r="ES11" s="239">
        <f t="shared" si="6"/>
        <v>21763.673281963343</v>
      </c>
      <c r="ET11" s="276">
        <f>$D11/$D$282*'20Ф'!$I$381</f>
        <v>1663.4184012127198</v>
      </c>
      <c r="EU11" s="276">
        <f>$D11/$D$282*('20Ф'!$I$75+'20Ф'!$I$1098)*1.2</f>
        <v>19213.220971025083</v>
      </c>
      <c r="EV11" s="276">
        <f>$D11/$D$282*('20Ф'!$I$1286)</f>
        <v>887.03390972554359</v>
      </c>
      <c r="EW11" s="276">
        <f>SUMIF('91.1Ф'!$N:$N,$B:$B,'91.1Ф'!$F:$F)+$D11/$D$281*('91Ф'!$D$12+'91Ф'!$D$11+'91Ф'!$D$19+'91Ф'!$D$20)</f>
        <v>5126.4679376447011</v>
      </c>
      <c r="EX11" s="276">
        <f t="shared" si="4"/>
        <v>15222.483063097741</v>
      </c>
      <c r="EY11" s="276">
        <f>SUMIF('20Ф'!$H:$H,$B:$B,'20Ф'!$AY:$AY)*1.2</f>
        <v>14445</v>
      </c>
      <c r="EZ11" s="295">
        <f>D11/$D$286*'20Ф'!$I$1163</f>
        <v>777.48306309774057</v>
      </c>
      <c r="FA11" s="277">
        <f>SUMIF(отчёт!$B:$B,$B:$B,отчёт!$CU:$CU)/отчёт!$CU$281*'20Ф'!$I$1341</f>
        <v>0</v>
      </c>
      <c r="FB11" s="276">
        <f>SUMIF(Сальдо!$A:$A,$B:$B,Сальдо!$H:$H)-SUMIF(Сальдо!$A:$A,$B:$B,Сальдо!$I:$I)</f>
        <v>793551.57</v>
      </c>
    </row>
    <row r="12" spans="1:158" ht="12" customHeight="1" x14ac:dyDescent="0.25">
      <c r="A12" s="3">
        <f t="shared" si="7"/>
        <v>8</v>
      </c>
      <c r="B12" s="4" t="s">
        <v>54</v>
      </c>
      <c r="C12" s="4" t="s">
        <v>54</v>
      </c>
      <c r="D12" s="5">
        <f>SUMIF(отчёт!$B:$B,$B:$B,отчёт!C:C)</f>
        <v>1647.35</v>
      </c>
      <c r="E12" s="5">
        <f>SUMIF(отчёт!$B:$B,$B:$B,отчёт!D:D)</f>
        <v>1311.85</v>
      </c>
      <c r="F12" s="5">
        <f>SUMIF(отчёт!$B:$B,$B:$B,отчёт!E:E)</f>
        <v>335.5</v>
      </c>
      <c r="G12" s="5">
        <f>SUMIF(отчёт!$B:$B,$B:$B,отчёт!F:F)</f>
        <v>230.1</v>
      </c>
      <c r="H12" s="5">
        <f>SUMIF(отчёт!$B:$B,$B:$B,отчёт!I:I)</f>
        <v>0</v>
      </c>
      <c r="I12" s="5">
        <f>SUMIF(отчёт!$B:$B,$B:$B,отчёт!J:J)</f>
        <v>0</v>
      </c>
      <c r="J12" s="3" t="s">
        <v>51</v>
      </c>
      <c r="K12" s="105">
        <v>7</v>
      </c>
      <c r="L12" s="105" t="s">
        <v>52</v>
      </c>
      <c r="M12" s="7">
        <v>31</v>
      </c>
      <c r="N12" s="8">
        <v>5.0999999999999996</v>
      </c>
      <c r="O12" s="8">
        <v>6.59</v>
      </c>
      <c r="P12" s="8">
        <v>8.98</v>
      </c>
      <c r="Q12" s="8">
        <v>6.92</v>
      </c>
      <c r="R12" s="8">
        <v>3.15</v>
      </c>
      <c r="S12" s="8">
        <v>0</v>
      </c>
      <c r="T12" s="8">
        <v>0</v>
      </c>
      <c r="U12" s="8">
        <v>0.26</v>
      </c>
      <c r="V12" s="9">
        <v>40</v>
      </c>
      <c r="W12" s="9">
        <v>40</v>
      </c>
      <c r="X12" s="9">
        <v>2604.04</v>
      </c>
      <c r="Y12" s="8">
        <v>195.98199600000001</v>
      </c>
      <c r="Z12" s="9">
        <v>42.3</v>
      </c>
      <c r="AA12" s="9">
        <v>2604.04</v>
      </c>
      <c r="AB12" s="8">
        <v>7.85</v>
      </c>
      <c r="AC12" s="10">
        <v>0</v>
      </c>
      <c r="AD12" s="8">
        <v>6.73</v>
      </c>
      <c r="AE12" s="8">
        <v>10.67</v>
      </c>
      <c r="AF12" s="8">
        <v>14</v>
      </c>
      <c r="AG12" s="7">
        <v>306407.09999999998</v>
      </c>
      <c r="AH12" s="8">
        <v>50408.909999999989</v>
      </c>
      <c r="AI12" s="8">
        <v>65136.21899999999</v>
      </c>
      <c r="AJ12" s="8">
        <v>88759.217999999993</v>
      </c>
      <c r="AK12" s="8">
        <v>68397.971999999994</v>
      </c>
      <c r="AL12" s="8">
        <v>31134.914999999994</v>
      </c>
      <c r="AM12" s="8">
        <v>0</v>
      </c>
      <c r="AN12" s="8">
        <v>0</v>
      </c>
      <c r="AO12" s="8">
        <v>2569.866</v>
      </c>
      <c r="AQ12" s="104">
        <v>33.17</v>
      </c>
      <c r="AR12" s="370">
        <v>13.89</v>
      </c>
      <c r="AS12" s="370"/>
      <c r="AT12" s="104">
        <v>5.9</v>
      </c>
      <c r="AU12" s="104">
        <v>1.53</v>
      </c>
      <c r="AV12" s="104">
        <v>0.32</v>
      </c>
      <c r="AW12" s="104">
        <v>0.6</v>
      </c>
      <c r="AX12" s="104">
        <v>5.01</v>
      </c>
      <c r="AY12" s="104">
        <v>4.99</v>
      </c>
      <c r="AZ12" s="104">
        <v>0</v>
      </c>
      <c r="BA12" s="104">
        <v>0</v>
      </c>
      <c r="BB12" s="104">
        <v>0</v>
      </c>
      <c r="BC12" s="101">
        <v>0.93</v>
      </c>
      <c r="BD12" s="104">
        <v>37.581610000000005</v>
      </c>
      <c r="BE12" s="370">
        <v>15.737370000000004</v>
      </c>
      <c r="BF12" s="370">
        <v>0</v>
      </c>
      <c r="BG12" s="104">
        <v>6.6847000000000012</v>
      </c>
      <c r="BH12" s="104">
        <v>1.7334900000000002</v>
      </c>
      <c r="BI12" s="104">
        <v>0.36256000000000005</v>
      </c>
      <c r="BJ12" s="104">
        <v>0.67980000000000007</v>
      </c>
      <c r="BK12" s="104">
        <v>5.6763300000000001</v>
      </c>
      <c r="BL12" s="104">
        <v>5.65367</v>
      </c>
      <c r="BM12" s="104">
        <v>0</v>
      </c>
      <c r="BN12" s="104">
        <v>0</v>
      </c>
      <c r="BO12" s="104">
        <v>0</v>
      </c>
      <c r="BP12" s="101">
        <v>1.0536900000000002</v>
      </c>
      <c r="BQ12" s="103">
        <v>728385.85133500001</v>
      </c>
      <c r="BR12" s="371">
        <v>305012.94769500004</v>
      </c>
      <c r="BS12" s="371">
        <v>0</v>
      </c>
      <c r="BT12" s="103">
        <v>129559.13545</v>
      </c>
      <c r="BU12" s="103">
        <v>33597.538515</v>
      </c>
      <c r="BV12" s="103">
        <v>7026.9361599999993</v>
      </c>
      <c r="BW12" s="103">
        <v>13175.505300000001</v>
      </c>
      <c r="BX12" s="103">
        <v>110015.46925499999</v>
      </c>
      <c r="BY12" s="103">
        <v>109576.285745</v>
      </c>
      <c r="BZ12" s="103">
        <v>0</v>
      </c>
      <c r="CA12" s="103">
        <v>0</v>
      </c>
      <c r="CB12" s="103">
        <v>0</v>
      </c>
      <c r="CC12" s="103">
        <v>20422.033215000003</v>
      </c>
      <c r="CD12" s="1">
        <v>1</v>
      </c>
      <c r="CF12" s="277">
        <f>SUMIF(Оборот!$A:$A,$B:$B,Оборот!H:H)</f>
        <v>499389.52999999997</v>
      </c>
      <c r="CG12" s="277">
        <f>SUMIF(Оборот!$A:$A,$B:$B,Оборот!I:I)</f>
        <v>512958.61000000004</v>
      </c>
      <c r="CH12" s="277">
        <f t="shared" si="0"/>
        <v>659578.16420582635</v>
      </c>
      <c r="CI12" s="239">
        <f t="shared" si="5"/>
        <v>86718.758879151515</v>
      </c>
      <c r="CJ12" s="276">
        <f>SUMIF('20Ф'!$H:$H,$B:$B,'20Ф'!M:M)*1.2</f>
        <v>0</v>
      </c>
      <c r="CK12" s="276">
        <f>SUMIF('20Ф'!$H:$H,$B:$B,'20Ф'!O:O)*1.2</f>
        <v>0</v>
      </c>
      <c r="CL12" s="276">
        <f>SUMIF('20Ф'!$H:$H,$B:$B,'20Ф'!Q:Q)*1.2</f>
        <v>0</v>
      </c>
      <c r="CM12" s="276">
        <f>SUMIF('20Ф'!$H:$H,$B:$B,'20Ф'!R:R)*1.2</f>
        <v>0</v>
      </c>
      <c r="CN12" s="276">
        <f>SUMIF('20Ф'!$H:$H,$B:$B,'20Ф'!S:S)*1.2</f>
        <v>0</v>
      </c>
      <c r="CO12" s="276">
        <f>SUMIF('20Ф'!$H:$H,$B:$B,'20Ф'!W:W)*1.2</f>
        <v>0</v>
      </c>
      <c r="CP12" s="276">
        <f>SUMIF('20Ф'!$H:$H,$B:$B,'20Ф'!P:P)*1.2</f>
        <v>0</v>
      </c>
      <c r="CQ12" s="276">
        <f>SUMIF('20Ф'!$H:$H,$B:$B,'20Ф'!Y:Y)*1.2</f>
        <v>0</v>
      </c>
      <c r="CR12" s="276">
        <f>SUMIF('20Ф'!$H:$H,$B:$B,'20Ф'!Z:Z)*1.2</f>
        <v>0</v>
      </c>
      <c r="CS12" s="276">
        <f>SUMIF('20Ф'!$H:$H,$B:$B,'20Ф'!AB:AB)*1.2</f>
        <v>0</v>
      </c>
      <c r="CT12" s="276">
        <f>SUMIF('20Ф'!$H:$H,$B:$B,'20Ф'!AC:AC)*1.2</f>
        <v>0</v>
      </c>
      <c r="CU12" s="276">
        <f>SUMIF('20Ф'!$H:$H,$B:$B,'20Ф'!AD:AD)*1.2</f>
        <v>0</v>
      </c>
      <c r="CV12" s="276">
        <f>SUMIF('20Ф'!$H:$H,$B:$B,'20Ф'!AE:AE)*1.2</f>
        <v>0</v>
      </c>
      <c r="CW12" s="276">
        <f>SUMIF('20Ф'!$H:$H,$B:$B,'20Ф'!AF:AF)*1.2</f>
        <v>0</v>
      </c>
      <c r="CX12" s="276">
        <f>SUMIF('20Ф'!$H:$H,$B:$B,'20Ф'!AG:AG)*1.2</f>
        <v>0</v>
      </c>
      <c r="CY12" s="276">
        <f>SUMIF('20Ф'!$H:$H,$B:$B,'20Ф'!AH:AH)*1.2</f>
        <v>72229.763999999996</v>
      </c>
      <c r="CZ12" s="276">
        <f>SUMIF('20Ф'!$H:$H,$B:$B,'20Ф'!AI:AI)*1.2</f>
        <v>0</v>
      </c>
      <c r="DA12" s="276">
        <f>SUMIF('20Ф'!$H:$H,$B:$B,'20Ф'!AJ:AJ)*1.2</f>
        <v>0</v>
      </c>
      <c r="DB12" s="276">
        <f>SUMIF('20Ф'!$H:$H,$B:$B,'20Ф'!AK:AK)*1.2</f>
        <v>0</v>
      </c>
      <c r="DC12" s="276">
        <f>SUMIF('20Ф'!$H:$H,$B:$B,'20Ф'!AL:AL)*1.2</f>
        <v>0</v>
      </c>
      <c r="DD12" s="276">
        <f>SUMIF('20Ф'!$H:$H,$B:$B,'20Ф'!AM:AM)*1.2</f>
        <v>0</v>
      </c>
      <c r="DE12" s="276">
        <f>SUMIF('20Ф'!$H:$H,$B:$B,'20Ф'!AN:AN)*1.2</f>
        <v>0</v>
      </c>
      <c r="DF12" s="276">
        <f>SUMIF('20Ф'!$H:$H,$B:$B,'20Ф'!AO:AO)*1.2</f>
        <v>0</v>
      </c>
      <c r="DG12" s="276">
        <f>SUMIF('20Ф'!$H:$H,$B:$B,'20Ф'!AP:AP)*1.2</f>
        <v>0</v>
      </c>
      <c r="DH12" s="276">
        <f>SUMIF('20Ф'!$H:$H,$B:$B,'20Ф'!AQ:AQ)*1.2</f>
        <v>0</v>
      </c>
      <c r="DI12" s="276">
        <f>SUMIF('20Ф'!$H:$H,$B:$B,'20Ф'!BA:BA)*1.2</f>
        <v>0</v>
      </c>
      <c r="DJ12" s="276">
        <f>SUMIF('20Ф'!$H:$H,$B:$B,'20Ф'!BB:BB)*1.2</f>
        <v>0</v>
      </c>
      <c r="DK12" s="276">
        <f>SUMIF('20Ф'!$H:$H,$B:$B,'20Ф'!BC:BC)*1.2</f>
        <v>0</v>
      </c>
      <c r="DL12" s="276">
        <f>$D12/$D$281*'20Ф'!$H$218</f>
        <v>14488.994879151525</v>
      </c>
      <c r="DM12" s="240">
        <f t="shared" si="1"/>
        <v>186891.10443777806</v>
      </c>
      <c r="DN12" s="276">
        <f>SUMIF('20Ф'!$H:$H,$B:$B,'20Ф'!AV:AV)*1.2</f>
        <v>0</v>
      </c>
      <c r="DO12" s="276">
        <f>SUMIF('20Ф'!$H:$H,$B:$B,'20Ф'!AW:AW)*1.2+$D12/$D$281*'26Ф'!$D$42</f>
        <v>7710.2930645057186</v>
      </c>
      <c r="DP12" s="276">
        <f>SUMIF('20Ф'!$H:$H,$B:$B,'20Ф'!AX:AX)*1.2</f>
        <v>0</v>
      </c>
      <c r="DQ12" s="276">
        <f>SUMIF('20Ф'!$H:$H,$B:$B,'20Ф'!AY:AY)*1.2</f>
        <v>22170</v>
      </c>
      <c r="DR12" s="276">
        <f>SUMIF('20Ф'!$H:$H,$B:$B,'20Ф'!AU:AU)*1.2</f>
        <v>0</v>
      </c>
      <c r="DS12" s="276">
        <f>SUMIF('20Ф'!$H:$H,$B:$B,'20Ф'!AS:AS)*1.2</f>
        <v>21002.484</v>
      </c>
      <c r="DT12" s="276">
        <f>SUMIF('20Ф'!$H:$H,$B:$B,'20Ф'!AR:AR)*1.2</f>
        <v>0</v>
      </c>
      <c r="DU12" s="276">
        <f>SUMIF('20Ф'!$H:$H,$B:$B,'20Ф'!X:X)*1.2</f>
        <v>0</v>
      </c>
      <c r="DV12" s="276">
        <f>SUMIF('20Ф'!$H:$H,$B:$B,'20Ф'!AA:AA)*1.2</f>
        <v>0</v>
      </c>
      <c r="DW12" s="276">
        <f>SUMIF('20Ф'!$H:$H,$B:$B,'20Ф'!N:N)*1.2</f>
        <v>0</v>
      </c>
      <c r="DX12" s="276">
        <f>$D12/$D$281*('25Ф'!$D$37)</f>
        <v>129600.38065703938</v>
      </c>
      <c r="DY12" s="276">
        <f>$D12/$D$281*'25Ф'!$D$30</f>
        <v>4136.4373117748701</v>
      </c>
      <c r="DZ12" s="276">
        <f>$D12/$D$281*'25Ф'!$D$31</f>
        <v>2271.5094044581128</v>
      </c>
      <c r="EA12" s="276"/>
      <c r="EB12" s="276">
        <f t="shared" si="2"/>
        <v>81650.27389952149</v>
      </c>
      <c r="EC12" s="276">
        <f>$D12/$D$281*'26Ф'!$D$36</f>
        <v>42501.597092285621</v>
      </c>
      <c r="ED12" s="276">
        <f>$D12/$D$281*'26Ф'!$D$37</f>
        <v>5106.5214980475112</v>
      </c>
      <c r="EE12" s="276">
        <f>$D12/$D$281*'26Ф'!$D$38</f>
        <v>5158.8939008970938</v>
      </c>
      <c r="EF12" s="276">
        <f>$D12/$D$281*'26Ф'!$D$39</f>
        <v>3618.9593630786444</v>
      </c>
      <c r="EG12" s="276">
        <f>$D12/$D$281*'91Ф'!$D$10</f>
        <v>1116.4474584047405</v>
      </c>
      <c r="EH12" s="276">
        <f>$D12/$D$281*('20Ф'!$I$509+'26Ф'!$D$41+'20Ф'!$I$507)</f>
        <v>7898.4981394672432</v>
      </c>
      <c r="EI12" s="276">
        <f>$D12/$D$281*'91Ф'!$D$31</f>
        <v>14479.10721868666</v>
      </c>
      <c r="EJ12" s="276">
        <f>$D12/$D$281*'20Ф'!$I$1316</f>
        <v>1770.2492286539682</v>
      </c>
      <c r="EK12" s="276">
        <f>$D12/$D$281*('20Ф'!$I$1105+'20Ф'!$I$1282+'91Ф'!$D$17+'91Ф'!$D$41)</f>
        <v>58136.956903924074</v>
      </c>
      <c r="EL12" s="276">
        <f>$D12/$D$281*отчёт!BX$294</f>
        <v>97187.261555326695</v>
      </c>
      <c r="EM12" s="276">
        <f>$D12/$D$281*отчёт!BY$294</f>
        <v>85470.979716214555</v>
      </c>
      <c r="EN12" s="276">
        <f>SUMIF(отчёт!$B:$B,$B:$B,отчёт!BZ:BZ)/отчёт!BZ$281*('60Ф'!$O$151+'60Ф'!$P$151)*отчёт!BZ$293</f>
        <v>0</v>
      </c>
      <c r="EO12" s="240">
        <f t="shared" si="3"/>
        <v>0</v>
      </c>
      <c r="EP12" s="276">
        <f>SUMIF('20Ф'!$H:$H,$B:$B,'20Ф'!T:T)*1.2</f>
        <v>0</v>
      </c>
      <c r="EQ12" s="276">
        <f>SUMIF('20Ф'!$H:$H,$B:$B,'20Ф'!U:U)*1.2</f>
        <v>0</v>
      </c>
      <c r="ER12" s="236"/>
      <c r="ES12" s="239">
        <f t="shared" si="6"/>
        <v>32528.613457912787</v>
      </c>
      <c r="ET12" s="276">
        <f>$D12/$D$282*'20Ф'!$I$381</f>
        <v>2486.1930929954942</v>
      </c>
      <c r="EU12" s="276">
        <f>$D12/$D$282*('20Ф'!$I$75+'20Ф'!$I$1098)*1.2</f>
        <v>28716.633913351874</v>
      </c>
      <c r="EV12" s="276">
        <f>$D12/$D$282*('20Ф'!$I$1286)</f>
        <v>1325.7864515654194</v>
      </c>
      <c r="EW12" s="276">
        <f>SUMIF('91.1Ф'!$N:$N,$B:$B,'91.1Ф'!$F:$F)+$D12/$D$281*('91Ф'!$D$12+'91Ф'!$D$11+'91Ф'!$D$19+'91Ф'!$D$20)</f>
        <v>7662.1667577700537</v>
      </c>
      <c r="EX12" s="276">
        <f t="shared" si="4"/>
        <v>23332.048598227208</v>
      </c>
      <c r="EY12" s="276">
        <f>SUMIF('20Ф'!$H:$H,$B:$B,'20Ф'!$AY:$AY)*1.2</f>
        <v>22170</v>
      </c>
      <c r="EZ12" s="295">
        <f>D12/$D$286*'20Ф'!$I$1163</f>
        <v>1162.0485982272069</v>
      </c>
      <c r="FA12" s="277">
        <f>SUMIF(отчёт!$B:$B,$B:$B,отчёт!$CU:$CU)/отчёт!$CU$281*'20Ф'!$I$1341</f>
        <v>0</v>
      </c>
      <c r="FB12" s="276">
        <f>SUMIF(Сальдо!$A:$A,$B:$B,Сальдо!$H:$H)-SUMIF(Сальдо!$A:$A,$B:$B,Сальдо!$I:$I)</f>
        <v>118528.17</v>
      </c>
    </row>
    <row r="13" spans="1:158" ht="12" customHeight="1" x14ac:dyDescent="0.25">
      <c r="A13" s="3">
        <f t="shared" si="7"/>
        <v>9</v>
      </c>
      <c r="B13" s="4" t="s">
        <v>1339</v>
      </c>
      <c r="C13" s="4"/>
      <c r="D13" s="5">
        <f>SUMIF(отчёт!$B:$B,$B:$B,отчёт!C:C)</f>
        <v>553.4</v>
      </c>
      <c r="E13" s="5">
        <f>SUMIF(отчёт!$B:$B,$B:$B,отчёт!D:D)</f>
        <v>553.4</v>
      </c>
      <c r="F13" s="5">
        <f>SUMIF(отчёт!$B:$B,$B:$B,отчёт!E:E)</f>
        <v>0</v>
      </c>
      <c r="G13" s="5">
        <f>SUMIF(отчёт!$B:$B,$B:$B,отчёт!F:F)</f>
        <v>82.8</v>
      </c>
      <c r="H13" s="5">
        <f>SUMIF(отчёт!$B:$B,$B:$B,отчёт!I:I)</f>
        <v>0</v>
      </c>
      <c r="I13" s="5">
        <f>SUMIF(отчёт!$B:$B,$B:$B,отчёт!J:J)</f>
        <v>0</v>
      </c>
      <c r="J13" s="3"/>
      <c r="K13" s="105"/>
      <c r="L13" s="105"/>
      <c r="M13" s="7"/>
      <c r="N13" s="8"/>
      <c r="O13" s="8"/>
      <c r="P13" s="8"/>
      <c r="Q13" s="8"/>
      <c r="R13" s="8"/>
      <c r="S13" s="8"/>
      <c r="T13" s="8"/>
      <c r="U13" s="8"/>
      <c r="V13" s="9"/>
      <c r="W13" s="9"/>
      <c r="X13" s="9"/>
      <c r="Y13" s="8"/>
      <c r="Z13" s="9"/>
      <c r="AA13" s="9"/>
      <c r="AB13" s="8"/>
      <c r="AC13" s="10"/>
      <c r="AD13" s="8"/>
      <c r="AE13" s="8"/>
      <c r="AF13" s="8"/>
      <c r="AG13" s="7"/>
      <c r="AH13" s="8"/>
      <c r="AI13" s="8"/>
      <c r="AJ13" s="8"/>
      <c r="AK13" s="8"/>
      <c r="AL13" s="8"/>
      <c r="AM13" s="8"/>
      <c r="AN13" s="8"/>
      <c r="AO13" s="8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275">
        <v>0.93</v>
      </c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1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F13" s="277">
        <f>SUMIF(Оборот!$A:$A,$B:$B,Оборот!H:H)</f>
        <v>102188.4</v>
      </c>
      <c r="CG13" s="277">
        <f>SUMIF(Оборот!$A:$A,$B:$B,Оборот!I:I)</f>
        <v>15887.130000000001</v>
      </c>
      <c r="CH13" s="277">
        <f t="shared" si="0"/>
        <v>194265.87021974949</v>
      </c>
      <c r="CI13" s="239">
        <f t="shared" si="5"/>
        <v>4867.3383106944202</v>
      </c>
      <c r="CJ13" s="276">
        <f>SUMIF('20Ф'!$H:$H,$B:$B,'20Ф'!M:M)*1.2</f>
        <v>0</v>
      </c>
      <c r="CK13" s="276">
        <f>SUMIF('20Ф'!$H:$H,$B:$B,'20Ф'!O:O)*1.2</f>
        <v>0</v>
      </c>
      <c r="CL13" s="276">
        <f>SUMIF('20Ф'!$H:$H,$B:$B,'20Ф'!Q:Q)*1.2</f>
        <v>0</v>
      </c>
      <c r="CM13" s="276">
        <f>SUMIF('20Ф'!$H:$H,$B:$B,'20Ф'!R:R)*1.2</f>
        <v>0</v>
      </c>
      <c r="CN13" s="276">
        <f>SUMIF('20Ф'!$H:$H,$B:$B,'20Ф'!S:S)*1.2</f>
        <v>0</v>
      </c>
      <c r="CO13" s="276">
        <f>SUMIF('20Ф'!$H:$H,$B:$B,'20Ф'!W:W)*1.2</f>
        <v>0</v>
      </c>
      <c r="CP13" s="276">
        <f>SUMIF('20Ф'!$H:$H,$B:$B,'20Ф'!P:P)*1.2</f>
        <v>0</v>
      </c>
      <c r="CQ13" s="276">
        <f>SUMIF('20Ф'!$H:$H,$B:$B,'20Ф'!Y:Y)*1.2</f>
        <v>0</v>
      </c>
      <c r="CR13" s="276">
        <f>SUMIF('20Ф'!$H:$H,$B:$B,'20Ф'!Z:Z)*1.2</f>
        <v>0</v>
      </c>
      <c r="CS13" s="276">
        <f>SUMIF('20Ф'!$H:$H,$B:$B,'20Ф'!AB:AB)*1.2</f>
        <v>0</v>
      </c>
      <c r="CT13" s="276">
        <f>SUMIF('20Ф'!$H:$H,$B:$B,'20Ф'!AC:AC)*1.2</f>
        <v>0</v>
      </c>
      <c r="CU13" s="276">
        <f>SUMIF('20Ф'!$H:$H,$B:$B,'20Ф'!AD:AD)*1.2</f>
        <v>0</v>
      </c>
      <c r="CV13" s="276">
        <f>SUMIF('20Ф'!$H:$H,$B:$B,'20Ф'!AE:AE)*1.2</f>
        <v>0</v>
      </c>
      <c r="CW13" s="276">
        <f>SUMIF('20Ф'!$H:$H,$B:$B,'20Ф'!AF:AF)*1.2</f>
        <v>0</v>
      </c>
      <c r="CX13" s="276">
        <f>SUMIF('20Ф'!$H:$H,$B:$B,'20Ф'!AG:AG)*1.2</f>
        <v>0</v>
      </c>
      <c r="CY13" s="276">
        <f>SUMIF('20Ф'!$H:$H,$B:$B,'20Ф'!AH:AH)*1.2</f>
        <v>0</v>
      </c>
      <c r="CZ13" s="276">
        <f>SUMIF('20Ф'!$H:$H,$B:$B,'20Ф'!AI:AI)*1.2</f>
        <v>0</v>
      </c>
      <c r="DA13" s="276">
        <f>SUMIF('20Ф'!$H:$H,$B:$B,'20Ф'!AJ:AJ)*1.2</f>
        <v>0</v>
      </c>
      <c r="DB13" s="276">
        <f>SUMIF('20Ф'!$H:$H,$B:$B,'20Ф'!AK:AK)*1.2</f>
        <v>0</v>
      </c>
      <c r="DC13" s="276">
        <f>SUMIF('20Ф'!$H:$H,$B:$B,'20Ф'!AL:AL)*1.2</f>
        <v>0</v>
      </c>
      <c r="DD13" s="276">
        <f>SUMIF('20Ф'!$H:$H,$B:$B,'20Ф'!AM:AM)*1.2</f>
        <v>0</v>
      </c>
      <c r="DE13" s="276">
        <f>SUMIF('20Ф'!$H:$H,$B:$B,'20Ф'!AN:AN)*1.2</f>
        <v>0</v>
      </c>
      <c r="DF13" s="276">
        <f>SUMIF('20Ф'!$H:$H,$B:$B,'20Ф'!AO:AO)*1.2</f>
        <v>0</v>
      </c>
      <c r="DG13" s="276">
        <f>SUMIF('20Ф'!$H:$H,$B:$B,'20Ф'!AP:AP)*1.2</f>
        <v>0</v>
      </c>
      <c r="DH13" s="276">
        <f>SUMIF('20Ф'!$H:$H,$B:$B,'20Ф'!AQ:AQ)*1.2</f>
        <v>0</v>
      </c>
      <c r="DI13" s="276">
        <f>SUMIF('20Ф'!$H:$H,$B:$B,'20Ф'!BA:BA)*1.2</f>
        <v>0</v>
      </c>
      <c r="DJ13" s="276">
        <f>SUMIF('20Ф'!$H:$H,$B:$B,'20Ф'!BB:BB)*1.2</f>
        <v>0</v>
      </c>
      <c r="DK13" s="276">
        <f>SUMIF('20Ф'!$H:$H,$B:$B,'20Ф'!BC:BC)*1.2</f>
        <v>0</v>
      </c>
      <c r="DL13" s="276">
        <f>$D13/$D$281*'20Ф'!$H$218</f>
        <v>4867.3383106944202</v>
      </c>
      <c r="DM13" s="240">
        <f t="shared" si="1"/>
        <v>67186.506709846944</v>
      </c>
      <c r="DN13" s="276">
        <f>SUMIF('20Ф'!$H:$H,$B:$B,'20Ф'!AV:AV)*1.2</f>
        <v>0</v>
      </c>
      <c r="DO13" s="276">
        <f>SUMIF('20Ф'!$H:$H,$B:$B,'20Ф'!AW:AW)*1.2+$D13/$D$281*'26Ф'!$D$42</f>
        <v>2590.1454954305182</v>
      </c>
      <c r="DP13" s="276">
        <f>SUMIF('20Ф'!$H:$H,$B:$B,'20Ф'!AX:AX)*1.2</f>
        <v>0</v>
      </c>
      <c r="DQ13" s="276">
        <f>SUMIF('20Ф'!$H:$H,$B:$B,'20Ф'!AY:AY)*1.2</f>
        <v>0</v>
      </c>
      <c r="DR13" s="276">
        <f>SUMIF('20Ф'!$H:$H,$B:$B,'20Ф'!AU:AU)*1.2</f>
        <v>0</v>
      </c>
      <c r="DS13" s="276">
        <f>SUMIF('20Ф'!$H:$H,$B:$B,'20Ф'!AS:AS)*1.2</f>
        <v>7556.4</v>
      </c>
      <c r="DT13" s="276">
        <f>SUMIF('20Ф'!$H:$H,$B:$B,'20Ф'!AR:AR)*1.2</f>
        <v>0</v>
      </c>
      <c r="DU13" s="276">
        <f>SUMIF('20Ф'!$H:$H,$B:$B,'20Ф'!X:X)*1.2</f>
        <v>11350.212</v>
      </c>
      <c r="DV13" s="276">
        <f>SUMIF('20Ф'!$H:$H,$B:$B,'20Ф'!AA:AA)*1.2</f>
        <v>0</v>
      </c>
      <c r="DW13" s="276">
        <f>SUMIF('20Ф'!$H:$H,$B:$B,'20Ф'!N:N)*1.2</f>
        <v>0</v>
      </c>
      <c r="DX13" s="276">
        <f>$D13/$D$281*('25Ф'!$D$37)</f>
        <v>43537.105445476423</v>
      </c>
      <c r="DY13" s="276">
        <f>$D13/$D$281*'25Ф'!$D$30</f>
        <v>1389.5677350509686</v>
      </c>
      <c r="DZ13" s="276">
        <f>$D13/$D$281*'25Ф'!$D$31</f>
        <v>763.07603388904568</v>
      </c>
      <c r="EA13" s="276"/>
      <c r="EB13" s="276">
        <f t="shared" si="2"/>
        <v>27429.059748077329</v>
      </c>
      <c r="EC13" s="276">
        <f>$D13/$D$281*'26Ф'!$D$36</f>
        <v>14277.708945197355</v>
      </c>
      <c r="ED13" s="276">
        <f>$D13/$D$281*'26Ф'!$D$37</f>
        <v>1715.4514808750373</v>
      </c>
      <c r="EE13" s="276">
        <f>$D13/$D$281*'26Ф'!$D$38</f>
        <v>1733.045123839167</v>
      </c>
      <c r="EF13" s="276">
        <f>$D13/$D$281*'26Ф'!$D$39</f>
        <v>1215.7295726638065</v>
      </c>
      <c r="EG13" s="276">
        <f>$D13/$D$281*'91Ф'!$D$10</f>
        <v>375.05206755163346</v>
      </c>
      <c r="EH13" s="276">
        <f>$D13/$D$281*('20Ф'!$I$509+'26Ф'!$D$41+'20Ф'!$I$507)</f>
        <v>2653.3698791277943</v>
      </c>
      <c r="EI13" s="276">
        <f>$D13/$D$281*'91Ф'!$D$31</f>
        <v>4864.016714615107</v>
      </c>
      <c r="EJ13" s="276">
        <f>$D13/$D$281*'20Ф'!$I$1316</f>
        <v>594.68596420742767</v>
      </c>
      <c r="EK13" s="276">
        <f>$D13/$D$281*('20Ф'!$I$1105+'20Ф'!$I$1282+'91Ф'!$D$17+'91Ф'!$D$41)</f>
        <v>19530.149604292699</v>
      </c>
      <c r="EL13" s="276">
        <f>$D13/$D$281*отчёт!BX$294</f>
        <v>32648.453907619987</v>
      </c>
      <c r="EM13" s="276">
        <f>$D13/$D$281*отчёт!BY$294</f>
        <v>28712.562706743032</v>
      </c>
      <c r="EN13" s="276">
        <f>SUMIF(отчёт!$B:$B,$B:$B,отчёт!BZ:BZ)/отчёт!BZ$281*('60Ф'!$O$151+'60Ф'!$P$151)*отчёт!BZ$293</f>
        <v>0</v>
      </c>
      <c r="EO13" s="240">
        <f t="shared" si="3"/>
        <v>0</v>
      </c>
      <c r="EP13" s="276">
        <f>SUMIF('20Ф'!$H:$H,$B:$B,'20Ф'!T:T)*1.2</f>
        <v>0</v>
      </c>
      <c r="EQ13" s="276">
        <f>SUMIF('20Ф'!$H:$H,$B:$B,'20Ф'!U:U)*1.2</f>
        <v>0</v>
      </c>
      <c r="ER13" s="236"/>
      <c r="ES13" s="239">
        <f t="shared" si="6"/>
        <v>10927.449957573639</v>
      </c>
      <c r="ET13" s="276">
        <f>$D13/$D$282*'20Ф'!$I$381</f>
        <v>835.19547009664393</v>
      </c>
      <c r="EU13" s="276">
        <f>$D13/$D$282*('20Ф'!$I$75+'20Ф'!$I$1098)*1.2</f>
        <v>9646.8784457758975</v>
      </c>
      <c r="EV13" s="276">
        <f>$D13/$D$282*('20Ф'!$I$1286)</f>
        <v>445.37604170109762</v>
      </c>
      <c r="EW13" s="276">
        <f>SUMIF('91.1Ф'!$N:$N,$B:$B,'91.1Ф'!$F:$F)+$D13/$D$281*('91Ф'!$D$12+'91Ф'!$D$11+'91Ф'!$D$19+'91Ф'!$D$20)</f>
        <v>2573.9782582632392</v>
      </c>
      <c r="EX13" s="276">
        <f t="shared" si="4"/>
        <v>390.37101663819845</v>
      </c>
      <c r="EY13" s="276">
        <f>SUMIF('20Ф'!$H:$H,$B:$B,'20Ф'!$AY:$AY)*1.2</f>
        <v>0</v>
      </c>
      <c r="EZ13" s="295">
        <f>D13/$D$286*'20Ф'!$I$1163</f>
        <v>390.37101663819845</v>
      </c>
      <c r="FA13" s="277">
        <f>SUMIF(отчёт!$B:$B,$B:$B,отчёт!$CU:$CU)/отчёт!$CU$281*'20Ф'!$I$1341</f>
        <v>0</v>
      </c>
      <c r="FB13" s="276">
        <f>SUMIF(Сальдо!$A:$A,$B:$B,Сальдо!$H:$H)-SUMIF(Сальдо!$A:$A,$B:$B,Сальдо!$I:$I)</f>
        <v>0</v>
      </c>
    </row>
    <row r="14" spans="1:158" ht="12" customHeight="1" x14ac:dyDescent="0.25">
      <c r="A14" s="3">
        <f t="shared" si="7"/>
        <v>10</v>
      </c>
      <c r="B14" s="4" t="s">
        <v>55</v>
      </c>
      <c r="C14" s="4" t="s">
        <v>55</v>
      </c>
      <c r="D14" s="5">
        <v>2262.31</v>
      </c>
      <c r="E14" s="6">
        <v>2262.31</v>
      </c>
      <c r="F14" s="6">
        <v>0</v>
      </c>
      <c r="G14" s="6">
        <v>484.5</v>
      </c>
      <c r="H14" s="5">
        <f>SUMIF(отчёт!$B:$B,$B:$B,отчёт!I:I)</f>
        <v>1</v>
      </c>
      <c r="I14" s="5">
        <f>SUMIF(отчёт!$B:$B,$B:$B,отчёт!J:J)</f>
        <v>0</v>
      </c>
      <c r="J14" s="3" t="s">
        <v>51</v>
      </c>
      <c r="K14" s="105">
        <v>3</v>
      </c>
      <c r="L14" s="105" t="s">
        <v>52</v>
      </c>
      <c r="M14" s="7">
        <v>45.06</v>
      </c>
      <c r="N14" s="8">
        <v>5.0999999999999996</v>
      </c>
      <c r="O14" s="8">
        <v>8.6300000000000008</v>
      </c>
      <c r="P14" s="8">
        <v>13.43</v>
      </c>
      <c r="Q14" s="8">
        <v>6.91</v>
      </c>
      <c r="R14" s="8">
        <v>3.15</v>
      </c>
      <c r="S14" s="8">
        <v>1.81</v>
      </c>
      <c r="T14" s="8">
        <v>5.77</v>
      </c>
      <c r="U14" s="8">
        <v>0.26</v>
      </c>
      <c r="V14" s="9">
        <v>40</v>
      </c>
      <c r="W14" s="9">
        <v>40</v>
      </c>
      <c r="X14" s="9">
        <v>2604.04</v>
      </c>
      <c r="Y14" s="8">
        <v>195.98199600000001</v>
      </c>
      <c r="Z14" s="9">
        <v>42.3</v>
      </c>
      <c r="AA14" s="9">
        <v>2604.04</v>
      </c>
      <c r="AB14" s="8">
        <v>7.85</v>
      </c>
      <c r="AC14" s="10">
        <v>0</v>
      </c>
      <c r="AD14" s="8">
        <v>6.73</v>
      </c>
      <c r="AE14" s="8">
        <v>10.67</v>
      </c>
      <c r="AF14" s="8">
        <v>14</v>
      </c>
      <c r="AG14" s="7">
        <v>611638.13160000008</v>
      </c>
      <c r="AH14" s="8">
        <v>69226.685999999987</v>
      </c>
      <c r="AI14" s="8">
        <v>117142.4118</v>
      </c>
      <c r="AJ14" s="8">
        <v>182296.93979999999</v>
      </c>
      <c r="AK14" s="8">
        <v>93795.372600000002</v>
      </c>
      <c r="AL14" s="8">
        <v>42757.659</v>
      </c>
      <c r="AM14" s="8">
        <v>24568.686600000001</v>
      </c>
      <c r="AN14" s="8">
        <v>78321.172200000001</v>
      </c>
      <c r="AO14" s="8">
        <v>3529.2035999999998</v>
      </c>
      <c r="AQ14" s="104">
        <v>48.44</v>
      </c>
      <c r="AR14" s="370">
        <v>18.489999999999998</v>
      </c>
      <c r="AS14" s="370"/>
      <c r="AT14" s="104">
        <v>6.67</v>
      </c>
      <c r="AU14" s="104">
        <v>1.53</v>
      </c>
      <c r="AV14" s="104">
        <v>0.32</v>
      </c>
      <c r="AW14" s="104">
        <v>0.87</v>
      </c>
      <c r="AX14" s="104">
        <v>5.01</v>
      </c>
      <c r="AY14" s="104">
        <v>4.99</v>
      </c>
      <c r="AZ14" s="104">
        <v>2.7</v>
      </c>
      <c r="BA14" s="104">
        <v>6.46</v>
      </c>
      <c r="BB14" s="104">
        <v>0.47</v>
      </c>
      <c r="BC14" s="101">
        <v>0.93</v>
      </c>
      <c r="BD14" s="104">
        <v>54.88252</v>
      </c>
      <c r="BE14" s="370">
        <v>20.949169999999999</v>
      </c>
      <c r="BF14" s="370">
        <v>0</v>
      </c>
      <c r="BG14" s="104">
        <v>7.5571100000000007</v>
      </c>
      <c r="BH14" s="104">
        <v>1.7334900000000002</v>
      </c>
      <c r="BI14" s="104">
        <v>0.36256000000000005</v>
      </c>
      <c r="BJ14" s="104">
        <v>0.98571000000000009</v>
      </c>
      <c r="BK14" s="104">
        <v>5.6763300000000001</v>
      </c>
      <c r="BL14" s="104">
        <v>5.65367</v>
      </c>
      <c r="BM14" s="104">
        <v>3.0591000000000004</v>
      </c>
      <c r="BN14" s="104">
        <v>7.3191800000000002</v>
      </c>
      <c r="BO14" s="104">
        <v>0.53250999999999993</v>
      </c>
      <c r="BP14" s="101">
        <v>1.05369</v>
      </c>
      <c r="BQ14" s="103">
        <v>1460785.3310119999</v>
      </c>
      <c r="BR14" s="371">
        <v>557595.39162699995</v>
      </c>
      <c r="BS14" s="371">
        <v>0</v>
      </c>
      <c r="BT14" s="103">
        <v>201144.47064099999</v>
      </c>
      <c r="BU14" s="103">
        <v>46139.586218999997</v>
      </c>
      <c r="BV14" s="103">
        <v>9650.1095359999999</v>
      </c>
      <c r="BW14" s="103">
        <v>26236.235301000001</v>
      </c>
      <c r="BX14" s="103">
        <v>151084.52742299999</v>
      </c>
      <c r="BY14" s="103">
        <v>150481.39557699999</v>
      </c>
      <c r="BZ14" s="103">
        <v>81422.799210000012</v>
      </c>
      <c r="CA14" s="103">
        <v>194811.586258</v>
      </c>
      <c r="CB14" s="103">
        <v>14173.598380999996</v>
      </c>
      <c r="CC14" s="103">
        <v>28045.630838999998</v>
      </c>
      <c r="CD14" s="1">
        <v>1</v>
      </c>
      <c r="CF14" s="277">
        <f>SUMIF(Оборот!$A:$A,$B:$B,Оборот!H:H)</f>
        <v>1254028.8000000003</v>
      </c>
      <c r="CG14" s="277">
        <f>SUMIF(Оборот!$A:$A,$B:$B,Оборот!I:I)</f>
        <v>1317013.3700000001</v>
      </c>
      <c r="CH14" s="277">
        <f t="shared" si="0"/>
        <v>1233493.3297095154</v>
      </c>
      <c r="CI14" s="239">
        <f t="shared" si="5"/>
        <v>365534.4460037353</v>
      </c>
      <c r="CJ14" s="276">
        <f>SUMIF('20Ф'!$H:$H,$B:$B,'20Ф'!M:M)*1.2</f>
        <v>331437.48000000004</v>
      </c>
      <c r="CK14" s="276">
        <f>SUMIF('20Ф'!$H:$H,$B:$B,'20Ф'!O:O)*1.2</f>
        <v>0</v>
      </c>
      <c r="CL14" s="276">
        <f>SUMIF('20Ф'!$H:$H,$B:$B,'20Ф'!Q:Q)*1.2</f>
        <v>0</v>
      </c>
      <c r="CM14" s="276">
        <f>SUMIF('20Ф'!$H:$H,$B:$B,'20Ф'!R:R)*1.2</f>
        <v>0</v>
      </c>
      <c r="CN14" s="276">
        <f>SUMIF('20Ф'!$H:$H,$B:$B,'20Ф'!S:S)*1.2</f>
        <v>0</v>
      </c>
      <c r="CO14" s="276">
        <f>SUMIF('20Ф'!$H:$H,$B:$B,'20Ф'!W:W)*1.2</f>
        <v>0</v>
      </c>
      <c r="CP14" s="276">
        <f>SUMIF('20Ф'!$H:$H,$B:$B,'20Ф'!P:P)*1.2</f>
        <v>0</v>
      </c>
      <c r="CQ14" s="276">
        <f>SUMIF('20Ф'!$H:$H,$B:$B,'20Ф'!Y:Y)*1.2</f>
        <v>0</v>
      </c>
      <c r="CR14" s="276">
        <f>SUMIF('20Ф'!$H:$H,$B:$B,'20Ф'!Z:Z)*1.2</f>
        <v>0</v>
      </c>
      <c r="CS14" s="276">
        <f>SUMIF('20Ф'!$H:$H,$B:$B,'20Ф'!AB:AB)*1.2</f>
        <v>0</v>
      </c>
      <c r="CT14" s="276">
        <f>SUMIF('20Ф'!$H:$H,$B:$B,'20Ф'!AC:AC)*1.2</f>
        <v>0</v>
      </c>
      <c r="CU14" s="276">
        <f>SUMIF('20Ф'!$H:$H,$B:$B,'20Ф'!AD:AD)*1.2</f>
        <v>0</v>
      </c>
      <c r="CV14" s="276">
        <f>SUMIF('20Ф'!$H:$H,$B:$B,'20Ф'!AE:AE)*1.2</f>
        <v>0</v>
      </c>
      <c r="CW14" s="276">
        <f>SUMIF('20Ф'!$H:$H,$B:$B,'20Ф'!AF:AF)*1.2</f>
        <v>0</v>
      </c>
      <c r="CX14" s="276">
        <f>SUMIF('20Ф'!$H:$H,$B:$B,'20Ф'!AG:AG)*1.2</f>
        <v>0</v>
      </c>
      <c r="CY14" s="276">
        <f>SUMIF('20Ф'!$H:$H,$B:$B,'20Ф'!AH:AH)*1.2</f>
        <v>0</v>
      </c>
      <c r="CZ14" s="276">
        <f>SUMIF('20Ф'!$H:$H,$B:$B,'20Ф'!AI:AI)*1.2</f>
        <v>0</v>
      </c>
      <c r="DA14" s="276">
        <f>SUMIF('20Ф'!$H:$H,$B:$B,'20Ф'!AJ:AJ)*1.2</f>
        <v>0</v>
      </c>
      <c r="DB14" s="276">
        <f>SUMIF('20Ф'!$H:$H,$B:$B,'20Ф'!AK:AK)*1.2</f>
        <v>0</v>
      </c>
      <c r="DC14" s="276">
        <f>SUMIF('20Ф'!$H:$H,$B:$B,'20Ф'!AL:AL)*1.2</f>
        <v>0</v>
      </c>
      <c r="DD14" s="276">
        <f>SUMIF('20Ф'!$H:$H,$B:$B,'20Ф'!AM:AM)*1.2</f>
        <v>0</v>
      </c>
      <c r="DE14" s="276">
        <f>SUMIF('20Ф'!$H:$H,$B:$B,'20Ф'!AN:AN)*1.2</f>
        <v>14199.191999999999</v>
      </c>
      <c r="DF14" s="276">
        <f>SUMIF('20Ф'!$H:$H,$B:$B,'20Ф'!AO:AO)*1.2</f>
        <v>0</v>
      </c>
      <c r="DG14" s="276">
        <f>SUMIF('20Ф'!$H:$H,$B:$B,'20Ф'!AP:AP)*1.2</f>
        <v>0</v>
      </c>
      <c r="DH14" s="276">
        <f>SUMIF('20Ф'!$H:$H,$B:$B,'20Ф'!AQ:AQ)*1.2</f>
        <v>0</v>
      </c>
      <c r="DI14" s="276">
        <f>SUMIF('20Ф'!$H:$H,$B:$B,'20Ф'!BA:BA)*1.2</f>
        <v>0</v>
      </c>
      <c r="DJ14" s="276">
        <f>SUMIF('20Ф'!$H:$H,$B:$B,'20Ф'!BB:BB)*1.2</f>
        <v>0</v>
      </c>
      <c r="DK14" s="276">
        <f>SUMIF('20Ф'!$H:$H,$B:$B,'20Ф'!BC:BC)*1.2</f>
        <v>0</v>
      </c>
      <c r="DL14" s="276">
        <f>$D14/$D$281*'20Ф'!$H$218</f>
        <v>19897.774003735263</v>
      </c>
      <c r="DM14" s="240">
        <f t="shared" si="1"/>
        <v>255760.29979080928</v>
      </c>
      <c r="DN14" s="276">
        <f>SUMIF('20Ф'!$H:$H,$B:$B,'20Ф'!AV:AV)*1.2</f>
        <v>0</v>
      </c>
      <c r="DO14" s="276">
        <f>SUMIF('20Ф'!$H:$H,$B:$B,'20Ф'!AW:AW)*1.2+$D14/$D$281*'26Ф'!$D$42</f>
        <v>10588.565333876792</v>
      </c>
      <c r="DP14" s="276">
        <f>SUMIF('20Ф'!$H:$H,$B:$B,'20Ф'!AX:AX)*1.2</f>
        <v>0</v>
      </c>
      <c r="DQ14" s="276">
        <f>SUMIF('20Ф'!$H:$H,$B:$B,'20Ф'!AY:AY)*1.2</f>
        <v>0</v>
      </c>
      <c r="DR14" s="276">
        <f>SUMIF('20Ф'!$H:$H,$B:$B,'20Ф'!AU:AU)*1.2</f>
        <v>0</v>
      </c>
      <c r="DS14" s="276">
        <f>SUMIF('20Ф'!$H:$H,$B:$B,'20Ф'!AS:AS)*1.2</f>
        <v>58391.148000000001</v>
      </c>
      <c r="DT14" s="276">
        <f>SUMIF('20Ф'!$H:$H,$B:$B,'20Ф'!AR:AR)*1.2</f>
        <v>0</v>
      </c>
      <c r="DU14" s="276">
        <f>SUMIF('20Ф'!$H:$H,$B:$B,'20Ф'!X:X)*1.2</f>
        <v>0</v>
      </c>
      <c r="DV14" s="276">
        <f>SUMIF('20Ф'!$H:$H,$B:$B,'20Ф'!AA:AA)*1.2</f>
        <v>0</v>
      </c>
      <c r="DW14" s="276">
        <f>SUMIF('20Ф'!$H:$H,$B:$B,'20Ф'!N:N)*1.2</f>
        <v>0</v>
      </c>
      <c r="DX14" s="276">
        <f>$D14/$D$281*('25Ф'!$D$37)</f>
        <v>177980.53671911053</v>
      </c>
      <c r="DY14" s="276">
        <f>$D14/$D$281*'25Ф'!$D$30</f>
        <v>5680.5800193045843</v>
      </c>
      <c r="DZ14" s="276">
        <f>$D14/$D$281*'25Ф'!$D$31</f>
        <v>3119.4697185173964</v>
      </c>
      <c r="EA14" s="276"/>
      <c r="EB14" s="276">
        <f t="shared" si="2"/>
        <v>112130.53154801739</v>
      </c>
      <c r="EC14" s="276">
        <f>$D14/$D$281*'26Ф'!$D$36</f>
        <v>58367.552807751046</v>
      </c>
      <c r="ED14" s="276">
        <f>$D14/$D$281*'26Ф'!$D$37</f>
        <v>7012.7991320896381</v>
      </c>
      <c r="EE14" s="276">
        <f>$D14/$D$281*'26Ф'!$D$38</f>
        <v>7084.7222878796283</v>
      </c>
      <c r="EF14" s="276">
        <f>$D14/$D$281*'26Ф'!$D$39</f>
        <v>4969.9262188887897</v>
      </c>
      <c r="EG14" s="276">
        <f>$D14/$D$281*'91Ф'!$D$10</f>
        <v>1533.2201715625877</v>
      </c>
      <c r="EH14" s="276">
        <f>$D14/$D$281*('20Ф'!$I$509+'26Ф'!$D$41+'20Ф'!$I$507)</f>
        <v>10847.02784830069</v>
      </c>
      <c r="EI14" s="276">
        <f>$D14/$D$281*'91Ф'!$D$31</f>
        <v>19884.195254139689</v>
      </c>
      <c r="EJ14" s="276">
        <f>$D14/$D$281*'20Ф'!$I$1316</f>
        <v>2431.087827405323</v>
      </c>
      <c r="EK14" s="276">
        <f>$D14/$D$281*('20Ф'!$I$1105+'20Ф'!$I$1282+'91Ф'!$D$17+'91Ф'!$D$41)</f>
        <v>79839.632727299278</v>
      </c>
      <c r="EL14" s="276">
        <f>$D14/$D$281*отчёт!BX$294</f>
        <v>133467.51673246798</v>
      </c>
      <c r="EM14" s="276">
        <f>$D14/$D$281*отчёт!BY$294</f>
        <v>117377.51669152844</v>
      </c>
      <c r="EN14" s="276">
        <f>$D14/$D$283*отчёт!BZ$294</f>
        <v>21065.595094322416</v>
      </c>
      <c r="EO14" s="240">
        <f t="shared" ref="EO14:EO16" si="8">SUBTOTAL(9,EP14:ER14)</f>
        <v>91527.844750499004</v>
      </c>
      <c r="EP14" s="276">
        <f>SUMIF('20Ф'!$H:$H,$B:$B,'20Ф'!T:T)*1.2</f>
        <v>2596.14</v>
      </c>
      <c r="EQ14" s="276">
        <f>SUM($H$14:$I$14)/SUM($H$284:$I$284)*SUM('60Ф'!$O$155:$P$155)</f>
        <v>86255.130878243508</v>
      </c>
      <c r="ER14" s="276">
        <f>SUM($H14:$I14)/SUM($H$284:$I$284)*SUM('60Ф'!$P$227)</f>
        <v>2676.5738722554888</v>
      </c>
      <c r="ES14" s="239">
        <f t="shared" si="6"/>
        <v>44671.628683625626</v>
      </c>
      <c r="ET14" s="276">
        <f>$D14/$D$282*'20Ф'!$I$381</f>
        <v>3414.2953811968532</v>
      </c>
      <c r="EU14" s="276">
        <f>$D14/$D$282*('20Ф'!$I$75+'20Ф'!$I$1098)*1.2</f>
        <v>39436.627352120115</v>
      </c>
      <c r="EV14" s="276">
        <f>$D14/$D$282*('20Ф'!$I$1286)</f>
        <v>1820.7059503086557</v>
      </c>
      <c r="EW14" s="276">
        <f>SUMIF('91.1Ф'!$N:$N,$B:$B,'91.1Ф'!$F:$F)+$D14/$D$281*('91Ф'!$D$12+'91Ф'!$D$11+'91Ф'!$D$19+'91Ф'!$D$20)</f>
        <v>10522.473352821666</v>
      </c>
      <c r="EX14" s="276">
        <f t="shared" si="4"/>
        <v>1595.8443343888016</v>
      </c>
      <c r="EY14" s="276">
        <f>SUMIF('20Ф'!$H:$H,$B:$B,'20Ф'!$AY:$AY)*1.2</f>
        <v>0</v>
      </c>
      <c r="EZ14" s="295">
        <f>D14/$D$286*'20Ф'!$I$1163</f>
        <v>1595.8443343888016</v>
      </c>
      <c r="FA14" s="277">
        <f>SUMIF(отчёт!$B:$B,$B:$B,отчёт!$CU:$CU)/отчёт!$CU$281*'20Ф'!$I$1341</f>
        <v>920.96385542168503</v>
      </c>
      <c r="FB14" s="276">
        <f>SUMIF(Сальдо!$A:$A,$B:$B,Сальдо!$H:$H)-SUMIF(Сальдо!$A:$A,$B:$B,Сальдо!$I:$I)</f>
        <v>111791.41</v>
      </c>
    </row>
    <row r="15" spans="1:158" ht="12" customHeight="1" x14ac:dyDescent="0.25">
      <c r="A15" s="3">
        <f t="shared" si="7"/>
        <v>11</v>
      </c>
      <c r="B15" s="4" t="s">
        <v>56</v>
      </c>
      <c r="C15" s="4" t="s">
        <v>56</v>
      </c>
      <c r="D15" s="5">
        <v>2252</v>
      </c>
      <c r="E15" s="6">
        <v>2252</v>
      </c>
      <c r="F15" s="6">
        <v>0</v>
      </c>
      <c r="G15" s="6">
        <v>485.9</v>
      </c>
      <c r="H15" s="5">
        <f>SUMIF(отчёт!$B:$B,$B:$B,отчёт!I:I)</f>
        <v>1</v>
      </c>
      <c r="I15" s="5">
        <f>SUMIF(отчёт!$B:$B,$B:$B,отчёт!J:J)</f>
        <v>0</v>
      </c>
      <c r="J15" s="3" t="s">
        <v>51</v>
      </c>
      <c r="K15" s="105">
        <v>3</v>
      </c>
      <c r="L15" s="105" t="s">
        <v>52</v>
      </c>
      <c r="M15" s="7">
        <v>45.06</v>
      </c>
      <c r="N15" s="8">
        <v>5.0999999999999996</v>
      </c>
      <c r="O15" s="8">
        <v>8.6300000000000008</v>
      </c>
      <c r="P15" s="8">
        <v>13.43</v>
      </c>
      <c r="Q15" s="8">
        <v>6.91</v>
      </c>
      <c r="R15" s="8">
        <v>3.15</v>
      </c>
      <c r="S15" s="8">
        <v>1.81</v>
      </c>
      <c r="T15" s="8">
        <v>5.77</v>
      </c>
      <c r="U15" s="8">
        <v>0.26</v>
      </c>
      <c r="V15" s="9">
        <v>40</v>
      </c>
      <c r="W15" s="9">
        <v>40</v>
      </c>
      <c r="X15" s="9">
        <v>2604.04</v>
      </c>
      <c r="Y15" s="8">
        <v>195.98199600000001</v>
      </c>
      <c r="Z15" s="9">
        <v>42.3</v>
      </c>
      <c r="AA15" s="9">
        <v>2604.04</v>
      </c>
      <c r="AB15" s="8">
        <v>7.85</v>
      </c>
      <c r="AC15" s="10">
        <v>0</v>
      </c>
      <c r="AD15" s="8">
        <v>6.73</v>
      </c>
      <c r="AE15" s="8">
        <v>10.67</v>
      </c>
      <c r="AF15" s="8">
        <v>14</v>
      </c>
      <c r="AG15" s="7">
        <v>608850.72000000009</v>
      </c>
      <c r="AH15" s="8">
        <v>68911.199999999997</v>
      </c>
      <c r="AI15" s="8">
        <v>116608.56000000001</v>
      </c>
      <c r="AJ15" s="8">
        <v>181466.16</v>
      </c>
      <c r="AK15" s="8">
        <v>93367.92</v>
      </c>
      <c r="AL15" s="8">
        <v>42562.8</v>
      </c>
      <c r="AM15" s="8">
        <v>24456.720000000001</v>
      </c>
      <c r="AN15" s="8">
        <v>77964.239999999991</v>
      </c>
      <c r="AO15" s="8">
        <v>3513.12</v>
      </c>
      <c r="AQ15" s="104">
        <v>48.44</v>
      </c>
      <c r="AR15" s="370">
        <v>18.489999999999998</v>
      </c>
      <c r="AS15" s="370"/>
      <c r="AT15" s="104">
        <v>6.67</v>
      </c>
      <c r="AU15" s="104">
        <v>1.53</v>
      </c>
      <c r="AV15" s="104">
        <v>0.32</v>
      </c>
      <c r="AW15" s="104">
        <v>0.87</v>
      </c>
      <c r="AX15" s="104">
        <v>5.01</v>
      </c>
      <c r="AY15" s="104">
        <v>4.99</v>
      </c>
      <c r="AZ15" s="104">
        <v>2.7</v>
      </c>
      <c r="BA15" s="104">
        <v>6.46</v>
      </c>
      <c r="BB15" s="104">
        <v>0.47</v>
      </c>
      <c r="BC15" s="101">
        <v>0.93</v>
      </c>
      <c r="BD15" s="104">
        <v>54.88252</v>
      </c>
      <c r="BE15" s="370">
        <v>20.949169999999999</v>
      </c>
      <c r="BF15" s="370">
        <v>0</v>
      </c>
      <c r="BG15" s="104">
        <v>7.5571100000000007</v>
      </c>
      <c r="BH15" s="104">
        <v>1.7334900000000002</v>
      </c>
      <c r="BI15" s="104">
        <v>0.36256000000000005</v>
      </c>
      <c r="BJ15" s="104">
        <v>0.98571000000000009</v>
      </c>
      <c r="BK15" s="104">
        <v>5.6763300000000001</v>
      </c>
      <c r="BL15" s="104">
        <v>5.65367</v>
      </c>
      <c r="BM15" s="104">
        <v>3.0591000000000004</v>
      </c>
      <c r="BN15" s="104">
        <v>7.3191800000000002</v>
      </c>
      <c r="BO15" s="104">
        <v>0.53250999999999993</v>
      </c>
      <c r="BP15" s="101">
        <v>1.05369</v>
      </c>
      <c r="BQ15" s="103">
        <v>1454128.1103999999</v>
      </c>
      <c r="BR15" s="371">
        <v>555054.26839999994</v>
      </c>
      <c r="BS15" s="371">
        <v>0</v>
      </c>
      <c r="BT15" s="103">
        <v>200227.7972</v>
      </c>
      <c r="BU15" s="103">
        <v>45929.3148</v>
      </c>
      <c r="BV15" s="103">
        <v>9606.1311999999998</v>
      </c>
      <c r="BW15" s="103">
        <v>26116.669200000004</v>
      </c>
      <c r="BX15" s="103">
        <v>150395.99159999998</v>
      </c>
      <c r="BY15" s="103">
        <v>149795.6084</v>
      </c>
      <c r="BZ15" s="103">
        <v>81051.732000000018</v>
      </c>
      <c r="CA15" s="103">
        <v>193923.77360000001</v>
      </c>
      <c r="CB15" s="103">
        <v>14109.005199999996</v>
      </c>
      <c r="CC15" s="103">
        <v>27917.818799999997</v>
      </c>
      <c r="CD15" s="1">
        <v>1</v>
      </c>
      <c r="CF15" s="277">
        <f>SUMIF(Оборот!$A:$A,$B:$B,Оборот!H:H)</f>
        <v>1240055.3099999998</v>
      </c>
      <c r="CG15" s="277">
        <f>SUMIF(Оборот!$A:$A,$B:$B,Оборот!I:I)</f>
        <v>1220196.06</v>
      </c>
      <c r="CH15" s="277">
        <f t="shared" si="0"/>
        <v>1184604.038662096</v>
      </c>
      <c r="CI15" s="239">
        <f t="shared" si="5"/>
        <v>349675.95810134412</v>
      </c>
      <c r="CJ15" s="276">
        <f>SUMIF('20Ф'!$H:$H,$B:$B,'20Ф'!M:M)*1.2</f>
        <v>324497.14799999999</v>
      </c>
      <c r="CK15" s="276">
        <f>SUMIF('20Ф'!$H:$H,$B:$B,'20Ф'!O:O)*1.2</f>
        <v>0</v>
      </c>
      <c r="CL15" s="276">
        <f>SUMIF('20Ф'!$H:$H,$B:$B,'20Ф'!Q:Q)*1.2</f>
        <v>0</v>
      </c>
      <c r="CM15" s="276">
        <f>SUMIF('20Ф'!$H:$H,$B:$B,'20Ф'!R:R)*1.2</f>
        <v>0</v>
      </c>
      <c r="CN15" s="276">
        <f>SUMIF('20Ф'!$H:$H,$B:$B,'20Ф'!S:S)*1.2</f>
        <v>0</v>
      </c>
      <c r="CO15" s="276">
        <f>SUMIF('20Ф'!$H:$H,$B:$B,'20Ф'!W:W)*1.2</f>
        <v>0</v>
      </c>
      <c r="CP15" s="276">
        <f>SUMIF('20Ф'!$H:$H,$B:$B,'20Ф'!P:P)*1.2</f>
        <v>0</v>
      </c>
      <c r="CQ15" s="276">
        <f>SUMIF('20Ф'!$H:$H,$B:$B,'20Ф'!Y:Y)*1.2</f>
        <v>0</v>
      </c>
      <c r="CR15" s="276">
        <f>SUMIF('20Ф'!$H:$H,$B:$B,'20Ф'!Z:Z)*1.2</f>
        <v>0</v>
      </c>
      <c r="CS15" s="276">
        <f>SUMIF('20Ф'!$H:$H,$B:$B,'20Ф'!AB:AB)*1.2</f>
        <v>0</v>
      </c>
      <c r="CT15" s="276">
        <f>SUMIF('20Ф'!$H:$H,$B:$B,'20Ф'!AC:AC)*1.2</f>
        <v>0</v>
      </c>
      <c r="CU15" s="276">
        <f>SUMIF('20Ф'!$H:$H,$B:$B,'20Ф'!AD:AD)*1.2</f>
        <v>0</v>
      </c>
      <c r="CV15" s="276">
        <f>SUMIF('20Ф'!$H:$H,$B:$B,'20Ф'!AE:AE)*1.2</f>
        <v>0</v>
      </c>
      <c r="CW15" s="276">
        <f>SUMIF('20Ф'!$H:$H,$B:$B,'20Ф'!AF:AF)*1.2</f>
        <v>0</v>
      </c>
      <c r="CX15" s="276">
        <f>SUMIF('20Ф'!$H:$H,$B:$B,'20Ф'!AG:AG)*1.2</f>
        <v>0</v>
      </c>
      <c r="CY15" s="276">
        <f>SUMIF('20Ф'!$H:$H,$B:$B,'20Ф'!AH:AH)*1.2</f>
        <v>0</v>
      </c>
      <c r="CZ15" s="276">
        <f>SUMIF('20Ф'!$H:$H,$B:$B,'20Ф'!AI:AI)*1.2</f>
        <v>0</v>
      </c>
      <c r="DA15" s="276">
        <f>SUMIF('20Ф'!$H:$H,$B:$B,'20Ф'!AJ:AJ)*1.2</f>
        <v>0</v>
      </c>
      <c r="DB15" s="276">
        <f>SUMIF('20Ф'!$H:$H,$B:$B,'20Ф'!AK:AK)*1.2</f>
        <v>0</v>
      </c>
      <c r="DC15" s="276">
        <f>SUMIF('20Ф'!$H:$H,$B:$B,'20Ф'!AL:AL)*1.2</f>
        <v>0</v>
      </c>
      <c r="DD15" s="276">
        <f>SUMIF('20Ф'!$H:$H,$B:$B,'20Ф'!AM:AM)*1.2</f>
        <v>0</v>
      </c>
      <c r="DE15" s="276">
        <f>SUMIF('20Ф'!$H:$H,$B:$B,'20Ф'!AN:AN)*1.2</f>
        <v>0</v>
      </c>
      <c r="DF15" s="276">
        <f>SUMIF('20Ф'!$H:$H,$B:$B,'20Ф'!AO:AO)*1.2</f>
        <v>0</v>
      </c>
      <c r="DG15" s="276">
        <f>SUMIF('20Ф'!$H:$H,$B:$B,'20Ф'!AP:AP)*1.2</f>
        <v>5371.7160000000003</v>
      </c>
      <c r="DH15" s="276">
        <f>SUMIF('20Ф'!$H:$H,$B:$B,'20Ф'!AQ:AQ)*1.2</f>
        <v>0</v>
      </c>
      <c r="DI15" s="276">
        <f>SUMIF('20Ф'!$H:$H,$B:$B,'20Ф'!BA:BA)*1.2</f>
        <v>0</v>
      </c>
      <c r="DJ15" s="276">
        <f>SUMIF('20Ф'!$H:$H,$B:$B,'20Ф'!BB:BB)*1.2</f>
        <v>0</v>
      </c>
      <c r="DK15" s="276">
        <f>SUMIF('20Ф'!$H:$H,$B:$B,'20Ф'!BC:BC)*1.2</f>
        <v>0</v>
      </c>
      <c r="DL15" s="276">
        <f>$D15/$D$281*'20Ф'!$H$218</f>
        <v>19807.094101344119</v>
      </c>
      <c r="DM15" s="240">
        <f t="shared" si="1"/>
        <v>225102.34356807978</v>
      </c>
      <c r="DN15" s="276">
        <f>SUMIF('20Ф'!$H:$H,$B:$B,'20Ф'!AV:AV)*1.2</f>
        <v>0</v>
      </c>
      <c r="DO15" s="276">
        <f>SUMIF('20Ф'!$H:$H,$B:$B,'20Ф'!AW:AW)*1.2+$D15/$D$281*'26Ф'!$D$42</f>
        <v>10540.310183790256</v>
      </c>
      <c r="DP15" s="276">
        <f>SUMIF('20Ф'!$H:$H,$B:$B,'20Ф'!AX:AX)*1.2</f>
        <v>0</v>
      </c>
      <c r="DQ15" s="276">
        <f>SUMIF('20Ф'!$H:$H,$B:$B,'20Ф'!AY:AY)*1.2</f>
        <v>0</v>
      </c>
      <c r="DR15" s="276">
        <f>SUMIF('20Ф'!$H:$H,$B:$B,'20Ф'!AU:AU)*1.2</f>
        <v>0</v>
      </c>
      <c r="DS15" s="276">
        <f>SUMIF('20Ф'!$H:$H,$B:$B,'20Ф'!AS:AS)*1.2</f>
        <v>28632.66</v>
      </c>
      <c r="DT15" s="276">
        <f>SUMIF('20Ф'!$H:$H,$B:$B,'20Ф'!AR:AR)*1.2</f>
        <v>0</v>
      </c>
      <c r="DU15" s="276">
        <f>SUMIF('20Ф'!$H:$H,$B:$B,'20Ф'!X:X)*1.2</f>
        <v>0</v>
      </c>
      <c r="DV15" s="276">
        <f>SUMIF('20Ф'!$H:$H,$B:$B,'20Ф'!AA:AA)*1.2</f>
        <v>0</v>
      </c>
      <c r="DW15" s="276">
        <f>SUMIF('20Ф'!$H:$H,$B:$B,'20Ф'!N:N)*1.2</f>
        <v>0</v>
      </c>
      <c r="DX15" s="276">
        <f>$D15/$D$281*('25Ф'!$D$37)</f>
        <v>177169.42801447943</v>
      </c>
      <c r="DY15" s="276">
        <f>$D15/$D$281*'25Ф'!$D$30</f>
        <v>5654.6919756681991</v>
      </c>
      <c r="DZ15" s="276">
        <f>$D15/$D$281*'25Ф'!$D$31</f>
        <v>3105.2533941419065</v>
      </c>
      <c r="EA15" s="276"/>
      <c r="EB15" s="276">
        <f t="shared" si="2"/>
        <v>111619.52033370103</v>
      </c>
      <c r="EC15" s="276">
        <f>$D15/$D$281*'26Ф'!$D$36</f>
        <v>58101.555013705176</v>
      </c>
      <c r="ED15" s="276">
        <f>$D15/$D$281*'26Ф'!$D$37</f>
        <v>6980.8397812262092</v>
      </c>
      <c r="EE15" s="276">
        <f>$D15/$D$281*'26Ф'!$D$38</f>
        <v>7052.4351624246556</v>
      </c>
      <c r="EF15" s="276">
        <f>$D15/$D$281*'26Ф'!$D$39</f>
        <v>4947.276829849824</v>
      </c>
      <c r="EG15" s="276">
        <f>$D15/$D$281*'91Ф'!$D$10</f>
        <v>1526.232844463821</v>
      </c>
      <c r="EH15" s="276">
        <f>$D15/$D$281*('20Ф'!$I$509+'26Ф'!$D$41+'20Ф'!$I$507)</f>
        <v>10797.594809894821</v>
      </c>
      <c r="EI15" s="276">
        <f>$D15/$D$281*'91Ф'!$D$31</f>
        <v>19793.577234031844</v>
      </c>
      <c r="EJ15" s="276">
        <f>$D15/$D$281*'20Ф'!$I$1316</f>
        <v>2420.0086581046749</v>
      </c>
      <c r="EK15" s="276">
        <f>$D15/$D$281*('20Ф'!$I$1105+'20Ф'!$I$1282+'91Ф'!$D$17+'91Ф'!$D$41)</f>
        <v>79475.780464161842</v>
      </c>
      <c r="EL15" s="276">
        <f>$D15/$D$281*отчёт!BX$294</f>
        <v>132859.26671478176</v>
      </c>
      <c r="EM15" s="276">
        <f>$D15/$D$281*отчёт!BY$294</f>
        <v>116842.59345064206</v>
      </c>
      <c r="EN15" s="276">
        <f>$D15/$D$283*отчёт!BZ$294</f>
        <v>20969.593093967705</v>
      </c>
      <c r="EO15" s="240">
        <f t="shared" si="8"/>
        <v>91527.844750499004</v>
      </c>
      <c r="EP15" s="276">
        <f>SUMIF('20Ф'!$H:$H,$B:$B,'20Ф'!T:T)*1.2</f>
        <v>2596.14</v>
      </c>
      <c r="EQ15" s="276">
        <f>SUM(H15:I15)/SUM($H$284:$I$284)*SUM('60Ф'!$O$155:$P$155)</f>
        <v>86255.130878243508</v>
      </c>
      <c r="ER15" s="276">
        <f>SUM($H15:$I15)/SUM($H$284:$I$284)*SUM('60Ф'!$P$227)</f>
        <v>2676.5738722554888</v>
      </c>
      <c r="ES15" s="239">
        <f t="shared" si="6"/>
        <v>44468.047171044156</v>
      </c>
      <c r="ET15" s="276">
        <f>$D15/$D$282*'20Ф'!$I$381</f>
        <v>3398.7354511341568</v>
      </c>
      <c r="EU15" s="276">
        <f>$D15/$D$282*('20Ф'!$I$75+'20Ф'!$I$1098)*1.2</f>
        <v>39256.90325241656</v>
      </c>
      <c r="EV15" s="276">
        <f>$D15/$D$282*('20Ф'!$I$1286)</f>
        <v>1812.408467493444</v>
      </c>
      <c r="EW15" s="276">
        <f>SUMIF('91.1Ф'!$N:$N,$B:$B,'91.1Ф'!$F:$F)+$D15/$D$281*('91Ф'!$D$12+'91Ф'!$D$11+'91Ф'!$D$19+'91Ф'!$D$20)</f>
        <v>10474.519402979427</v>
      </c>
      <c r="EX15" s="276">
        <f t="shared" si="4"/>
        <v>1588.5716108948734</v>
      </c>
      <c r="EY15" s="276">
        <f>SUMIF('20Ф'!$H:$H,$B:$B,'20Ф'!$AY:$AY)*1.2</f>
        <v>0</v>
      </c>
      <c r="EZ15" s="295">
        <f>D15/$D$286*'20Ф'!$I$1163</f>
        <v>1588.5716108948734</v>
      </c>
      <c r="FA15" s="277">
        <f>SUMIF(отчёт!$B:$B,$B:$B,отчёт!$CU:$CU)/отчёт!$CU$281*'20Ф'!$I$1341</f>
        <v>920.96385542168503</v>
      </c>
      <c r="FB15" s="276">
        <f>SUMIF(Сальдо!$A:$A,$B:$B,Сальдо!$H:$H)-SUMIF(Сальдо!$A:$A,$B:$B,Сальдо!$I:$I)</f>
        <v>243254.74</v>
      </c>
    </row>
    <row r="16" spans="1:158" ht="12" customHeight="1" x14ac:dyDescent="0.25">
      <c r="A16" s="3">
        <f t="shared" si="7"/>
        <v>12</v>
      </c>
      <c r="B16" s="4" t="s">
        <v>57</v>
      </c>
      <c r="C16" s="4" t="s">
        <v>57</v>
      </c>
      <c r="D16" s="5">
        <v>2252.2800000000002</v>
      </c>
      <c r="E16" s="6">
        <v>2252.2800000000002</v>
      </c>
      <c r="F16" s="6">
        <v>0</v>
      </c>
      <c r="G16" s="6">
        <v>485.9</v>
      </c>
      <c r="H16" s="5">
        <f>SUMIF(отчёт!$B:$B,$B:$B,отчёт!I:I)</f>
        <v>1</v>
      </c>
      <c r="I16" s="5">
        <f>SUMIF(отчёт!$B:$B,$B:$B,отчёт!J:J)</f>
        <v>0</v>
      </c>
      <c r="J16" s="3" t="s">
        <v>51</v>
      </c>
      <c r="K16" s="105">
        <v>3</v>
      </c>
      <c r="L16" s="105" t="s">
        <v>52</v>
      </c>
      <c r="M16" s="7">
        <v>45.06</v>
      </c>
      <c r="N16" s="8">
        <v>5.0999999999999996</v>
      </c>
      <c r="O16" s="8">
        <v>8.6300000000000008</v>
      </c>
      <c r="P16" s="8">
        <v>13.43</v>
      </c>
      <c r="Q16" s="8">
        <v>6.91</v>
      </c>
      <c r="R16" s="8">
        <v>3.15</v>
      </c>
      <c r="S16" s="8">
        <v>1.81</v>
      </c>
      <c r="T16" s="8">
        <v>5.77</v>
      </c>
      <c r="U16" s="8">
        <v>0.26</v>
      </c>
      <c r="V16" s="9">
        <v>40</v>
      </c>
      <c r="W16" s="9">
        <v>40</v>
      </c>
      <c r="X16" s="9">
        <v>2604.04</v>
      </c>
      <c r="Y16" s="8">
        <v>195.98199600000001</v>
      </c>
      <c r="Z16" s="9">
        <v>42.3</v>
      </c>
      <c r="AA16" s="9">
        <v>2604.04</v>
      </c>
      <c r="AB16" s="8">
        <v>7.85</v>
      </c>
      <c r="AC16" s="10">
        <v>0</v>
      </c>
      <c r="AD16" s="8">
        <v>6.73</v>
      </c>
      <c r="AE16" s="8">
        <v>10.67</v>
      </c>
      <c r="AF16" s="8">
        <v>14</v>
      </c>
      <c r="AG16" s="7">
        <v>608926.42080000008</v>
      </c>
      <c r="AH16" s="8">
        <v>68919.768000000011</v>
      </c>
      <c r="AI16" s="8">
        <v>116623.05840000002</v>
      </c>
      <c r="AJ16" s="8">
        <v>181488.72240000003</v>
      </c>
      <c r="AK16" s="8">
        <v>93379.528800000015</v>
      </c>
      <c r="AL16" s="8">
        <v>42568.092000000004</v>
      </c>
      <c r="AM16" s="8">
        <v>24459.760800000004</v>
      </c>
      <c r="AN16" s="8">
        <v>77973.933600000004</v>
      </c>
      <c r="AO16" s="8">
        <v>3513.5568000000007</v>
      </c>
      <c r="AQ16" s="104">
        <v>48.44</v>
      </c>
      <c r="AR16" s="370">
        <v>18.489999999999998</v>
      </c>
      <c r="AS16" s="370"/>
      <c r="AT16" s="104">
        <v>6.67</v>
      </c>
      <c r="AU16" s="104">
        <v>1.53</v>
      </c>
      <c r="AV16" s="104">
        <v>0.32</v>
      </c>
      <c r="AW16" s="104">
        <v>0.87</v>
      </c>
      <c r="AX16" s="104">
        <v>5.01</v>
      </c>
      <c r="AY16" s="104">
        <v>4.99</v>
      </c>
      <c r="AZ16" s="104">
        <v>2.7</v>
      </c>
      <c r="BA16" s="104">
        <v>6.46</v>
      </c>
      <c r="BB16" s="104">
        <v>0.47</v>
      </c>
      <c r="BC16" s="101">
        <v>0.93</v>
      </c>
      <c r="BD16" s="104">
        <v>54.88252</v>
      </c>
      <c r="BE16" s="370">
        <v>20.949169999999999</v>
      </c>
      <c r="BF16" s="370">
        <v>0</v>
      </c>
      <c r="BG16" s="104">
        <v>7.5571100000000007</v>
      </c>
      <c r="BH16" s="104">
        <v>1.7334900000000002</v>
      </c>
      <c r="BI16" s="104">
        <v>0.36256000000000005</v>
      </c>
      <c r="BJ16" s="104">
        <v>0.98571000000000009</v>
      </c>
      <c r="BK16" s="104">
        <v>5.6763300000000001</v>
      </c>
      <c r="BL16" s="104">
        <v>5.65367</v>
      </c>
      <c r="BM16" s="104">
        <v>3.0591000000000004</v>
      </c>
      <c r="BN16" s="104">
        <v>7.3191800000000002</v>
      </c>
      <c r="BO16" s="104">
        <v>0.53250999999999993</v>
      </c>
      <c r="BP16" s="101">
        <v>1.05369</v>
      </c>
      <c r="BQ16" s="103">
        <v>1454308.9078559999</v>
      </c>
      <c r="BR16" s="371">
        <v>555123.28047599993</v>
      </c>
      <c r="BS16" s="371">
        <v>0</v>
      </c>
      <c r="BT16" s="103">
        <v>200252.69230800003</v>
      </c>
      <c r="BU16" s="103">
        <v>45935.025372000004</v>
      </c>
      <c r="BV16" s="103">
        <v>9607.3255680000002</v>
      </c>
      <c r="BW16" s="103">
        <v>26119.916388000005</v>
      </c>
      <c r="BX16" s="103">
        <v>150414.69092399999</v>
      </c>
      <c r="BY16" s="103">
        <v>149814.233076</v>
      </c>
      <c r="BZ16" s="103">
        <v>81061.809480000025</v>
      </c>
      <c r="CA16" s="103">
        <v>193947.88490400004</v>
      </c>
      <c r="CB16" s="103">
        <v>14110.759427999998</v>
      </c>
      <c r="CC16" s="103">
        <v>27921.289932</v>
      </c>
      <c r="CD16" s="1">
        <v>1</v>
      </c>
      <c r="CF16" s="277">
        <f>SUMIF(Оборот!$A:$A,$B:$B,Оборот!H:H)</f>
        <v>1250686.8799999999</v>
      </c>
      <c r="CG16" s="277">
        <f>SUMIF(Оборот!$A:$A,$B:$B,Оборот!I:I)</f>
        <v>1267069.7700000003</v>
      </c>
      <c r="CH16" s="277">
        <f t="shared" si="0"/>
        <v>1219633.3112143048</v>
      </c>
      <c r="CI16" s="239">
        <f t="shared" si="5"/>
        <v>357290.98079510452</v>
      </c>
      <c r="CJ16" s="276">
        <f>SUMIF('20Ф'!$H:$H,$B:$B,'20Ф'!M:M)*1.2</f>
        <v>337481.424</v>
      </c>
      <c r="CK16" s="276">
        <f>SUMIF('20Ф'!$H:$H,$B:$B,'20Ф'!O:O)*1.2</f>
        <v>0</v>
      </c>
      <c r="CL16" s="276">
        <f>SUMIF('20Ф'!$H:$H,$B:$B,'20Ф'!Q:Q)*1.2</f>
        <v>0</v>
      </c>
      <c r="CM16" s="276">
        <f>SUMIF('20Ф'!$H:$H,$B:$B,'20Ф'!R:R)*1.2</f>
        <v>0</v>
      </c>
      <c r="CN16" s="276">
        <f>SUMIF('20Ф'!$H:$H,$B:$B,'20Ф'!S:S)*1.2</f>
        <v>0</v>
      </c>
      <c r="CO16" s="276">
        <f>SUMIF('20Ф'!$H:$H,$B:$B,'20Ф'!W:W)*1.2</f>
        <v>0</v>
      </c>
      <c r="CP16" s="276">
        <f>SUMIF('20Ф'!$H:$H,$B:$B,'20Ф'!P:P)*1.2</f>
        <v>0</v>
      </c>
      <c r="CQ16" s="276">
        <f>SUMIF('20Ф'!$H:$H,$B:$B,'20Ф'!Y:Y)*1.2</f>
        <v>0</v>
      </c>
      <c r="CR16" s="276">
        <f>SUMIF('20Ф'!$H:$H,$B:$B,'20Ф'!Z:Z)*1.2</f>
        <v>0</v>
      </c>
      <c r="CS16" s="276">
        <f>SUMIF('20Ф'!$H:$H,$B:$B,'20Ф'!AB:AB)*1.2</f>
        <v>0</v>
      </c>
      <c r="CT16" s="276">
        <f>SUMIF('20Ф'!$H:$H,$B:$B,'20Ф'!AC:AC)*1.2</f>
        <v>0</v>
      </c>
      <c r="CU16" s="276">
        <f>SUMIF('20Ф'!$H:$H,$B:$B,'20Ф'!AD:AD)*1.2</f>
        <v>0</v>
      </c>
      <c r="CV16" s="276">
        <f>SUMIF('20Ф'!$H:$H,$B:$B,'20Ф'!AE:AE)*1.2</f>
        <v>0</v>
      </c>
      <c r="CW16" s="276">
        <f>SUMIF('20Ф'!$H:$H,$B:$B,'20Ф'!AF:AF)*1.2</f>
        <v>0</v>
      </c>
      <c r="CX16" s="276">
        <f>SUMIF('20Ф'!$H:$H,$B:$B,'20Ф'!AG:AG)*1.2</f>
        <v>0</v>
      </c>
      <c r="CY16" s="276">
        <f>SUMIF('20Ф'!$H:$H,$B:$B,'20Ф'!AH:AH)*1.2</f>
        <v>0</v>
      </c>
      <c r="CZ16" s="276">
        <f>SUMIF('20Ф'!$H:$H,$B:$B,'20Ф'!AI:AI)*1.2</f>
        <v>0</v>
      </c>
      <c r="DA16" s="276">
        <f>SUMIF('20Ф'!$H:$H,$B:$B,'20Ф'!AJ:AJ)*1.2</f>
        <v>0</v>
      </c>
      <c r="DB16" s="276">
        <f>SUMIF('20Ф'!$H:$H,$B:$B,'20Ф'!AK:AK)*1.2</f>
        <v>0</v>
      </c>
      <c r="DC16" s="276">
        <f>SUMIF('20Ф'!$H:$H,$B:$B,'20Ф'!AL:AL)*1.2</f>
        <v>0</v>
      </c>
      <c r="DD16" s="276">
        <f>SUMIF('20Ф'!$H:$H,$B:$B,'20Ф'!AM:AM)*1.2</f>
        <v>0</v>
      </c>
      <c r="DE16" s="276">
        <f>SUMIF('20Ф'!$H:$H,$B:$B,'20Ф'!AN:AN)*1.2</f>
        <v>0</v>
      </c>
      <c r="DF16" s="276">
        <f>SUMIF('20Ф'!$H:$H,$B:$B,'20Ф'!AO:AO)*1.2</f>
        <v>0</v>
      </c>
      <c r="DG16" s="276">
        <f>SUMIF('20Ф'!$H:$H,$B:$B,'20Ф'!AP:AP)*1.2</f>
        <v>0</v>
      </c>
      <c r="DH16" s="276">
        <f>SUMIF('20Ф'!$H:$H,$B:$B,'20Ф'!AQ:AQ)*1.2</f>
        <v>0</v>
      </c>
      <c r="DI16" s="276">
        <f>SUMIF('20Ф'!$H:$H,$B:$B,'20Ф'!BA:BA)*1.2</f>
        <v>0</v>
      </c>
      <c r="DJ16" s="276">
        <f>SUMIF('20Ф'!$H:$H,$B:$B,'20Ф'!BB:BB)*1.2</f>
        <v>0</v>
      </c>
      <c r="DK16" s="276">
        <f>SUMIF('20Ф'!$H:$H,$B:$B,'20Ф'!BC:BC)*1.2</f>
        <v>0</v>
      </c>
      <c r="DL16" s="276">
        <f>$D16/$D$281*'20Ф'!$H$218</f>
        <v>19809.556795104498</v>
      </c>
      <c r="DM16" s="240">
        <f t="shared" si="1"/>
        <v>241467.14741505985</v>
      </c>
      <c r="DN16" s="276">
        <f>SUMIF('20Ф'!$H:$H,$B:$B,'20Ф'!AV:AV)*1.2</f>
        <v>0</v>
      </c>
      <c r="DO16" s="276">
        <f>SUMIF('20Ф'!$H:$H,$B:$B,'20Ф'!AW:AW)*1.2+$D16/$D$281*'26Ф'!$D$42</f>
        <v>10541.620701930337</v>
      </c>
      <c r="DP16" s="276">
        <f>SUMIF('20Ф'!$H:$H,$B:$B,'20Ф'!AX:AX)*1.2</f>
        <v>0</v>
      </c>
      <c r="DQ16" s="276">
        <f>SUMIF('20Ф'!$H:$H,$B:$B,'20Ф'!AY:AY)*1.2</f>
        <v>10985.003999999999</v>
      </c>
      <c r="DR16" s="276">
        <f>SUMIF('20Ф'!$H:$H,$B:$B,'20Ф'!AU:AU)*1.2</f>
        <v>0</v>
      </c>
      <c r="DS16" s="276">
        <f>SUMIF('20Ф'!$H:$H,$B:$B,'20Ф'!AS:AS)*1.2</f>
        <v>33988.031999999999</v>
      </c>
      <c r="DT16" s="276">
        <f>SUMIF('20Ф'!$H:$H,$B:$B,'20Ф'!AR:AR)*1.2</f>
        <v>0</v>
      </c>
      <c r="DU16" s="276">
        <f>SUMIF('20Ф'!$H:$H,$B:$B,'20Ф'!X:X)*1.2</f>
        <v>0</v>
      </c>
      <c r="DV16" s="276">
        <f>SUMIF('20Ф'!$H:$H,$B:$B,'20Ф'!AA:AA)*1.2</f>
        <v>0</v>
      </c>
      <c r="DW16" s="276">
        <f>SUMIF('20Ф'!$H:$H,$B:$B,'20Ф'!N:N)*1.2</f>
        <v>0</v>
      </c>
      <c r="DX16" s="276">
        <f>$D16/$D$281*('25Ф'!$D$37)</f>
        <v>177191.45618492528</v>
      </c>
      <c r="DY16" s="276">
        <f>$D16/$D$281*'25Ф'!$D$30</f>
        <v>5655.3950457184601</v>
      </c>
      <c r="DZ16" s="276">
        <f>$D16/$D$281*'25Ф'!$D$31</f>
        <v>3105.6394824857607</v>
      </c>
      <c r="EA16" s="276"/>
      <c r="EB16" s="276">
        <f t="shared" si="2"/>
        <v>111633.39842681534</v>
      </c>
      <c r="EC16" s="276">
        <f>$D16/$D$281*'26Ф'!$D$36</f>
        <v>58108.779008111858</v>
      </c>
      <c r="ED16" s="276">
        <f>$D16/$D$281*'26Ф'!$D$37</f>
        <v>6981.7077364387951</v>
      </c>
      <c r="EE16" s="276">
        <f>$D16/$D$281*'26Ф'!$D$38</f>
        <v>7053.312019372026</v>
      </c>
      <c r="EF16" s="276">
        <f>$D16/$D$281*'26Ф'!$D$39</f>
        <v>4947.8919441981179</v>
      </c>
      <c r="EG16" s="276">
        <f>$D16/$D$281*'91Ф'!$D$10</f>
        <v>1526.4226069844472</v>
      </c>
      <c r="EH16" s="276">
        <f>$D16/$D$281*('20Ф'!$I$509+'26Ф'!$D$41+'20Ф'!$I$507)</f>
        <v>10798.937317242409</v>
      </c>
      <c r="EI16" s="276">
        <f>$D16/$D$281*'91Ф'!$D$31</f>
        <v>19796.038247187051</v>
      </c>
      <c r="EJ16" s="276">
        <f>$D16/$D$281*'20Ф'!$I$1316</f>
        <v>2420.3095472806385</v>
      </c>
      <c r="EK16" s="276">
        <f>$D16/$D$281*('20Ф'!$I$1105+'20Ф'!$I$1282+'91Ф'!$D$17+'91Ф'!$D$41)</f>
        <v>79485.661999921154</v>
      </c>
      <c r="EL16" s="276">
        <f>$D16/$D$281*отчёт!BX$294</f>
        <v>132875.78562893812</v>
      </c>
      <c r="EM16" s="276">
        <f>$D16/$D$281*отчёт!BY$294</f>
        <v>116857.12094893966</v>
      </c>
      <c r="EN16" s="276">
        <f>$D16/$D$283*отчёт!BZ$294</f>
        <v>20972.200325791113</v>
      </c>
      <c r="EO16" s="240">
        <f t="shared" si="8"/>
        <v>91527.844750499004</v>
      </c>
      <c r="EP16" s="276">
        <f>SUMIF('20Ф'!$H:$H,$B:$B,'20Ф'!T:T)*1.2</f>
        <v>2596.14</v>
      </c>
      <c r="EQ16" s="276">
        <f>SUM(H16:I16)/SUM($H$284:$I$284)*SUM('60Ф'!$O$155:$P$155)</f>
        <v>86255.130878243508</v>
      </c>
      <c r="ER16" s="276">
        <f>SUM($H16:$I16)/SUM($H$284:$I$284)*SUM('60Ф'!$P$227)</f>
        <v>2676.5738722554888</v>
      </c>
      <c r="ES16" s="239">
        <f t="shared" si="6"/>
        <v>44473.576057903796</v>
      </c>
      <c r="ET16" s="276">
        <f>$D16/$D$282*'20Ф'!$I$381</f>
        <v>3399.1580292541912</v>
      </c>
      <c r="EU16" s="276">
        <f>$D16/$D$282*('20Ф'!$I$75+'20Ф'!$I$1098)*1.2</f>
        <v>39261.784217296969</v>
      </c>
      <c r="EV16" s="276">
        <f>$D16/$D$282*('20Ф'!$I$1286)</f>
        <v>1812.6338113526351</v>
      </c>
      <c r="EW16" s="276">
        <f>SUMIF('91.1Ф'!$N:$N,$B:$B,'91.1Ф'!$F:$F)+$D16/$D$281*('91Ф'!$D$12+'91Ф'!$D$11+'91Ф'!$D$19+'91Ф'!$D$20)</f>
        <v>10475.821741093476</v>
      </c>
      <c r="EX16" s="276">
        <f t="shared" si="4"/>
        <v>12573.773124239033</v>
      </c>
      <c r="EY16" s="276">
        <f>SUMIF('20Ф'!$H:$H,$B:$B,'20Ф'!$AY:$AY)*1.2</f>
        <v>10985.003999999999</v>
      </c>
      <c r="EZ16" s="295">
        <f>D16/$D$286*'20Ф'!$I$1163</f>
        <v>1588.7691242390347</v>
      </c>
      <c r="FA16" s="277">
        <f>SUMIF(отчёт!$B:$B,$B:$B,отчёт!$CU:$CU)/отчёт!$CU$281*'20Ф'!$I$1341</f>
        <v>920.96385542168503</v>
      </c>
      <c r="FB16" s="276">
        <f>SUMIF(Сальдо!$A:$A,$B:$B,Сальдо!$H:$H)-SUMIF(Сальдо!$A:$A,$B:$B,Сальдо!$I:$I)</f>
        <v>729634.7699999999</v>
      </c>
    </row>
    <row r="17" spans="1:158" ht="12" customHeight="1" x14ac:dyDescent="0.25">
      <c r="A17" s="3">
        <f t="shared" si="7"/>
        <v>13</v>
      </c>
      <c r="B17" s="4" t="s">
        <v>58</v>
      </c>
      <c r="C17" s="4" t="s">
        <v>58</v>
      </c>
      <c r="D17" s="5">
        <v>546.05999999999995</v>
      </c>
      <c r="E17" s="6">
        <v>546.05999999999995</v>
      </c>
      <c r="F17" s="6">
        <v>0</v>
      </c>
      <c r="G17" s="6">
        <v>89.7</v>
      </c>
      <c r="H17" s="5">
        <f>SUMIF(отчёт!$B:$B,$B:$B,отчёт!I:I)</f>
        <v>0</v>
      </c>
      <c r="I17" s="5">
        <f>SUMIF(отчёт!$B:$B,$B:$B,отчёт!J:J)</f>
        <v>0</v>
      </c>
      <c r="J17" s="3" t="s">
        <v>51</v>
      </c>
      <c r="K17" s="105">
        <v>7</v>
      </c>
      <c r="L17" s="105" t="s">
        <v>52</v>
      </c>
      <c r="M17" s="7">
        <v>31</v>
      </c>
      <c r="N17" s="8">
        <v>5.0999999999999996</v>
      </c>
      <c r="O17" s="8">
        <v>6.59</v>
      </c>
      <c r="P17" s="8">
        <v>8.98</v>
      </c>
      <c r="Q17" s="8">
        <v>6.92</v>
      </c>
      <c r="R17" s="8">
        <v>3.15</v>
      </c>
      <c r="S17" s="8">
        <v>0</v>
      </c>
      <c r="T17" s="8">
        <v>0</v>
      </c>
      <c r="U17" s="8">
        <v>0.26</v>
      </c>
      <c r="V17" s="9">
        <v>40</v>
      </c>
      <c r="W17" s="9">
        <v>40</v>
      </c>
      <c r="X17" s="9">
        <v>2604.04</v>
      </c>
      <c r="Y17" s="8">
        <v>195.98199600000001</v>
      </c>
      <c r="Z17" s="9">
        <v>42.3</v>
      </c>
      <c r="AA17" s="9">
        <v>2604.04</v>
      </c>
      <c r="AB17" s="8">
        <v>7.85</v>
      </c>
      <c r="AC17" s="10">
        <v>0</v>
      </c>
      <c r="AD17" s="8">
        <v>6.73</v>
      </c>
      <c r="AE17" s="8">
        <v>10.67</v>
      </c>
      <c r="AF17" s="8">
        <v>14</v>
      </c>
      <c r="AG17" s="7">
        <v>101567.15999999997</v>
      </c>
      <c r="AH17" s="8">
        <v>16709.435999999998</v>
      </c>
      <c r="AI17" s="8">
        <v>21591.212399999997</v>
      </c>
      <c r="AJ17" s="8">
        <v>29421.712800000001</v>
      </c>
      <c r="AK17" s="8">
        <v>22672.411199999999</v>
      </c>
      <c r="AL17" s="8">
        <v>10320.533999999998</v>
      </c>
      <c r="AM17" s="8">
        <v>0</v>
      </c>
      <c r="AN17" s="8">
        <v>0</v>
      </c>
      <c r="AO17" s="8">
        <v>851.85359999999991</v>
      </c>
      <c r="AQ17" s="104">
        <v>33.17</v>
      </c>
      <c r="AR17" s="370">
        <v>13.89</v>
      </c>
      <c r="AS17" s="370"/>
      <c r="AT17" s="104">
        <v>5.9</v>
      </c>
      <c r="AU17" s="104">
        <v>1.53</v>
      </c>
      <c r="AV17" s="104">
        <v>0.32</v>
      </c>
      <c r="AW17" s="104">
        <v>0.6</v>
      </c>
      <c r="AX17" s="104">
        <v>5.01</v>
      </c>
      <c r="AY17" s="104">
        <v>4.99</v>
      </c>
      <c r="AZ17" s="104">
        <v>0</v>
      </c>
      <c r="BA17" s="104">
        <v>0</v>
      </c>
      <c r="BB17" s="104">
        <v>0</v>
      </c>
      <c r="BC17" s="101">
        <v>0.93</v>
      </c>
      <c r="BD17" s="104">
        <v>37.581610000000005</v>
      </c>
      <c r="BE17" s="370">
        <v>15.737370000000004</v>
      </c>
      <c r="BF17" s="370">
        <v>0</v>
      </c>
      <c r="BG17" s="104">
        <v>6.6847000000000012</v>
      </c>
      <c r="BH17" s="104">
        <v>1.7334900000000002</v>
      </c>
      <c r="BI17" s="104">
        <v>0.36256000000000005</v>
      </c>
      <c r="BJ17" s="104">
        <v>0.67980000000000007</v>
      </c>
      <c r="BK17" s="104">
        <v>5.6763300000000001</v>
      </c>
      <c r="BL17" s="104">
        <v>5.65367</v>
      </c>
      <c r="BM17" s="104">
        <v>0</v>
      </c>
      <c r="BN17" s="104">
        <v>0</v>
      </c>
      <c r="BO17" s="104">
        <v>0</v>
      </c>
      <c r="BP17" s="101">
        <v>1.0536900000000002</v>
      </c>
      <c r="BQ17" s="103">
        <v>241443.75996599995</v>
      </c>
      <c r="BR17" s="371">
        <v>101105.02942200001</v>
      </c>
      <c r="BS17" s="371">
        <v>0</v>
      </c>
      <c r="BT17" s="103">
        <v>42945.980819999997</v>
      </c>
      <c r="BU17" s="103">
        <v>11136.839093999999</v>
      </c>
      <c r="BV17" s="103">
        <v>2329.2735359999997</v>
      </c>
      <c r="BW17" s="103">
        <v>4367.3878800000002</v>
      </c>
      <c r="BX17" s="103">
        <v>36467.688797999996</v>
      </c>
      <c r="BY17" s="103">
        <v>36322.109202</v>
      </c>
      <c r="BZ17" s="103">
        <v>0</v>
      </c>
      <c r="CA17" s="103">
        <v>0</v>
      </c>
      <c r="CB17" s="103">
        <v>0</v>
      </c>
      <c r="CC17" s="103">
        <v>6769.4512140000006</v>
      </c>
      <c r="CD17" s="1">
        <v>1</v>
      </c>
      <c r="CF17" s="277">
        <f>SUMIF(Оборот!$A:$A,$B:$B,Оборот!H:H)</f>
        <v>207696.53999999998</v>
      </c>
      <c r="CG17" s="277">
        <f>SUMIF(Оборот!$A:$A,$B:$B,Оборот!I:I)</f>
        <v>199363.45</v>
      </c>
      <c r="CH17" s="277">
        <f t="shared" si="0"/>
        <v>675749.97532106342</v>
      </c>
      <c r="CI17" s="239">
        <f t="shared" si="5"/>
        <v>366464.78055283305</v>
      </c>
      <c r="CJ17" s="276">
        <f>SUMIF('20Ф'!$H:$H,$B:$B,'20Ф'!M:M)*1.2</f>
        <v>0</v>
      </c>
      <c r="CK17" s="276">
        <f>SUMIF('20Ф'!$H:$H,$B:$B,'20Ф'!O:O)*1.2</f>
        <v>0</v>
      </c>
      <c r="CL17" s="276">
        <f>SUMIF('20Ф'!$H:$H,$B:$B,'20Ф'!Q:Q)*1.2</f>
        <v>0</v>
      </c>
      <c r="CM17" s="276">
        <f>SUMIF('20Ф'!$H:$H,$B:$B,'20Ф'!R:R)*1.2</f>
        <v>0</v>
      </c>
      <c r="CN17" s="276">
        <f>SUMIF('20Ф'!$H:$H,$B:$B,'20Ф'!S:S)*1.2</f>
        <v>0</v>
      </c>
      <c r="CO17" s="276">
        <f>SUMIF('20Ф'!$H:$H,$B:$B,'20Ф'!W:W)*1.2</f>
        <v>0</v>
      </c>
      <c r="CP17" s="276">
        <f>SUMIF('20Ф'!$H:$H,$B:$B,'20Ф'!P:P)*1.2</f>
        <v>0</v>
      </c>
      <c r="CQ17" s="276">
        <f>SUMIF('20Ф'!$H:$H,$B:$B,'20Ф'!Y:Y)*1.2</f>
        <v>0</v>
      </c>
      <c r="CR17" s="276">
        <f>SUMIF('20Ф'!$H:$H,$B:$B,'20Ф'!Z:Z)*1.2</f>
        <v>0</v>
      </c>
      <c r="CS17" s="276">
        <f>SUMIF('20Ф'!$H:$H,$B:$B,'20Ф'!AB:AB)*1.2</f>
        <v>0</v>
      </c>
      <c r="CT17" s="276">
        <f>SUMIF('20Ф'!$H:$H,$B:$B,'20Ф'!AC:AC)*1.2</f>
        <v>0</v>
      </c>
      <c r="CU17" s="276">
        <f>SUMIF('20Ф'!$H:$H,$B:$B,'20Ф'!AD:AD)*1.2</f>
        <v>0</v>
      </c>
      <c r="CV17" s="276">
        <f>SUMIF('20Ф'!$H:$H,$B:$B,'20Ф'!AE:AE)*1.2</f>
        <v>0</v>
      </c>
      <c r="CW17" s="276">
        <f>SUMIF('20Ф'!$H:$H,$B:$B,'20Ф'!AF:AF)*1.2</f>
        <v>9397.7759999999998</v>
      </c>
      <c r="CX17" s="276">
        <f>SUMIF('20Ф'!$H:$H,$B:$B,'20Ф'!AG:AG)*1.2</f>
        <v>0</v>
      </c>
      <c r="CY17" s="276">
        <f>SUMIF('20Ф'!$H:$H,$B:$B,'20Ф'!AH:AH)*1.2</f>
        <v>0</v>
      </c>
      <c r="CZ17" s="276">
        <f>SUMIF('20Ф'!$H:$H,$B:$B,'20Ф'!AI:AI)*1.2</f>
        <v>0</v>
      </c>
      <c r="DA17" s="276">
        <f>SUMIF('20Ф'!$H:$H,$B:$B,'20Ф'!AJ:AJ)*1.2</f>
        <v>0</v>
      </c>
      <c r="DB17" s="276">
        <f>SUMIF('20Ф'!$H:$H,$B:$B,'20Ф'!AK:AK)*1.2</f>
        <v>0</v>
      </c>
      <c r="DC17" s="276">
        <f>SUMIF('20Ф'!$H:$H,$B:$B,'20Ф'!AL:AL)*1.2</f>
        <v>306016.8</v>
      </c>
      <c r="DD17" s="276">
        <f>SUMIF('20Ф'!$H:$H,$B:$B,'20Ф'!AM:AM)*1.2</f>
        <v>0</v>
      </c>
      <c r="DE17" s="276">
        <f>SUMIF('20Ф'!$H:$H,$B:$B,'20Ф'!AN:AN)*1.2</f>
        <v>0</v>
      </c>
      <c r="DF17" s="276">
        <f>SUMIF('20Ф'!$H:$H,$B:$B,'20Ф'!AO:AO)*1.2</f>
        <v>0</v>
      </c>
      <c r="DG17" s="276">
        <f>SUMIF('20Ф'!$H:$H,$B:$B,'20Ф'!AP:AP)*1.2</f>
        <v>46247.423999999992</v>
      </c>
      <c r="DH17" s="276">
        <f>SUMIF('20Ф'!$H:$H,$B:$B,'20Ф'!AQ:AQ)*1.2</f>
        <v>0</v>
      </c>
      <c r="DI17" s="276">
        <f>SUMIF('20Ф'!$H:$H,$B:$B,'20Ф'!BA:BA)*1.2</f>
        <v>0</v>
      </c>
      <c r="DJ17" s="276">
        <f>SUMIF('20Ф'!$H:$H,$B:$B,'20Ф'!BB:BB)*1.2</f>
        <v>0</v>
      </c>
      <c r="DK17" s="276">
        <f>SUMIF('20Ф'!$H:$H,$B:$B,'20Ф'!BC:BC)*1.2</f>
        <v>0</v>
      </c>
      <c r="DL17" s="276">
        <f>$D17/$D$281*'20Ф'!$H$218</f>
        <v>4802.7805528330227</v>
      </c>
      <c r="DM17" s="240">
        <f t="shared" si="1"/>
        <v>181305.1241497272</v>
      </c>
      <c r="DN17" s="276">
        <f>SUMIF('20Ф'!$H:$H,$B:$B,'20Ф'!AV:AV)*1.2</f>
        <v>0</v>
      </c>
      <c r="DO17" s="276">
        <f>SUMIF('20Ф'!$H:$H,$B:$B,'20Ф'!AW:AW)*1.2+$D17/$D$281*'26Ф'!$D$42</f>
        <v>2555.7911984726938</v>
      </c>
      <c r="DP17" s="276">
        <f>SUMIF('20Ф'!$H:$H,$B:$B,'20Ф'!AX:AX)*1.2</f>
        <v>0</v>
      </c>
      <c r="DQ17" s="276">
        <f>SUMIF('20Ф'!$H:$H,$B:$B,'20Ф'!AY:AY)*1.2</f>
        <v>7389</v>
      </c>
      <c r="DR17" s="276">
        <f>SUMIF('20Ф'!$H:$H,$B:$B,'20Ф'!AU:AU)*1.2</f>
        <v>0</v>
      </c>
      <c r="DS17" s="276">
        <f>SUMIF('20Ф'!$H:$H,$B:$B,'20Ф'!AS:AS)*1.2</f>
        <v>85715.376000000004</v>
      </c>
      <c r="DT17" s="276">
        <f>SUMIF('20Ф'!$H:$H,$B:$B,'20Ф'!AR:AR)*1.2</f>
        <v>0</v>
      </c>
      <c r="DU17" s="276">
        <f>SUMIF('20Ф'!$H:$H,$B:$B,'20Ф'!X:X)*1.2</f>
        <v>40561.212</v>
      </c>
      <c r="DV17" s="276">
        <f>SUMIF('20Ф'!$H:$H,$B:$B,'20Ф'!AA:AA)*1.2</f>
        <v>0</v>
      </c>
      <c r="DW17" s="276">
        <f>SUMIF('20Ф'!$H:$H,$B:$B,'20Ф'!N:N)*1.2</f>
        <v>0</v>
      </c>
      <c r="DX17" s="276">
        <f>$D17/$D$281*('25Ф'!$D$37)</f>
        <v>42959.652691645919</v>
      </c>
      <c r="DY17" s="276">
        <f>$D17/$D$281*'25Ф'!$D$30</f>
        <v>1371.1372558762773</v>
      </c>
      <c r="DZ17" s="276">
        <f>$D17/$D$281*'25Ф'!$D$31</f>
        <v>752.95500373229538</v>
      </c>
      <c r="EA17" s="276"/>
      <c r="EB17" s="276">
        <f t="shared" si="2"/>
        <v>27065.255450009223</v>
      </c>
      <c r="EC17" s="276">
        <f>$D17/$D$281*'26Ф'!$D$36</f>
        <v>14088.337091822312</v>
      </c>
      <c r="ED17" s="276">
        <f>$D17/$D$281*'26Ф'!$D$37</f>
        <v>1692.698654945108</v>
      </c>
      <c r="EE17" s="276">
        <f>$D17/$D$281*'26Ф'!$D$38</f>
        <v>1710.0589452902339</v>
      </c>
      <c r="EF17" s="276">
        <f>$D17/$D$281*'26Ф'!$D$39</f>
        <v>1199.6047893906725</v>
      </c>
      <c r="EG17" s="276">
        <f>$D17/$D$281*'91Ф'!$D$10</f>
        <v>370.07757861807909</v>
      </c>
      <c r="EH17" s="276">
        <f>$D17/$D$281*('20Ф'!$I$509+'26Ф'!$D$41+'20Ф'!$I$507)</f>
        <v>2618.1770079445669</v>
      </c>
      <c r="EI17" s="276">
        <f>$D17/$D$281*'91Ф'!$D$31</f>
        <v>4799.5030126178626</v>
      </c>
      <c r="EJ17" s="276">
        <f>$D17/$D$281*'20Ф'!$I$1316</f>
        <v>586.79836938039011</v>
      </c>
      <c r="EK17" s="276">
        <f>$D17/$D$281*('20Ф'!$I$1105+'20Ф'!$I$1282+'91Ф'!$D$17+'91Ф'!$D$41)</f>
        <v>19271.112202602224</v>
      </c>
      <c r="EL17" s="276">
        <f>$D17/$D$281*отчёт!BX$294</f>
        <v>32215.422372235218</v>
      </c>
      <c r="EM17" s="276">
        <f>$D17/$D$281*отчёт!BY$294</f>
        <v>28331.734715656123</v>
      </c>
      <c r="EN17" s="276">
        <f>SUMIF(отчёт!$B:$B,$B:$B,отчёт!BZ:BZ)/отчёт!BZ$281*('60Ф'!$O$151+'60Ф'!$P$151)*отчёт!BZ$293</f>
        <v>0</v>
      </c>
      <c r="EO17" s="240">
        <f t="shared" si="3"/>
        <v>0</v>
      </c>
      <c r="EP17" s="276">
        <f>SUMIF('20Ф'!$H:$H,$B:$B,'20Ф'!T:T)*1.2</f>
        <v>0</v>
      </c>
      <c r="EQ17" s="276">
        <f>SUMIF('20Ф'!$H:$H,$B:$B,'20Ф'!U:U)*1.2</f>
        <v>0</v>
      </c>
      <c r="ER17" s="236"/>
      <c r="ES17" s="239">
        <f t="shared" si="6"/>
        <v>10782.514137753273</v>
      </c>
      <c r="ET17" s="276">
        <f>$D17/$D$282*'20Ф'!$I$381</f>
        <v>824.11788652145538</v>
      </c>
      <c r="EU17" s="276">
        <f>$D17/$D$282*('20Ф'!$I$75+'20Ф'!$I$1098)*1.2</f>
        <v>9518.927437839513</v>
      </c>
      <c r="EV17" s="276">
        <f>$D17/$D$282*('20Ф'!$I$1286)</f>
        <v>439.46881339230458</v>
      </c>
      <c r="EW17" s="276">
        <f>SUMIF('91.1Ф'!$N:$N,$B:$B,'91.1Ф'!$F:$F)+$D17/$D$281*('91Ф'!$D$12+'91Ф'!$D$11+'91Ф'!$D$19+'91Ф'!$D$20)</f>
        <v>2539.8383948450023</v>
      </c>
      <c r="EX17" s="276">
        <f t="shared" si="4"/>
        <v>7774.1933454019781</v>
      </c>
      <c r="EY17" s="276">
        <f>SUMIF('20Ф'!$H:$H,$B:$B,'20Ф'!$AY:$AY)*1.2</f>
        <v>7389</v>
      </c>
      <c r="EZ17" s="295">
        <f>D17/$D$286*'20Ф'!$I$1163</f>
        <v>385.19334540197804</v>
      </c>
      <c r="FA17" s="277">
        <f>SUMIF(отчёт!$B:$B,$B:$B,отчёт!$CU:$CU)/отчёт!$CU$281*'20Ф'!$I$1341</f>
        <v>0</v>
      </c>
      <c r="FB17" s="276">
        <f>SUMIF(Сальдо!$A:$A,$B:$B,Сальдо!$H:$H)-SUMIF(Сальдо!$A:$A,$B:$B,Сальдо!$I:$I)</f>
        <v>21484.45</v>
      </c>
    </row>
    <row r="18" spans="1:158" ht="12" customHeight="1" x14ac:dyDescent="0.25">
      <c r="A18" s="3">
        <f t="shared" si="7"/>
        <v>14</v>
      </c>
      <c r="B18" s="4" t="s">
        <v>59</v>
      </c>
      <c r="C18" s="4" t="s">
        <v>59</v>
      </c>
      <c r="D18" s="5">
        <v>560.67999999999995</v>
      </c>
      <c r="E18" s="6">
        <v>560.67999999999995</v>
      </c>
      <c r="F18" s="6">
        <v>0</v>
      </c>
      <c r="G18" s="6">
        <v>100</v>
      </c>
      <c r="H18" s="5">
        <f>SUMIF(отчёт!$B:$B,$B:$B,отчёт!I:I)</f>
        <v>0</v>
      </c>
      <c r="I18" s="5">
        <f>SUMIF(отчёт!$B:$B,$B:$B,отчёт!J:J)</f>
        <v>0</v>
      </c>
      <c r="J18" s="3" t="s">
        <v>51</v>
      </c>
      <c r="K18" s="105">
        <v>7</v>
      </c>
      <c r="L18" s="105" t="s">
        <v>52</v>
      </c>
      <c r="M18" s="7">
        <v>31</v>
      </c>
      <c r="N18" s="8">
        <v>5.0999999999999996</v>
      </c>
      <c r="O18" s="8">
        <v>6.59</v>
      </c>
      <c r="P18" s="8">
        <v>8.98</v>
      </c>
      <c r="Q18" s="8">
        <v>6.92</v>
      </c>
      <c r="R18" s="8">
        <v>3.15</v>
      </c>
      <c r="S18" s="8">
        <v>0</v>
      </c>
      <c r="T18" s="8">
        <v>0</v>
      </c>
      <c r="U18" s="8">
        <v>0.26</v>
      </c>
      <c r="V18" s="9">
        <v>40</v>
      </c>
      <c r="W18" s="9">
        <v>40</v>
      </c>
      <c r="X18" s="9">
        <v>2604.04</v>
      </c>
      <c r="Y18" s="8">
        <v>195.98199600000001</v>
      </c>
      <c r="Z18" s="9">
        <v>42.3</v>
      </c>
      <c r="AA18" s="9">
        <v>2604.04</v>
      </c>
      <c r="AB18" s="8">
        <v>7.85</v>
      </c>
      <c r="AC18" s="10">
        <v>0</v>
      </c>
      <c r="AD18" s="8">
        <v>6.73</v>
      </c>
      <c r="AE18" s="8">
        <v>10.67</v>
      </c>
      <c r="AF18" s="8">
        <v>14</v>
      </c>
      <c r="AG18" s="7">
        <v>104286.47999999998</v>
      </c>
      <c r="AH18" s="8">
        <v>17156.807999999997</v>
      </c>
      <c r="AI18" s="8">
        <v>22169.287199999999</v>
      </c>
      <c r="AJ18" s="8">
        <v>30209.438399999999</v>
      </c>
      <c r="AK18" s="8">
        <v>23279.433599999997</v>
      </c>
      <c r="AL18" s="8">
        <v>10596.851999999999</v>
      </c>
      <c r="AM18" s="8">
        <v>0</v>
      </c>
      <c r="AN18" s="8">
        <v>0</v>
      </c>
      <c r="AO18" s="8">
        <v>874.66079999999988</v>
      </c>
      <c r="AQ18" s="104">
        <v>33.17</v>
      </c>
      <c r="AR18" s="370">
        <v>13.89</v>
      </c>
      <c r="AS18" s="370"/>
      <c r="AT18" s="104">
        <v>5.9</v>
      </c>
      <c r="AU18" s="104">
        <v>1.53</v>
      </c>
      <c r="AV18" s="104">
        <v>0.32</v>
      </c>
      <c r="AW18" s="104">
        <v>0.6</v>
      </c>
      <c r="AX18" s="104">
        <v>5.01</v>
      </c>
      <c r="AY18" s="104">
        <v>4.99</v>
      </c>
      <c r="AZ18" s="104">
        <v>0</v>
      </c>
      <c r="BA18" s="104">
        <v>0</v>
      </c>
      <c r="BB18" s="104">
        <v>0</v>
      </c>
      <c r="BC18" s="101">
        <v>0.93</v>
      </c>
      <c r="BD18" s="104">
        <v>37.581610000000005</v>
      </c>
      <c r="BE18" s="370">
        <v>15.737370000000004</v>
      </c>
      <c r="BF18" s="370">
        <v>0</v>
      </c>
      <c r="BG18" s="104">
        <v>6.6847000000000012</v>
      </c>
      <c r="BH18" s="104">
        <v>1.7334900000000002</v>
      </c>
      <c r="BI18" s="104">
        <v>0.36256000000000005</v>
      </c>
      <c r="BJ18" s="104">
        <v>0.67980000000000007</v>
      </c>
      <c r="BK18" s="104">
        <v>5.6763300000000001</v>
      </c>
      <c r="BL18" s="104">
        <v>5.65367</v>
      </c>
      <c r="BM18" s="104">
        <v>0</v>
      </c>
      <c r="BN18" s="104">
        <v>0</v>
      </c>
      <c r="BO18" s="104">
        <v>0</v>
      </c>
      <c r="BP18" s="101">
        <v>1.0536900000000002</v>
      </c>
      <c r="BQ18" s="103">
        <v>247908.08214799999</v>
      </c>
      <c r="BR18" s="371">
        <v>103811.97651600001</v>
      </c>
      <c r="BS18" s="371">
        <v>0</v>
      </c>
      <c r="BT18" s="103">
        <v>44095.799959999997</v>
      </c>
      <c r="BU18" s="103">
        <v>11435.012531999999</v>
      </c>
      <c r="BV18" s="103">
        <v>2391.6366079999998</v>
      </c>
      <c r="BW18" s="103">
        <v>4484.3186400000004</v>
      </c>
      <c r="BX18" s="103">
        <v>37444.060643999997</v>
      </c>
      <c r="BY18" s="103">
        <v>37294.583355999996</v>
      </c>
      <c r="BZ18" s="103">
        <v>0</v>
      </c>
      <c r="CA18" s="103">
        <v>0</v>
      </c>
      <c r="CB18" s="103">
        <v>0</v>
      </c>
      <c r="CC18" s="103">
        <v>6950.6938920000002</v>
      </c>
      <c r="CD18" s="1">
        <v>1</v>
      </c>
      <c r="CF18" s="277">
        <f>SUMIF(Оборот!$A:$A,$B:$B,Оборот!H:H)</f>
        <v>213439.67000000004</v>
      </c>
      <c r="CG18" s="277">
        <f>SUMIF(Оборот!$A:$A,$B:$B,Оборот!I:I)</f>
        <v>201695.55000000002</v>
      </c>
      <c r="CH18" s="277">
        <f t="shared" si="0"/>
        <v>361287.7285497816</v>
      </c>
      <c r="CI18" s="239">
        <f t="shared" si="5"/>
        <v>59062.50434846431</v>
      </c>
      <c r="CJ18" s="276">
        <f>SUMIF('20Ф'!$H:$H,$B:$B,'20Ф'!M:M)*1.2</f>
        <v>0</v>
      </c>
      <c r="CK18" s="276">
        <f>SUMIF('20Ф'!$H:$H,$B:$B,'20Ф'!O:O)*1.2</f>
        <v>0</v>
      </c>
      <c r="CL18" s="276">
        <f>SUMIF('20Ф'!$H:$H,$B:$B,'20Ф'!Q:Q)*1.2</f>
        <v>0</v>
      </c>
      <c r="CM18" s="276">
        <f>SUMIF('20Ф'!$H:$H,$B:$B,'20Ф'!R:R)*1.2</f>
        <v>0</v>
      </c>
      <c r="CN18" s="276">
        <f>SUMIF('20Ф'!$H:$H,$B:$B,'20Ф'!S:S)*1.2</f>
        <v>0</v>
      </c>
      <c r="CO18" s="276">
        <f>SUMIF('20Ф'!$H:$H,$B:$B,'20Ф'!W:W)*1.2</f>
        <v>0</v>
      </c>
      <c r="CP18" s="276">
        <f>SUMIF('20Ф'!$H:$H,$B:$B,'20Ф'!P:P)*1.2</f>
        <v>0</v>
      </c>
      <c r="CQ18" s="276">
        <f>SUMIF('20Ф'!$H:$H,$B:$B,'20Ф'!Y:Y)*1.2</f>
        <v>0</v>
      </c>
      <c r="CR18" s="276">
        <f>SUMIF('20Ф'!$H:$H,$B:$B,'20Ф'!Z:Z)*1.2</f>
        <v>0</v>
      </c>
      <c r="CS18" s="276">
        <f>SUMIF('20Ф'!$H:$H,$B:$B,'20Ф'!AB:AB)*1.2</f>
        <v>0</v>
      </c>
      <c r="CT18" s="276">
        <f>SUMIF('20Ф'!$H:$H,$B:$B,'20Ф'!AC:AC)*1.2</f>
        <v>0</v>
      </c>
      <c r="CU18" s="276">
        <f>SUMIF('20Ф'!$H:$H,$B:$B,'20Ф'!AD:AD)*1.2</f>
        <v>0</v>
      </c>
      <c r="CV18" s="276">
        <f>SUMIF('20Ф'!$H:$H,$B:$B,'20Ф'!AE:AE)*1.2</f>
        <v>0</v>
      </c>
      <c r="CW18" s="276">
        <f>SUMIF('20Ф'!$H:$H,$B:$B,'20Ф'!AF:AF)*1.2</f>
        <v>9932.5439999999999</v>
      </c>
      <c r="CX18" s="276">
        <f>SUMIF('20Ф'!$H:$H,$B:$B,'20Ф'!AG:AG)*1.2</f>
        <v>0</v>
      </c>
      <c r="CY18" s="276">
        <f>SUMIF('20Ф'!$H:$H,$B:$B,'20Ф'!AH:AH)*1.2</f>
        <v>0</v>
      </c>
      <c r="CZ18" s="276">
        <f>SUMIF('20Ф'!$H:$H,$B:$B,'20Ф'!AI:AI)*1.2</f>
        <v>44198.592000000004</v>
      </c>
      <c r="DA18" s="276">
        <f>SUMIF('20Ф'!$H:$H,$B:$B,'20Ф'!AJ:AJ)*1.2</f>
        <v>0</v>
      </c>
      <c r="DB18" s="276">
        <f>SUMIF('20Ф'!$H:$H,$B:$B,'20Ф'!AK:AK)*1.2</f>
        <v>0</v>
      </c>
      <c r="DC18" s="276">
        <f>SUMIF('20Ф'!$H:$H,$B:$B,'20Ф'!AL:AL)*1.2</f>
        <v>0</v>
      </c>
      <c r="DD18" s="276">
        <f>SUMIF('20Ф'!$H:$H,$B:$B,'20Ф'!AM:AM)*1.2</f>
        <v>0</v>
      </c>
      <c r="DE18" s="276">
        <f>SUMIF('20Ф'!$H:$H,$B:$B,'20Ф'!AN:AN)*1.2</f>
        <v>0</v>
      </c>
      <c r="DF18" s="276">
        <f>SUMIF('20Ф'!$H:$H,$B:$B,'20Ф'!AO:AO)*1.2</f>
        <v>0</v>
      </c>
      <c r="DG18" s="276">
        <f>SUMIF('20Ф'!$H:$H,$B:$B,'20Ф'!AP:AP)*1.2</f>
        <v>0</v>
      </c>
      <c r="DH18" s="276">
        <f>SUMIF('20Ф'!$H:$H,$B:$B,'20Ф'!AQ:AQ)*1.2</f>
        <v>0</v>
      </c>
      <c r="DI18" s="276">
        <f>SUMIF('20Ф'!$H:$H,$B:$B,'20Ф'!BA:BA)*1.2</f>
        <v>0</v>
      </c>
      <c r="DJ18" s="276">
        <f>SUMIF('20Ф'!$H:$H,$B:$B,'20Ф'!BB:BB)*1.2</f>
        <v>0</v>
      </c>
      <c r="DK18" s="276">
        <f>SUMIF('20Ф'!$H:$H,$B:$B,'20Ф'!BC:BC)*1.2</f>
        <v>0</v>
      </c>
      <c r="DL18" s="276">
        <f>$D18/$D$281*'20Ф'!$H$218</f>
        <v>4931.368348464307</v>
      </c>
      <c r="DM18" s="240">
        <f t="shared" si="1"/>
        <v>170736.49873132815</v>
      </c>
      <c r="DN18" s="276">
        <f>SUMIF('20Ф'!$H:$H,$B:$B,'20Ф'!AV:AV)*1.2</f>
        <v>0</v>
      </c>
      <c r="DO18" s="276">
        <f>SUMIF('20Ф'!$H:$H,$B:$B,'20Ф'!AW:AW)*1.2+$D18/$D$281*'26Ф'!$D$42</f>
        <v>2624.2189670726111</v>
      </c>
      <c r="DP18" s="276">
        <f>SUMIF('20Ф'!$H:$H,$B:$B,'20Ф'!AX:AX)*1.2</f>
        <v>0</v>
      </c>
      <c r="DQ18" s="276">
        <f>SUMIF('20Ф'!$H:$H,$B:$B,'20Ф'!AY:AY)*1.2</f>
        <v>7668.9959999999992</v>
      </c>
      <c r="DR18" s="276">
        <f>SUMIF('20Ф'!$H:$H,$B:$B,'20Ф'!AU:AU)*1.2</f>
        <v>0</v>
      </c>
      <c r="DS18" s="276">
        <f>SUMIF('20Ф'!$H:$H,$B:$B,'20Ф'!AS:AS)*1.2</f>
        <v>84168.528000000006</v>
      </c>
      <c r="DT18" s="276">
        <f>SUMIF('20Ф'!$H:$H,$B:$B,'20Ф'!AR:AR)*1.2</f>
        <v>0</v>
      </c>
      <c r="DU18" s="276">
        <f>SUMIF('20Ф'!$H:$H,$B:$B,'20Ф'!X:X)*1.2</f>
        <v>29983.955999999998</v>
      </c>
      <c r="DV18" s="276">
        <f>SUMIF('20Ф'!$H:$H,$B:$B,'20Ф'!AA:AA)*1.2</f>
        <v>0</v>
      </c>
      <c r="DW18" s="276">
        <f>SUMIF('20Ф'!$H:$H,$B:$B,'20Ф'!N:N)*1.2</f>
        <v>0</v>
      </c>
      <c r="DX18" s="276">
        <f>$D18/$D$281*('25Ф'!$D$37)</f>
        <v>44109.837877068516</v>
      </c>
      <c r="DY18" s="276">
        <f>$D18/$D$281*'25Ф'!$D$30</f>
        <v>1407.8475563577465</v>
      </c>
      <c r="DZ18" s="276">
        <f>$D18/$D$281*'25Ф'!$D$31</f>
        <v>773.11433082925566</v>
      </c>
      <c r="EA18" s="276"/>
      <c r="EB18" s="276">
        <f t="shared" si="2"/>
        <v>27789.890169049497</v>
      </c>
      <c r="EC18" s="276">
        <f>$D18/$D$281*'26Ф'!$D$36</f>
        <v>14465.532799770965</v>
      </c>
      <c r="ED18" s="276">
        <f>$D18/$D$281*'26Ф'!$D$37</f>
        <v>1738.0183164022692</v>
      </c>
      <c r="EE18" s="276">
        <f>$D18/$D$281*'26Ф'!$D$38</f>
        <v>1755.843404470806</v>
      </c>
      <c r="EF18" s="276">
        <f>$D18/$D$281*'26Ф'!$D$39</f>
        <v>1231.7225457194488</v>
      </c>
      <c r="EG18" s="276">
        <f>$D18/$D$281*'91Ф'!$D$10</f>
        <v>379.98589308791077</v>
      </c>
      <c r="EH18" s="276">
        <f>$D18/$D$281*('20Ф'!$I$509+'26Ф'!$D$41+'20Ф'!$I$507)</f>
        <v>2688.2750701651098</v>
      </c>
      <c r="EI18" s="276">
        <f>$D18/$D$281*'91Ф'!$D$31</f>
        <v>4928.0030566505202</v>
      </c>
      <c r="EJ18" s="276">
        <f>$D18/$D$281*'20Ф'!$I$1316</f>
        <v>602.50908278247289</v>
      </c>
      <c r="EK18" s="276">
        <f>$D18/$D$281*('20Ф'!$I$1105+'20Ф'!$I$1282+'91Ф'!$D$17+'91Ф'!$D$41)</f>
        <v>19787.069534034748</v>
      </c>
      <c r="EL18" s="276">
        <f>$D18/$D$281*отчёт!BX$294</f>
        <v>33077.945675685529</v>
      </c>
      <c r="EM18" s="276">
        <f>$D18/$D$281*отчёт!BY$294</f>
        <v>29090.27766248045</v>
      </c>
      <c r="EN18" s="276">
        <f>SUMIF(отчёт!$B:$B,$B:$B,отчёт!BZ:BZ)/отчёт!BZ$281*('60Ф'!$O$151+'60Ф'!$P$151)*отчёт!BZ$293</f>
        <v>0</v>
      </c>
      <c r="EO18" s="240">
        <f t="shared" si="3"/>
        <v>0</v>
      </c>
      <c r="EP18" s="276">
        <f>SUMIF('20Ф'!$H:$H,$B:$B,'20Ф'!T:T)*1.2</f>
        <v>0</v>
      </c>
      <c r="EQ18" s="276">
        <f>SUMIF('20Ф'!$H:$H,$B:$B,'20Ф'!U:U)*1.2</f>
        <v>0</v>
      </c>
      <c r="ER18" s="236"/>
      <c r="ES18" s="239">
        <f t="shared" si="6"/>
        <v>11071.201015924084</v>
      </c>
      <c r="ET18" s="276">
        <f>$D18/$D$282*'20Ф'!$I$381</f>
        <v>846.18250121753942</v>
      </c>
      <c r="EU18" s="276">
        <f>$D18/$D$282*('20Ф'!$I$75+'20Ф'!$I$1098)*1.2</f>
        <v>9773.7835326664808</v>
      </c>
      <c r="EV18" s="276">
        <f>$D18/$D$282*('20Ф'!$I$1286)</f>
        <v>451.23498204006398</v>
      </c>
      <c r="EW18" s="276">
        <f>SUMIF('91.1Ф'!$N:$N,$B:$B,'91.1Ф'!$F:$F)+$D18/$D$281*('91Ф'!$D$12+'91Ф'!$D$11+'91Ф'!$D$19+'91Ф'!$D$20)</f>
        <v>2607.8390492284657</v>
      </c>
      <c r="EX18" s="276">
        <f t="shared" si="4"/>
        <v>8064.5023635863836</v>
      </c>
      <c r="EY18" s="276">
        <f>SUMIF('20Ф'!$H:$H,$B:$B,'20Ф'!$AY:$AY)*1.2</f>
        <v>7668.9959999999992</v>
      </c>
      <c r="EZ18" s="295">
        <f>D18/$D$286*'20Ф'!$I$1163</f>
        <v>395.50636358638434</v>
      </c>
      <c r="FA18" s="277">
        <f>SUMIF(отчёт!$B:$B,$B:$B,отчёт!$CU:$CU)/отчёт!$CU$281*'20Ф'!$I$1341</f>
        <v>0</v>
      </c>
      <c r="FB18" s="276">
        <f>SUMIF(Сальдо!$A:$A,$B:$B,Сальдо!$H:$H)-SUMIF(Сальдо!$A:$A,$B:$B,Сальдо!$I:$I)</f>
        <v>60084.820000000007</v>
      </c>
    </row>
    <row r="19" spans="1:158" ht="12" customHeight="1" x14ac:dyDescent="0.25">
      <c r="A19" s="3">
        <f t="shared" si="7"/>
        <v>15</v>
      </c>
      <c r="B19" s="4" t="s">
        <v>60</v>
      </c>
      <c r="C19" s="4" t="s">
        <v>60</v>
      </c>
      <c r="D19" s="5">
        <v>642.20000000000005</v>
      </c>
      <c r="E19" s="6">
        <v>642.20000000000005</v>
      </c>
      <c r="F19" s="6">
        <v>0</v>
      </c>
      <c r="G19" s="6">
        <v>65.400000000000006</v>
      </c>
      <c r="H19" s="5">
        <f>SUMIF(отчёт!$B:$B,$B:$B,отчёт!I:I)</f>
        <v>0</v>
      </c>
      <c r="I19" s="5">
        <f>SUMIF(отчёт!$B:$B,$B:$B,отчёт!J:J)</f>
        <v>0</v>
      </c>
      <c r="J19" s="3" t="s">
        <v>51</v>
      </c>
      <c r="K19" s="105">
        <v>7</v>
      </c>
      <c r="L19" s="105" t="s">
        <v>52</v>
      </c>
      <c r="M19" s="7">
        <v>31</v>
      </c>
      <c r="N19" s="8">
        <v>5.0999999999999996</v>
      </c>
      <c r="O19" s="8">
        <v>6.59</v>
      </c>
      <c r="P19" s="8">
        <v>8.98</v>
      </c>
      <c r="Q19" s="8">
        <v>6.92</v>
      </c>
      <c r="R19" s="8">
        <v>3.15</v>
      </c>
      <c r="S19" s="8">
        <v>0</v>
      </c>
      <c r="T19" s="8">
        <v>0</v>
      </c>
      <c r="U19" s="8">
        <v>0.26</v>
      </c>
      <c r="V19" s="9">
        <v>40</v>
      </c>
      <c r="W19" s="9">
        <v>40</v>
      </c>
      <c r="X19" s="9">
        <v>2604.04</v>
      </c>
      <c r="Y19" s="8">
        <v>195.98199600000001</v>
      </c>
      <c r="Z19" s="9">
        <v>42.3</v>
      </c>
      <c r="AA19" s="9">
        <v>2604.04</v>
      </c>
      <c r="AB19" s="8">
        <v>7.85</v>
      </c>
      <c r="AC19" s="10">
        <v>0</v>
      </c>
      <c r="AD19" s="8">
        <v>6.73</v>
      </c>
      <c r="AE19" s="8">
        <v>10.67</v>
      </c>
      <c r="AF19" s="8">
        <v>14</v>
      </c>
      <c r="AG19" s="7">
        <v>119449.20000000001</v>
      </c>
      <c r="AH19" s="8">
        <v>19651.32</v>
      </c>
      <c r="AI19" s="8">
        <v>25392.588</v>
      </c>
      <c r="AJ19" s="8">
        <v>34601.736000000004</v>
      </c>
      <c r="AK19" s="8">
        <v>26664.144</v>
      </c>
      <c r="AL19" s="8">
        <v>12137.58</v>
      </c>
      <c r="AM19" s="8">
        <v>0</v>
      </c>
      <c r="AN19" s="8">
        <v>0</v>
      </c>
      <c r="AO19" s="8">
        <v>1001.8320000000001</v>
      </c>
      <c r="AQ19" s="104">
        <v>33.17</v>
      </c>
      <c r="AR19" s="370">
        <v>13.89</v>
      </c>
      <c r="AS19" s="370"/>
      <c r="AT19" s="104">
        <v>5.9</v>
      </c>
      <c r="AU19" s="104">
        <v>1.53</v>
      </c>
      <c r="AV19" s="104">
        <v>0.32</v>
      </c>
      <c r="AW19" s="104">
        <v>0.6</v>
      </c>
      <c r="AX19" s="104">
        <v>5.01</v>
      </c>
      <c r="AY19" s="104">
        <v>4.99</v>
      </c>
      <c r="AZ19" s="104">
        <v>0</v>
      </c>
      <c r="BA19" s="104">
        <v>0</v>
      </c>
      <c r="BB19" s="104">
        <v>0</v>
      </c>
      <c r="BC19" s="101">
        <v>0.93</v>
      </c>
      <c r="BD19" s="104">
        <v>37.581610000000005</v>
      </c>
      <c r="BE19" s="370">
        <v>15.737370000000004</v>
      </c>
      <c r="BF19" s="370">
        <v>0</v>
      </c>
      <c r="BG19" s="104">
        <v>6.6847000000000012</v>
      </c>
      <c r="BH19" s="104">
        <v>1.7334900000000002</v>
      </c>
      <c r="BI19" s="104">
        <v>0.36256000000000005</v>
      </c>
      <c r="BJ19" s="104">
        <v>0.67980000000000007</v>
      </c>
      <c r="BK19" s="104">
        <v>5.6763300000000001</v>
      </c>
      <c r="BL19" s="104">
        <v>5.65367</v>
      </c>
      <c r="BM19" s="104">
        <v>0</v>
      </c>
      <c r="BN19" s="104">
        <v>0</v>
      </c>
      <c r="BO19" s="104">
        <v>0</v>
      </c>
      <c r="BP19" s="101">
        <v>1.0536900000000002</v>
      </c>
      <c r="BQ19" s="103">
        <v>283952.64742000011</v>
      </c>
      <c r="BR19" s="371">
        <v>118905.70614000004</v>
      </c>
      <c r="BS19" s="371">
        <v>0</v>
      </c>
      <c r="BT19" s="103">
        <v>50507.103400000007</v>
      </c>
      <c r="BU19" s="103">
        <v>13097.604780000001</v>
      </c>
      <c r="BV19" s="103">
        <v>2739.36832</v>
      </c>
      <c r="BW19" s="103">
        <v>5136.3156000000008</v>
      </c>
      <c r="BX19" s="103">
        <v>42888.235260000001</v>
      </c>
      <c r="BY19" s="103">
        <v>42717.024740000001</v>
      </c>
      <c r="BZ19" s="103">
        <v>0</v>
      </c>
      <c r="CA19" s="103">
        <v>0</v>
      </c>
      <c r="CB19" s="103">
        <v>0</v>
      </c>
      <c r="CC19" s="103">
        <v>7961.2891800000016</v>
      </c>
      <c r="CD19" s="1">
        <v>1</v>
      </c>
      <c r="CF19" s="277">
        <f>SUMIF(Оборот!$A:$A,$B:$B,Оборот!H:H)</f>
        <v>244472.76000000007</v>
      </c>
      <c r="CG19" s="277">
        <f>SUMIF(Оборот!$A:$A,$B:$B,Оборот!I:I)</f>
        <v>282720.36</v>
      </c>
      <c r="CH19" s="277">
        <f t="shared" si="0"/>
        <v>364105.97982783371</v>
      </c>
      <c r="CI19" s="239">
        <f t="shared" si="5"/>
        <v>65792.364046129311</v>
      </c>
      <c r="CJ19" s="276">
        <f>SUMIF('20Ф'!$H:$H,$B:$B,'20Ф'!M:M)*1.2</f>
        <v>0</v>
      </c>
      <c r="CK19" s="276">
        <f>SUMIF('20Ф'!$H:$H,$B:$B,'20Ф'!O:O)*1.2</f>
        <v>0</v>
      </c>
      <c r="CL19" s="276">
        <f>SUMIF('20Ф'!$H:$H,$B:$B,'20Ф'!Q:Q)*1.2</f>
        <v>0</v>
      </c>
      <c r="CM19" s="276">
        <f>SUMIF('20Ф'!$H:$H,$B:$B,'20Ф'!R:R)*1.2</f>
        <v>0</v>
      </c>
      <c r="CN19" s="276">
        <f>SUMIF('20Ф'!$H:$H,$B:$B,'20Ф'!S:S)*1.2</f>
        <v>0</v>
      </c>
      <c r="CO19" s="276">
        <f>SUMIF('20Ф'!$H:$H,$B:$B,'20Ф'!W:W)*1.2</f>
        <v>0</v>
      </c>
      <c r="CP19" s="276">
        <f>SUMIF('20Ф'!$H:$H,$B:$B,'20Ф'!P:P)*1.2</f>
        <v>0</v>
      </c>
      <c r="CQ19" s="276">
        <f>SUMIF('20Ф'!$H:$H,$B:$B,'20Ф'!Y:Y)*1.2</f>
        <v>0</v>
      </c>
      <c r="CR19" s="276">
        <f>SUMIF('20Ф'!$H:$H,$B:$B,'20Ф'!Z:Z)*1.2</f>
        <v>0</v>
      </c>
      <c r="CS19" s="276">
        <f>SUMIF('20Ф'!$H:$H,$B:$B,'20Ф'!AB:AB)*1.2</f>
        <v>0</v>
      </c>
      <c r="CT19" s="276">
        <f>SUMIF('20Ф'!$H:$H,$B:$B,'20Ф'!AC:AC)*1.2</f>
        <v>0</v>
      </c>
      <c r="CU19" s="276">
        <f>SUMIF('20Ф'!$H:$H,$B:$B,'20Ф'!AD:AD)*1.2</f>
        <v>0</v>
      </c>
      <c r="CV19" s="276">
        <f>SUMIF('20Ф'!$H:$H,$B:$B,'20Ф'!AE:AE)*1.2</f>
        <v>0</v>
      </c>
      <c r="CW19" s="276">
        <f>SUMIF('20Ф'!$H:$H,$B:$B,'20Ф'!AF:AF)*1.2</f>
        <v>0</v>
      </c>
      <c r="CX19" s="276">
        <f>SUMIF('20Ф'!$H:$H,$B:$B,'20Ф'!AG:AG)*1.2</f>
        <v>0</v>
      </c>
      <c r="CY19" s="276">
        <f>SUMIF('20Ф'!$H:$H,$B:$B,'20Ф'!AH:AH)*1.2</f>
        <v>0</v>
      </c>
      <c r="CZ19" s="276">
        <f>SUMIF('20Ф'!$H:$H,$B:$B,'20Ф'!AI:AI)*1.2</f>
        <v>0</v>
      </c>
      <c r="DA19" s="276">
        <f>SUMIF('20Ф'!$H:$H,$B:$B,'20Ф'!AJ:AJ)*1.2</f>
        <v>0</v>
      </c>
      <c r="DB19" s="276">
        <f>SUMIF('20Ф'!$H:$H,$B:$B,'20Ф'!AK:AK)*1.2</f>
        <v>0</v>
      </c>
      <c r="DC19" s="276">
        <f>SUMIF('20Ф'!$H:$H,$B:$B,'20Ф'!AL:AL)*1.2</f>
        <v>0</v>
      </c>
      <c r="DD19" s="276">
        <f>SUMIF('20Ф'!$H:$H,$B:$B,'20Ф'!AM:AM)*1.2</f>
        <v>0</v>
      </c>
      <c r="DE19" s="276">
        <f>SUMIF('20Ф'!$H:$H,$B:$B,'20Ф'!AN:AN)*1.2</f>
        <v>0</v>
      </c>
      <c r="DF19" s="276">
        <f>SUMIF('20Ф'!$H:$H,$B:$B,'20Ф'!AO:AO)*1.2</f>
        <v>0</v>
      </c>
      <c r="DG19" s="276">
        <f>SUMIF('20Ф'!$H:$H,$B:$B,'20Ф'!AP:AP)*1.2</f>
        <v>0</v>
      </c>
      <c r="DH19" s="276">
        <f>SUMIF('20Ф'!$H:$H,$B:$B,'20Ф'!AQ:AQ)*1.2</f>
        <v>0</v>
      </c>
      <c r="DI19" s="276">
        <f>SUMIF('20Ф'!$H:$H,$B:$B,'20Ф'!BA:BA)*1.2</f>
        <v>60144</v>
      </c>
      <c r="DJ19" s="276">
        <f>SUMIF('20Ф'!$H:$H,$B:$B,'20Ф'!BB:BB)*1.2</f>
        <v>0</v>
      </c>
      <c r="DK19" s="276">
        <f>SUMIF('20Ф'!$H:$H,$B:$B,'20Ф'!BC:BC)*1.2</f>
        <v>0</v>
      </c>
      <c r="DL19" s="276">
        <f>$D19/$D$281*'20Ф'!$H$218</f>
        <v>5648.3640461293044</v>
      </c>
      <c r="DM19" s="240">
        <f t="shared" si="1"/>
        <v>143098.12389494712</v>
      </c>
      <c r="DN19" s="276">
        <f>SUMIF('20Ф'!$H:$H,$B:$B,'20Ф'!AV:AV)*1.2</f>
        <v>0</v>
      </c>
      <c r="DO19" s="276">
        <f>SUMIF('20Ф'!$H:$H,$B:$B,'20Ф'!AW:AW)*1.2+$D19/$D$281*'26Ф'!$D$42</f>
        <v>3005.7669627131895</v>
      </c>
      <c r="DP19" s="276">
        <f>SUMIF('20Ф'!$H:$H,$B:$B,'20Ф'!AX:AX)*1.2</f>
        <v>0</v>
      </c>
      <c r="DQ19" s="276">
        <f>SUMIF('20Ф'!$H:$H,$B:$B,'20Ф'!AY:AY)*1.2</f>
        <v>13393.008</v>
      </c>
      <c r="DR19" s="276">
        <f>SUMIF('20Ф'!$H:$H,$B:$B,'20Ф'!AU:AU)*1.2</f>
        <v>0</v>
      </c>
      <c r="DS19" s="276">
        <f>SUMIF('20Ф'!$H:$H,$B:$B,'20Ф'!AS:AS)*1.2</f>
        <v>40825.187999999995</v>
      </c>
      <c r="DT19" s="276">
        <f>SUMIF('20Ф'!$H:$H,$B:$B,'20Ф'!AR:AR)*1.2</f>
        <v>0</v>
      </c>
      <c r="DU19" s="276">
        <f>SUMIF('20Ф'!$H:$H,$B:$B,'20Ф'!X:X)*1.2</f>
        <v>32852.915999999997</v>
      </c>
      <c r="DV19" s="276">
        <f>SUMIF('20Ф'!$H:$H,$B:$B,'20Ф'!AA:AA)*1.2</f>
        <v>0</v>
      </c>
      <c r="DW19" s="276">
        <f>SUMIF('20Ф'!$H:$H,$B:$B,'20Ф'!N:N)*1.2</f>
        <v>0</v>
      </c>
      <c r="DX19" s="276">
        <f>$D19/$D$281*('25Ф'!$D$37)</f>
        <v>50523.182358303151</v>
      </c>
      <c r="DY19" s="276">
        <f>$D19/$D$281*'25Ф'!$D$30</f>
        <v>1612.5413795622192</v>
      </c>
      <c r="DZ19" s="276">
        <f>$D19/$D$281*'25Ф'!$D$31</f>
        <v>885.52119436853127</v>
      </c>
      <c r="EA19" s="276"/>
      <c r="EB19" s="276">
        <f t="shared" si="2"/>
        <v>31830.397850045651</v>
      </c>
      <c r="EC19" s="276">
        <f>$D19/$D$281*'26Ф'!$D$36</f>
        <v>16568.747171315037</v>
      </c>
      <c r="ED19" s="276">
        <f>$D19/$D$281*'26Ф'!$D$37</f>
        <v>1990.7172768665505</v>
      </c>
      <c r="EE19" s="276">
        <f>$D19/$D$281*'26Ф'!$D$38</f>
        <v>2011.1340414338872</v>
      </c>
      <c r="EF19" s="276">
        <f>$D19/$D$281*'26Ф'!$D$39</f>
        <v>1410.808694551313</v>
      </c>
      <c r="EG19" s="276">
        <f>$D19/$D$281*'91Ф'!$D$10</f>
        <v>435.23389552161012</v>
      </c>
      <c r="EH19" s="276">
        <f>$D19/$D$281*('20Ф'!$I$509+'26Ф'!$D$41+'20Ф'!$I$507)</f>
        <v>3079.1364950774664</v>
      </c>
      <c r="EI19" s="276">
        <f>$D19/$D$281*'91Ф'!$D$31</f>
        <v>5644.509458124001</v>
      </c>
      <c r="EJ19" s="276">
        <f>$D19/$D$281*'20Ф'!$I$1316</f>
        <v>690.11081715578257</v>
      </c>
      <c r="EK19" s="276">
        <f>$D19/$D$281*('20Ф'!$I$1105+'20Ф'!$I$1282+'91Ф'!$D$17+'91Ф'!$D$41)</f>
        <v>22664.008087959475</v>
      </c>
      <c r="EL19" s="276">
        <f>$D19/$D$281*отчёт!BX$294</f>
        <v>37887.309540067872</v>
      </c>
      <c r="EM19" s="276">
        <f>$D19/$D$281*отчёт!BY$294</f>
        <v>33319.855023979719</v>
      </c>
      <c r="EN19" s="276">
        <f>SUMIF(отчёт!$B:$B,$B:$B,отчёт!BZ:BZ)/отчёт!BZ$281*('60Ф'!$O$151+'60Ф'!$P$151)*отчёт!BZ$293</f>
        <v>0</v>
      </c>
      <c r="EO19" s="240">
        <f t="shared" si="3"/>
        <v>0</v>
      </c>
      <c r="EP19" s="276">
        <f>SUMIF('20Ф'!$H:$H,$B:$B,'20Ф'!T:T)*1.2</f>
        <v>0</v>
      </c>
      <c r="EQ19" s="276">
        <f>SUMIF('20Ф'!$H:$H,$B:$B,'20Ф'!U:U)*1.2</f>
        <v>0</v>
      </c>
      <c r="ER19" s="236"/>
      <c r="ES19" s="239">
        <f t="shared" si="6"/>
        <v>12680.896933057087</v>
      </c>
      <c r="ET19" s="276">
        <f>$D19/$D$282*'20Ф'!$I$381</f>
        <v>969.21310245042423</v>
      </c>
      <c r="EU19" s="276">
        <f>$D19/$D$282*('20Ф'!$I$75+'20Ф'!$I$1098)*1.2</f>
        <v>11194.841593562129</v>
      </c>
      <c r="EV19" s="276">
        <f>$D19/$D$282*('20Ф'!$I$1286)</f>
        <v>516.84223704453359</v>
      </c>
      <c r="EW19" s="276">
        <f>SUMIF('91.1Ф'!$N:$N,$B:$B,'91.1Ф'!$F:$F)+$D19/$D$281*('91Ф'!$D$12+'91Ф'!$D$11+'91Ф'!$D$19+'91Ф'!$D$20)</f>
        <v>2987.0054887182014</v>
      </c>
      <c r="EX19" s="276">
        <f t="shared" si="4"/>
        <v>13846.018962929258</v>
      </c>
      <c r="EY19" s="276">
        <f>SUMIF('20Ф'!$H:$H,$B:$B,'20Ф'!$AY:$AY)*1.2</f>
        <v>13393.008</v>
      </c>
      <c r="EZ19" s="295">
        <f>D19/$D$286*'20Ф'!$I$1163</f>
        <v>453.01096292925746</v>
      </c>
      <c r="FA19" s="277">
        <f>SUMIF(отчёт!$B:$B,$B:$B,отчёт!$CU:$CU)/отчёт!$CU$281*'20Ф'!$I$1341</f>
        <v>0</v>
      </c>
      <c r="FB19" s="276">
        <f>SUMIF(Сальдо!$A:$A,$B:$B,Сальдо!$H:$H)-SUMIF(Сальдо!$A:$A,$B:$B,Сальдо!$I:$I)</f>
        <v>229110.47</v>
      </c>
    </row>
    <row r="20" spans="1:158" ht="12" customHeight="1" x14ac:dyDescent="0.25">
      <c r="A20" s="3">
        <f t="shared" si="7"/>
        <v>16</v>
      </c>
      <c r="B20" s="4" t="s">
        <v>61</v>
      </c>
      <c r="C20" s="4" t="s">
        <v>61</v>
      </c>
      <c r="D20" s="5">
        <v>646.79999999999995</v>
      </c>
      <c r="E20" s="6">
        <v>646.79999999999995</v>
      </c>
      <c r="F20" s="6">
        <v>0</v>
      </c>
      <c r="G20" s="6">
        <v>65.400000000000006</v>
      </c>
      <c r="H20" s="5">
        <f>SUMIF(отчёт!$B:$B,$B:$B,отчёт!I:I)</f>
        <v>0</v>
      </c>
      <c r="I20" s="5">
        <f>SUMIF(отчёт!$B:$B,$B:$B,отчёт!J:J)</f>
        <v>0</v>
      </c>
      <c r="J20" s="3" t="s">
        <v>51</v>
      </c>
      <c r="K20" s="105">
        <v>7</v>
      </c>
      <c r="L20" s="105" t="s">
        <v>52</v>
      </c>
      <c r="M20" s="7">
        <v>31</v>
      </c>
      <c r="N20" s="8">
        <v>5.0999999999999996</v>
      </c>
      <c r="O20" s="8">
        <v>6.59</v>
      </c>
      <c r="P20" s="8">
        <v>8.98</v>
      </c>
      <c r="Q20" s="8">
        <v>6.92</v>
      </c>
      <c r="R20" s="8">
        <v>3.15</v>
      </c>
      <c r="S20" s="8">
        <v>0</v>
      </c>
      <c r="T20" s="8">
        <v>0</v>
      </c>
      <c r="U20" s="8">
        <v>0.26</v>
      </c>
      <c r="V20" s="9">
        <v>40</v>
      </c>
      <c r="W20" s="9">
        <v>40</v>
      </c>
      <c r="X20" s="9">
        <v>2604.04</v>
      </c>
      <c r="Y20" s="8">
        <v>195.98199600000001</v>
      </c>
      <c r="Z20" s="9">
        <v>42.3</v>
      </c>
      <c r="AA20" s="9">
        <v>2604.04</v>
      </c>
      <c r="AB20" s="8">
        <v>7.85</v>
      </c>
      <c r="AC20" s="10">
        <v>0</v>
      </c>
      <c r="AD20" s="8">
        <v>6.73</v>
      </c>
      <c r="AE20" s="8">
        <v>10.67</v>
      </c>
      <c r="AF20" s="8">
        <v>14</v>
      </c>
      <c r="AG20" s="7">
        <v>120304.79999999999</v>
      </c>
      <c r="AH20" s="8">
        <v>19792.079999999994</v>
      </c>
      <c r="AI20" s="8">
        <v>25574.471999999994</v>
      </c>
      <c r="AJ20" s="8">
        <v>34849.584000000003</v>
      </c>
      <c r="AK20" s="8">
        <v>26855.135999999999</v>
      </c>
      <c r="AL20" s="8">
        <v>12224.519999999999</v>
      </c>
      <c r="AM20" s="8">
        <v>0</v>
      </c>
      <c r="AN20" s="8">
        <v>0</v>
      </c>
      <c r="AO20" s="8">
        <v>1009.008</v>
      </c>
      <c r="AQ20" s="104">
        <v>33.17</v>
      </c>
      <c r="AR20" s="370">
        <v>13.89</v>
      </c>
      <c r="AS20" s="370"/>
      <c r="AT20" s="104">
        <v>5.9</v>
      </c>
      <c r="AU20" s="104">
        <v>1.53</v>
      </c>
      <c r="AV20" s="104">
        <v>0.32</v>
      </c>
      <c r="AW20" s="104">
        <v>0.6</v>
      </c>
      <c r="AX20" s="104">
        <v>5.01</v>
      </c>
      <c r="AY20" s="104">
        <v>4.99</v>
      </c>
      <c r="AZ20" s="104">
        <v>0</v>
      </c>
      <c r="BA20" s="104">
        <v>0</v>
      </c>
      <c r="BB20" s="104">
        <v>0</v>
      </c>
      <c r="BC20" s="101">
        <v>0.93</v>
      </c>
      <c r="BD20" s="104">
        <v>37.581610000000005</v>
      </c>
      <c r="BE20" s="370">
        <v>15.737370000000004</v>
      </c>
      <c r="BF20" s="370">
        <v>0</v>
      </c>
      <c r="BG20" s="104">
        <v>6.6847000000000012</v>
      </c>
      <c r="BH20" s="104">
        <v>1.7334900000000002</v>
      </c>
      <c r="BI20" s="104">
        <v>0.36256000000000005</v>
      </c>
      <c r="BJ20" s="104">
        <v>0.67980000000000007</v>
      </c>
      <c r="BK20" s="104">
        <v>5.6763300000000001</v>
      </c>
      <c r="BL20" s="104">
        <v>5.65367</v>
      </c>
      <c r="BM20" s="104">
        <v>0</v>
      </c>
      <c r="BN20" s="104">
        <v>0</v>
      </c>
      <c r="BO20" s="104">
        <v>0</v>
      </c>
      <c r="BP20" s="101">
        <v>1.0536900000000002</v>
      </c>
      <c r="BQ20" s="103">
        <v>285986.56547999999</v>
      </c>
      <c r="BR20" s="371">
        <v>119757.41316000003</v>
      </c>
      <c r="BS20" s="371">
        <v>0</v>
      </c>
      <c r="BT20" s="103">
        <v>50868.8796</v>
      </c>
      <c r="BU20" s="103">
        <v>13191.421319999999</v>
      </c>
      <c r="BV20" s="103">
        <v>2758.99008</v>
      </c>
      <c r="BW20" s="103">
        <v>5173.1064000000006</v>
      </c>
      <c r="BX20" s="103">
        <v>43195.438439999998</v>
      </c>
      <c r="BY20" s="103">
        <v>43023.001559999997</v>
      </c>
      <c r="BZ20" s="103">
        <v>0</v>
      </c>
      <c r="CA20" s="103">
        <v>0</v>
      </c>
      <c r="CB20" s="103">
        <v>0</v>
      </c>
      <c r="CC20" s="103">
        <v>8018.3149200000007</v>
      </c>
      <c r="CD20" s="1">
        <v>1</v>
      </c>
      <c r="CF20" s="277">
        <f>SUMIF(Оборот!$A:$A,$B:$B,Оборот!H:H)</f>
        <v>246223.91999999995</v>
      </c>
      <c r="CG20" s="277">
        <f>SUMIF(Оборот!$A:$A,$B:$B,Оборот!I:I)</f>
        <v>252734.77000000002</v>
      </c>
      <c r="CH20" s="277">
        <f t="shared" si="0"/>
        <v>284998.95809131541</v>
      </c>
      <c r="CI20" s="239">
        <f t="shared" si="5"/>
        <v>5688.8225864784081</v>
      </c>
      <c r="CJ20" s="276">
        <f>SUMIF('20Ф'!$H:$H,$B:$B,'20Ф'!M:M)*1.2</f>
        <v>0</v>
      </c>
      <c r="CK20" s="276">
        <f>SUMIF('20Ф'!$H:$H,$B:$B,'20Ф'!O:O)*1.2</f>
        <v>0</v>
      </c>
      <c r="CL20" s="276">
        <f>SUMIF('20Ф'!$H:$H,$B:$B,'20Ф'!Q:Q)*1.2</f>
        <v>0</v>
      </c>
      <c r="CM20" s="276">
        <f>SUMIF('20Ф'!$H:$H,$B:$B,'20Ф'!R:R)*1.2</f>
        <v>0</v>
      </c>
      <c r="CN20" s="276">
        <f>SUMIF('20Ф'!$H:$H,$B:$B,'20Ф'!S:S)*1.2</f>
        <v>0</v>
      </c>
      <c r="CO20" s="276">
        <f>SUMIF('20Ф'!$H:$H,$B:$B,'20Ф'!W:W)*1.2</f>
        <v>0</v>
      </c>
      <c r="CP20" s="276">
        <f>SUMIF('20Ф'!$H:$H,$B:$B,'20Ф'!P:P)*1.2</f>
        <v>0</v>
      </c>
      <c r="CQ20" s="276">
        <f>SUMIF('20Ф'!$H:$H,$B:$B,'20Ф'!Y:Y)*1.2</f>
        <v>0</v>
      </c>
      <c r="CR20" s="276">
        <f>SUMIF('20Ф'!$H:$H,$B:$B,'20Ф'!Z:Z)*1.2</f>
        <v>0</v>
      </c>
      <c r="CS20" s="276">
        <f>SUMIF('20Ф'!$H:$H,$B:$B,'20Ф'!AB:AB)*1.2</f>
        <v>0</v>
      </c>
      <c r="CT20" s="276">
        <f>SUMIF('20Ф'!$H:$H,$B:$B,'20Ф'!AC:AC)*1.2</f>
        <v>0</v>
      </c>
      <c r="CU20" s="276">
        <f>SUMIF('20Ф'!$H:$H,$B:$B,'20Ф'!AD:AD)*1.2</f>
        <v>0</v>
      </c>
      <c r="CV20" s="276">
        <f>SUMIF('20Ф'!$H:$H,$B:$B,'20Ф'!AE:AE)*1.2</f>
        <v>0</v>
      </c>
      <c r="CW20" s="276">
        <f>SUMIF('20Ф'!$H:$H,$B:$B,'20Ф'!AF:AF)*1.2</f>
        <v>0</v>
      </c>
      <c r="CX20" s="276">
        <f>SUMIF('20Ф'!$H:$H,$B:$B,'20Ф'!AG:AG)*1.2</f>
        <v>0</v>
      </c>
      <c r="CY20" s="276">
        <f>SUMIF('20Ф'!$H:$H,$B:$B,'20Ф'!AH:AH)*1.2</f>
        <v>0</v>
      </c>
      <c r="CZ20" s="276">
        <f>SUMIF('20Ф'!$H:$H,$B:$B,'20Ф'!AI:AI)*1.2</f>
        <v>0</v>
      </c>
      <c r="DA20" s="276">
        <f>SUMIF('20Ф'!$H:$H,$B:$B,'20Ф'!AJ:AJ)*1.2</f>
        <v>0</v>
      </c>
      <c r="DB20" s="276">
        <f>SUMIF('20Ф'!$H:$H,$B:$B,'20Ф'!AK:AK)*1.2</f>
        <v>0</v>
      </c>
      <c r="DC20" s="276">
        <f>SUMIF('20Ф'!$H:$H,$B:$B,'20Ф'!AL:AL)*1.2</f>
        <v>0</v>
      </c>
      <c r="DD20" s="276">
        <f>SUMIF('20Ф'!$H:$H,$B:$B,'20Ф'!AM:AM)*1.2</f>
        <v>0</v>
      </c>
      <c r="DE20" s="276">
        <f>SUMIF('20Ф'!$H:$H,$B:$B,'20Ф'!AN:AN)*1.2</f>
        <v>0</v>
      </c>
      <c r="DF20" s="276">
        <f>SUMIF('20Ф'!$H:$H,$B:$B,'20Ф'!AO:AO)*1.2</f>
        <v>0</v>
      </c>
      <c r="DG20" s="276">
        <f>SUMIF('20Ф'!$H:$H,$B:$B,'20Ф'!AP:AP)*1.2</f>
        <v>0</v>
      </c>
      <c r="DH20" s="276">
        <f>SUMIF('20Ф'!$H:$H,$B:$B,'20Ф'!AQ:AQ)*1.2</f>
        <v>0</v>
      </c>
      <c r="DI20" s="276">
        <f>SUMIF('20Ф'!$H:$H,$B:$B,'20Ф'!BA:BA)*1.2</f>
        <v>0</v>
      </c>
      <c r="DJ20" s="276">
        <f>SUMIF('20Ф'!$H:$H,$B:$B,'20Ф'!BB:BB)*1.2</f>
        <v>0</v>
      </c>
      <c r="DK20" s="276">
        <f>SUMIF('20Ф'!$H:$H,$B:$B,'20Ф'!BC:BC)*1.2</f>
        <v>0</v>
      </c>
      <c r="DL20" s="276">
        <f>$D20/$D$281*'20Ф'!$H$218</f>
        <v>5688.8225864784081</v>
      </c>
      <c r="DM20" s="240">
        <f t="shared" si="1"/>
        <v>123770.79052390496</v>
      </c>
      <c r="DN20" s="276">
        <f>SUMIF('20Ф'!$H:$H,$B:$B,'20Ф'!AV:AV)*1.2</f>
        <v>0</v>
      </c>
      <c r="DO20" s="276">
        <f>SUMIF('20Ф'!$H:$H,$B:$B,'20Ф'!AW:AW)*1.2+$D20/$D$281*'26Ф'!$D$42</f>
        <v>3027.2969035859401</v>
      </c>
      <c r="DP20" s="276">
        <f>SUMIF('20Ф'!$H:$H,$B:$B,'20Ф'!AX:AX)*1.2</f>
        <v>0</v>
      </c>
      <c r="DQ20" s="276">
        <f>SUMIF('20Ф'!$H:$H,$B:$B,'20Ф'!AY:AY)*1.2</f>
        <v>12701.003999999999</v>
      </c>
      <c r="DR20" s="276">
        <f>SUMIF('20Ф'!$H:$H,$B:$B,'20Ф'!AU:AU)*1.2</f>
        <v>0</v>
      </c>
      <c r="DS20" s="276">
        <f>SUMIF('20Ф'!$H:$H,$B:$B,'20Ф'!AS:AS)*1.2</f>
        <v>32524.92</v>
      </c>
      <c r="DT20" s="276">
        <f>SUMIF('20Ф'!$H:$H,$B:$B,'20Ф'!AR:AR)*1.2</f>
        <v>0</v>
      </c>
      <c r="DU20" s="276">
        <f>SUMIF('20Ф'!$H:$H,$B:$B,'20Ф'!X:X)*1.2</f>
        <v>22116.54</v>
      </c>
      <c r="DV20" s="276">
        <f>SUMIF('20Ф'!$H:$H,$B:$B,'20Ф'!AA:AA)*1.2</f>
        <v>0</v>
      </c>
      <c r="DW20" s="276">
        <f>SUMIF('20Ф'!$H:$H,$B:$B,'20Ф'!N:N)*1.2</f>
        <v>0</v>
      </c>
      <c r="DX20" s="276">
        <f>$D20/$D$281*('25Ф'!$D$37)</f>
        <v>50885.073729913529</v>
      </c>
      <c r="DY20" s="276">
        <f>$D20/$D$281*'25Ф'!$D$30</f>
        <v>1624.0918161022162</v>
      </c>
      <c r="DZ20" s="276">
        <f>$D20/$D$281*'25Ф'!$D$31</f>
        <v>891.86407430327927</v>
      </c>
      <c r="EA20" s="276"/>
      <c r="EB20" s="276">
        <f t="shared" si="2"/>
        <v>32058.395094066524</v>
      </c>
      <c r="EC20" s="276">
        <f>$D20/$D$281*'26Ф'!$D$36</f>
        <v>16687.427079424735</v>
      </c>
      <c r="ED20" s="276">
        <f>$D20/$D$281*'26Ф'!$D$37</f>
        <v>2004.9765410733178</v>
      </c>
      <c r="EE20" s="276">
        <f>$D20/$D$281*'26Ф'!$D$38</f>
        <v>2025.5395484264061</v>
      </c>
      <c r="EF20" s="276">
        <f>$D20/$D$281*'26Ф'!$D$39</f>
        <v>1420.9141445589989</v>
      </c>
      <c r="EG20" s="276">
        <f>$D20/$D$281*'91Ф'!$D$10</f>
        <v>438.35142264618088</v>
      </c>
      <c r="EH20" s="276">
        <f>$D20/$D$281*('20Ф'!$I$509+'26Ф'!$D$41+'20Ф'!$I$507)</f>
        <v>3101.1919729307147</v>
      </c>
      <c r="EI20" s="276">
        <f>$D20/$D$281*'91Ф'!$D$31</f>
        <v>5684.9403885309921</v>
      </c>
      <c r="EJ20" s="276">
        <f>$D20/$D$281*'20Ф'!$I$1316</f>
        <v>695.05399647517925</v>
      </c>
      <c r="EK20" s="276">
        <f>$D20/$D$281*('20Ф'!$I$1105+'20Ф'!$I$1282+'91Ф'!$D$17+'91Ф'!$D$41)</f>
        <v>22826.347604005274</v>
      </c>
      <c r="EL20" s="276">
        <f>$D20/$D$281*отчёт!BX$294</f>
        <v>38158.691701208183</v>
      </c>
      <c r="EM20" s="276">
        <f>$D20/$D$281*отчёт!BY$294</f>
        <v>33558.521067440175</v>
      </c>
      <c r="EN20" s="276">
        <f>SUMIF(отчёт!$B:$B,$B:$B,отчёт!BZ:BZ)/отчёт!BZ$281*('60Ф'!$O$151+'60Ф'!$P$151)*отчёт!BZ$293</f>
        <v>0</v>
      </c>
      <c r="EO20" s="240">
        <f t="shared" si="3"/>
        <v>0</v>
      </c>
      <c r="EP20" s="276">
        <f>SUMIF('20Ф'!$H:$H,$B:$B,'20Ф'!T:T)*1.2</f>
        <v>0</v>
      </c>
      <c r="EQ20" s="276">
        <f>SUMIF('20Ф'!$H:$H,$B:$B,'20Ф'!U:U)*1.2</f>
        <v>0</v>
      </c>
      <c r="ER20" s="236"/>
      <c r="ES20" s="239">
        <f t="shared" si="6"/>
        <v>12771.728645751047</v>
      </c>
      <c r="ET20" s="276">
        <f>$D20/$D$282*'20Ф'!$I$381</f>
        <v>976.15545727956135</v>
      </c>
      <c r="EU20" s="276">
        <f>$D20/$D$282*('20Ф'!$I$75+'20Ф'!$I$1098)*1.2</f>
        <v>11275.028873740242</v>
      </c>
      <c r="EV20" s="276">
        <f>$D20/$D$282*('20Ф'!$I$1286)</f>
        <v>520.54431473124305</v>
      </c>
      <c r="EW20" s="276">
        <f>SUMIF('91.1Ф'!$N:$N,$B:$B,'91.1Ф'!$F:$F)+$D20/$D$281*('91Ф'!$D$12+'91Ф'!$D$11+'91Ф'!$D$19+'91Ф'!$D$20)</f>
        <v>3008.4010434489755</v>
      </c>
      <c r="EX20" s="276">
        <f t="shared" si="4"/>
        <v>13157.259825011901</v>
      </c>
      <c r="EY20" s="276">
        <f>SUMIF('20Ф'!$H:$H,$B:$B,'20Ф'!$AY:$AY)*1.2</f>
        <v>12701.003999999999</v>
      </c>
      <c r="EZ20" s="295">
        <f>D20/$D$286*'20Ф'!$I$1163</f>
        <v>456.25582501190235</v>
      </c>
      <c r="FA20" s="277">
        <f>SUMIF(отчёт!$B:$B,$B:$B,отчёт!$CU:$CU)/отчёт!$CU$281*'20Ф'!$I$1341</f>
        <v>0</v>
      </c>
      <c r="FB20" s="276">
        <f>SUMIF(Сальдо!$A:$A,$B:$B,Сальдо!$H:$H)-SUMIF(Сальдо!$A:$A,$B:$B,Сальдо!$I:$I)</f>
        <v>44163.47</v>
      </c>
    </row>
    <row r="21" spans="1:158" ht="12" customHeight="1" x14ac:dyDescent="0.25">
      <c r="A21" s="3">
        <f t="shared" si="7"/>
        <v>17</v>
      </c>
      <c r="B21" s="4" t="s">
        <v>62</v>
      </c>
      <c r="C21" s="4" t="s">
        <v>62</v>
      </c>
      <c r="D21" s="5">
        <v>633</v>
      </c>
      <c r="E21" s="6">
        <v>633</v>
      </c>
      <c r="F21" s="6">
        <v>0</v>
      </c>
      <c r="G21" s="6">
        <v>65.400000000000006</v>
      </c>
      <c r="H21" s="5">
        <f>SUMIF(отчёт!$B:$B,$B:$B,отчёт!I:I)</f>
        <v>0</v>
      </c>
      <c r="I21" s="5">
        <f>SUMIF(отчёт!$B:$B,$B:$B,отчёт!J:J)</f>
        <v>0</v>
      </c>
      <c r="J21" s="3" t="s">
        <v>51</v>
      </c>
      <c r="K21" s="105">
        <v>7</v>
      </c>
      <c r="L21" s="105" t="s">
        <v>52</v>
      </c>
      <c r="M21" s="7">
        <v>31</v>
      </c>
      <c r="N21" s="8">
        <v>5.0999999999999996</v>
      </c>
      <c r="O21" s="8">
        <v>6.59</v>
      </c>
      <c r="P21" s="8">
        <v>8.98</v>
      </c>
      <c r="Q21" s="8">
        <v>6.92</v>
      </c>
      <c r="R21" s="8">
        <v>3.15</v>
      </c>
      <c r="S21" s="8">
        <v>0</v>
      </c>
      <c r="T21" s="8">
        <v>0</v>
      </c>
      <c r="U21" s="8">
        <v>0.26</v>
      </c>
      <c r="V21" s="9">
        <v>40</v>
      </c>
      <c r="W21" s="9">
        <v>40</v>
      </c>
      <c r="X21" s="9">
        <v>2604.04</v>
      </c>
      <c r="Y21" s="8">
        <v>195.98199600000001</v>
      </c>
      <c r="Z21" s="9">
        <v>42.3</v>
      </c>
      <c r="AA21" s="9">
        <v>2604.04</v>
      </c>
      <c r="AB21" s="8">
        <v>7.85</v>
      </c>
      <c r="AC21" s="10">
        <v>0</v>
      </c>
      <c r="AD21" s="8">
        <v>6.73</v>
      </c>
      <c r="AE21" s="8">
        <v>10.67</v>
      </c>
      <c r="AF21" s="8">
        <v>14</v>
      </c>
      <c r="AG21" s="7">
        <v>117738</v>
      </c>
      <c r="AH21" s="8">
        <v>19369.8</v>
      </c>
      <c r="AI21" s="8">
        <v>25028.82</v>
      </c>
      <c r="AJ21" s="8">
        <v>34106.04</v>
      </c>
      <c r="AK21" s="8">
        <v>26282.159999999996</v>
      </c>
      <c r="AL21" s="8">
        <v>11963.7</v>
      </c>
      <c r="AM21" s="8">
        <v>0</v>
      </c>
      <c r="AN21" s="8">
        <v>0</v>
      </c>
      <c r="AO21" s="8">
        <v>987.48</v>
      </c>
      <c r="AQ21" s="104">
        <v>33.17</v>
      </c>
      <c r="AR21" s="370">
        <v>13.89</v>
      </c>
      <c r="AS21" s="370"/>
      <c r="AT21" s="104">
        <v>5.9</v>
      </c>
      <c r="AU21" s="104">
        <v>1.53</v>
      </c>
      <c r="AV21" s="104">
        <v>0.32</v>
      </c>
      <c r="AW21" s="104">
        <v>0.6</v>
      </c>
      <c r="AX21" s="104">
        <v>5.01</v>
      </c>
      <c r="AY21" s="104">
        <v>4.99</v>
      </c>
      <c r="AZ21" s="104">
        <v>0</v>
      </c>
      <c r="BA21" s="104">
        <v>0</v>
      </c>
      <c r="BB21" s="104">
        <v>0</v>
      </c>
      <c r="BC21" s="101">
        <v>0.93</v>
      </c>
      <c r="BD21" s="104">
        <v>37.581610000000005</v>
      </c>
      <c r="BE21" s="370">
        <v>15.737370000000004</v>
      </c>
      <c r="BF21" s="370">
        <v>0</v>
      </c>
      <c r="BG21" s="104">
        <v>6.6847000000000012</v>
      </c>
      <c r="BH21" s="104">
        <v>1.7334900000000002</v>
      </c>
      <c r="BI21" s="104">
        <v>0.36256000000000005</v>
      </c>
      <c r="BJ21" s="104">
        <v>0.67980000000000007</v>
      </c>
      <c r="BK21" s="104">
        <v>5.6763300000000001</v>
      </c>
      <c r="BL21" s="104">
        <v>5.65367</v>
      </c>
      <c r="BM21" s="104">
        <v>0</v>
      </c>
      <c r="BN21" s="104">
        <v>0</v>
      </c>
      <c r="BO21" s="104">
        <v>0</v>
      </c>
      <c r="BP21" s="101">
        <v>1.0536900000000002</v>
      </c>
      <c r="BQ21" s="103">
        <v>279884.8113</v>
      </c>
      <c r="BR21" s="371">
        <v>117202.29210000002</v>
      </c>
      <c r="BS21" s="371">
        <v>0</v>
      </c>
      <c r="BT21" s="103">
        <v>49783.551000000007</v>
      </c>
      <c r="BU21" s="103">
        <v>12909.9717</v>
      </c>
      <c r="BV21" s="103">
        <v>2700.1248000000001</v>
      </c>
      <c r="BW21" s="103">
        <v>5062.7340000000004</v>
      </c>
      <c r="BX21" s="103">
        <v>42273.8289</v>
      </c>
      <c r="BY21" s="103">
        <v>42105.071100000001</v>
      </c>
      <c r="BZ21" s="103">
        <v>0</v>
      </c>
      <c r="CA21" s="103">
        <v>0</v>
      </c>
      <c r="CB21" s="103">
        <v>0</v>
      </c>
      <c r="CC21" s="103">
        <v>7847.2377000000015</v>
      </c>
      <c r="CD21" s="1">
        <v>1</v>
      </c>
      <c r="CF21" s="277">
        <f>SUMIF(Оборот!$A:$A,$B:$B,Оборот!H:H)</f>
        <v>240970.44</v>
      </c>
      <c r="CG21" s="277">
        <f>SUMIF(Оборот!$A:$A,$B:$B,Оборот!I:I)</f>
        <v>242273.48999999996</v>
      </c>
      <c r="CH21" s="277">
        <f t="shared" si="0"/>
        <v>408502.21930086997</v>
      </c>
      <c r="CI21" s="239">
        <f t="shared" si="5"/>
        <v>45359.782965431092</v>
      </c>
      <c r="CJ21" s="276">
        <f>SUMIF('20Ф'!$H:$H,$B:$B,'20Ф'!M:M)*1.2</f>
        <v>0</v>
      </c>
      <c r="CK21" s="276">
        <f>SUMIF('20Ф'!$H:$H,$B:$B,'20Ф'!O:O)*1.2</f>
        <v>0</v>
      </c>
      <c r="CL21" s="276">
        <f>SUMIF('20Ф'!$H:$H,$B:$B,'20Ф'!Q:Q)*1.2</f>
        <v>0</v>
      </c>
      <c r="CM21" s="276">
        <f>SUMIF('20Ф'!$H:$H,$B:$B,'20Ф'!R:R)*1.2</f>
        <v>0</v>
      </c>
      <c r="CN21" s="276">
        <f>SUMIF('20Ф'!$H:$H,$B:$B,'20Ф'!S:S)*1.2</f>
        <v>0</v>
      </c>
      <c r="CO21" s="276">
        <f>SUMIF('20Ф'!$H:$H,$B:$B,'20Ф'!W:W)*1.2</f>
        <v>0</v>
      </c>
      <c r="CP21" s="276">
        <f>SUMIF('20Ф'!$H:$H,$B:$B,'20Ф'!P:P)*1.2</f>
        <v>0</v>
      </c>
      <c r="CQ21" s="276">
        <f>SUMIF('20Ф'!$H:$H,$B:$B,'20Ф'!Y:Y)*1.2</f>
        <v>0</v>
      </c>
      <c r="CR21" s="276">
        <f>SUMIF('20Ф'!$H:$H,$B:$B,'20Ф'!Z:Z)*1.2</f>
        <v>0</v>
      </c>
      <c r="CS21" s="276">
        <f>SUMIF('20Ф'!$H:$H,$B:$B,'20Ф'!AB:AB)*1.2</f>
        <v>0</v>
      </c>
      <c r="CT21" s="276">
        <f>SUMIF('20Ф'!$H:$H,$B:$B,'20Ф'!AC:AC)*1.2</f>
        <v>0</v>
      </c>
      <c r="CU21" s="276">
        <f>SUMIF('20Ф'!$H:$H,$B:$B,'20Ф'!AD:AD)*1.2</f>
        <v>0</v>
      </c>
      <c r="CV21" s="276">
        <f>SUMIF('20Ф'!$H:$H,$B:$B,'20Ф'!AE:AE)*1.2</f>
        <v>0</v>
      </c>
      <c r="CW21" s="276">
        <f>SUMIF('20Ф'!$H:$H,$B:$B,'20Ф'!AF:AF)*1.2</f>
        <v>0</v>
      </c>
      <c r="CX21" s="276">
        <f>SUMIF('20Ф'!$H:$H,$B:$B,'20Ф'!AG:AG)*1.2</f>
        <v>0</v>
      </c>
      <c r="CY21" s="276">
        <f>SUMIF('20Ф'!$H:$H,$B:$B,'20Ф'!AH:AH)*1.2</f>
        <v>0</v>
      </c>
      <c r="CZ21" s="276">
        <f>SUMIF('20Ф'!$H:$H,$B:$B,'20Ф'!AI:AI)*1.2</f>
        <v>0</v>
      </c>
      <c r="DA21" s="276">
        <f>SUMIF('20Ф'!$H:$H,$B:$B,'20Ф'!AJ:AJ)*1.2</f>
        <v>39792.335999999996</v>
      </c>
      <c r="DB21" s="276">
        <f>SUMIF('20Ф'!$H:$H,$B:$B,'20Ф'!AK:AK)*1.2</f>
        <v>0</v>
      </c>
      <c r="DC21" s="276">
        <f>SUMIF('20Ф'!$H:$H,$B:$B,'20Ф'!AL:AL)*1.2</f>
        <v>0</v>
      </c>
      <c r="DD21" s="276">
        <f>SUMIF('20Ф'!$H:$H,$B:$B,'20Ф'!AM:AM)*1.2</f>
        <v>0</v>
      </c>
      <c r="DE21" s="276">
        <f>SUMIF('20Ф'!$H:$H,$B:$B,'20Ф'!AN:AN)*1.2</f>
        <v>0</v>
      </c>
      <c r="DF21" s="276">
        <f>SUMIF('20Ф'!$H:$H,$B:$B,'20Ф'!AO:AO)*1.2</f>
        <v>0</v>
      </c>
      <c r="DG21" s="276">
        <f>SUMIF('20Ф'!$H:$H,$B:$B,'20Ф'!AP:AP)*1.2</f>
        <v>0</v>
      </c>
      <c r="DH21" s="276">
        <f>SUMIF('20Ф'!$H:$H,$B:$B,'20Ф'!AQ:AQ)*1.2</f>
        <v>0</v>
      </c>
      <c r="DI21" s="276">
        <f>SUMIF('20Ф'!$H:$H,$B:$B,'20Ф'!BA:BA)*1.2</f>
        <v>0</v>
      </c>
      <c r="DJ21" s="276">
        <f>SUMIF('20Ф'!$H:$H,$B:$B,'20Ф'!BB:BB)*1.2</f>
        <v>0</v>
      </c>
      <c r="DK21" s="276">
        <f>SUMIF('20Ф'!$H:$H,$B:$B,'20Ф'!BC:BC)*1.2</f>
        <v>0</v>
      </c>
      <c r="DL21" s="276">
        <f>$D21/$D$281*'20Ф'!$H$218</f>
        <v>5567.446965431096</v>
      </c>
      <c r="DM21" s="240">
        <f t="shared" si="1"/>
        <v>210326.66263703129</v>
      </c>
      <c r="DN21" s="276">
        <f>SUMIF('20Ф'!$H:$H,$B:$B,'20Ф'!AV:AV)*1.2</f>
        <v>0</v>
      </c>
      <c r="DO21" s="276">
        <f>SUMIF('20Ф'!$H:$H,$B:$B,'20Ф'!AW:AW)*1.2+$D21/$D$281*'26Ф'!$D$42</f>
        <v>2962.7070809676875</v>
      </c>
      <c r="DP21" s="276">
        <f>SUMIF('20Ф'!$H:$H,$B:$B,'20Ф'!AX:AX)*1.2</f>
        <v>0</v>
      </c>
      <c r="DQ21" s="276">
        <f>SUMIF('20Ф'!$H:$H,$B:$B,'20Ф'!AY:AY)*1.2</f>
        <v>13025.003999999999</v>
      </c>
      <c r="DR21" s="276">
        <f>SUMIF('20Ф'!$H:$H,$B:$B,'20Ф'!AU:AU)*1.2</f>
        <v>0</v>
      </c>
      <c r="DS21" s="276">
        <f>SUMIF('20Ф'!$H:$H,$B:$B,'20Ф'!AS:AS)*1.2</f>
        <v>83800.703999999998</v>
      </c>
      <c r="DT21" s="276">
        <f>SUMIF('20Ф'!$H:$H,$B:$B,'20Ф'!AR:AR)*1.2</f>
        <v>0</v>
      </c>
      <c r="DU21" s="276">
        <f>SUMIF('20Ф'!$H:$H,$B:$B,'20Ф'!X:X)*1.2</f>
        <v>58276.571999999993</v>
      </c>
      <c r="DV21" s="276">
        <f>SUMIF('20Ф'!$H:$H,$B:$B,'20Ф'!AA:AA)*1.2</f>
        <v>0</v>
      </c>
      <c r="DW21" s="276">
        <f>SUMIF('20Ф'!$H:$H,$B:$B,'20Ф'!N:N)*1.2</f>
        <v>0</v>
      </c>
      <c r="DX21" s="276">
        <f>$D21/$D$281*('25Ф'!$D$37)</f>
        <v>49799.399615082359</v>
      </c>
      <c r="DY21" s="276">
        <f>$D21/$D$281*'25Ф'!$D$30</f>
        <v>1589.4405064822247</v>
      </c>
      <c r="DZ21" s="276">
        <f>$D21/$D$281*'25Ф'!$D$31</f>
        <v>872.83543449903505</v>
      </c>
      <c r="EA21" s="276"/>
      <c r="EB21" s="276">
        <f t="shared" si="2"/>
        <v>31374.403362003883</v>
      </c>
      <c r="EC21" s="276">
        <f>$D21/$D$281*'26Ф'!$D$36</f>
        <v>16331.387355095638</v>
      </c>
      <c r="ED21" s="276">
        <f>$D21/$D$281*'26Ф'!$D$37</f>
        <v>1962.1987484530152</v>
      </c>
      <c r="EE21" s="276">
        <f>$D21/$D$281*'26Ф'!$D$38</f>
        <v>1982.3230274488485</v>
      </c>
      <c r="EF21" s="276">
        <f>$D21/$D$281*'26Ф'!$D$39</f>
        <v>1390.5977945359407</v>
      </c>
      <c r="EG21" s="276">
        <f>$D21/$D$281*'91Ф'!$D$10</f>
        <v>428.99884127246838</v>
      </c>
      <c r="EH21" s="276">
        <f>$D21/$D$281*('20Ф'!$I$509+'26Ф'!$D$41+'20Ф'!$I$507)</f>
        <v>3035.0255393709685</v>
      </c>
      <c r="EI21" s="276">
        <f>$D21/$D$281*'91Ф'!$D$31</f>
        <v>5563.6475973100169</v>
      </c>
      <c r="EJ21" s="276">
        <f>$D21/$D$281*'20Ф'!$I$1316</f>
        <v>680.2244585169891</v>
      </c>
      <c r="EK21" s="276">
        <f>$D21/$D$281*('20Ф'!$I$1105+'20Ф'!$I$1282+'91Ф'!$D$17+'91Ф'!$D$41)</f>
        <v>22339.329055867875</v>
      </c>
      <c r="EL21" s="276">
        <f>$D21/$D$281*отчёт!BX$294</f>
        <v>37344.545217787236</v>
      </c>
      <c r="EM21" s="276">
        <f>$D21/$D$281*отчёт!BY$294</f>
        <v>32842.522937058806</v>
      </c>
      <c r="EN21" s="276">
        <f>SUMIF(отчёт!$B:$B,$B:$B,отчёт!BZ:BZ)/отчёт!BZ$281*('60Ф'!$O$151+'60Ф'!$P$151)*отчёт!BZ$293</f>
        <v>0</v>
      </c>
      <c r="EO21" s="240">
        <f t="shared" si="3"/>
        <v>0</v>
      </c>
      <c r="EP21" s="276">
        <f>SUMIF('20Ф'!$H:$H,$B:$B,'20Ф'!T:T)*1.2</f>
        <v>0</v>
      </c>
      <c r="EQ21" s="276">
        <f>SUMIF('20Ф'!$H:$H,$B:$B,'20Ф'!U:U)*1.2</f>
        <v>0</v>
      </c>
      <c r="ER21" s="236"/>
      <c r="ES21" s="239">
        <f t="shared" si="6"/>
        <v>12499.233507669162</v>
      </c>
      <c r="ET21" s="276">
        <f>$D21/$D$282*'20Ф'!$I$381</f>
        <v>955.32839279214966</v>
      </c>
      <c r="EU21" s="276">
        <f>$D21/$D$282*('20Ф'!$I$75+'20Ф'!$I$1098)*1.2</f>
        <v>11034.467033205898</v>
      </c>
      <c r="EV21" s="276">
        <f>$D21/$D$282*('20Ф'!$I$1286)</f>
        <v>509.43808167111456</v>
      </c>
      <c r="EW21" s="276">
        <f>SUMIF('91.1Ф'!$N:$N,$B:$B,'91.1Ф'!$F:$F)+$D21/$D$281*('91Ф'!$D$12+'91Ф'!$D$11+'91Ф'!$D$19+'91Ф'!$D$20)</f>
        <v>2944.2143792566508</v>
      </c>
      <c r="EX21" s="276">
        <f t="shared" si="4"/>
        <v>13471.525238763967</v>
      </c>
      <c r="EY21" s="276">
        <f>SUMIF('20Ф'!$H:$H,$B:$B,'20Ф'!$AY:$AY)*1.2</f>
        <v>13025.003999999999</v>
      </c>
      <c r="EZ21" s="295">
        <f>D21/$D$286*'20Ф'!$I$1163</f>
        <v>446.52123876396752</v>
      </c>
      <c r="FA21" s="277">
        <f>SUMIF(отчёт!$B:$B,$B:$B,отчёт!$CU:$CU)/отчёт!$CU$281*'20Ф'!$I$1341</f>
        <v>0</v>
      </c>
      <c r="FB21" s="276">
        <f>SUMIF(Сальдо!$A:$A,$B:$B,Сальдо!$H:$H)-SUMIF(Сальдо!$A:$A,$B:$B,Сальдо!$I:$I)</f>
        <v>80061.429999999993</v>
      </c>
    </row>
    <row r="22" spans="1:158" ht="12" customHeight="1" x14ac:dyDescent="0.25">
      <c r="A22" s="3">
        <f t="shared" si="7"/>
        <v>18</v>
      </c>
      <c r="B22" s="4" t="s">
        <v>63</v>
      </c>
      <c r="C22" s="4" t="s">
        <v>63</v>
      </c>
      <c r="D22" s="5">
        <v>604.79999999999995</v>
      </c>
      <c r="E22" s="6">
        <v>604.79999999999995</v>
      </c>
      <c r="F22" s="6">
        <v>0</v>
      </c>
      <c r="G22" s="6">
        <v>67.400000000000006</v>
      </c>
      <c r="H22" s="5">
        <f>SUMIF(отчёт!$B:$B,$B:$B,отчёт!I:I)</f>
        <v>0</v>
      </c>
      <c r="I22" s="5">
        <f>SUMIF(отчёт!$B:$B,$B:$B,отчёт!J:J)</f>
        <v>0</v>
      </c>
      <c r="J22" s="3" t="s">
        <v>51</v>
      </c>
      <c r="K22" s="105">
        <v>7</v>
      </c>
      <c r="L22" s="105" t="s">
        <v>52</v>
      </c>
      <c r="M22" s="7">
        <v>31</v>
      </c>
      <c r="N22" s="8">
        <v>5.0999999999999996</v>
      </c>
      <c r="O22" s="8">
        <v>6.59</v>
      </c>
      <c r="P22" s="8">
        <v>8.98</v>
      </c>
      <c r="Q22" s="8">
        <v>6.92</v>
      </c>
      <c r="R22" s="8">
        <v>3.15</v>
      </c>
      <c r="S22" s="8">
        <v>0</v>
      </c>
      <c r="T22" s="8">
        <v>0</v>
      </c>
      <c r="U22" s="8">
        <v>0.26</v>
      </c>
      <c r="V22" s="9">
        <v>40</v>
      </c>
      <c r="W22" s="9">
        <v>40</v>
      </c>
      <c r="X22" s="9">
        <v>2604.04</v>
      </c>
      <c r="Y22" s="8">
        <v>195.98199600000001</v>
      </c>
      <c r="Z22" s="9">
        <v>42.3</v>
      </c>
      <c r="AA22" s="9">
        <v>2604.04</v>
      </c>
      <c r="AB22" s="8">
        <v>7.85</v>
      </c>
      <c r="AC22" s="10">
        <v>0</v>
      </c>
      <c r="AD22" s="8">
        <v>6.73</v>
      </c>
      <c r="AE22" s="8">
        <v>10.67</v>
      </c>
      <c r="AF22" s="8">
        <v>14</v>
      </c>
      <c r="AG22" s="7">
        <v>112492.79999999999</v>
      </c>
      <c r="AH22" s="8">
        <v>18506.879999999997</v>
      </c>
      <c r="AI22" s="8">
        <v>23913.791999999998</v>
      </c>
      <c r="AJ22" s="8">
        <v>32586.624000000003</v>
      </c>
      <c r="AK22" s="8">
        <v>25111.295999999995</v>
      </c>
      <c r="AL22" s="8">
        <v>11430.72</v>
      </c>
      <c r="AM22" s="8">
        <v>0</v>
      </c>
      <c r="AN22" s="8">
        <v>0</v>
      </c>
      <c r="AO22" s="8">
        <v>943.48799999999994</v>
      </c>
      <c r="AQ22" s="104">
        <v>33.17</v>
      </c>
      <c r="AR22" s="370">
        <v>13.89</v>
      </c>
      <c r="AS22" s="370"/>
      <c r="AT22" s="104">
        <v>5.9</v>
      </c>
      <c r="AU22" s="104">
        <v>1.53</v>
      </c>
      <c r="AV22" s="104">
        <v>0.32</v>
      </c>
      <c r="AW22" s="104">
        <v>0.6</v>
      </c>
      <c r="AX22" s="104">
        <v>5.01</v>
      </c>
      <c r="AY22" s="104">
        <v>4.99</v>
      </c>
      <c r="AZ22" s="104">
        <v>0</v>
      </c>
      <c r="BA22" s="104">
        <v>0</v>
      </c>
      <c r="BB22" s="104">
        <v>0</v>
      </c>
      <c r="BC22" s="101">
        <v>0.93</v>
      </c>
      <c r="BD22" s="104">
        <v>37.581610000000005</v>
      </c>
      <c r="BE22" s="370">
        <v>15.737370000000004</v>
      </c>
      <c r="BF22" s="370">
        <v>0</v>
      </c>
      <c r="BG22" s="104">
        <v>6.6847000000000012</v>
      </c>
      <c r="BH22" s="104">
        <v>1.7334900000000002</v>
      </c>
      <c r="BI22" s="104">
        <v>0.36256000000000005</v>
      </c>
      <c r="BJ22" s="104">
        <v>0.67980000000000007</v>
      </c>
      <c r="BK22" s="104">
        <v>5.6763300000000001</v>
      </c>
      <c r="BL22" s="104">
        <v>5.65367</v>
      </c>
      <c r="BM22" s="104">
        <v>0</v>
      </c>
      <c r="BN22" s="104">
        <v>0</v>
      </c>
      <c r="BO22" s="104">
        <v>0</v>
      </c>
      <c r="BP22" s="101">
        <v>1.0536900000000002</v>
      </c>
      <c r="BQ22" s="103">
        <v>267416.00928</v>
      </c>
      <c r="BR22" s="371">
        <v>111980.95776000002</v>
      </c>
      <c r="BS22" s="371">
        <v>0</v>
      </c>
      <c r="BT22" s="103">
        <v>47565.705600000001</v>
      </c>
      <c r="BU22" s="103">
        <v>12334.835519999999</v>
      </c>
      <c r="BV22" s="103">
        <v>2579.8348799999999</v>
      </c>
      <c r="BW22" s="103">
        <v>4837.1904000000004</v>
      </c>
      <c r="BX22" s="103">
        <v>40390.539839999998</v>
      </c>
      <c r="BY22" s="103">
        <v>40229.300159999999</v>
      </c>
      <c r="BZ22" s="103">
        <v>0</v>
      </c>
      <c r="CA22" s="103">
        <v>0</v>
      </c>
      <c r="CB22" s="103">
        <v>0</v>
      </c>
      <c r="CC22" s="103">
        <v>7497.645120000001</v>
      </c>
      <c r="CD22" s="1">
        <v>1</v>
      </c>
      <c r="CF22" s="277">
        <f>SUMIF(Оборот!$A:$A,$B:$B,Оборот!H:H)</f>
        <v>230235.31999999995</v>
      </c>
      <c r="CG22" s="277">
        <f>SUMIF(Оборот!$A:$A,$B:$B,Оборот!I:I)</f>
        <v>208258.79</v>
      </c>
      <c r="CH22" s="277">
        <f t="shared" si="0"/>
        <v>258297.66803343786</v>
      </c>
      <c r="CI22" s="239">
        <f t="shared" si="5"/>
        <v>5319.4185224213688</v>
      </c>
      <c r="CJ22" s="276">
        <f>SUMIF('20Ф'!$H:$H,$B:$B,'20Ф'!M:M)*1.2</f>
        <v>0</v>
      </c>
      <c r="CK22" s="276">
        <f>SUMIF('20Ф'!$H:$H,$B:$B,'20Ф'!O:O)*1.2</f>
        <v>0</v>
      </c>
      <c r="CL22" s="276">
        <f>SUMIF('20Ф'!$H:$H,$B:$B,'20Ф'!Q:Q)*1.2</f>
        <v>0</v>
      </c>
      <c r="CM22" s="276">
        <f>SUMIF('20Ф'!$H:$H,$B:$B,'20Ф'!R:R)*1.2</f>
        <v>0</v>
      </c>
      <c r="CN22" s="276">
        <f>SUMIF('20Ф'!$H:$H,$B:$B,'20Ф'!S:S)*1.2</f>
        <v>0</v>
      </c>
      <c r="CO22" s="276">
        <f>SUMIF('20Ф'!$H:$H,$B:$B,'20Ф'!W:W)*1.2</f>
        <v>0</v>
      </c>
      <c r="CP22" s="276">
        <f>SUMIF('20Ф'!$H:$H,$B:$B,'20Ф'!P:P)*1.2</f>
        <v>0</v>
      </c>
      <c r="CQ22" s="276">
        <f>SUMIF('20Ф'!$H:$H,$B:$B,'20Ф'!Y:Y)*1.2</f>
        <v>0</v>
      </c>
      <c r="CR22" s="276">
        <f>SUMIF('20Ф'!$H:$H,$B:$B,'20Ф'!Z:Z)*1.2</f>
        <v>0</v>
      </c>
      <c r="CS22" s="276">
        <f>SUMIF('20Ф'!$H:$H,$B:$B,'20Ф'!AB:AB)*1.2</f>
        <v>0</v>
      </c>
      <c r="CT22" s="276">
        <f>SUMIF('20Ф'!$H:$H,$B:$B,'20Ф'!AC:AC)*1.2</f>
        <v>0</v>
      </c>
      <c r="CU22" s="276">
        <f>SUMIF('20Ф'!$H:$H,$B:$B,'20Ф'!AD:AD)*1.2</f>
        <v>0</v>
      </c>
      <c r="CV22" s="276">
        <f>SUMIF('20Ф'!$H:$H,$B:$B,'20Ф'!AE:AE)*1.2</f>
        <v>0</v>
      </c>
      <c r="CW22" s="276">
        <f>SUMIF('20Ф'!$H:$H,$B:$B,'20Ф'!AF:AF)*1.2</f>
        <v>0</v>
      </c>
      <c r="CX22" s="276">
        <f>SUMIF('20Ф'!$H:$H,$B:$B,'20Ф'!AG:AG)*1.2</f>
        <v>0</v>
      </c>
      <c r="CY22" s="276">
        <f>SUMIF('20Ф'!$H:$H,$B:$B,'20Ф'!AH:AH)*1.2</f>
        <v>0</v>
      </c>
      <c r="CZ22" s="276">
        <f>SUMIF('20Ф'!$H:$H,$B:$B,'20Ф'!AI:AI)*1.2</f>
        <v>0</v>
      </c>
      <c r="DA22" s="276">
        <f>SUMIF('20Ф'!$H:$H,$B:$B,'20Ф'!AJ:AJ)*1.2</f>
        <v>0</v>
      </c>
      <c r="DB22" s="276">
        <f>SUMIF('20Ф'!$H:$H,$B:$B,'20Ф'!AK:AK)*1.2</f>
        <v>0</v>
      </c>
      <c r="DC22" s="276">
        <f>SUMIF('20Ф'!$H:$H,$B:$B,'20Ф'!AL:AL)*1.2</f>
        <v>0</v>
      </c>
      <c r="DD22" s="276">
        <f>SUMIF('20Ф'!$H:$H,$B:$B,'20Ф'!AM:AM)*1.2</f>
        <v>0</v>
      </c>
      <c r="DE22" s="276">
        <f>SUMIF('20Ф'!$H:$H,$B:$B,'20Ф'!AN:AN)*1.2</f>
        <v>0</v>
      </c>
      <c r="DF22" s="276">
        <f>SUMIF('20Ф'!$H:$H,$B:$B,'20Ф'!AO:AO)*1.2</f>
        <v>0</v>
      </c>
      <c r="DG22" s="276">
        <f>SUMIF('20Ф'!$H:$H,$B:$B,'20Ф'!AP:AP)*1.2</f>
        <v>0</v>
      </c>
      <c r="DH22" s="276">
        <f>SUMIF('20Ф'!$H:$H,$B:$B,'20Ф'!AQ:AQ)*1.2</f>
        <v>0</v>
      </c>
      <c r="DI22" s="276">
        <f>SUMIF('20Ф'!$H:$H,$B:$B,'20Ф'!BA:BA)*1.2</f>
        <v>0</v>
      </c>
      <c r="DJ22" s="276">
        <f>SUMIF('20Ф'!$H:$H,$B:$B,'20Ф'!BB:BB)*1.2</f>
        <v>0</v>
      </c>
      <c r="DK22" s="276">
        <f>SUMIF('20Ф'!$H:$H,$B:$B,'20Ф'!BC:BC)*1.2</f>
        <v>0</v>
      </c>
      <c r="DL22" s="276">
        <f>$D22/$D$281*'20Ф'!$H$218</f>
        <v>5319.4185224213688</v>
      </c>
      <c r="DM22" s="240">
        <f t="shared" si="1"/>
        <v>106390.12147689816</v>
      </c>
      <c r="DN22" s="276">
        <f>SUMIF('20Ф'!$H:$H,$B:$B,'20Ф'!AV:AV)*1.2</f>
        <v>0</v>
      </c>
      <c r="DO22" s="276">
        <f>SUMIF('20Ф'!$H:$H,$B:$B,'20Ф'!AW:AW)*1.2+$D22/$D$281*'26Ф'!$D$42</f>
        <v>2830.719182573866</v>
      </c>
      <c r="DP22" s="276">
        <f>SUMIF('20Ф'!$H:$H,$B:$B,'20Ф'!AX:AX)*1.2</f>
        <v>0</v>
      </c>
      <c r="DQ22" s="276">
        <f>SUMIF('20Ф'!$H:$H,$B:$B,'20Ф'!AY:AY)*1.2</f>
        <v>13025.003999999999</v>
      </c>
      <c r="DR22" s="276">
        <f>SUMIF('20Ф'!$H:$H,$B:$B,'20Ф'!AU:AU)*1.2</f>
        <v>0</v>
      </c>
      <c r="DS22" s="276">
        <f>SUMIF('20Ф'!$H:$H,$B:$B,'20Ф'!AS:AS)*1.2</f>
        <v>17040.887999999999</v>
      </c>
      <c r="DT22" s="276">
        <f>SUMIF('20Ф'!$H:$H,$B:$B,'20Ф'!AR:AR)*1.2</f>
        <v>0</v>
      </c>
      <c r="DU22" s="276">
        <f>SUMIF('20Ф'!$H:$H,$B:$B,'20Ф'!X:X)*1.2</f>
        <v>23560.080000000002</v>
      </c>
      <c r="DV22" s="276">
        <f>SUMIF('20Ф'!$H:$H,$B:$B,'20Ф'!AA:AA)*1.2</f>
        <v>0</v>
      </c>
      <c r="DW22" s="276">
        <f>SUMIF('20Ф'!$H:$H,$B:$B,'20Ф'!N:N)*1.2</f>
        <v>0</v>
      </c>
      <c r="DX22" s="276">
        <f>$D22/$D$281*('25Ф'!$D$37)</f>
        <v>47580.848163036033</v>
      </c>
      <c r="DY22" s="276">
        <f>$D22/$D$281*'25Ф'!$D$30</f>
        <v>1518.6313085631111</v>
      </c>
      <c r="DZ22" s="276">
        <f>$D22/$D$281*'25Ф'!$D$31</f>
        <v>833.95082272514423</v>
      </c>
      <c r="EA22" s="276"/>
      <c r="EB22" s="276">
        <f t="shared" si="2"/>
        <v>29976.681126919349</v>
      </c>
      <c r="EC22" s="276">
        <f>$D22/$D$281*'26Ф'!$D$36</f>
        <v>15603.827918423129</v>
      </c>
      <c r="ED22" s="276">
        <f>$D22/$D$281*'26Ф'!$D$37</f>
        <v>1874.7832591854399</v>
      </c>
      <c r="EE22" s="276">
        <f>$D22/$D$281*'26Ф'!$D$38</f>
        <v>1894.0110063207953</v>
      </c>
      <c r="EF22" s="276">
        <f>$D22/$D$281*'26Ф'!$D$39</f>
        <v>1328.6469923149082</v>
      </c>
      <c r="EG22" s="276">
        <f>$D22/$D$281*'91Ф'!$D$10</f>
        <v>409.88704455227304</v>
      </c>
      <c r="EH22" s="276">
        <f>$D22/$D$281*('20Ф'!$I$509+'26Ф'!$D$41+'20Ф'!$I$507)</f>
        <v>2899.8158707923562</v>
      </c>
      <c r="EI22" s="276">
        <f>$D22/$D$281*'91Ф'!$D$31</f>
        <v>5315.7884152497591</v>
      </c>
      <c r="EJ22" s="276">
        <f>$D22/$D$281*'20Ф'!$I$1316</f>
        <v>649.92062008068706</v>
      </c>
      <c r="EK22" s="276">
        <f>$D22/$D$281*('20Ф'!$I$1105+'20Ф'!$I$1282+'91Ф'!$D$17+'91Ф'!$D$41)</f>
        <v>21344.117240108826</v>
      </c>
      <c r="EL22" s="276">
        <f>$D22/$D$281*отчёт!BX$294</f>
        <v>35680.854577753104</v>
      </c>
      <c r="EM22" s="276">
        <f>$D22/$D$281*отчёт!BY$294</f>
        <v>31379.396322801203</v>
      </c>
      <c r="EN22" s="276">
        <f>SUMIF(отчёт!$B:$B,$B:$B,отчёт!BZ:BZ)/отчёт!BZ$281*('60Ф'!$O$151+'60Ф'!$P$151)*отчёт!BZ$293</f>
        <v>0</v>
      </c>
      <c r="EO22" s="240">
        <f t="shared" si="3"/>
        <v>0</v>
      </c>
      <c r="EP22" s="276">
        <f>SUMIF('20Ф'!$H:$H,$B:$B,'20Ф'!T:T)*1.2</f>
        <v>0</v>
      </c>
      <c r="EQ22" s="276">
        <f>SUMIF('20Ф'!$H:$H,$B:$B,'20Ф'!U:U)*1.2</f>
        <v>0</v>
      </c>
      <c r="ER22" s="236"/>
      <c r="ES22" s="239">
        <f t="shared" si="6"/>
        <v>11942.395616806174</v>
      </c>
      <c r="ET22" s="276">
        <f>$D22/$D$282*'20Ф'!$I$381</f>
        <v>912.7687392743951</v>
      </c>
      <c r="EU22" s="276">
        <f>$D22/$D$282*('20Ф'!$I$75+'20Ф'!$I$1098)*1.2</f>
        <v>10542.884141679187</v>
      </c>
      <c r="EV22" s="276">
        <f>$D22/$D$282*('20Ф'!$I$1286)</f>
        <v>486.74273585259095</v>
      </c>
      <c r="EW22" s="276">
        <f>SUMIF('91.1Ф'!$N:$N,$B:$B,'91.1Ф'!$F:$F)+$D22/$D$281*('91Ф'!$D$12+'91Ф'!$D$11+'91Ф'!$D$19+'91Ф'!$D$20)</f>
        <v>2813.0503263418996</v>
      </c>
      <c r="EX22" s="276">
        <f t="shared" si="4"/>
        <v>13451.632823387752</v>
      </c>
      <c r="EY22" s="276">
        <f>SUMIF('20Ф'!$H:$H,$B:$B,'20Ф'!$AY:$AY)*1.2</f>
        <v>13025.003999999999</v>
      </c>
      <c r="EZ22" s="295">
        <f>D22/$D$286*'20Ф'!$I$1163</f>
        <v>426.62882338775285</v>
      </c>
      <c r="FA22" s="277">
        <f>SUMIF(отчёт!$B:$B,$B:$B,отчёт!$CU:$CU)/отчёт!$CU$281*'20Ф'!$I$1341</f>
        <v>0</v>
      </c>
      <c r="FB22" s="276">
        <f>SUMIF(Сальдо!$A:$A,$B:$B,Сальдо!$H:$H)-SUMIF(Сальдо!$A:$A,$B:$B,Сальдо!$I:$I)</f>
        <v>99833.22</v>
      </c>
    </row>
    <row r="23" spans="1:158" ht="12" customHeight="1" x14ac:dyDescent="0.25">
      <c r="A23" s="3">
        <f t="shared" si="7"/>
        <v>19</v>
      </c>
      <c r="B23" s="4" t="s">
        <v>64</v>
      </c>
      <c r="C23" s="4" t="s">
        <v>64</v>
      </c>
      <c r="D23" s="5">
        <v>1021.96</v>
      </c>
      <c r="E23" s="6">
        <v>1021.96</v>
      </c>
      <c r="F23" s="6">
        <v>0</v>
      </c>
      <c r="G23" s="6">
        <v>90.7</v>
      </c>
      <c r="H23" s="5">
        <f>SUMIF(отчёт!$B:$B,$B:$B,отчёт!I:I)</f>
        <v>0</v>
      </c>
      <c r="I23" s="5">
        <f>SUMIF(отчёт!$B:$B,$B:$B,отчёт!J:J)</f>
        <v>0</v>
      </c>
      <c r="J23" s="3" t="s">
        <v>51</v>
      </c>
      <c r="K23" s="105">
        <v>7</v>
      </c>
      <c r="L23" s="105" t="s">
        <v>52</v>
      </c>
      <c r="M23" s="7">
        <v>31</v>
      </c>
      <c r="N23" s="8">
        <v>5.0999999999999996</v>
      </c>
      <c r="O23" s="8">
        <v>6.59</v>
      </c>
      <c r="P23" s="8">
        <v>8.98</v>
      </c>
      <c r="Q23" s="8">
        <v>6.92</v>
      </c>
      <c r="R23" s="8">
        <v>3.15</v>
      </c>
      <c r="S23" s="8">
        <v>0</v>
      </c>
      <c r="T23" s="8">
        <v>0</v>
      </c>
      <c r="U23" s="8">
        <v>0.26</v>
      </c>
      <c r="V23" s="9">
        <v>40</v>
      </c>
      <c r="W23" s="9">
        <v>40</v>
      </c>
      <c r="X23" s="9">
        <v>2604.04</v>
      </c>
      <c r="Y23" s="8">
        <v>195.98199600000001</v>
      </c>
      <c r="Z23" s="9">
        <v>42.3</v>
      </c>
      <c r="AA23" s="9">
        <v>2604.04</v>
      </c>
      <c r="AB23" s="8">
        <v>7.85</v>
      </c>
      <c r="AC23" s="10">
        <v>0</v>
      </c>
      <c r="AD23" s="8">
        <v>6.73</v>
      </c>
      <c r="AE23" s="8">
        <v>10.67</v>
      </c>
      <c r="AF23" s="8">
        <v>14</v>
      </c>
      <c r="AG23" s="7">
        <v>190084.56</v>
      </c>
      <c r="AH23" s="8">
        <v>31271.976000000002</v>
      </c>
      <c r="AI23" s="8">
        <v>40408.2984</v>
      </c>
      <c r="AJ23" s="8">
        <v>55063.204800000007</v>
      </c>
      <c r="AK23" s="8">
        <v>42431.779200000004</v>
      </c>
      <c r="AL23" s="8">
        <v>19315.044000000002</v>
      </c>
      <c r="AM23" s="8">
        <v>0</v>
      </c>
      <c r="AN23" s="8">
        <v>0</v>
      </c>
      <c r="AO23" s="8">
        <v>1594.2576000000001</v>
      </c>
      <c r="AQ23" s="104">
        <v>33.17</v>
      </c>
      <c r="AR23" s="370">
        <v>13.89</v>
      </c>
      <c r="AS23" s="370"/>
      <c r="AT23" s="104">
        <v>5.9</v>
      </c>
      <c r="AU23" s="104">
        <v>1.53</v>
      </c>
      <c r="AV23" s="104">
        <v>0.32</v>
      </c>
      <c r="AW23" s="104">
        <v>0.6</v>
      </c>
      <c r="AX23" s="104">
        <v>5.01</v>
      </c>
      <c r="AY23" s="104">
        <v>4.99</v>
      </c>
      <c r="AZ23" s="104">
        <v>0</v>
      </c>
      <c r="BA23" s="104">
        <v>0</v>
      </c>
      <c r="BB23" s="104">
        <v>0</v>
      </c>
      <c r="BC23" s="101">
        <v>0.93</v>
      </c>
      <c r="BD23" s="104">
        <v>37.581610000000005</v>
      </c>
      <c r="BE23" s="370">
        <v>15.737370000000004</v>
      </c>
      <c r="BF23" s="370">
        <v>0</v>
      </c>
      <c r="BG23" s="104">
        <v>6.6847000000000012</v>
      </c>
      <c r="BH23" s="104">
        <v>1.7334900000000002</v>
      </c>
      <c r="BI23" s="104">
        <v>0.36256000000000005</v>
      </c>
      <c r="BJ23" s="104">
        <v>0.67980000000000007</v>
      </c>
      <c r="BK23" s="104">
        <v>5.6763300000000001</v>
      </c>
      <c r="BL23" s="104">
        <v>5.65367</v>
      </c>
      <c r="BM23" s="104">
        <v>0</v>
      </c>
      <c r="BN23" s="104">
        <v>0</v>
      </c>
      <c r="BO23" s="104">
        <v>0</v>
      </c>
      <c r="BP23" s="101">
        <v>1.0536900000000002</v>
      </c>
      <c r="BQ23" s="103">
        <v>451865.84795600013</v>
      </c>
      <c r="BR23" s="373">
        <v>189219.67525200004</v>
      </c>
      <c r="BS23" s="374">
        <v>0</v>
      </c>
      <c r="BT23" s="103">
        <v>80374.088120000015</v>
      </c>
      <c r="BU23" s="103">
        <v>20842.772004000002</v>
      </c>
      <c r="BV23" s="103">
        <v>4359.2725760000003</v>
      </c>
      <c r="BW23" s="103">
        <v>8173.6360800000011</v>
      </c>
      <c r="BX23" s="103">
        <v>68249.861267999993</v>
      </c>
      <c r="BY23" s="103">
        <v>67977.406732000003</v>
      </c>
      <c r="BZ23" s="103">
        <v>0</v>
      </c>
      <c r="CA23" s="103">
        <v>0</v>
      </c>
      <c r="CB23" s="103">
        <v>0</v>
      </c>
      <c r="CC23" s="103">
        <v>12669.135924000002</v>
      </c>
      <c r="CD23" s="1">
        <v>1</v>
      </c>
      <c r="CF23" s="277">
        <f>SUMIF(Оборот!$A:$A,$B:$B,Оборот!H:H)</f>
        <v>389039.68000000005</v>
      </c>
      <c r="CG23" s="277">
        <f>SUMIF(Оборот!$A:$A,$B:$B,Оборот!I:I)</f>
        <v>356062.17</v>
      </c>
      <c r="CH23" s="277">
        <f t="shared" si="0"/>
        <v>397427.24036258622</v>
      </c>
      <c r="CI23" s="239">
        <f t="shared" si="5"/>
        <v>8988.4804119936216</v>
      </c>
      <c r="CJ23" s="276">
        <f>SUMIF('20Ф'!$H:$H,$B:$B,'20Ф'!M:M)*1.2</f>
        <v>0</v>
      </c>
      <c r="CK23" s="276">
        <f>SUMIF('20Ф'!$H:$H,$B:$B,'20Ф'!O:O)*1.2</f>
        <v>0</v>
      </c>
      <c r="CL23" s="276">
        <f>SUMIF('20Ф'!$H:$H,$B:$B,'20Ф'!Q:Q)*1.2</f>
        <v>0</v>
      </c>
      <c r="CM23" s="276">
        <f>SUMIF('20Ф'!$H:$H,$B:$B,'20Ф'!R:R)*1.2</f>
        <v>0</v>
      </c>
      <c r="CN23" s="276">
        <f>SUMIF('20Ф'!$H:$H,$B:$B,'20Ф'!S:S)*1.2</f>
        <v>0</v>
      </c>
      <c r="CO23" s="276">
        <f>SUMIF('20Ф'!$H:$H,$B:$B,'20Ф'!W:W)*1.2</f>
        <v>0</v>
      </c>
      <c r="CP23" s="276">
        <f>SUMIF('20Ф'!$H:$H,$B:$B,'20Ф'!P:P)*1.2</f>
        <v>0</v>
      </c>
      <c r="CQ23" s="276">
        <f>SUMIF('20Ф'!$H:$H,$B:$B,'20Ф'!Y:Y)*1.2</f>
        <v>0</v>
      </c>
      <c r="CR23" s="276">
        <f>SUMIF('20Ф'!$H:$H,$B:$B,'20Ф'!Z:Z)*1.2</f>
        <v>0</v>
      </c>
      <c r="CS23" s="276">
        <f>SUMIF('20Ф'!$H:$H,$B:$B,'20Ф'!AB:AB)*1.2</f>
        <v>0</v>
      </c>
      <c r="CT23" s="276">
        <f>SUMIF('20Ф'!$H:$H,$B:$B,'20Ф'!AC:AC)*1.2</f>
        <v>0</v>
      </c>
      <c r="CU23" s="276">
        <f>SUMIF('20Ф'!$H:$H,$B:$B,'20Ф'!AD:AD)*1.2</f>
        <v>0</v>
      </c>
      <c r="CV23" s="276">
        <f>SUMIF('20Ф'!$H:$H,$B:$B,'20Ф'!AE:AE)*1.2</f>
        <v>0</v>
      </c>
      <c r="CW23" s="276">
        <f>SUMIF('20Ф'!$H:$H,$B:$B,'20Ф'!AF:AF)*1.2</f>
        <v>0</v>
      </c>
      <c r="CX23" s="276">
        <f>SUMIF('20Ф'!$H:$H,$B:$B,'20Ф'!AG:AG)*1.2</f>
        <v>0</v>
      </c>
      <c r="CY23" s="276">
        <f>SUMIF('20Ф'!$H:$H,$B:$B,'20Ф'!AH:AH)*1.2</f>
        <v>0</v>
      </c>
      <c r="CZ23" s="276">
        <f>SUMIF('20Ф'!$H:$H,$B:$B,'20Ф'!AI:AI)*1.2</f>
        <v>0</v>
      </c>
      <c r="DA23" s="276">
        <f>SUMIF('20Ф'!$H:$H,$B:$B,'20Ф'!AJ:AJ)*1.2</f>
        <v>0</v>
      </c>
      <c r="DB23" s="276">
        <f>SUMIF('20Ф'!$H:$H,$B:$B,'20Ф'!AK:AK)*1.2</f>
        <v>0</v>
      </c>
      <c r="DC23" s="276">
        <f>SUMIF('20Ф'!$H:$H,$B:$B,'20Ф'!AL:AL)*1.2</f>
        <v>0</v>
      </c>
      <c r="DD23" s="276">
        <f>SUMIF('20Ф'!$H:$H,$B:$B,'20Ф'!AM:AM)*1.2</f>
        <v>0</v>
      </c>
      <c r="DE23" s="276">
        <f>SUMIF('20Ф'!$H:$H,$B:$B,'20Ф'!AN:AN)*1.2</f>
        <v>0</v>
      </c>
      <c r="DF23" s="276">
        <f>SUMIF('20Ф'!$H:$H,$B:$B,'20Ф'!AO:AO)*1.2</f>
        <v>0</v>
      </c>
      <c r="DG23" s="276">
        <f>SUMIF('20Ф'!$H:$H,$B:$B,'20Ф'!AP:AP)*1.2</f>
        <v>0</v>
      </c>
      <c r="DH23" s="276">
        <f>SUMIF('20Ф'!$H:$H,$B:$B,'20Ф'!AQ:AQ)*1.2</f>
        <v>0</v>
      </c>
      <c r="DI23" s="276">
        <f>SUMIF('20Ф'!$H:$H,$B:$B,'20Ф'!BA:BA)*1.2</f>
        <v>0</v>
      </c>
      <c r="DJ23" s="276">
        <f>SUMIF('20Ф'!$H:$H,$B:$B,'20Ф'!BB:BB)*1.2</f>
        <v>0</v>
      </c>
      <c r="DK23" s="276">
        <f>SUMIF('20Ф'!$H:$H,$B:$B,'20Ф'!BC:BC)*1.2</f>
        <v>0</v>
      </c>
      <c r="DL23" s="276">
        <f>$D23/$D$281*'20Ф'!$H$218</f>
        <v>8988.4804119936216</v>
      </c>
      <c r="DM23" s="240">
        <f t="shared" si="1"/>
        <v>155361.64778474014</v>
      </c>
      <c r="DN23" s="276">
        <f>SUMIF('20Ф'!$H:$H,$B:$B,'20Ф'!AV:AV)*1.2</f>
        <v>0</v>
      </c>
      <c r="DO23" s="276">
        <f>SUMIF('20Ф'!$H:$H,$B:$B,'20Ф'!AW:AW)*1.2+$D23/$D$281*'26Ф'!$D$42</f>
        <v>4783.2039944166481</v>
      </c>
      <c r="DP23" s="276">
        <f>SUMIF('20Ф'!$H:$H,$B:$B,'20Ф'!AX:AX)*1.2</f>
        <v>0</v>
      </c>
      <c r="DQ23" s="276">
        <f>SUMIF('20Ф'!$H:$H,$B:$B,'20Ф'!AY:AY)*1.2</f>
        <v>7389</v>
      </c>
      <c r="DR23" s="276">
        <f>SUMIF('20Ф'!$H:$H,$B:$B,'20Ф'!AU:AU)*1.2</f>
        <v>0</v>
      </c>
      <c r="DS23" s="276">
        <f>SUMIF('20Ф'!$H:$H,$B:$B,'20Ф'!AS:AS)*1.2</f>
        <v>26701.824000000001</v>
      </c>
      <c r="DT23" s="276">
        <f>SUMIF('20Ф'!$H:$H,$B:$B,'20Ф'!AR:AR)*1.2</f>
        <v>0</v>
      </c>
      <c r="DU23" s="276">
        <f>SUMIF('20Ф'!$H:$H,$B:$B,'20Ф'!X:X)*1.2</f>
        <v>32112.671999999999</v>
      </c>
      <c r="DV23" s="276">
        <f>SUMIF('20Ф'!$H:$H,$B:$B,'20Ф'!AA:AA)*1.2</f>
        <v>0</v>
      </c>
      <c r="DW23" s="276">
        <f>SUMIF('20Ф'!$H:$H,$B:$B,'20Ф'!N:N)*1.2</f>
        <v>0</v>
      </c>
      <c r="DX23" s="276">
        <f>$D23/$D$281*('25Ф'!$D$37)</f>
        <v>80399.6752458603</v>
      </c>
      <c r="DY23" s="276">
        <f>$D23/$D$281*'25Ф'!$D$30</f>
        <v>2566.1052448729456</v>
      </c>
      <c r="DZ23" s="276">
        <f>$D23/$D$281*'25Ф'!$D$31</f>
        <v>1409.1672995902588</v>
      </c>
      <c r="EA23" s="276"/>
      <c r="EB23" s="276">
        <f t="shared" si="2"/>
        <v>50653.057282517373</v>
      </c>
      <c r="EC23" s="276">
        <f>$D23/$D$281*'26Ф'!$D$36</f>
        <v>26366.547585171469</v>
      </c>
      <c r="ED23" s="276">
        <f>$D23/$D$281*'26Ф'!$D$37</f>
        <v>3167.912532336562</v>
      </c>
      <c r="EE23" s="276">
        <f>$D23/$D$281*'26Ф'!$D$38</f>
        <v>3200.4025926250006</v>
      </c>
      <c r="EF23" s="276">
        <f>$D23/$D$281*'26Ф'!$D$39</f>
        <v>2245.0794977945498</v>
      </c>
      <c r="EG23" s="276">
        <f>$D23/$D$281*'91Ф'!$D$10</f>
        <v>692.60609135357322</v>
      </c>
      <c r="EH23" s="276">
        <f>$D23/$D$281*('20Ф'!$I$509+'26Ф'!$D$41+'20Ф'!$I$507)</f>
        <v>4899.9600319361061</v>
      </c>
      <c r="EI23" s="276">
        <f>$D23/$D$281*'91Ф'!$D$31</f>
        <v>8982.3464432021246</v>
      </c>
      <c r="EJ23" s="276">
        <f>$D23/$D$281*'20Ф'!$I$1316</f>
        <v>1098.2025080979813</v>
      </c>
      <c r="EK23" s="276">
        <f>$D23/$D$281*('20Ф'!$I$1105+'20Ф'!$I$1282+'91Ф'!$D$17+'91Ф'!$D$41)</f>
        <v>36066.193873514589</v>
      </c>
      <c r="EL23" s="276">
        <f>$D23/$D$281*отчёт!BX$294</f>
        <v>60291.676825860726</v>
      </c>
      <c r="EM23" s="276">
        <f>$D23/$D$281*отчёт!BY$294</f>
        <v>53023.293429315345</v>
      </c>
      <c r="EN23" s="276">
        <f>SUMIF(отчёт!$B:$B,$B:$B,отчёт!BZ:BZ)/отчёт!BZ$281*('60Ф'!$O$151+'60Ф'!$P$151)*отчёт!BZ$293</f>
        <v>0</v>
      </c>
      <c r="EO23" s="240">
        <f t="shared" si="3"/>
        <v>0</v>
      </c>
      <c r="EP23" s="276">
        <f>SUMIF('20Ф'!$H:$H,$B:$B,'20Ф'!T:T)*1.2</f>
        <v>0</v>
      </c>
      <c r="EQ23" s="276">
        <f>SUMIF('20Ф'!$H:$H,$B:$B,'20Ф'!U:U)*1.2</f>
        <v>0</v>
      </c>
      <c r="ER23" s="236"/>
      <c r="ES23" s="239">
        <f t="shared" si="6"/>
        <v>20179.647196678638</v>
      </c>
      <c r="ET23" s="276">
        <f>$D23/$D$282*'20Ф'!$I$381</f>
        <v>1542.3497698228521</v>
      </c>
      <c r="EU23" s="276">
        <f>$D23/$D$282*('20Ф'!$I$75+'20Ф'!$I$1098)*1.2</f>
        <v>17814.824532788465</v>
      </c>
      <c r="EV23" s="276">
        <f>$D23/$D$282*('20Ф'!$I$1286)</f>
        <v>822.47289406731795</v>
      </c>
      <c r="EW23" s="276">
        <f>SUMIF('91.1Ф'!$N:$N,$B:$B,'91.1Ф'!$F:$F)+$D23/$D$281*('91Ф'!$D$12+'91Ф'!$D$11+'91Ф'!$D$19+'91Ф'!$D$20)</f>
        <v>4753.3480679701852</v>
      </c>
      <c r="EX23" s="276">
        <f t="shared" si="4"/>
        <v>8109.8954899956152</v>
      </c>
      <c r="EY23" s="276">
        <f>SUMIF('20Ф'!$H:$H,$B:$B,'20Ф'!$AY:$AY)*1.2</f>
        <v>7389</v>
      </c>
      <c r="EZ23" s="295">
        <f>D23/$D$286*'20Ф'!$I$1163</f>
        <v>720.89548999561498</v>
      </c>
      <c r="FA23" s="277">
        <f>SUMIF(отчёт!$B:$B,$B:$B,отчёт!$CU:$CU)/отчёт!$CU$281*'20Ф'!$I$1341</f>
        <v>0</v>
      </c>
      <c r="FB23" s="276">
        <f>SUMIF(Сальдо!$A:$A,$B:$B,Сальдо!$H:$H)-SUMIF(Сальдо!$A:$A,$B:$B,Сальдо!$I:$I)</f>
        <v>143540.44</v>
      </c>
    </row>
    <row r="24" spans="1:158" ht="12" customHeight="1" x14ac:dyDescent="0.25">
      <c r="A24" s="3">
        <f t="shared" si="7"/>
        <v>20</v>
      </c>
      <c r="B24" s="4" t="s">
        <v>65</v>
      </c>
      <c r="C24" s="4" t="s">
        <v>65</v>
      </c>
      <c r="D24" s="5">
        <v>385.6</v>
      </c>
      <c r="E24" s="6">
        <v>385.6</v>
      </c>
      <c r="F24" s="6">
        <v>0</v>
      </c>
      <c r="G24" s="6">
        <v>54.9</v>
      </c>
      <c r="H24" s="5">
        <f>SUMIF(отчёт!$B:$B,$B:$B,отчёт!I:I)</f>
        <v>0</v>
      </c>
      <c r="I24" s="5">
        <f>SUMIF(отчёт!$B:$B,$B:$B,отчёт!J:J)</f>
        <v>0</v>
      </c>
      <c r="J24" s="3" t="s">
        <v>66</v>
      </c>
      <c r="K24" s="105">
        <v>9</v>
      </c>
      <c r="L24" s="105" t="s">
        <v>52</v>
      </c>
      <c r="M24" s="7">
        <v>25.05</v>
      </c>
      <c r="N24" s="8">
        <v>3.9</v>
      </c>
      <c r="O24" s="8">
        <v>5.09</v>
      </c>
      <c r="P24" s="8">
        <v>8.4499999999999993</v>
      </c>
      <c r="Q24" s="8">
        <v>4.93</v>
      </c>
      <c r="R24" s="8">
        <v>2.42</v>
      </c>
      <c r="S24" s="8">
        <v>0</v>
      </c>
      <c r="T24" s="8">
        <v>0</v>
      </c>
      <c r="U24" s="8">
        <v>0.26</v>
      </c>
      <c r="V24" s="9">
        <v>0</v>
      </c>
      <c r="W24" s="9">
        <v>0</v>
      </c>
      <c r="X24" s="9">
        <v>0</v>
      </c>
      <c r="Y24" s="8">
        <v>0</v>
      </c>
      <c r="Z24" s="9">
        <v>0</v>
      </c>
      <c r="AA24" s="8" t="s">
        <v>67</v>
      </c>
      <c r="AB24" s="8">
        <v>7.85</v>
      </c>
      <c r="AC24" s="10">
        <v>0</v>
      </c>
      <c r="AD24" s="8">
        <v>6.73</v>
      </c>
      <c r="AE24" s="8">
        <v>10.67</v>
      </c>
      <c r="AF24" s="8">
        <v>14</v>
      </c>
      <c r="AG24" s="7">
        <v>57955.680000000008</v>
      </c>
      <c r="AH24" s="8">
        <v>9023.0400000000009</v>
      </c>
      <c r="AI24" s="8">
        <v>11776.224</v>
      </c>
      <c r="AJ24" s="8">
        <v>19549.919999999998</v>
      </c>
      <c r="AK24" s="8">
        <v>11406.048000000001</v>
      </c>
      <c r="AL24" s="8">
        <v>5598.9120000000003</v>
      </c>
      <c r="AM24" s="8">
        <v>0</v>
      </c>
      <c r="AN24" s="8">
        <v>0</v>
      </c>
      <c r="AO24" s="8">
        <v>601.53600000000006</v>
      </c>
      <c r="AQ24" s="104">
        <v>26.91</v>
      </c>
      <c r="AR24" s="370">
        <v>7.81</v>
      </c>
      <c r="AS24" s="370"/>
      <c r="AT24" s="104">
        <v>8.4499999999999993</v>
      </c>
      <c r="AU24" s="104">
        <v>1.53</v>
      </c>
      <c r="AV24" s="104">
        <v>0.18</v>
      </c>
      <c r="AW24" s="104">
        <v>0.48</v>
      </c>
      <c r="AX24" s="104">
        <v>4.93</v>
      </c>
      <c r="AY24" s="104">
        <v>2.6</v>
      </c>
      <c r="AZ24" s="104">
        <v>0</v>
      </c>
      <c r="BA24" s="104">
        <v>0</v>
      </c>
      <c r="BB24" s="104">
        <v>0</v>
      </c>
      <c r="BC24" s="101">
        <v>0.93</v>
      </c>
      <c r="BD24" s="104">
        <v>30.48903</v>
      </c>
      <c r="BE24" s="370">
        <v>8.8487299999999998</v>
      </c>
      <c r="BF24" s="370">
        <v>0</v>
      </c>
      <c r="BG24" s="104">
        <v>9.5738499999999984</v>
      </c>
      <c r="BH24" s="104">
        <v>1.73349</v>
      </c>
      <c r="BI24" s="104">
        <v>0.20393999999999998</v>
      </c>
      <c r="BJ24" s="104">
        <v>0.54383999999999999</v>
      </c>
      <c r="BK24" s="104">
        <v>5.5856899999999996</v>
      </c>
      <c r="BL24" s="104">
        <v>2.9458000000000002</v>
      </c>
      <c r="BM24" s="104">
        <v>0</v>
      </c>
      <c r="BN24" s="104">
        <v>0</v>
      </c>
      <c r="BO24" s="104">
        <v>0</v>
      </c>
      <c r="BP24" s="101">
        <v>1.05369</v>
      </c>
      <c r="BQ24" s="103">
        <v>138318.69167999999</v>
      </c>
      <c r="BR24" s="373">
        <v>40143.774880000004</v>
      </c>
      <c r="BS24" s="374">
        <v>0</v>
      </c>
      <c r="BT24" s="103">
        <v>43433.405599999998</v>
      </c>
      <c r="BU24" s="103">
        <v>7864.2734399999999</v>
      </c>
      <c r="BV24" s="103">
        <v>925.20863999999983</v>
      </c>
      <c r="BW24" s="103">
        <v>2467.2230399999999</v>
      </c>
      <c r="BX24" s="103">
        <v>25340.43664</v>
      </c>
      <c r="BY24" s="103">
        <v>13364.124800000001</v>
      </c>
      <c r="BZ24" s="103">
        <v>0</v>
      </c>
      <c r="CA24" s="103">
        <v>0</v>
      </c>
      <c r="CB24" s="103">
        <v>0</v>
      </c>
      <c r="CC24" s="103">
        <v>4780.2446399999999</v>
      </c>
      <c r="CD24" s="1">
        <v>1</v>
      </c>
      <c r="CF24" s="277">
        <f>D24*AQ24*12</f>
        <v>124517.95200000002</v>
      </c>
      <c r="CG24" s="277">
        <f>SUMIF(Оборот!$A:$A,$B:$B,Оборот!I:I)</f>
        <v>0</v>
      </c>
      <c r="CH24" s="277">
        <f t="shared" si="0"/>
        <v>210839.23285647808</v>
      </c>
      <c r="CI24" s="239">
        <f t="shared" si="5"/>
        <v>35850.725121437965</v>
      </c>
      <c r="CJ24" s="276">
        <f>SUMIF('20Ф'!$H:$H,$B:$B,'20Ф'!M:M)*1.2</f>
        <v>0</v>
      </c>
      <c r="CK24" s="276">
        <f>SUMIF('20Ф'!$H:$H,$B:$B,'20Ф'!O:O)*1.2</f>
        <v>0</v>
      </c>
      <c r="CL24" s="276">
        <f>SUMIF('20Ф'!$H:$H,$B:$B,'20Ф'!Q:Q)*1.2</f>
        <v>0</v>
      </c>
      <c r="CM24" s="276">
        <f>SUMIF('20Ф'!$H:$H,$B:$B,'20Ф'!R:R)*1.2</f>
        <v>0</v>
      </c>
      <c r="CN24" s="276">
        <f>SUMIF('20Ф'!$H:$H,$B:$B,'20Ф'!S:S)*1.2</f>
        <v>0</v>
      </c>
      <c r="CO24" s="276">
        <f>SUMIF('20Ф'!$H:$H,$B:$B,'20Ф'!W:W)*1.2</f>
        <v>0</v>
      </c>
      <c r="CP24" s="276">
        <f>SUMIF('20Ф'!$H:$H,$B:$B,'20Ф'!P:P)*1.2</f>
        <v>0</v>
      </c>
      <c r="CQ24" s="276">
        <f>SUMIF('20Ф'!$H:$H,$B:$B,'20Ф'!Y:Y)*1.2</f>
        <v>0</v>
      </c>
      <c r="CR24" s="276">
        <f>SUMIF('20Ф'!$H:$H,$B:$B,'20Ф'!Z:Z)*1.2</f>
        <v>0</v>
      </c>
      <c r="CS24" s="276">
        <f>SUMIF('20Ф'!$H:$H,$B:$B,'20Ф'!AB:AB)*1.2</f>
        <v>0</v>
      </c>
      <c r="CT24" s="276">
        <f>SUMIF('20Ф'!$H:$H,$B:$B,'20Ф'!AC:AC)*1.2</f>
        <v>0</v>
      </c>
      <c r="CU24" s="276">
        <f>SUMIF('20Ф'!$H:$H,$B:$B,'20Ф'!AD:AD)*1.2</f>
        <v>0</v>
      </c>
      <c r="CV24" s="276">
        <f>SUMIF('20Ф'!$H:$H,$B:$B,'20Ф'!AE:AE)*1.2</f>
        <v>0</v>
      </c>
      <c r="CW24" s="276">
        <f>SUMIF('20Ф'!$H:$H,$B:$B,'20Ф'!AF:AF)*1.2</f>
        <v>18428.975999999999</v>
      </c>
      <c r="CX24" s="276">
        <f>SUMIF('20Ф'!$H:$H,$B:$B,'20Ф'!AG:AG)*1.2</f>
        <v>0</v>
      </c>
      <c r="CY24" s="276">
        <f>SUMIF('20Ф'!$H:$H,$B:$B,'20Ф'!AH:AH)*1.2</f>
        <v>0</v>
      </c>
      <c r="CZ24" s="276">
        <f>SUMIF('20Ф'!$H:$H,$B:$B,'20Ф'!AI:AI)*1.2</f>
        <v>0</v>
      </c>
      <c r="DA24" s="276">
        <f>SUMIF('20Ф'!$H:$H,$B:$B,'20Ф'!AJ:AJ)*1.2</f>
        <v>14030.267999999998</v>
      </c>
      <c r="DB24" s="276">
        <f>SUMIF('20Ф'!$H:$H,$B:$B,'20Ф'!AK:AK)*1.2</f>
        <v>0</v>
      </c>
      <c r="DC24" s="276">
        <f>SUMIF('20Ф'!$H:$H,$B:$B,'20Ф'!AL:AL)*1.2</f>
        <v>0</v>
      </c>
      <c r="DD24" s="276">
        <f>SUMIF('20Ф'!$H:$H,$B:$B,'20Ф'!AM:AM)*1.2</f>
        <v>0</v>
      </c>
      <c r="DE24" s="276">
        <f>SUMIF('20Ф'!$H:$H,$B:$B,'20Ф'!AN:AN)*1.2</f>
        <v>0</v>
      </c>
      <c r="DF24" s="276">
        <f>SUMIF('20Ф'!$H:$H,$B:$B,'20Ф'!AO:AO)*1.2</f>
        <v>0</v>
      </c>
      <c r="DG24" s="276">
        <f>SUMIF('20Ф'!$H:$H,$B:$B,'20Ф'!AP:AP)*1.2</f>
        <v>0</v>
      </c>
      <c r="DH24" s="276">
        <f>SUMIF('20Ф'!$H:$H,$B:$B,'20Ф'!AQ:AQ)*1.2</f>
        <v>0</v>
      </c>
      <c r="DI24" s="276">
        <f>SUMIF('20Ф'!$H:$H,$B:$B,'20Ф'!BA:BA)*1.2</f>
        <v>0</v>
      </c>
      <c r="DJ24" s="276">
        <f>SUMIF('20Ф'!$H:$H,$B:$B,'20Ф'!BB:BB)*1.2</f>
        <v>0</v>
      </c>
      <c r="DK24" s="276">
        <f>SUMIF('20Ф'!$H:$H,$B:$B,'20Ф'!BC:BC)*1.2</f>
        <v>0</v>
      </c>
      <c r="DL24" s="276">
        <f>$D24/$D$281*'20Ф'!$H$218</f>
        <v>3391.4811214379629</v>
      </c>
      <c r="DM24" s="240">
        <f t="shared" si="1"/>
        <v>79251.914983948285</v>
      </c>
      <c r="DN24" s="276">
        <f>SUMIF('20Ф'!$H:$H,$B:$B,'20Ф'!AV:AV)*1.2</f>
        <v>0</v>
      </c>
      <c r="DO24" s="276">
        <f>SUMIF('20Ф'!$H:$H,$B:$B,'20Ф'!AW:AW)*1.2+$D24/$D$281*'26Ф'!$D$42</f>
        <v>1804.7706957679941</v>
      </c>
      <c r="DP24" s="276">
        <f>SUMIF('20Ф'!$H:$H,$B:$B,'20Ф'!AX:AX)*1.2</f>
        <v>0</v>
      </c>
      <c r="DQ24" s="276">
        <f>SUMIF('20Ф'!$H:$H,$B:$B,'20Ф'!AY:AY)*1.2</f>
        <v>17885.004000000001</v>
      </c>
      <c r="DR24" s="276">
        <f>SUMIF('20Ф'!$H:$H,$B:$B,'20Ф'!AU:AU)*1.2</f>
        <v>0</v>
      </c>
      <c r="DS24" s="276">
        <f>SUMIF('20Ф'!$H:$H,$B:$B,'20Ф'!AS:AS)*1.2</f>
        <v>27726.275999999998</v>
      </c>
      <c r="DT24" s="276">
        <f>SUMIF('20Ф'!$H:$H,$B:$B,'20Ф'!AR:AR)*1.2</f>
        <v>0</v>
      </c>
      <c r="DU24" s="276">
        <f>SUMIF('20Ф'!$H:$H,$B:$B,'20Ф'!X:X)*1.2</f>
        <v>0</v>
      </c>
      <c r="DV24" s="276">
        <f>SUMIF('20Ф'!$H:$H,$B:$B,'20Ф'!AA:AA)*1.2</f>
        <v>0</v>
      </c>
      <c r="DW24" s="276">
        <f>SUMIF('20Ф'!$H:$H,$B:$B,'20Ф'!N:N)*1.2</f>
        <v>0</v>
      </c>
      <c r="DX24" s="276">
        <f>$D24/$D$281*('25Ф'!$D$37)</f>
        <v>30335.937585427739</v>
      </c>
      <c r="DY24" s="276">
        <f>$D24/$D$281*'25Ф'!$D$30</f>
        <v>968.22789778759216</v>
      </c>
      <c r="DZ24" s="276">
        <f>$D24/$D$281*'25Ф'!$D$31</f>
        <v>531.69880496497296</v>
      </c>
      <c r="EA24" s="276"/>
      <c r="EB24" s="276">
        <f t="shared" si="2"/>
        <v>19112.116803141704</v>
      </c>
      <c r="EC24" s="276">
        <f>$D24/$D$281*'26Ф'!$D$36</f>
        <v>9948.4722971956999</v>
      </c>
      <c r="ED24" s="276">
        <f>$D24/$D$281*'26Ф'!$D$37</f>
        <v>1195.298321332516</v>
      </c>
      <c r="EE24" s="276">
        <f>$D24/$D$281*'26Ф'!$D$38</f>
        <v>1207.557281807703</v>
      </c>
      <c r="EF24" s="276">
        <f>$D24/$D$281*'26Ф'!$D$39</f>
        <v>847.10033107908168</v>
      </c>
      <c r="EG24" s="276">
        <f>$D24/$D$281*'91Ф'!$D$10</f>
        <v>261.3300998335921</v>
      </c>
      <c r="EH24" s="276">
        <f>$D24/$D$281*('20Ф'!$I$509+'26Ф'!$D$41+'20Ф'!$I$507)</f>
        <v>1848.8244043940688</v>
      </c>
      <c r="EI24" s="276">
        <f>$D24/$D$281*'91Ф'!$D$31</f>
        <v>3389.1666880296088</v>
      </c>
      <c r="EJ24" s="276">
        <f>$D24/$D$281*'20Ф'!$I$1316</f>
        <v>414.36737946943282</v>
      </c>
      <c r="EK24" s="276">
        <f>$D24/$D$281*('20Ф'!$I$1105+'20Ф'!$I$1282+'91Ф'!$D$17+'91Ф'!$D$41)</f>
        <v>13608.286388534994</v>
      </c>
      <c r="EL24" s="276">
        <f>$D24/$D$281*отчёт!BX$294</f>
        <v>22748.904638197087</v>
      </c>
      <c r="EM24" s="276">
        <f>$D24/$D$281*отчёт!BY$294</f>
        <v>20006.440512685425</v>
      </c>
      <c r="EN24" s="276">
        <f>SUMIF(отчёт!$B:$B,$B:$B,отчёт!BZ:BZ)/отчёт!BZ$281*('60Ф'!$O$151+'60Ф'!$P$151)*отчёт!BZ$293</f>
        <v>0</v>
      </c>
      <c r="EO24" s="240">
        <f t="shared" si="3"/>
        <v>0</v>
      </c>
      <c r="EP24" s="276">
        <f>SUMIF('20Ф'!$H:$H,$B:$B,'20Ф'!T:T)*1.2</f>
        <v>0</v>
      </c>
      <c r="EQ24" s="276">
        <f>SUMIF('20Ф'!$H:$H,$B:$B,'20Ф'!U:U)*1.2</f>
        <v>0</v>
      </c>
      <c r="ER24" s="236"/>
      <c r="ES24" s="239">
        <f t="shared" si="6"/>
        <v>310.33068608591117</v>
      </c>
      <c r="ET24" s="276"/>
      <c r="EU24" s="276"/>
      <c r="EV24" s="276">
        <f>$D24/$D$282*('20Ф'!$I$1286)</f>
        <v>310.33068608591117</v>
      </c>
      <c r="EW24" s="276">
        <f>SUMIF('91.1Ф'!$N:$N,$B:$B,'91.1Ф'!$F:$F)+$D24/$D$281*('91Ф'!$D$12+'91Ф'!$D$11+'91Ф'!$D$19+'91Ф'!$D$20)</f>
        <v>1793.5056313449677</v>
      </c>
      <c r="EX24" s="276">
        <f t="shared" si="4"/>
        <v>18157.008091101718</v>
      </c>
      <c r="EY24" s="276">
        <f>SUMIF('20Ф'!$H:$H,$B:$B,'20Ф'!$AY:$AY)*1.2</f>
        <v>17885.004000000001</v>
      </c>
      <c r="EZ24" s="295">
        <f>D24/$D$286*'20Ф'!$I$1163</f>
        <v>272.00409110171552</v>
      </c>
      <c r="FA24" s="277">
        <f>SUMIF(отчёт!$B:$B,$B:$B,отчёт!$CU:$CU)/отчёт!$CU$281*'20Ф'!$I$1341</f>
        <v>0</v>
      </c>
      <c r="FB24" s="276">
        <f>SUMIF(Сальдо!$A:$A,$B:$B,Сальдо!$H:$H)-SUMIF(Сальдо!$A:$A,$B:$B,Сальдо!$I:$I)</f>
        <v>0</v>
      </c>
    </row>
    <row r="25" spans="1:158" ht="12" customHeight="1" x14ac:dyDescent="0.25">
      <c r="A25" s="3">
        <f t="shared" si="7"/>
        <v>21</v>
      </c>
      <c r="B25" s="4" t="s">
        <v>68</v>
      </c>
      <c r="C25" s="4" t="s">
        <v>68</v>
      </c>
      <c r="D25" s="5">
        <v>385.6</v>
      </c>
      <c r="E25" s="6">
        <v>385.6</v>
      </c>
      <c r="F25" s="6">
        <v>0</v>
      </c>
      <c r="G25" s="6">
        <v>54.9</v>
      </c>
      <c r="H25" s="5">
        <f>SUMIF(отчёт!$B:$B,$B:$B,отчёт!I:I)</f>
        <v>0</v>
      </c>
      <c r="I25" s="5">
        <f>SUMIF(отчёт!$B:$B,$B:$B,отчёт!J:J)</f>
        <v>0</v>
      </c>
      <c r="J25" s="3" t="s">
        <v>66</v>
      </c>
      <c r="K25" s="105">
        <v>9</v>
      </c>
      <c r="L25" s="105" t="s">
        <v>52</v>
      </c>
      <c r="M25" s="7">
        <v>25.05</v>
      </c>
      <c r="N25" s="8">
        <v>3.9</v>
      </c>
      <c r="O25" s="8">
        <v>5.09</v>
      </c>
      <c r="P25" s="8">
        <v>8.4499999999999993</v>
      </c>
      <c r="Q25" s="8">
        <v>4.93</v>
      </c>
      <c r="R25" s="8">
        <v>2.42</v>
      </c>
      <c r="S25" s="8">
        <v>0</v>
      </c>
      <c r="T25" s="8">
        <v>0</v>
      </c>
      <c r="U25" s="8">
        <v>0.26</v>
      </c>
      <c r="V25" s="9">
        <v>0</v>
      </c>
      <c r="W25" s="9">
        <v>0</v>
      </c>
      <c r="X25" s="9">
        <v>0</v>
      </c>
      <c r="Y25" s="8">
        <v>0</v>
      </c>
      <c r="Z25" s="9">
        <v>0</v>
      </c>
      <c r="AA25" s="8" t="s">
        <v>67</v>
      </c>
      <c r="AB25" s="8">
        <v>7.85</v>
      </c>
      <c r="AC25" s="10">
        <v>0</v>
      </c>
      <c r="AD25" s="8">
        <v>6.73</v>
      </c>
      <c r="AE25" s="8">
        <v>10.67</v>
      </c>
      <c r="AF25" s="8">
        <v>14</v>
      </c>
      <c r="AG25" s="7">
        <v>57955.680000000008</v>
      </c>
      <c r="AH25" s="8">
        <v>9023.0400000000009</v>
      </c>
      <c r="AI25" s="8">
        <v>11776.224</v>
      </c>
      <c r="AJ25" s="8">
        <v>19549.919999999998</v>
      </c>
      <c r="AK25" s="8">
        <v>11406.048000000001</v>
      </c>
      <c r="AL25" s="8">
        <v>5598.9120000000003</v>
      </c>
      <c r="AM25" s="8">
        <v>0</v>
      </c>
      <c r="AN25" s="8">
        <v>0</v>
      </c>
      <c r="AO25" s="8">
        <v>601.53600000000006</v>
      </c>
      <c r="AQ25" s="104">
        <v>26.91</v>
      </c>
      <c r="AR25" s="370">
        <v>7.81</v>
      </c>
      <c r="AS25" s="370"/>
      <c r="AT25" s="104">
        <v>8.4499999999999993</v>
      </c>
      <c r="AU25" s="104">
        <v>1.53</v>
      </c>
      <c r="AV25" s="104">
        <v>0.18</v>
      </c>
      <c r="AW25" s="104">
        <v>0.48</v>
      </c>
      <c r="AX25" s="104">
        <v>4.93</v>
      </c>
      <c r="AY25" s="104">
        <v>2.6</v>
      </c>
      <c r="AZ25" s="104">
        <v>0</v>
      </c>
      <c r="BA25" s="104">
        <v>0</v>
      </c>
      <c r="BB25" s="104">
        <v>0</v>
      </c>
      <c r="BC25" s="101">
        <v>0.93</v>
      </c>
      <c r="BD25" s="104">
        <v>30.48903</v>
      </c>
      <c r="BE25" s="370">
        <v>8.8487299999999998</v>
      </c>
      <c r="BF25" s="370">
        <v>0</v>
      </c>
      <c r="BG25" s="104">
        <v>9.5738499999999984</v>
      </c>
      <c r="BH25" s="104">
        <v>1.73349</v>
      </c>
      <c r="BI25" s="104">
        <v>0.20393999999999998</v>
      </c>
      <c r="BJ25" s="104">
        <v>0.54383999999999999</v>
      </c>
      <c r="BK25" s="104">
        <v>5.5856899999999996</v>
      </c>
      <c r="BL25" s="104">
        <v>2.9458000000000002</v>
      </c>
      <c r="BM25" s="104">
        <v>0</v>
      </c>
      <c r="BN25" s="104">
        <v>0</v>
      </c>
      <c r="BO25" s="104">
        <v>0</v>
      </c>
      <c r="BP25" s="101">
        <v>1.05369</v>
      </c>
      <c r="BQ25" s="103">
        <v>138318.69167999999</v>
      </c>
      <c r="BR25" s="373">
        <v>40143.774880000004</v>
      </c>
      <c r="BS25" s="374">
        <v>0</v>
      </c>
      <c r="BT25" s="103">
        <v>43433.405599999998</v>
      </c>
      <c r="BU25" s="103">
        <v>7864.2734399999999</v>
      </c>
      <c r="BV25" s="103">
        <v>925.20863999999983</v>
      </c>
      <c r="BW25" s="103">
        <v>2467.2230399999999</v>
      </c>
      <c r="BX25" s="103">
        <v>25340.43664</v>
      </c>
      <c r="BY25" s="103">
        <v>13364.124800000001</v>
      </c>
      <c r="BZ25" s="103">
        <v>0</v>
      </c>
      <c r="CA25" s="103">
        <v>0</v>
      </c>
      <c r="CB25" s="103">
        <v>0</v>
      </c>
      <c r="CC25" s="103">
        <v>4780.2446399999999</v>
      </c>
      <c r="CD25" s="1">
        <v>1</v>
      </c>
      <c r="CF25" s="277">
        <f>D25*AQ25*12</f>
        <v>124517.95200000002</v>
      </c>
      <c r="CG25" s="277">
        <f>SUMIF(Оборот!$A:$A,$B:$B,Оборот!I:I)</f>
        <v>0</v>
      </c>
      <c r="CH25" s="277">
        <f t="shared" si="0"/>
        <v>151517.71285647806</v>
      </c>
      <c r="CI25" s="239">
        <f t="shared" si="5"/>
        <v>3391.4811214379629</v>
      </c>
      <c r="CJ25" s="276">
        <f>SUMIF('20Ф'!$H:$H,$B:$B,'20Ф'!M:M)*1.2</f>
        <v>0</v>
      </c>
      <c r="CK25" s="276">
        <f>SUMIF('20Ф'!$H:$H,$B:$B,'20Ф'!O:O)*1.2</f>
        <v>0</v>
      </c>
      <c r="CL25" s="276">
        <f>SUMIF('20Ф'!$H:$H,$B:$B,'20Ф'!Q:Q)*1.2</f>
        <v>0</v>
      </c>
      <c r="CM25" s="276">
        <f>SUMIF('20Ф'!$H:$H,$B:$B,'20Ф'!R:R)*1.2</f>
        <v>0</v>
      </c>
      <c r="CN25" s="276">
        <f>SUMIF('20Ф'!$H:$H,$B:$B,'20Ф'!S:S)*1.2</f>
        <v>0</v>
      </c>
      <c r="CO25" s="276">
        <f>SUMIF('20Ф'!$H:$H,$B:$B,'20Ф'!W:W)*1.2</f>
        <v>0</v>
      </c>
      <c r="CP25" s="276">
        <f>SUMIF('20Ф'!$H:$H,$B:$B,'20Ф'!P:P)*1.2</f>
        <v>0</v>
      </c>
      <c r="CQ25" s="276">
        <f>SUMIF('20Ф'!$H:$H,$B:$B,'20Ф'!Y:Y)*1.2</f>
        <v>0</v>
      </c>
      <c r="CR25" s="276">
        <f>SUMIF('20Ф'!$H:$H,$B:$B,'20Ф'!Z:Z)*1.2</f>
        <v>0</v>
      </c>
      <c r="CS25" s="276">
        <f>SUMIF('20Ф'!$H:$H,$B:$B,'20Ф'!AB:AB)*1.2</f>
        <v>0</v>
      </c>
      <c r="CT25" s="276">
        <f>SUMIF('20Ф'!$H:$H,$B:$B,'20Ф'!AC:AC)*1.2</f>
        <v>0</v>
      </c>
      <c r="CU25" s="276">
        <f>SUMIF('20Ф'!$H:$H,$B:$B,'20Ф'!AD:AD)*1.2</f>
        <v>0</v>
      </c>
      <c r="CV25" s="276">
        <f>SUMIF('20Ф'!$H:$H,$B:$B,'20Ф'!AE:AE)*1.2</f>
        <v>0</v>
      </c>
      <c r="CW25" s="276">
        <f>SUMIF('20Ф'!$H:$H,$B:$B,'20Ф'!AF:AF)*1.2</f>
        <v>0</v>
      </c>
      <c r="CX25" s="276">
        <f>SUMIF('20Ф'!$H:$H,$B:$B,'20Ф'!AG:AG)*1.2</f>
        <v>0</v>
      </c>
      <c r="CY25" s="276">
        <f>SUMIF('20Ф'!$H:$H,$B:$B,'20Ф'!AH:AH)*1.2</f>
        <v>0</v>
      </c>
      <c r="CZ25" s="276">
        <f>SUMIF('20Ф'!$H:$H,$B:$B,'20Ф'!AI:AI)*1.2</f>
        <v>0</v>
      </c>
      <c r="DA25" s="276">
        <f>SUMIF('20Ф'!$H:$H,$B:$B,'20Ф'!AJ:AJ)*1.2</f>
        <v>0</v>
      </c>
      <c r="DB25" s="276">
        <f>SUMIF('20Ф'!$H:$H,$B:$B,'20Ф'!AK:AK)*1.2</f>
        <v>0</v>
      </c>
      <c r="DC25" s="276">
        <f>SUMIF('20Ф'!$H:$H,$B:$B,'20Ф'!AL:AL)*1.2</f>
        <v>0</v>
      </c>
      <c r="DD25" s="276">
        <f>SUMIF('20Ф'!$H:$H,$B:$B,'20Ф'!AM:AM)*1.2</f>
        <v>0</v>
      </c>
      <c r="DE25" s="276">
        <f>SUMIF('20Ф'!$H:$H,$B:$B,'20Ф'!AN:AN)*1.2</f>
        <v>0</v>
      </c>
      <c r="DF25" s="276">
        <f>SUMIF('20Ф'!$H:$H,$B:$B,'20Ф'!AO:AO)*1.2</f>
        <v>0</v>
      </c>
      <c r="DG25" s="276">
        <f>SUMIF('20Ф'!$H:$H,$B:$B,'20Ф'!AP:AP)*1.2</f>
        <v>0</v>
      </c>
      <c r="DH25" s="276">
        <f>SUMIF('20Ф'!$H:$H,$B:$B,'20Ф'!AQ:AQ)*1.2</f>
        <v>0</v>
      </c>
      <c r="DI25" s="276">
        <f>SUMIF('20Ф'!$H:$H,$B:$B,'20Ф'!BA:BA)*1.2</f>
        <v>0</v>
      </c>
      <c r="DJ25" s="276">
        <f>SUMIF('20Ф'!$H:$H,$B:$B,'20Ф'!BB:BB)*1.2</f>
        <v>0</v>
      </c>
      <c r="DK25" s="276">
        <f>SUMIF('20Ф'!$H:$H,$B:$B,'20Ф'!BC:BC)*1.2</f>
        <v>0</v>
      </c>
      <c r="DL25" s="276">
        <f>$D25/$D$281*'20Ф'!$H$218</f>
        <v>3391.4811214379629</v>
      </c>
      <c r="DM25" s="240">
        <f t="shared" si="1"/>
        <v>52389.638983948302</v>
      </c>
      <c r="DN25" s="276">
        <f>SUMIF('20Ф'!$H:$H,$B:$B,'20Ф'!AV:AV)*1.2</f>
        <v>0</v>
      </c>
      <c r="DO25" s="276">
        <f>SUMIF('20Ф'!$H:$H,$B:$B,'20Ф'!AW:AW)*1.2+$D25/$D$281*'26Ф'!$D$42</f>
        <v>1804.7706957679941</v>
      </c>
      <c r="DP25" s="276">
        <f>SUMIF('20Ф'!$H:$H,$B:$B,'20Ф'!AX:AX)*1.2</f>
        <v>0</v>
      </c>
      <c r="DQ25" s="276">
        <f>SUMIF('20Ф'!$H:$H,$B:$B,'20Ф'!AY:AY)*1.2</f>
        <v>17885.004000000001</v>
      </c>
      <c r="DR25" s="276">
        <f>SUMIF('20Ф'!$H:$H,$B:$B,'20Ф'!AU:AU)*1.2</f>
        <v>0</v>
      </c>
      <c r="DS25" s="276">
        <f>SUMIF('20Ф'!$H:$H,$B:$B,'20Ф'!AS:AS)*1.2</f>
        <v>864</v>
      </c>
      <c r="DT25" s="276">
        <f>SUMIF('20Ф'!$H:$H,$B:$B,'20Ф'!AR:AR)*1.2</f>
        <v>0</v>
      </c>
      <c r="DU25" s="276">
        <f>SUMIF('20Ф'!$H:$H,$B:$B,'20Ф'!X:X)*1.2</f>
        <v>0</v>
      </c>
      <c r="DV25" s="276">
        <f>SUMIF('20Ф'!$H:$H,$B:$B,'20Ф'!AA:AA)*1.2</f>
        <v>0</v>
      </c>
      <c r="DW25" s="276">
        <f>SUMIF('20Ф'!$H:$H,$B:$B,'20Ф'!N:N)*1.2</f>
        <v>0</v>
      </c>
      <c r="DX25" s="276">
        <f>$D25/$D$281*('25Ф'!$D$37)</f>
        <v>30335.937585427739</v>
      </c>
      <c r="DY25" s="276">
        <f>$D25/$D$281*'25Ф'!$D$30</f>
        <v>968.22789778759216</v>
      </c>
      <c r="DZ25" s="276">
        <f>$D25/$D$281*'25Ф'!$D$31</f>
        <v>531.69880496497296</v>
      </c>
      <c r="EA25" s="276"/>
      <c r="EB25" s="276">
        <f t="shared" si="2"/>
        <v>19112.116803141704</v>
      </c>
      <c r="EC25" s="276">
        <f>$D25/$D$281*'26Ф'!$D$36</f>
        <v>9948.4722971956999</v>
      </c>
      <c r="ED25" s="276">
        <f>$D25/$D$281*'26Ф'!$D$37</f>
        <v>1195.298321332516</v>
      </c>
      <c r="EE25" s="276">
        <f>$D25/$D$281*'26Ф'!$D$38</f>
        <v>1207.557281807703</v>
      </c>
      <c r="EF25" s="276">
        <f>$D25/$D$281*'26Ф'!$D$39</f>
        <v>847.10033107908168</v>
      </c>
      <c r="EG25" s="276">
        <f>$D25/$D$281*'91Ф'!$D$10</f>
        <v>261.3300998335921</v>
      </c>
      <c r="EH25" s="276">
        <f>$D25/$D$281*('20Ф'!$I$509+'26Ф'!$D$41+'20Ф'!$I$507)</f>
        <v>1848.8244043940688</v>
      </c>
      <c r="EI25" s="276">
        <f>$D25/$D$281*'91Ф'!$D$31</f>
        <v>3389.1666880296088</v>
      </c>
      <c r="EJ25" s="276">
        <f>$D25/$D$281*'20Ф'!$I$1316</f>
        <v>414.36737946943282</v>
      </c>
      <c r="EK25" s="276">
        <f>$D25/$D$281*('20Ф'!$I$1105+'20Ф'!$I$1282+'91Ф'!$D$17+'91Ф'!$D$41)</f>
        <v>13608.286388534994</v>
      </c>
      <c r="EL25" s="276">
        <f>$D25/$D$281*отчёт!BX$294</f>
        <v>22748.904638197087</v>
      </c>
      <c r="EM25" s="276">
        <f>$D25/$D$281*отчёт!BY$294</f>
        <v>20006.440512685425</v>
      </c>
      <c r="EN25" s="276">
        <f>SUMIF(отчёт!$B:$B,$B:$B,отчёт!BZ:BZ)/отчёт!BZ$281*('60Ф'!$O$151+'60Ф'!$P$151)*отчёт!BZ$293</f>
        <v>0</v>
      </c>
      <c r="EO25" s="240">
        <f t="shared" si="3"/>
        <v>0</v>
      </c>
      <c r="EP25" s="276">
        <f>SUMIF('20Ф'!$H:$H,$B:$B,'20Ф'!T:T)*1.2</f>
        <v>0</v>
      </c>
      <c r="EQ25" s="276">
        <f>SUMIF('20Ф'!$H:$H,$B:$B,'20Ф'!U:U)*1.2</f>
        <v>0</v>
      </c>
      <c r="ER25" s="236"/>
      <c r="ES25" s="239">
        <f t="shared" si="6"/>
        <v>310.33068608591117</v>
      </c>
      <c r="ET25" s="276"/>
      <c r="EU25" s="276"/>
      <c r="EV25" s="276">
        <f>$D25/$D$282*('20Ф'!$I$1286)</f>
        <v>310.33068608591117</v>
      </c>
      <c r="EW25" s="276">
        <f>SUMIF('91.1Ф'!$N:$N,$B:$B,'91.1Ф'!$F:$F)+$D25/$D$281*('91Ф'!$D$12+'91Ф'!$D$11+'91Ф'!$D$19+'91Ф'!$D$20)</f>
        <v>1793.5056313449677</v>
      </c>
      <c r="EX25" s="276">
        <f t="shared" si="4"/>
        <v>18157.008091101718</v>
      </c>
      <c r="EY25" s="276">
        <f>SUMIF('20Ф'!$H:$H,$B:$B,'20Ф'!$AY:$AY)*1.2</f>
        <v>17885.004000000001</v>
      </c>
      <c r="EZ25" s="295">
        <f>D25/$D$286*'20Ф'!$I$1163</f>
        <v>272.00409110171552</v>
      </c>
      <c r="FA25" s="277">
        <f>SUMIF(отчёт!$B:$B,$B:$B,отчёт!$CU:$CU)/отчёт!$CU$281*'20Ф'!$I$1341</f>
        <v>0</v>
      </c>
      <c r="FB25" s="276">
        <f>SUMIF(Сальдо!$A:$A,$B:$B,Сальдо!$H:$H)-SUMIF(Сальдо!$A:$A,$B:$B,Сальдо!$I:$I)</f>
        <v>0</v>
      </c>
    </row>
    <row r="26" spans="1:158" ht="12" customHeight="1" x14ac:dyDescent="0.25">
      <c r="A26" s="3">
        <f t="shared" si="7"/>
        <v>22</v>
      </c>
      <c r="B26" s="4" t="s">
        <v>69</v>
      </c>
      <c r="C26" s="4" t="s">
        <v>69</v>
      </c>
      <c r="D26" s="5">
        <v>10450.300000000001</v>
      </c>
      <c r="E26" s="6">
        <v>9759.6</v>
      </c>
      <c r="F26" s="6">
        <v>690.7</v>
      </c>
      <c r="G26" s="6">
        <v>2001.5</v>
      </c>
      <c r="H26" s="5">
        <f>SUMIF(отчёт!$B:$B,$B:$B,отчёт!I:I)</f>
        <v>5</v>
      </c>
      <c r="I26" s="5">
        <f>SUMIF(отчёт!$B:$B,$B:$B,отчёт!J:J)</f>
        <v>0</v>
      </c>
      <c r="J26" s="3" t="s">
        <v>70</v>
      </c>
      <c r="K26" s="105">
        <v>3</v>
      </c>
      <c r="L26" s="105" t="s">
        <v>52</v>
      </c>
      <c r="M26" s="7">
        <v>45.06</v>
      </c>
      <c r="N26" s="8">
        <v>5.0999999999999996</v>
      </c>
      <c r="O26" s="8">
        <v>8.6300000000000008</v>
      </c>
      <c r="P26" s="8">
        <v>13.43</v>
      </c>
      <c r="Q26" s="8">
        <v>6.91</v>
      </c>
      <c r="R26" s="8">
        <v>3.15</v>
      </c>
      <c r="S26" s="8">
        <v>1.81</v>
      </c>
      <c r="T26" s="8">
        <v>5.77</v>
      </c>
      <c r="U26" s="8">
        <v>0.26</v>
      </c>
      <c r="V26" s="9">
        <v>40</v>
      </c>
      <c r="W26" s="9">
        <v>40</v>
      </c>
      <c r="X26" s="9">
        <v>2604.04</v>
      </c>
      <c r="Y26" s="8">
        <v>195.98199600000001</v>
      </c>
      <c r="Z26" s="9">
        <v>42.3</v>
      </c>
      <c r="AA26" s="9">
        <v>2604.04</v>
      </c>
      <c r="AB26" s="8">
        <v>7.85</v>
      </c>
      <c r="AC26" s="10">
        <v>0</v>
      </c>
      <c r="AD26" s="8">
        <v>6.73</v>
      </c>
      <c r="AE26" s="8">
        <v>10.67</v>
      </c>
      <c r="AF26" s="8">
        <v>14</v>
      </c>
      <c r="AG26" s="7">
        <v>2825343.1080000005</v>
      </c>
      <c r="AH26" s="8">
        <v>319779.18</v>
      </c>
      <c r="AI26" s="8">
        <v>541116.5340000001</v>
      </c>
      <c r="AJ26" s="8">
        <v>842085.17400000012</v>
      </c>
      <c r="AK26" s="8">
        <v>433269.43800000002</v>
      </c>
      <c r="AL26" s="8">
        <v>197510.66999999998</v>
      </c>
      <c r="AM26" s="8">
        <v>113490.258</v>
      </c>
      <c r="AN26" s="8">
        <v>361789.386</v>
      </c>
      <c r="AO26" s="8">
        <v>16302.468000000003</v>
      </c>
      <c r="AQ26" s="104">
        <v>48.44</v>
      </c>
      <c r="AR26" s="370">
        <v>18.489999999999998</v>
      </c>
      <c r="AS26" s="370"/>
      <c r="AT26" s="104">
        <v>6.67</v>
      </c>
      <c r="AU26" s="104">
        <v>1.53</v>
      </c>
      <c r="AV26" s="104">
        <v>0.32</v>
      </c>
      <c r="AW26" s="104">
        <v>0.87</v>
      </c>
      <c r="AX26" s="104">
        <v>5.01</v>
      </c>
      <c r="AY26" s="104">
        <v>4.99</v>
      </c>
      <c r="AZ26" s="104">
        <v>2.7</v>
      </c>
      <c r="BA26" s="104">
        <v>6.46</v>
      </c>
      <c r="BB26" s="104">
        <v>0.47</v>
      </c>
      <c r="BC26" s="101">
        <v>0.93</v>
      </c>
      <c r="BD26" s="104">
        <v>54.88252</v>
      </c>
      <c r="BE26" s="370">
        <v>20.949169999999999</v>
      </c>
      <c r="BF26" s="370">
        <v>0</v>
      </c>
      <c r="BG26" s="104">
        <v>7.5571100000000007</v>
      </c>
      <c r="BH26" s="104">
        <v>1.7334900000000002</v>
      </c>
      <c r="BI26" s="104">
        <v>0.36256000000000005</v>
      </c>
      <c r="BJ26" s="104">
        <v>0.98571000000000009</v>
      </c>
      <c r="BK26" s="104">
        <v>5.6763300000000001</v>
      </c>
      <c r="BL26" s="104">
        <v>5.65367</v>
      </c>
      <c r="BM26" s="104">
        <v>3.0591000000000004</v>
      </c>
      <c r="BN26" s="104">
        <v>7.3191800000000002</v>
      </c>
      <c r="BO26" s="104">
        <v>0.53250999999999993</v>
      </c>
      <c r="BP26" s="101">
        <v>1.05369</v>
      </c>
      <c r="BQ26" s="103">
        <v>6747813.0515600014</v>
      </c>
      <c r="BR26" s="371">
        <v>2575703.2065099999</v>
      </c>
      <c r="BS26" s="371">
        <v>0</v>
      </c>
      <c r="BT26" s="103">
        <v>929147.66833000013</v>
      </c>
      <c r="BU26" s="103">
        <v>213132.82347000003</v>
      </c>
      <c r="BV26" s="103">
        <v>44576.799680000004</v>
      </c>
      <c r="BW26" s="103">
        <v>121193.17413000003</v>
      </c>
      <c r="BX26" s="103">
        <v>697905.51999000006</v>
      </c>
      <c r="BY26" s="103">
        <v>695119.47001000005</v>
      </c>
      <c r="BZ26" s="103">
        <v>376116.7473000001</v>
      </c>
      <c r="CA26" s="103">
        <v>899894.14354000008</v>
      </c>
      <c r="CB26" s="103">
        <v>65472.174529999989</v>
      </c>
      <c r="CC26" s="103">
        <v>129551.32407</v>
      </c>
      <c r="CD26" s="1">
        <v>1</v>
      </c>
      <c r="CF26" s="277">
        <f>SUMIF(Оборот!$A:$A,$B:$B,Оборот!H:H)</f>
        <v>5408295.8900000006</v>
      </c>
      <c r="CG26" s="277">
        <f>SUMIF(Оборот!$A:$A,$B:$B,Оборот!I:I)</f>
        <v>5472361.2599999998</v>
      </c>
      <c r="CH26" s="277">
        <f t="shared" si="0"/>
        <v>5042532.6235824944</v>
      </c>
      <c r="CI26" s="239">
        <f t="shared" si="5"/>
        <v>1037813.2398717925</v>
      </c>
      <c r="CJ26" s="276">
        <f>SUMIF('20Ф'!$H:$H,$B:$B,'20Ф'!M:M)*1.2</f>
        <v>409272.03600000002</v>
      </c>
      <c r="CK26" s="276">
        <f>SUMIF('20Ф'!$H:$H,$B:$B,'20Ф'!O:O)*1.2</f>
        <v>253034.712</v>
      </c>
      <c r="CL26" s="276">
        <f>SUMIF('20Ф'!$H:$H,$B:$B,'20Ф'!Q:Q)*1.2</f>
        <v>0</v>
      </c>
      <c r="CM26" s="276">
        <f>SUMIF('20Ф'!$H:$H,$B:$B,'20Ф'!R:R)*1.2</f>
        <v>0</v>
      </c>
      <c r="CN26" s="276">
        <f>SUMIF('20Ф'!$H:$H,$B:$B,'20Ф'!S:S)*1.2</f>
        <v>0</v>
      </c>
      <c r="CO26" s="276">
        <f>SUMIF('20Ф'!$H:$H,$B:$B,'20Ф'!W:W)*1.2</f>
        <v>18480</v>
      </c>
      <c r="CP26" s="276">
        <f>SUMIF('20Ф'!$H:$H,$B:$B,'20Ф'!P:P)*1.2</f>
        <v>0</v>
      </c>
      <c r="CQ26" s="276">
        <f>SUMIF('20Ф'!$H:$H,$B:$B,'20Ф'!Y:Y)*1.2</f>
        <v>0</v>
      </c>
      <c r="CR26" s="276">
        <f>SUMIF('20Ф'!$H:$H,$B:$B,'20Ф'!Z:Z)*1.2</f>
        <v>0</v>
      </c>
      <c r="CS26" s="276">
        <f>SUMIF('20Ф'!$H:$H,$B:$B,'20Ф'!AB:AB)*1.2</f>
        <v>0</v>
      </c>
      <c r="CT26" s="276">
        <f>SUMIF('20Ф'!$H:$H,$B:$B,'20Ф'!AC:AC)*1.2</f>
        <v>0</v>
      </c>
      <c r="CU26" s="276">
        <f>SUMIF('20Ф'!$H:$H,$B:$B,'20Ф'!AD:AD)*1.2</f>
        <v>0</v>
      </c>
      <c r="CV26" s="276">
        <f>SUMIF('20Ф'!$H:$H,$B:$B,'20Ф'!AE:AE)*1.2</f>
        <v>0</v>
      </c>
      <c r="CW26" s="276">
        <f>SUMIF('20Ф'!$H:$H,$B:$B,'20Ф'!AF:AF)*1.2</f>
        <v>0</v>
      </c>
      <c r="CX26" s="276">
        <f>SUMIF('20Ф'!$H:$H,$B:$B,'20Ф'!AG:AG)*1.2</f>
        <v>0</v>
      </c>
      <c r="CY26" s="276">
        <f>SUMIF('20Ф'!$H:$H,$B:$B,'20Ф'!AH:AH)*1.2</f>
        <v>0</v>
      </c>
      <c r="CZ26" s="276">
        <f>SUMIF('20Ф'!$H:$H,$B:$B,'20Ф'!AI:AI)*1.2</f>
        <v>0</v>
      </c>
      <c r="DA26" s="276">
        <f>SUMIF('20Ф'!$H:$H,$B:$B,'20Ф'!AJ:AJ)*1.2</f>
        <v>42360.78</v>
      </c>
      <c r="DB26" s="276">
        <f>SUMIF('20Ф'!$H:$H,$B:$B,'20Ф'!AK:AK)*1.2</f>
        <v>0</v>
      </c>
      <c r="DC26" s="276">
        <f>SUMIF('20Ф'!$H:$H,$B:$B,'20Ф'!AL:AL)*1.2</f>
        <v>0</v>
      </c>
      <c r="DD26" s="276">
        <f>SUMIF('20Ф'!$H:$H,$B:$B,'20Ф'!AM:AM)*1.2</f>
        <v>0</v>
      </c>
      <c r="DE26" s="276">
        <f>SUMIF('20Ф'!$H:$H,$B:$B,'20Ф'!AN:AN)*1.2</f>
        <v>222751.82399999999</v>
      </c>
      <c r="DF26" s="276">
        <f>SUMIF('20Ф'!$H:$H,$B:$B,'20Ф'!AO:AO)*1.2</f>
        <v>0</v>
      </c>
      <c r="DG26" s="276">
        <f>SUMIF('20Ф'!$H:$H,$B:$B,'20Ф'!AP:AP)*1.2</f>
        <v>0</v>
      </c>
      <c r="DH26" s="276">
        <f>SUMIF('20Ф'!$H:$H,$B:$B,'20Ф'!AQ:AQ)*1.2</f>
        <v>0</v>
      </c>
      <c r="DI26" s="276">
        <f>SUMIF('20Ф'!$H:$H,$B:$B,'20Ф'!BA:BA)*1.2</f>
        <v>0</v>
      </c>
      <c r="DJ26" s="276">
        <f>SUMIF('20Ф'!$H:$H,$B:$B,'20Ф'!BB:BB)*1.2</f>
        <v>0</v>
      </c>
      <c r="DK26" s="276">
        <f>SUMIF('20Ф'!$H:$H,$B:$B,'20Ф'!BC:BC)*1.2</f>
        <v>0</v>
      </c>
      <c r="DL26" s="276">
        <f>$D26/$D$281*'20Ф'!$H$218</f>
        <v>91913.887871792394</v>
      </c>
      <c r="DM26" s="240">
        <f t="shared" si="1"/>
        <v>1084582.178912746</v>
      </c>
      <c r="DN26" s="276">
        <f>SUMIF('20Ф'!$H:$H,$B:$B,'20Ф'!AV:AV)*1.2</f>
        <v>0</v>
      </c>
      <c r="DO26" s="276">
        <f>SUMIF('20Ф'!$H:$H,$B:$B,'20Ф'!AW:AW)*1.2+$D26/$D$281*'26Ф'!$D$42</f>
        <v>48911.813283154232</v>
      </c>
      <c r="DP26" s="276">
        <f>SUMIF('20Ф'!$H:$H,$B:$B,'20Ф'!AX:AX)*1.2</f>
        <v>0</v>
      </c>
      <c r="DQ26" s="276">
        <f>SUMIF('20Ф'!$H:$H,$B:$B,'20Ф'!AY:AY)*1.2</f>
        <v>57361.007999999994</v>
      </c>
      <c r="DR26" s="276">
        <f>SUMIF('20Ф'!$H:$H,$B:$B,'20Ф'!AU:AU)*1.2</f>
        <v>0</v>
      </c>
      <c r="DS26" s="276">
        <f>SUMIF('20Ф'!$H:$H,$B:$B,'20Ф'!AS:AS)*1.2</f>
        <v>115512.852</v>
      </c>
      <c r="DT26" s="276">
        <f>SUMIF('20Ф'!$H:$H,$B:$B,'20Ф'!AR:AR)*1.2</f>
        <v>0</v>
      </c>
      <c r="DU26" s="276">
        <f>SUMIF('20Ф'!$H:$H,$B:$B,'20Ф'!X:X)*1.2</f>
        <v>0</v>
      </c>
      <c r="DV26" s="276">
        <f>SUMIF('20Ф'!$H:$H,$B:$B,'20Ф'!AA:AA)*1.2</f>
        <v>0</v>
      </c>
      <c r="DW26" s="276">
        <f>SUMIF('20Ф'!$H:$H,$B:$B,'20Ф'!N:N)*1.2</f>
        <v>0</v>
      </c>
      <c r="DX26" s="276">
        <f>$D26/$D$281*('25Ф'!$D$37)</f>
        <v>822146.39146523736</v>
      </c>
      <c r="DY26" s="276">
        <f>$D26/$D$281*'25Ф'!$D$30</f>
        <v>26240.331950854968</v>
      </c>
      <c r="DZ26" s="276">
        <f>$D26/$D$281*'25Ф'!$D$31</f>
        <v>14409.782213499631</v>
      </c>
      <c r="EA26" s="276"/>
      <c r="EB26" s="276">
        <f t="shared" si="2"/>
        <v>517965.13025900355</v>
      </c>
      <c r="EC26" s="276">
        <f>$D26/$D$281*'26Ф'!$D$36</f>
        <v>269617.53124321636</v>
      </c>
      <c r="ED26" s="276">
        <f>$D26/$D$281*'26Ф'!$D$37</f>
        <v>32394.258421735463</v>
      </c>
      <c r="EE26" s="276">
        <f>$D26/$D$281*'26Ф'!$D$38</f>
        <v>32726.493418244398</v>
      </c>
      <c r="EF26" s="276">
        <f>$D26/$D$281*'26Ф'!$D$39</f>
        <v>22957.605264200542</v>
      </c>
      <c r="EG26" s="276">
        <f>$D26/$D$281*'91Ф'!$D$10</f>
        <v>7082.4116760658399</v>
      </c>
      <c r="EH26" s="276">
        <f>$D26/$D$281*('20Ф'!$I$509+'26Ф'!$D$41+'20Ф'!$I$507)</f>
        <v>50105.730480392478</v>
      </c>
      <c r="EI26" s="276">
        <f>$D26/$D$281*'91Ф'!$D$31</f>
        <v>91851.163485258876</v>
      </c>
      <c r="EJ26" s="276">
        <f>$D26/$D$281*'20Ф'!$I$1316</f>
        <v>11229.93626988956</v>
      </c>
      <c r="EK26" s="276">
        <f>$D26/$D$281*('20Ф'!$I$1105+'20Ф'!$I$1282+'91Ф'!$D$17+'91Ф'!$D$41)</f>
        <v>368803.6183768342</v>
      </c>
      <c r="EL26" s="276">
        <f>$D26/$D$281*отчёт!BX$294</f>
        <v>616527.17360101407</v>
      </c>
      <c r="EM26" s="276">
        <f>$D26/$D$281*отчёт!BY$294</f>
        <v>542202.55521192041</v>
      </c>
      <c r="EN26" s="276">
        <f>$D26/$D$283*отчёт!BZ$294</f>
        <v>97308.409729081133</v>
      </c>
      <c r="EO26" s="240">
        <f t="shared" ref="EO26:EO32" si="9">SUBTOTAL(9,EP26:ER26)</f>
        <v>457639.22375249502</v>
      </c>
      <c r="EP26" s="276">
        <f>SUMIF('20Ф'!$H:$H,$B:$B,'20Ф'!T:T)*1.2</f>
        <v>12980.699999999999</v>
      </c>
      <c r="EQ26" s="276">
        <f>SUM(H26:I26)/SUM($H$284:$I$284)*SUM('60Ф'!$O$155:$P$155)</f>
        <v>431275.65439121757</v>
      </c>
      <c r="ER26" s="276">
        <f>SUM($H26:$I26)/SUM($H$284:$I$284)*SUM('60Ф'!$P$227)</f>
        <v>13382.869361277446</v>
      </c>
      <c r="ES26" s="239">
        <f t="shared" si="6"/>
        <v>206351.87981863355</v>
      </c>
      <c r="ET26" s="276">
        <f>$D26/$D$282*'20Ф'!$I$381</f>
        <v>15771.671884985471</v>
      </c>
      <c r="EU26" s="276">
        <f>$D26/$D$282*('20Ф'!$I$75+'20Ф'!$I$1098)*1.2</f>
        <v>182169.81174899146</v>
      </c>
      <c r="EV26" s="276">
        <f>$D26/$D$282*('20Ф'!$I$1286)</f>
        <v>8410.3961846566344</v>
      </c>
      <c r="EW26" s="276">
        <f>SUMIF('91.1Ф'!$N:$N,$B:$B,'91.1Ф'!$F:$F)+$D26/$D$281*('91Ф'!$D$12+'91Ф'!$D$11+'91Ф'!$D$19+'91Ф'!$D$20)</f>
        <v>48606.514261525721</v>
      </c>
      <c r="EX26" s="276">
        <f t="shared" si="4"/>
        <v>64732.699787448793</v>
      </c>
      <c r="EY26" s="276">
        <f>SUMIF('20Ф'!$H:$H,$B:$B,'20Ф'!$AY:$AY)*1.2</f>
        <v>57361.007999999994</v>
      </c>
      <c r="EZ26" s="295">
        <f>D26/$D$286*'20Ф'!$I$1163</f>
        <v>7371.6917874488008</v>
      </c>
      <c r="FA26" s="277">
        <f>SUMIF(отчёт!$B:$B,$B:$B,отчёт!$CU:$CU)/отчёт!$CU$281*'20Ф'!$I$1341</f>
        <v>3683.8554216867401</v>
      </c>
      <c r="FB26" s="276">
        <f>SUMIF(Сальдо!$A:$A,$B:$B,Сальдо!$H:$H)-SUMIF(Сальдо!$A:$A,$B:$B,Сальдо!$I:$I)</f>
        <v>592609.50999999989</v>
      </c>
    </row>
    <row r="27" spans="1:158" ht="12" customHeight="1" x14ac:dyDescent="0.25">
      <c r="A27" s="3">
        <f t="shared" si="7"/>
        <v>23</v>
      </c>
      <c r="B27" s="4" t="s">
        <v>71</v>
      </c>
      <c r="C27" s="4" t="s">
        <v>71</v>
      </c>
      <c r="D27" s="5">
        <v>3844.53</v>
      </c>
      <c r="E27" s="6">
        <v>3633.53</v>
      </c>
      <c r="F27" s="6">
        <v>211</v>
      </c>
      <c r="G27" s="6">
        <v>808.1</v>
      </c>
      <c r="H27" s="5">
        <f>SUMIF(отчёт!$B:$B,$B:$B,отчёт!I:I)</f>
        <v>2</v>
      </c>
      <c r="I27" s="5">
        <f>SUMIF(отчёт!$B:$B,$B:$B,отчёт!J:J)</f>
        <v>0</v>
      </c>
      <c r="J27" s="3" t="s">
        <v>70</v>
      </c>
      <c r="K27" s="105">
        <v>3</v>
      </c>
      <c r="L27" s="105" t="s">
        <v>52</v>
      </c>
      <c r="M27" s="7">
        <v>45.06</v>
      </c>
      <c r="N27" s="8">
        <v>5.0999999999999996</v>
      </c>
      <c r="O27" s="8">
        <v>8.6300000000000008</v>
      </c>
      <c r="P27" s="8">
        <v>13.43</v>
      </c>
      <c r="Q27" s="8">
        <v>6.91</v>
      </c>
      <c r="R27" s="8">
        <v>3.15</v>
      </c>
      <c r="S27" s="8">
        <v>1.81</v>
      </c>
      <c r="T27" s="8">
        <v>5.77</v>
      </c>
      <c r="U27" s="8">
        <v>0.26</v>
      </c>
      <c r="V27" s="9">
        <v>40</v>
      </c>
      <c r="W27" s="9">
        <v>40</v>
      </c>
      <c r="X27" s="9">
        <v>2604.04</v>
      </c>
      <c r="Y27" s="8">
        <v>195.98199600000001</v>
      </c>
      <c r="Z27" s="9">
        <v>42.3</v>
      </c>
      <c r="AA27" s="9">
        <v>2604.04</v>
      </c>
      <c r="AB27" s="8">
        <v>7.85</v>
      </c>
      <c r="AC27" s="10">
        <v>0</v>
      </c>
      <c r="AD27" s="8">
        <v>6.73</v>
      </c>
      <c r="AE27" s="8">
        <v>10.67</v>
      </c>
      <c r="AF27" s="8">
        <v>14</v>
      </c>
      <c r="AG27" s="7">
        <v>1039407.1308000002</v>
      </c>
      <c r="AH27" s="8">
        <v>117642.61799999999</v>
      </c>
      <c r="AI27" s="8">
        <v>199069.76340000003</v>
      </c>
      <c r="AJ27" s="8">
        <v>309792.22740000003</v>
      </c>
      <c r="AK27" s="8">
        <v>159394.2138</v>
      </c>
      <c r="AL27" s="8">
        <v>72661.616999999998</v>
      </c>
      <c r="AM27" s="8">
        <v>41751.595800000003</v>
      </c>
      <c r="AN27" s="8">
        <v>133097.6286</v>
      </c>
      <c r="AO27" s="8">
        <v>5997.4668000000011</v>
      </c>
      <c r="AQ27" s="104">
        <v>48.44</v>
      </c>
      <c r="AR27" s="370">
        <v>18.489999999999998</v>
      </c>
      <c r="AS27" s="370"/>
      <c r="AT27" s="104">
        <v>6.67</v>
      </c>
      <c r="AU27" s="104">
        <v>1.53</v>
      </c>
      <c r="AV27" s="104">
        <v>0.32</v>
      </c>
      <c r="AW27" s="104">
        <v>0.87</v>
      </c>
      <c r="AX27" s="104">
        <v>5.01</v>
      </c>
      <c r="AY27" s="104">
        <v>4.99</v>
      </c>
      <c r="AZ27" s="104">
        <v>2.7</v>
      </c>
      <c r="BA27" s="104">
        <v>6.46</v>
      </c>
      <c r="BB27" s="104">
        <v>0.47</v>
      </c>
      <c r="BC27" s="101">
        <v>0.93</v>
      </c>
      <c r="BD27" s="104">
        <v>54.88252</v>
      </c>
      <c r="BE27" s="370">
        <v>20.949169999999999</v>
      </c>
      <c r="BF27" s="370">
        <v>0</v>
      </c>
      <c r="BG27" s="104">
        <v>7.5571100000000007</v>
      </c>
      <c r="BH27" s="104">
        <v>1.7334900000000002</v>
      </c>
      <c r="BI27" s="104">
        <v>0.36256000000000005</v>
      </c>
      <c r="BJ27" s="104">
        <v>0.98571000000000009</v>
      </c>
      <c r="BK27" s="104">
        <v>5.6763300000000001</v>
      </c>
      <c r="BL27" s="104">
        <v>5.65367</v>
      </c>
      <c r="BM27" s="104">
        <v>3.0591000000000004</v>
      </c>
      <c r="BN27" s="104">
        <v>7.3191800000000002</v>
      </c>
      <c r="BO27" s="104">
        <v>0.53250999999999993</v>
      </c>
      <c r="BP27" s="101">
        <v>1.05369</v>
      </c>
      <c r="BQ27" s="103">
        <v>2482433.0125560001</v>
      </c>
      <c r="BR27" s="371">
        <v>947567.84480099997</v>
      </c>
      <c r="BS27" s="371">
        <v>0</v>
      </c>
      <c r="BT27" s="103">
        <v>341821.39128300006</v>
      </c>
      <c r="BU27" s="103">
        <v>78408.804897000009</v>
      </c>
      <c r="BV27" s="103">
        <v>16399.227168000001</v>
      </c>
      <c r="BW27" s="103">
        <v>44585.398863000009</v>
      </c>
      <c r="BX27" s="103">
        <v>256750.400349</v>
      </c>
      <c r="BY27" s="103">
        <v>255725.44865100001</v>
      </c>
      <c r="BZ27" s="103">
        <v>138368.47923000003</v>
      </c>
      <c r="CA27" s="103">
        <v>331059.39845400001</v>
      </c>
      <c r="CB27" s="103">
        <v>24086.364902999994</v>
      </c>
      <c r="CC27" s="103">
        <v>47660.253957000001</v>
      </c>
      <c r="CD27" s="1">
        <v>1</v>
      </c>
      <c r="CF27" s="277">
        <f>SUMIF(Оборот!$A:$A,$B:$B,Оборот!H:H)</f>
        <v>1933086.5400000005</v>
      </c>
      <c r="CG27" s="277">
        <f>SUMIF(Оборот!$A:$A,$B:$B,Оборот!I:I)</f>
        <v>2040038.34</v>
      </c>
      <c r="CH27" s="277">
        <f t="shared" si="0"/>
        <v>1517784.4597333388</v>
      </c>
      <c r="CI27" s="239">
        <f t="shared" si="5"/>
        <v>33813.928723552628</v>
      </c>
      <c r="CJ27" s="276">
        <f>SUMIF('20Ф'!$H:$H,$B:$B,'20Ф'!M:M)*1.2</f>
        <v>0</v>
      </c>
      <c r="CK27" s="276">
        <f>SUMIF('20Ф'!$H:$H,$B:$B,'20Ф'!O:O)*1.2</f>
        <v>0</v>
      </c>
      <c r="CL27" s="276">
        <f>SUMIF('20Ф'!$H:$H,$B:$B,'20Ф'!Q:Q)*1.2</f>
        <v>0</v>
      </c>
      <c r="CM27" s="276">
        <f>SUMIF('20Ф'!$H:$H,$B:$B,'20Ф'!R:R)*1.2</f>
        <v>0</v>
      </c>
      <c r="CN27" s="276">
        <f>SUMIF('20Ф'!$H:$H,$B:$B,'20Ф'!S:S)*1.2</f>
        <v>0</v>
      </c>
      <c r="CO27" s="276">
        <f>SUMIF('20Ф'!$H:$H,$B:$B,'20Ф'!W:W)*1.2</f>
        <v>0</v>
      </c>
      <c r="CP27" s="276">
        <f>SUMIF('20Ф'!$H:$H,$B:$B,'20Ф'!P:P)*1.2</f>
        <v>0</v>
      </c>
      <c r="CQ27" s="276">
        <f>SUMIF('20Ф'!$H:$H,$B:$B,'20Ф'!Y:Y)*1.2</f>
        <v>0</v>
      </c>
      <c r="CR27" s="276">
        <f>SUMIF('20Ф'!$H:$H,$B:$B,'20Ф'!Z:Z)*1.2</f>
        <v>0</v>
      </c>
      <c r="CS27" s="276">
        <f>SUMIF('20Ф'!$H:$H,$B:$B,'20Ф'!AB:AB)*1.2</f>
        <v>0</v>
      </c>
      <c r="CT27" s="276">
        <f>SUMIF('20Ф'!$H:$H,$B:$B,'20Ф'!AC:AC)*1.2</f>
        <v>0</v>
      </c>
      <c r="CU27" s="276">
        <f>SUMIF('20Ф'!$H:$H,$B:$B,'20Ф'!AD:AD)*1.2</f>
        <v>0</v>
      </c>
      <c r="CV27" s="276">
        <f>SUMIF('20Ф'!$H:$H,$B:$B,'20Ф'!AE:AE)*1.2</f>
        <v>0</v>
      </c>
      <c r="CW27" s="276">
        <f>SUMIF('20Ф'!$H:$H,$B:$B,'20Ф'!AF:AF)*1.2</f>
        <v>0</v>
      </c>
      <c r="CX27" s="276">
        <f>SUMIF('20Ф'!$H:$H,$B:$B,'20Ф'!AG:AG)*1.2</f>
        <v>0</v>
      </c>
      <c r="CY27" s="276">
        <f>SUMIF('20Ф'!$H:$H,$B:$B,'20Ф'!AH:AH)*1.2</f>
        <v>0</v>
      </c>
      <c r="CZ27" s="276">
        <f>SUMIF('20Ф'!$H:$H,$B:$B,'20Ф'!AI:AI)*1.2</f>
        <v>0</v>
      </c>
      <c r="DA27" s="276">
        <f>SUMIF('20Ф'!$H:$H,$B:$B,'20Ф'!AJ:AJ)*1.2</f>
        <v>0</v>
      </c>
      <c r="DB27" s="276">
        <f>SUMIF('20Ф'!$H:$H,$B:$B,'20Ф'!AK:AK)*1.2</f>
        <v>0</v>
      </c>
      <c r="DC27" s="276">
        <f>SUMIF('20Ф'!$H:$H,$B:$B,'20Ф'!AL:AL)*1.2</f>
        <v>0</v>
      </c>
      <c r="DD27" s="276">
        <f>SUMIF('20Ф'!$H:$H,$B:$B,'20Ф'!AM:AM)*1.2</f>
        <v>0</v>
      </c>
      <c r="DE27" s="276">
        <f>SUMIF('20Ф'!$H:$H,$B:$B,'20Ф'!AN:AN)*1.2</f>
        <v>0</v>
      </c>
      <c r="DF27" s="276">
        <f>SUMIF('20Ф'!$H:$H,$B:$B,'20Ф'!AO:AO)*1.2</f>
        <v>0</v>
      </c>
      <c r="DG27" s="276">
        <f>SUMIF('20Ф'!$H:$H,$B:$B,'20Ф'!AP:AP)*1.2</f>
        <v>0</v>
      </c>
      <c r="DH27" s="276">
        <f>SUMIF('20Ф'!$H:$H,$B:$B,'20Ф'!AQ:AQ)*1.2</f>
        <v>0</v>
      </c>
      <c r="DI27" s="276">
        <f>SUMIF('20Ф'!$H:$H,$B:$B,'20Ф'!BA:BA)*1.2</f>
        <v>0</v>
      </c>
      <c r="DJ27" s="276">
        <f>SUMIF('20Ф'!$H:$H,$B:$B,'20Ф'!BB:BB)*1.2</f>
        <v>0</v>
      </c>
      <c r="DK27" s="276">
        <f>SUMIF('20Ф'!$H:$H,$B:$B,'20Ф'!BC:BC)*1.2</f>
        <v>0</v>
      </c>
      <c r="DL27" s="276">
        <f>$D27/$D$281*'20Ф'!$H$218</f>
        <v>33813.928723552628</v>
      </c>
      <c r="DM27" s="240">
        <f t="shared" si="1"/>
        <v>403296.10053640755</v>
      </c>
      <c r="DN27" s="276">
        <f>SUMIF('20Ф'!$H:$H,$B:$B,'20Ф'!AV:AV)*1.2</f>
        <v>0</v>
      </c>
      <c r="DO27" s="276">
        <f>SUMIF('20Ф'!$H:$H,$B:$B,'20Ф'!AW:AW)*1.2+$D27/$D$281*'26Ф'!$D$42</f>
        <v>17994.022518155933</v>
      </c>
      <c r="DP27" s="276">
        <f>SUMIF('20Ф'!$H:$H,$B:$B,'20Ф'!AX:AX)*1.2</f>
        <v>0</v>
      </c>
      <c r="DQ27" s="276">
        <f>SUMIF('20Ф'!$H:$H,$B:$B,'20Ф'!AY:AY)*1.2</f>
        <v>12800.003999999999</v>
      </c>
      <c r="DR27" s="276">
        <f>SUMIF('20Ф'!$H:$H,$B:$B,'20Ф'!AU:AU)*1.2</f>
        <v>0</v>
      </c>
      <c r="DS27" s="276">
        <f>SUMIF('20Ф'!$H:$H,$B:$B,'20Ф'!AS:AS)*1.2</f>
        <v>26757.3</v>
      </c>
      <c r="DT27" s="276">
        <f>SUMIF('20Ф'!$H:$H,$B:$B,'20Ф'!AR:AR)*1.2</f>
        <v>0</v>
      </c>
      <c r="DU27" s="276">
        <f>SUMIF('20Ф'!$H:$H,$B:$B,'20Ф'!X:X)*1.2</f>
        <v>28333.115999999998</v>
      </c>
      <c r="DV27" s="276">
        <f>SUMIF('20Ф'!$H:$H,$B:$B,'20Ф'!AA:AA)*1.2</f>
        <v>0</v>
      </c>
      <c r="DW27" s="276">
        <f>SUMIF('20Ф'!$H:$H,$B:$B,'20Ф'!N:N)*1.2</f>
        <v>0</v>
      </c>
      <c r="DX27" s="276">
        <f>$D27/$D$281*('25Ф'!$D$37)</f>
        <v>302457.00758637063</v>
      </c>
      <c r="DY27" s="276">
        <f>$D27/$D$281*'25Ф'!$D$30</f>
        <v>9653.4782154598852</v>
      </c>
      <c r="DZ27" s="276">
        <f>$D27/$D$281*'25Ф'!$D$31</f>
        <v>5301.1722164211296</v>
      </c>
      <c r="EA27" s="276"/>
      <c r="EB27" s="276">
        <f t="shared" si="2"/>
        <v>190552.66185991283</v>
      </c>
      <c r="EC27" s="276">
        <f>$D27/$D$281*'26Ф'!$D$36</f>
        <v>99188.797201083478</v>
      </c>
      <c r="ED27" s="276">
        <f>$D27/$D$281*'26Ф'!$D$37</f>
        <v>11917.428048009591</v>
      </c>
      <c r="EE27" s="276">
        <f>$D27/$D$281*'26Ф'!$D$38</f>
        <v>12039.652999554379</v>
      </c>
      <c r="EF27" s="276">
        <f>$D27/$D$281*'26Ф'!$D$39</f>
        <v>8445.805590880349</v>
      </c>
      <c r="EG27" s="276">
        <f>$D27/$D$281*'91Ф'!$D$10</f>
        <v>2605.5275122231328</v>
      </c>
      <c r="EH27" s="276">
        <f>$D27/$D$281*('20Ф'!$I$509+'26Ф'!$D$41+'20Ф'!$I$507)</f>
        <v>18433.249189380524</v>
      </c>
      <c r="EI27" s="276">
        <f>$D27/$D$281*'91Ф'!$D$31</f>
        <v>33790.853234259528</v>
      </c>
      <c r="EJ27" s="276">
        <f>$D27/$D$281*'20Ф'!$I$1316</f>
        <v>4131.3480845218328</v>
      </c>
      <c r="EK27" s="276">
        <f>$D27/$D$281*('20Ф'!$I$1105+'20Ф'!$I$1282+'91Ф'!$D$17+'91Ф'!$D$41)</f>
        <v>135678.07383120968</v>
      </c>
      <c r="EL27" s="276">
        <f>$D27/$D$281*отчёт!BX$294</f>
        <v>226812.36086277972</v>
      </c>
      <c r="EM27" s="276">
        <f>$D27/$D$281*отчёт!BY$294</f>
        <v>199469.29653587786</v>
      </c>
      <c r="EN27" s="276">
        <f>$D27/$D$283*отчёт!BZ$294</f>
        <v>35798.503435857754</v>
      </c>
      <c r="EO27" s="240">
        <f t="shared" si="9"/>
        <v>183055.68950099801</v>
      </c>
      <c r="EP27" s="276">
        <f>SUMIF('20Ф'!$H:$H,$B:$B,'20Ф'!T:T)*1.2</f>
        <v>5192.28</v>
      </c>
      <c r="EQ27" s="276">
        <f>SUM(H27:I27)/SUM($H$284:$I$284)*SUM('60Ф'!$O$155:$P$155)</f>
        <v>172510.26175648702</v>
      </c>
      <c r="ER27" s="276">
        <f>SUM($H27:$I27)/SUM($H$284:$I$284)*SUM('60Ф'!$P$227)</f>
        <v>5353.1477445109776</v>
      </c>
      <c r="ES27" s="239">
        <f t="shared" si="6"/>
        <v>75914.183565938903</v>
      </c>
      <c r="ET27" s="276">
        <f>$D27/$D$282*'20Ф'!$I$381</f>
        <v>5802.1937850571931</v>
      </c>
      <c r="EU27" s="276">
        <f>$D27/$D$282*('20Ф'!$I$75+'20Ф'!$I$1098)*1.2</f>
        <v>67017.913970254449</v>
      </c>
      <c r="EV27" s="276">
        <f>$D27/$D$282*('20Ф'!$I$1286)</f>
        <v>3094.0758106272515</v>
      </c>
      <c r="EW27" s="276">
        <f>SUMIF('91.1Ф'!$N:$N,$B:$B,'91.1Ф'!$F:$F)+$D27/$D$281*('91Ф'!$D$12+'91Ф'!$D$11+'91Ф'!$D$19+'91Ф'!$D$20)</f>
        <v>17881.706962849246</v>
      </c>
      <c r="EX27" s="276">
        <f t="shared" si="4"/>
        <v>15511.953917954559</v>
      </c>
      <c r="EY27" s="276">
        <f>SUMIF('20Ф'!$H:$H,$B:$B,'20Ф'!$AY:$AY)*1.2</f>
        <v>12800.003999999999</v>
      </c>
      <c r="EZ27" s="295">
        <f>D27/$D$286*'20Ф'!$I$1163</f>
        <v>2711.9499179545596</v>
      </c>
      <c r="FA27" s="277">
        <f>SUMIF(отчёт!$B:$B,$B:$B,отчёт!$CU:$CU)/отчёт!$CU$281*'20Ф'!$I$1341</f>
        <v>1841.9277108433701</v>
      </c>
      <c r="FB27" s="276">
        <f>SUMIF(Сальдо!$A:$A,$B:$B,Сальдо!$H:$H)-SUMIF(Сальдо!$A:$A,$B:$B,Сальдо!$I:$I)</f>
        <v>274092.43</v>
      </c>
    </row>
    <row r="28" spans="1:158" ht="12" customHeight="1" x14ac:dyDescent="0.25">
      <c r="A28" s="3">
        <f t="shared" si="7"/>
        <v>24</v>
      </c>
      <c r="B28" s="4" t="s">
        <v>72</v>
      </c>
      <c r="C28" s="4" t="s">
        <v>72</v>
      </c>
      <c r="D28" s="5">
        <v>8950.7999999999993</v>
      </c>
      <c r="E28" s="6">
        <v>8950.7999999999993</v>
      </c>
      <c r="F28" s="6">
        <v>0</v>
      </c>
      <c r="G28" s="6">
        <v>1174.4000000000001</v>
      </c>
      <c r="H28" s="5">
        <f>SUMIF(отчёт!$B:$B,$B:$B,отчёт!I:I)</f>
        <v>4</v>
      </c>
      <c r="I28" s="5">
        <f>SUMIF(отчёт!$B:$B,$B:$B,отчёт!J:J)</f>
        <v>0</v>
      </c>
      <c r="J28" s="3" t="s">
        <v>70</v>
      </c>
      <c r="K28" s="105">
        <v>1</v>
      </c>
      <c r="L28" s="105" t="s">
        <v>52</v>
      </c>
      <c r="M28" s="7">
        <v>44.8</v>
      </c>
      <c r="N28" s="8">
        <v>5.0999999999999996</v>
      </c>
      <c r="O28" s="8">
        <v>8.6300000000000008</v>
      </c>
      <c r="P28" s="8">
        <v>13.43</v>
      </c>
      <c r="Q28" s="8">
        <v>6.91</v>
      </c>
      <c r="R28" s="8">
        <v>3.15</v>
      </c>
      <c r="S28" s="8">
        <v>1.81</v>
      </c>
      <c r="T28" s="8">
        <v>5.77</v>
      </c>
      <c r="U28" s="8">
        <v>0</v>
      </c>
      <c r="V28" s="9">
        <v>40</v>
      </c>
      <c r="W28" s="9">
        <v>40</v>
      </c>
      <c r="X28" s="9">
        <v>2604.04</v>
      </c>
      <c r="Y28" s="8">
        <v>195.98199600000001</v>
      </c>
      <c r="Z28" s="9">
        <v>42.3</v>
      </c>
      <c r="AA28" s="9">
        <v>2604.04</v>
      </c>
      <c r="AB28" s="8">
        <v>0</v>
      </c>
      <c r="AC28" s="10">
        <v>0</v>
      </c>
      <c r="AD28" s="8">
        <v>5.05</v>
      </c>
      <c r="AE28" s="8">
        <v>10.67</v>
      </c>
      <c r="AF28" s="8">
        <v>14</v>
      </c>
      <c r="AG28" s="7">
        <v>2405975.04</v>
      </c>
      <c r="AH28" s="8">
        <v>273894.48</v>
      </c>
      <c r="AI28" s="8">
        <v>463472.424</v>
      </c>
      <c r="AJ28" s="8">
        <v>721255.46399999992</v>
      </c>
      <c r="AK28" s="8">
        <v>371100.16800000001</v>
      </c>
      <c r="AL28" s="8">
        <v>169170.12</v>
      </c>
      <c r="AM28" s="8">
        <v>97205.687999999995</v>
      </c>
      <c r="AN28" s="8">
        <v>309876.696</v>
      </c>
      <c r="AO28" s="8">
        <v>0</v>
      </c>
      <c r="AQ28" s="104">
        <v>48.16</v>
      </c>
      <c r="AR28" s="370">
        <v>18.649999999999999</v>
      </c>
      <c r="AS28" s="370"/>
      <c r="AT28" s="104">
        <v>7.16</v>
      </c>
      <c r="AU28" s="104">
        <v>1.53</v>
      </c>
      <c r="AV28" s="104">
        <v>0.32</v>
      </c>
      <c r="AW28" s="104">
        <v>0.87</v>
      </c>
      <c r="AX28" s="104">
        <v>5.01</v>
      </c>
      <c r="AY28" s="104">
        <v>4.99</v>
      </c>
      <c r="AZ28" s="104">
        <v>2.7</v>
      </c>
      <c r="BA28" s="104">
        <v>6.46</v>
      </c>
      <c r="BB28" s="104">
        <v>0.47</v>
      </c>
      <c r="BC28" s="101">
        <v>0</v>
      </c>
      <c r="BD28" s="104">
        <v>54.565279999999994</v>
      </c>
      <c r="BE28" s="370">
        <v>21.130449999999996</v>
      </c>
      <c r="BF28" s="370">
        <v>0</v>
      </c>
      <c r="BG28" s="104">
        <v>8.1122800000000002</v>
      </c>
      <c r="BH28" s="104">
        <v>1.7334900000000002</v>
      </c>
      <c r="BI28" s="104">
        <v>0.36255999999999999</v>
      </c>
      <c r="BJ28" s="104">
        <v>0.98570999999999998</v>
      </c>
      <c r="BK28" s="104">
        <v>5.6763299999999992</v>
      </c>
      <c r="BL28" s="104">
        <v>5.6536700000000009</v>
      </c>
      <c r="BM28" s="104">
        <v>3.0591000000000004</v>
      </c>
      <c r="BN28" s="104">
        <v>7.3191800000000002</v>
      </c>
      <c r="BO28" s="104">
        <v>0.53250999999999993</v>
      </c>
      <c r="BP28" s="101">
        <v>0</v>
      </c>
      <c r="BQ28" s="103">
        <v>5746170.1382400002</v>
      </c>
      <c r="BR28" s="371">
        <v>2225209.1585999997</v>
      </c>
      <c r="BS28" s="371">
        <v>0</v>
      </c>
      <c r="BT28" s="103">
        <v>854289.41423999995</v>
      </c>
      <c r="BU28" s="103">
        <v>182550.67091999998</v>
      </c>
      <c r="BV28" s="103">
        <v>38180.532479999994</v>
      </c>
      <c r="BW28" s="103">
        <v>103803.32267999998</v>
      </c>
      <c r="BX28" s="103">
        <v>597763.96163999988</v>
      </c>
      <c r="BY28" s="103">
        <v>595377.67836000014</v>
      </c>
      <c r="BZ28" s="103">
        <v>322148.24280000001</v>
      </c>
      <c r="CA28" s="103">
        <v>770769.49943999993</v>
      </c>
      <c r="CB28" s="103">
        <v>56077.657079999983</v>
      </c>
      <c r="CC28" s="103">
        <v>0</v>
      </c>
      <c r="CD28" s="1">
        <v>1</v>
      </c>
      <c r="CF28" s="277">
        <f>SUMIF(Оборот!$A:$A,$B:$B,Оборот!H:H)</f>
        <v>4931346.1399999997</v>
      </c>
      <c r="CG28" s="277">
        <f>SUMIF(Оборот!$A:$A,$B:$B,Оборот!I:I)</f>
        <v>4982084.6500000004</v>
      </c>
      <c r="CH28" s="277">
        <f t="shared" si="0"/>
        <v>3737845.8536937912</v>
      </c>
      <c r="CI28" s="239">
        <f t="shared" si="5"/>
        <v>458636.10325147014</v>
      </c>
      <c r="CJ28" s="276">
        <f>SUMIF('20Ф'!$H:$H,$B:$B,'20Ф'!M:M)*1.2</f>
        <v>354296.06399999995</v>
      </c>
      <c r="CK28" s="276">
        <f>SUMIF('20Ф'!$H:$H,$B:$B,'20Ф'!O:O)*1.2</f>
        <v>25614.756000000001</v>
      </c>
      <c r="CL28" s="276">
        <f>SUMIF('20Ф'!$H:$H,$B:$B,'20Ф'!Q:Q)*1.2</f>
        <v>0</v>
      </c>
      <c r="CM28" s="276">
        <f>SUMIF('20Ф'!$H:$H,$B:$B,'20Ф'!R:R)*1.2</f>
        <v>0</v>
      </c>
      <c r="CN28" s="276">
        <f>SUMIF('20Ф'!$H:$H,$B:$B,'20Ф'!S:S)*1.2</f>
        <v>0</v>
      </c>
      <c r="CO28" s="276">
        <f>SUMIF('20Ф'!$H:$H,$B:$B,'20Ф'!W:W)*1.2</f>
        <v>0</v>
      </c>
      <c r="CP28" s="276">
        <f>SUMIF('20Ф'!$H:$H,$B:$B,'20Ф'!P:P)*1.2</f>
        <v>0</v>
      </c>
      <c r="CQ28" s="276">
        <f>SUMIF('20Ф'!$H:$H,$B:$B,'20Ф'!Y:Y)*1.2</f>
        <v>0</v>
      </c>
      <c r="CR28" s="276">
        <f>SUMIF('20Ф'!$H:$H,$B:$B,'20Ф'!Z:Z)*1.2</f>
        <v>0</v>
      </c>
      <c r="CS28" s="276">
        <f>SUMIF('20Ф'!$H:$H,$B:$B,'20Ф'!AB:AB)*1.2</f>
        <v>0</v>
      </c>
      <c r="CT28" s="276">
        <f>SUMIF('20Ф'!$H:$H,$B:$B,'20Ф'!AC:AC)*1.2</f>
        <v>0</v>
      </c>
      <c r="CU28" s="276">
        <f>SUMIF('20Ф'!$H:$H,$B:$B,'20Ф'!AD:AD)*1.2</f>
        <v>0</v>
      </c>
      <c r="CV28" s="276">
        <f>SUMIF('20Ф'!$H:$H,$B:$B,'20Ф'!AE:AE)*1.2</f>
        <v>0</v>
      </c>
      <c r="CW28" s="276">
        <f>SUMIF('20Ф'!$H:$H,$B:$B,'20Ф'!AF:AF)*1.2</f>
        <v>0</v>
      </c>
      <c r="CX28" s="276">
        <f>SUMIF('20Ф'!$H:$H,$B:$B,'20Ф'!AG:AG)*1.2</f>
        <v>0</v>
      </c>
      <c r="CY28" s="276">
        <f>SUMIF('20Ф'!$H:$H,$B:$B,'20Ф'!AH:AH)*1.2</f>
        <v>0</v>
      </c>
      <c r="CZ28" s="276">
        <f>SUMIF('20Ф'!$H:$H,$B:$B,'20Ф'!AI:AI)*1.2</f>
        <v>0</v>
      </c>
      <c r="DA28" s="276">
        <f>SUMIF('20Ф'!$H:$H,$B:$B,'20Ф'!AJ:AJ)*1.2</f>
        <v>0</v>
      </c>
      <c r="DB28" s="276">
        <f>SUMIF('20Ф'!$H:$H,$B:$B,'20Ф'!AK:AK)*1.2</f>
        <v>0</v>
      </c>
      <c r="DC28" s="276">
        <f>SUMIF('20Ф'!$H:$H,$B:$B,'20Ф'!AL:AL)*1.2</f>
        <v>0</v>
      </c>
      <c r="DD28" s="276">
        <f>SUMIF('20Ф'!$H:$H,$B:$B,'20Ф'!AM:AM)*1.2</f>
        <v>0</v>
      </c>
      <c r="DE28" s="276">
        <f>SUMIF('20Ф'!$H:$H,$B:$B,'20Ф'!AN:AN)*1.2</f>
        <v>0</v>
      </c>
      <c r="DF28" s="276">
        <f>SUMIF('20Ф'!$H:$H,$B:$B,'20Ф'!AO:AO)*1.2</f>
        <v>0</v>
      </c>
      <c r="DG28" s="276">
        <f>SUMIF('20Ф'!$H:$H,$B:$B,'20Ф'!AP:AP)*1.2</f>
        <v>0</v>
      </c>
      <c r="DH28" s="276">
        <f>SUMIF('20Ф'!$H:$H,$B:$B,'20Ф'!AQ:AQ)*1.2</f>
        <v>0</v>
      </c>
      <c r="DI28" s="276">
        <f>SUMIF('20Ф'!$H:$H,$B:$B,'20Ф'!BA:BA)*1.2</f>
        <v>0</v>
      </c>
      <c r="DJ28" s="276">
        <f>SUMIF('20Ф'!$H:$H,$B:$B,'20Ф'!BB:BB)*1.2</f>
        <v>0</v>
      </c>
      <c r="DK28" s="276">
        <f>SUMIF('20Ф'!$H:$H,$B:$B,'20Ф'!BC:BC)*1.2</f>
        <v>0</v>
      </c>
      <c r="DL28" s="276">
        <f>$D28/$D$281*'20Ф'!$H$218</f>
        <v>78725.283251470217</v>
      </c>
      <c r="DM28" s="240">
        <f t="shared" si="1"/>
        <v>858838.45810353826</v>
      </c>
      <c r="DN28" s="276">
        <f>SUMIF('20Ф'!$H:$H,$B:$B,'20Ф'!AV:AV)*1.2</f>
        <v>0</v>
      </c>
      <c r="DO28" s="276">
        <f>SUMIF('20Ф'!$H:$H,$B:$B,'20Ф'!AW:AW)*1.2+$D28/$D$281*'26Ф'!$D$42</f>
        <v>41893.520600830292</v>
      </c>
      <c r="DP28" s="276">
        <f>SUMIF('20Ф'!$H:$H,$B:$B,'20Ф'!AX:AX)*1.2</f>
        <v>0</v>
      </c>
      <c r="DQ28" s="276">
        <f>SUMIF('20Ф'!$H:$H,$B:$B,'20Ф'!AY:AY)*1.2</f>
        <v>0</v>
      </c>
      <c r="DR28" s="276">
        <f>SUMIF('20Ф'!$H:$H,$B:$B,'20Ф'!AU:AU)*1.2</f>
        <v>0</v>
      </c>
      <c r="DS28" s="276">
        <f>SUMIF('20Ф'!$H:$H,$B:$B,'20Ф'!AS:AS)*1.2</f>
        <v>77949.983999999997</v>
      </c>
      <c r="DT28" s="276">
        <f>SUMIF('20Ф'!$H:$H,$B:$B,'20Ф'!AR:AR)*1.2</f>
        <v>0</v>
      </c>
      <c r="DU28" s="276">
        <f>SUMIF('20Ф'!$H:$H,$B:$B,'20Ф'!X:X)*1.2</f>
        <v>0</v>
      </c>
      <c r="DV28" s="276">
        <f>SUMIF('20Ф'!$H:$H,$B:$B,'20Ф'!AA:AA)*1.2</f>
        <v>0</v>
      </c>
      <c r="DW28" s="276">
        <f>SUMIF('20Ф'!$H:$H,$B:$B,'20Ф'!N:N)*1.2</f>
        <v>0</v>
      </c>
      <c r="DX28" s="276">
        <f>$D28/$D$281*('25Ф'!$D$37)</f>
        <v>704177.67152397963</v>
      </c>
      <c r="DY28" s="276">
        <f>$D28/$D$281*'25Ф'!$D$30</f>
        <v>22475.140735262394</v>
      </c>
      <c r="DZ28" s="276">
        <f>$D28/$D$281*'25Ф'!$D$31</f>
        <v>12342.141243465974</v>
      </c>
      <c r="EA28" s="276"/>
      <c r="EB28" s="276">
        <f t="shared" si="2"/>
        <v>443642.9851700227</v>
      </c>
      <c r="EC28" s="276">
        <f>$D28/$D$281*'26Ф'!$D$36</f>
        <v>230930.46119745658</v>
      </c>
      <c r="ED28" s="276">
        <f>$D28/$D$281*'26Ф'!$D$37</f>
        <v>27746.048274333723</v>
      </c>
      <c r="EE28" s="276">
        <f>$D28/$D$281*'26Ф'!$D$38</f>
        <v>28030.611301878595</v>
      </c>
      <c r="EF28" s="276">
        <f>$D28/$D$281*'26Ф'!$D$39</f>
        <v>19663.448245390675</v>
      </c>
      <c r="EG28" s="276">
        <f>$D28/$D$281*'91Ф'!$D$10</f>
        <v>6066.165605784533</v>
      </c>
      <c r="EH28" s="276">
        <f>$D28/$D$281*('20Ф'!$I$509+'26Ф'!$D$41+'20Ф'!$I$507)</f>
        <v>42916.124167143229</v>
      </c>
      <c r="EI28" s="276">
        <f>$D28/$D$281*'91Ф'!$D$31</f>
        <v>78671.559105849112</v>
      </c>
      <c r="EJ28" s="276">
        <f>$D28/$D$281*'20Ф'!$I$1316</f>
        <v>9618.5672721861993</v>
      </c>
      <c r="EK28" s="276">
        <f>$D28/$D$281*('20Ф'!$I$1105+'20Ф'!$I$1282+'91Ф'!$D$17+'91Ф'!$D$41)</f>
        <v>315884.46526581695</v>
      </c>
      <c r="EL28" s="276">
        <f>$D28/$D$281*отчёт!BX$294</f>
        <v>528062.488681469</v>
      </c>
      <c r="EM28" s="276">
        <f>$D28/$D$281*отчёт!BY$294</f>
        <v>464402.61343605985</v>
      </c>
      <c r="EN28" s="276">
        <f>$D28/$D$283*отчёт!BZ$294</f>
        <v>83345.752160517804</v>
      </c>
      <c r="EO28" s="240">
        <f t="shared" si="9"/>
        <v>366658.24300199596</v>
      </c>
      <c r="EP28" s="276">
        <f>SUMIF('20Ф'!$H:$H,$B:$B,'20Ф'!T:T)*1.2</f>
        <v>10931.424000000001</v>
      </c>
      <c r="EQ28" s="276">
        <f>SUM(H28:I28)/SUM($H$284:$I$284)*SUM('60Ф'!$O$155:$P$155)</f>
        <v>345020.52351297403</v>
      </c>
      <c r="ER28" s="276">
        <f>SUM($H28:$I28)/SUM($H$284:$I$284)*SUM('60Ф'!$P$227)</f>
        <v>10706.295489021955</v>
      </c>
      <c r="ES28" s="239">
        <f t="shared" si="6"/>
        <v>176742.71608285166</v>
      </c>
      <c r="ET28" s="276">
        <f>$D28/$D$282*'20Ф'!$I$381</f>
        <v>13508.615131443874</v>
      </c>
      <c r="EU28" s="276">
        <f>$D28/$D$282*('20Ф'!$I$75+'20Ф'!$I$1098)*1.2</f>
        <v>156030.50161266877</v>
      </c>
      <c r="EV28" s="276">
        <f>$D28/$D$282*('20Ф'!$I$1286)</f>
        <v>7203.599338739039</v>
      </c>
      <c r="EW28" s="276">
        <f>SUMIF('91.1Ф'!$N:$N,$B:$B,'91.1Ф'!$F:$F)+$D28/$D$281*('91Ф'!$D$12+'91Ф'!$D$11+'91Ф'!$D$19+'91Ф'!$D$20)</f>
        <v>41632.028540048072</v>
      </c>
      <c r="EX28" s="276">
        <f t="shared" si="4"/>
        <v>0</v>
      </c>
      <c r="EY28" s="276">
        <f>SUMIF('20Ф'!$H:$H,$B:$B,'20Ф'!$AY:$AY)*1.2</f>
        <v>0</v>
      </c>
      <c r="EZ28" s="236"/>
      <c r="FA28" s="277">
        <f>SUMIF(отчёт!$B:$B,$B:$B,отчёт!$CU:$CU)/отчёт!$CU$281*'20Ф'!$I$1341</f>
        <v>3683.8554216867401</v>
      </c>
      <c r="FB28" s="276">
        <f>SUMIF(Сальдо!$A:$A,$B:$B,Сальдо!$H:$H)-SUMIF(Сальдо!$A:$A,$B:$B,Сальдо!$I:$I)</f>
        <v>548116</v>
      </c>
    </row>
    <row r="29" spans="1:158" ht="12" customHeight="1" x14ac:dyDescent="0.25">
      <c r="A29" s="3">
        <f t="shared" si="7"/>
        <v>25</v>
      </c>
      <c r="B29" s="4" t="s">
        <v>880</v>
      </c>
      <c r="C29" s="4"/>
      <c r="D29" s="5">
        <f>SUMIF(отчёт!$B:$B,$B:$B,отчёт!C:C)</f>
        <v>3811.9</v>
      </c>
      <c r="E29" s="5">
        <f>SUMIF(отчёт!$B:$B,$B:$B,отчёт!D:D)</f>
        <v>3811.9</v>
      </c>
      <c r="F29" s="5">
        <f>SUMIF(отчёт!$B:$B,$B:$B,отчёт!E:E)</f>
        <v>0</v>
      </c>
      <c r="G29" s="5">
        <f>SUMIF(отчёт!$B:$B,$B:$B,отчёт!F:F)</f>
        <v>523.44000000000005</v>
      </c>
      <c r="H29" s="5">
        <f>SUMIF(отчёт!$B:$B,$B:$B,отчёт!I:I)</f>
        <v>1</v>
      </c>
      <c r="I29" s="5">
        <f>SUMIF(отчёт!$B:$B,$B:$B,отчёт!J:J)</f>
        <v>1</v>
      </c>
      <c r="J29" s="3"/>
      <c r="K29" s="105"/>
      <c r="L29" s="105"/>
      <c r="M29" s="7"/>
      <c r="N29" s="8"/>
      <c r="O29" s="8"/>
      <c r="P29" s="8"/>
      <c r="Q29" s="8"/>
      <c r="R29" s="8"/>
      <c r="S29" s="8"/>
      <c r="T29" s="8"/>
      <c r="U29" s="8"/>
      <c r="V29" s="9"/>
      <c r="W29" s="9"/>
      <c r="X29" s="9"/>
      <c r="Y29" s="8"/>
      <c r="Z29" s="9"/>
      <c r="AA29" s="9"/>
      <c r="AB29" s="8"/>
      <c r="AC29" s="10"/>
      <c r="AD29" s="8"/>
      <c r="AE29" s="8"/>
      <c r="AF29" s="8"/>
      <c r="AG29" s="7"/>
      <c r="AH29" s="8"/>
      <c r="AI29" s="8"/>
      <c r="AJ29" s="8"/>
      <c r="AK29" s="8"/>
      <c r="AL29" s="8"/>
      <c r="AM29" s="8"/>
      <c r="AN29" s="8"/>
      <c r="AO29" s="8"/>
      <c r="AQ29" s="104">
        <v>48.44</v>
      </c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275">
        <v>0.93</v>
      </c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1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F29" s="277">
        <f>SUMIF(Оборот!$A:$A,$B:$B,Оборот!H:H)</f>
        <v>1305348.44</v>
      </c>
      <c r="CG29" s="277">
        <f>SUMIF(Оборот!$A:$A,$B:$B,Оборот!I:I)</f>
        <v>1499938.4499999997</v>
      </c>
      <c r="CH29" s="277">
        <f t="shared" si="0"/>
        <v>1515874.8341840119</v>
      </c>
      <c r="CI29" s="239">
        <f t="shared" si="5"/>
        <v>116449.81694711972</v>
      </c>
      <c r="CJ29" s="276">
        <f>SUMIF('20Ф'!$H:$H,$B:$B,'20Ф'!M:M)*1.2</f>
        <v>0</v>
      </c>
      <c r="CK29" s="276">
        <f>SUMIF('20Ф'!$H:$H,$B:$B,'20Ф'!O:O)*1.2</f>
        <v>0</v>
      </c>
      <c r="CL29" s="276">
        <f>SUMIF('20Ф'!$H:$H,$B:$B,'20Ф'!Q:Q)*1.2</f>
        <v>0</v>
      </c>
      <c r="CM29" s="276">
        <f>SUMIF('20Ф'!$H:$H,$B:$B,'20Ф'!R:R)*1.2</f>
        <v>0</v>
      </c>
      <c r="CN29" s="276">
        <f>SUMIF('20Ф'!$H:$H,$B:$B,'20Ф'!S:S)*1.2</f>
        <v>0</v>
      </c>
      <c r="CO29" s="276">
        <f>SUMIF('20Ф'!$H:$H,$B:$B,'20Ф'!W:W)*1.2</f>
        <v>0</v>
      </c>
      <c r="CP29" s="276">
        <f>SUMIF('20Ф'!$H:$H,$B:$B,'20Ф'!P:P)*1.2</f>
        <v>0</v>
      </c>
      <c r="CQ29" s="276">
        <f>SUMIF('20Ф'!$H:$H,$B:$B,'20Ф'!Y:Y)*1.2</f>
        <v>0</v>
      </c>
      <c r="CR29" s="276">
        <f>SUMIF('20Ф'!$H:$H,$B:$B,'20Ф'!Z:Z)*1.2</f>
        <v>0</v>
      </c>
      <c r="CS29" s="276">
        <f>SUMIF('20Ф'!$H:$H,$B:$B,'20Ф'!AB:AB)*1.2</f>
        <v>0</v>
      </c>
      <c r="CT29" s="276">
        <f>SUMIF('20Ф'!$H:$H,$B:$B,'20Ф'!AC:AC)*1.2</f>
        <v>0</v>
      </c>
      <c r="CU29" s="276">
        <f>SUMIF('20Ф'!$H:$H,$B:$B,'20Ф'!AD:AD)*1.2</f>
        <v>0</v>
      </c>
      <c r="CV29" s="276">
        <f>SUMIF('20Ф'!$H:$H,$B:$B,'20Ф'!AE:AE)*1.2</f>
        <v>0</v>
      </c>
      <c r="CW29" s="276">
        <f>SUMIF('20Ф'!$H:$H,$B:$B,'20Ф'!AF:AF)*1.2</f>
        <v>0</v>
      </c>
      <c r="CX29" s="276">
        <f>SUMIF('20Ф'!$H:$H,$B:$B,'20Ф'!AG:AG)*1.2</f>
        <v>0</v>
      </c>
      <c r="CY29" s="276">
        <f>SUMIF('20Ф'!$H:$H,$B:$B,'20Ф'!AH:AH)*1.2</f>
        <v>0</v>
      </c>
      <c r="CZ29" s="276">
        <f>SUMIF('20Ф'!$H:$H,$B:$B,'20Ф'!AI:AI)*1.2</f>
        <v>82922.87999999999</v>
      </c>
      <c r="DA29" s="276">
        <f>SUMIF('20Ф'!$H:$H,$B:$B,'20Ф'!AJ:AJ)*1.2</f>
        <v>0</v>
      </c>
      <c r="DB29" s="276">
        <f>SUMIF('20Ф'!$H:$H,$B:$B,'20Ф'!AK:AK)*1.2</f>
        <v>0</v>
      </c>
      <c r="DC29" s="276">
        <f>SUMIF('20Ф'!$H:$H,$B:$B,'20Ф'!AL:AL)*1.2</f>
        <v>0</v>
      </c>
      <c r="DD29" s="276">
        <f>SUMIF('20Ф'!$H:$H,$B:$B,'20Ф'!AM:AM)*1.2</f>
        <v>0</v>
      </c>
      <c r="DE29" s="276">
        <f>SUMIF('20Ф'!$H:$H,$B:$B,'20Ф'!AN:AN)*1.2</f>
        <v>0</v>
      </c>
      <c r="DF29" s="276">
        <f>SUMIF('20Ф'!$H:$H,$B:$B,'20Ф'!AO:AO)*1.2</f>
        <v>0</v>
      </c>
      <c r="DG29" s="276">
        <f>SUMIF('20Ф'!$H:$H,$B:$B,'20Ф'!AP:AP)*1.2</f>
        <v>0</v>
      </c>
      <c r="DH29" s="276">
        <f>SUMIF('20Ф'!$H:$H,$B:$B,'20Ф'!AQ:AQ)*1.2</f>
        <v>0</v>
      </c>
      <c r="DI29" s="276">
        <f>SUMIF('20Ф'!$H:$H,$B:$B,'20Ф'!BA:BA)*1.2</f>
        <v>0</v>
      </c>
      <c r="DJ29" s="276">
        <f>SUMIF('20Ф'!$H:$H,$B:$B,'20Ф'!BB:BB)*1.2</f>
        <v>0</v>
      </c>
      <c r="DK29" s="276">
        <f>SUMIF('20Ф'!$H:$H,$B:$B,'20Ф'!BC:BC)*1.2</f>
        <v>0</v>
      </c>
      <c r="DL29" s="276">
        <f>$D29/$D$281*'20Ф'!$H$218</f>
        <v>33526.936947119735</v>
      </c>
      <c r="DM29" s="240">
        <f t="shared" si="1"/>
        <v>452779.64394012588</v>
      </c>
      <c r="DN29" s="276">
        <f>SUMIF('20Ф'!$H:$H,$B:$B,'20Ф'!AV:AV)*1.2</f>
        <v>0</v>
      </c>
      <c r="DO29" s="276">
        <f>SUMIF('20Ф'!$H:$H,$B:$B,'20Ф'!AW:AW)*1.2+$D29/$D$281*'26Ф'!$D$42</f>
        <v>17841.300350617264</v>
      </c>
      <c r="DP29" s="276">
        <f>SUMIF('20Ф'!$H:$H,$B:$B,'20Ф'!AX:AX)*1.2</f>
        <v>0</v>
      </c>
      <c r="DQ29" s="276">
        <f>SUMIF('20Ф'!$H:$H,$B:$B,'20Ф'!AY:AY)*1.2</f>
        <v>0</v>
      </c>
      <c r="DR29" s="276">
        <f>SUMIF('20Ф'!$H:$H,$B:$B,'20Ф'!AU:AU)*1.2</f>
        <v>0</v>
      </c>
      <c r="DS29" s="276">
        <f>SUMIF('20Ф'!$H:$H,$B:$B,'20Ф'!AS:AS)*1.2</f>
        <v>0</v>
      </c>
      <c r="DT29" s="276">
        <f>SUMIF('20Ф'!$H:$H,$B:$B,'20Ф'!AR:AR)*1.2</f>
        <v>120220.68000000001</v>
      </c>
      <c r="DU29" s="276">
        <f>SUMIF('20Ф'!$H:$H,$B:$B,'20Ф'!X:X)*1.2</f>
        <v>0</v>
      </c>
      <c r="DV29" s="276">
        <f>SUMIF('20Ф'!$H:$H,$B:$B,'20Ф'!AA:AA)*1.2</f>
        <v>0</v>
      </c>
      <c r="DW29" s="276">
        <f>SUMIF('20Ф'!$H:$H,$B:$B,'20Ф'!N:N)*1.2</f>
        <v>0</v>
      </c>
      <c r="DX29" s="276">
        <f>$D29/$D$281*('25Ф'!$D$37)</f>
        <v>299889.93900905602</v>
      </c>
      <c r="DY29" s="276">
        <f>$D29/$D$281*'25Ф'!$D$30</f>
        <v>9571.5454449598619</v>
      </c>
      <c r="DZ29" s="276">
        <f>$D29/$D$281*'25Ф'!$D$31</f>
        <v>5256.1791354926881</v>
      </c>
      <c r="EA29" s="276"/>
      <c r="EB29" s="276">
        <f t="shared" si="2"/>
        <v>188935.36836591249</v>
      </c>
      <c r="EC29" s="276">
        <f>$D29/$D$281*'26Ф'!$D$36</f>
        <v>98346.943852905315</v>
      </c>
      <c r="ED29" s="276">
        <f>$D29/$D$281*'26Ф'!$D$37</f>
        <v>11816.280267342889</v>
      </c>
      <c r="EE29" s="276">
        <f>$D29/$D$281*'26Ф'!$D$38</f>
        <v>11937.467848866138</v>
      </c>
      <c r="EF29" s="276">
        <f>$D29/$D$281*'26Ф'!$D$39</f>
        <v>8374.1228009345214</v>
      </c>
      <c r="EG29" s="276">
        <f>$D29/$D$281*'91Ф'!$D$10</f>
        <v>2583.4134013373177</v>
      </c>
      <c r="EH29" s="276">
        <f>$D29/$D$281*('20Ф'!$I$509+'26Ф'!$D$41+'20Ф'!$I$507)</f>
        <v>18276.799136695412</v>
      </c>
      <c r="EI29" s="276">
        <f>$D29/$D$281*'91Ф'!$D$31</f>
        <v>33504.057308350792</v>
      </c>
      <c r="EJ29" s="276">
        <f>$D29/$D$281*'20Ф'!$I$1316</f>
        <v>4096.2837494801115</v>
      </c>
      <c r="EK29" s="276">
        <f>$D29/$D$281*('20Ф'!$I$1105+'20Ф'!$I$1282+'91Ф'!$D$17+'91Ф'!$D$41)</f>
        <v>134526.52200325867</v>
      </c>
      <c r="EL29" s="276">
        <f>$D29/$D$281*отчёт!BX$294*9/12</f>
        <v>168665.48805175727</v>
      </c>
      <c r="EM29" s="276">
        <f>$D29/$D$281*отчёт!BY$294*9/12</f>
        <v>148332.24310873749</v>
      </c>
      <c r="EN29" s="276">
        <f>$D29/$D$283*отчёт!BZ$294*9/12</f>
        <v>26621.000859756492</v>
      </c>
      <c r="EO29" s="240">
        <f t="shared" si="9"/>
        <v>183876.00950099801</v>
      </c>
      <c r="EP29" s="276">
        <f>SUMIF('20Ф'!$H:$H,$B:$B,'20Ф'!T:T)*1.2</f>
        <v>6012.5999999999995</v>
      </c>
      <c r="EQ29" s="276">
        <f>SUM(H29:I29)/SUM($H$284:$I$284)*SUM('60Ф'!$O$155:$P$155)</f>
        <v>172510.26175648702</v>
      </c>
      <c r="ER29" s="276">
        <f>SUM($H29:$I29)/SUM($H$284:$I$284)*SUM('60Ф'!$P$227)</f>
        <v>5353.1477445109776</v>
      </c>
      <c r="ES29" s="239">
        <f t="shared" si="6"/>
        <v>75269.870786546744</v>
      </c>
      <c r="ET29" s="276">
        <f>$D29/$D$282*'20Ф'!$I$381</f>
        <v>5752.9483419974649</v>
      </c>
      <c r="EU29" s="276">
        <f>$D29/$D$282*('20Ф'!$I$75+'20Ф'!$I$1098)*1.2</f>
        <v>66449.107241512742</v>
      </c>
      <c r="EV29" s="276">
        <f>$D29/$D$282*('20Ф'!$I$1286)</f>
        <v>3067.8152030365272</v>
      </c>
      <c r="EW29" s="276">
        <f>SUMIF('91.1Ф'!$N:$N,$B:$B,'91.1Ф'!$F:$F)+$D29/$D$281*('91Ф'!$D$12+'91Ф'!$D$11+'91Ф'!$D$19+'91Ф'!$D$20)</f>
        <v>17729.938060487246</v>
      </c>
      <c r="EX29" s="276">
        <f t="shared" si="4"/>
        <v>2688.9325593117978</v>
      </c>
      <c r="EY29" s="276">
        <f>SUMIF('20Ф'!$H:$H,$B:$B,'20Ф'!$AY:$AY)*1.2</f>
        <v>0</v>
      </c>
      <c r="EZ29" s="295">
        <f>D29/$D$286*'20Ф'!$I$1163</f>
        <v>2688.9325593117978</v>
      </c>
      <c r="FA29" s="277">
        <f>SUMIF(отчёт!$B:$B,$B:$B,отчёт!$CU:$CU)/отчёт!$CU$281*'20Ф'!$I$1341</f>
        <v>0</v>
      </c>
      <c r="FB29" s="276">
        <f>SUMIF(Сальдо!$A:$A,$B:$B,Сальдо!$H:$H)-SUMIF(Сальдо!$A:$A,$B:$B,Сальдо!$I:$I)</f>
        <v>47266.16</v>
      </c>
    </row>
    <row r="30" spans="1:158" ht="12" customHeight="1" x14ac:dyDescent="0.25">
      <c r="A30" s="3">
        <f t="shared" si="7"/>
        <v>26</v>
      </c>
      <c r="B30" s="4" t="s">
        <v>73</v>
      </c>
      <c r="C30" s="4" t="s">
        <v>73</v>
      </c>
      <c r="D30" s="5">
        <v>3817.2000000000003</v>
      </c>
      <c r="E30" s="6">
        <v>3785.3</v>
      </c>
      <c r="F30" s="6">
        <v>31.9</v>
      </c>
      <c r="G30" s="6">
        <v>524.16</v>
      </c>
      <c r="H30" s="5">
        <f>SUMIF(отчёт!$B:$B,$B:$B,отчёт!I:I)</f>
        <v>1</v>
      </c>
      <c r="I30" s="5">
        <f>SUMIF(отчёт!$B:$B,$B:$B,отчёт!J:J)</f>
        <v>1</v>
      </c>
      <c r="J30" s="3" t="s">
        <v>74</v>
      </c>
      <c r="K30" s="105">
        <v>3</v>
      </c>
      <c r="L30" s="105" t="s">
        <v>75</v>
      </c>
      <c r="M30" s="12">
        <v>36.75</v>
      </c>
      <c r="N30" s="8">
        <v>4.0199999999999996</v>
      </c>
      <c r="O30" s="8">
        <v>7</v>
      </c>
      <c r="P30" s="8">
        <v>11</v>
      </c>
      <c r="Q30" s="8">
        <v>5.4</v>
      </c>
      <c r="R30" s="8">
        <v>2.67</v>
      </c>
      <c r="S30" s="8">
        <v>1.54</v>
      </c>
      <c r="T30" s="8">
        <v>4.9000000000000004</v>
      </c>
      <c r="U30" s="8">
        <v>0.22</v>
      </c>
      <c r="V30" s="9">
        <v>40</v>
      </c>
      <c r="W30" s="9">
        <v>40</v>
      </c>
      <c r="X30" s="9">
        <v>2604.04</v>
      </c>
      <c r="Y30" s="8">
        <v>195.98199600000001</v>
      </c>
      <c r="Z30" s="9">
        <v>42.3</v>
      </c>
      <c r="AA30" s="9">
        <v>2604.04</v>
      </c>
      <c r="AB30" s="8">
        <v>7.85</v>
      </c>
      <c r="AC30" s="10">
        <v>0</v>
      </c>
      <c r="AD30" s="8">
        <v>6.73</v>
      </c>
      <c r="AE30" s="8">
        <v>10.67</v>
      </c>
      <c r="AF30" s="8">
        <v>14</v>
      </c>
      <c r="AG30" s="7">
        <v>841692.60000000009</v>
      </c>
      <c r="AH30" s="8">
        <v>92070.864000000001</v>
      </c>
      <c r="AI30" s="8">
        <v>160322.40000000002</v>
      </c>
      <c r="AJ30" s="8">
        <v>251935.2</v>
      </c>
      <c r="AK30" s="8">
        <v>123677.28</v>
      </c>
      <c r="AL30" s="8">
        <v>61151.544000000009</v>
      </c>
      <c r="AM30" s="8">
        <v>35270.928</v>
      </c>
      <c r="AN30" s="8">
        <v>112225.68000000002</v>
      </c>
      <c r="AO30" s="8">
        <v>5038.7040000000006</v>
      </c>
      <c r="AP30" s="1" t="s">
        <v>75</v>
      </c>
      <c r="AQ30" s="104">
        <v>39.51</v>
      </c>
      <c r="AR30" s="104">
        <v>4.3219102040816324</v>
      </c>
      <c r="AS30" s="104">
        <v>7.5257142857142849</v>
      </c>
      <c r="AT30" s="104">
        <v>11.826122448979591</v>
      </c>
      <c r="AU30" s="104"/>
      <c r="AV30" s="104"/>
      <c r="AW30" s="104"/>
      <c r="AX30" s="104">
        <v>5.8055510204081635</v>
      </c>
      <c r="AY30" s="104">
        <v>2.8705224489795915</v>
      </c>
      <c r="AZ30" s="104">
        <v>1.6556571428571427</v>
      </c>
      <c r="BA30" s="104">
        <v>5.2679999999999998</v>
      </c>
      <c r="BB30" s="104"/>
      <c r="BC30" s="101">
        <v>0.23652244897959185</v>
      </c>
      <c r="BD30" s="104">
        <v>39.51</v>
      </c>
      <c r="BE30" s="104">
        <v>4.3219102040816324</v>
      </c>
      <c r="BF30" s="104">
        <v>7.5257142857142849</v>
      </c>
      <c r="BG30" s="104">
        <v>11.826122448979591</v>
      </c>
      <c r="BH30" s="104">
        <v>0</v>
      </c>
      <c r="BI30" s="104">
        <v>0</v>
      </c>
      <c r="BJ30" s="104">
        <v>0</v>
      </c>
      <c r="BK30" s="104">
        <v>5.8055510204081635</v>
      </c>
      <c r="BL30" s="104">
        <v>2.8705224489795915</v>
      </c>
      <c r="BM30" s="104">
        <v>1.6556571428571427</v>
      </c>
      <c r="BN30" s="104">
        <v>5.2679999999999998</v>
      </c>
      <c r="BO30" s="104">
        <v>0</v>
      </c>
      <c r="BP30" s="101">
        <v>0.23652244897959182</v>
      </c>
      <c r="BQ30" s="103">
        <v>1809810.8640000003</v>
      </c>
      <c r="BR30" s="103">
        <v>197971.1475722449</v>
      </c>
      <c r="BS30" s="103">
        <v>344725.87885714287</v>
      </c>
      <c r="BT30" s="103">
        <v>541712.09534693882</v>
      </c>
      <c r="BU30" s="103">
        <v>0</v>
      </c>
      <c r="BV30" s="103">
        <v>0</v>
      </c>
      <c r="BW30" s="103">
        <v>0</v>
      </c>
      <c r="BX30" s="103">
        <v>265931.39226122451</v>
      </c>
      <c r="BY30" s="103">
        <v>131488.29950693878</v>
      </c>
      <c r="BZ30" s="103">
        <v>75839.693348571425</v>
      </c>
      <c r="CA30" s="103">
        <v>241308.11520000003</v>
      </c>
      <c r="CB30" s="103">
        <v>0</v>
      </c>
      <c r="CC30" s="103">
        <v>10834.241906938774</v>
      </c>
      <c r="CD30" s="13">
        <v>2</v>
      </c>
      <c r="CF30" s="277">
        <f>SUMIF(Оборот!$A:$A,$B:$B,Оборот!H:H)</f>
        <v>1688821.4</v>
      </c>
      <c r="CG30" s="277">
        <f>SUMIF(Оборот!$A:$A,$B:$B,Оборот!I:I)</f>
        <v>1674694.58</v>
      </c>
      <c r="CH30" s="277">
        <f t="shared" si="0"/>
        <v>1643117.9982623423</v>
      </c>
      <c r="CI30" s="239">
        <f t="shared" si="5"/>
        <v>33573.552221869795</v>
      </c>
      <c r="CJ30" s="276">
        <f>SUMIF('20Ф'!$H:$H,$B:$B,'20Ф'!M:M)*1.2</f>
        <v>0</v>
      </c>
      <c r="CK30" s="276">
        <f>SUMIF('20Ф'!$H:$H,$B:$B,'20Ф'!O:O)*1.2</f>
        <v>0</v>
      </c>
      <c r="CL30" s="276">
        <f>SUMIF('20Ф'!$H:$H,$B:$B,'20Ф'!Q:Q)*1.2</f>
        <v>0</v>
      </c>
      <c r="CM30" s="276">
        <f>SUMIF('20Ф'!$H:$H,$B:$B,'20Ф'!R:R)*1.2</f>
        <v>0</v>
      </c>
      <c r="CN30" s="276">
        <f>SUMIF('20Ф'!$H:$H,$B:$B,'20Ф'!S:S)*1.2</f>
        <v>0</v>
      </c>
      <c r="CO30" s="276">
        <f>SUMIF('20Ф'!$H:$H,$B:$B,'20Ф'!W:W)*1.2</f>
        <v>0</v>
      </c>
      <c r="CP30" s="276">
        <f>SUMIF('20Ф'!$H:$H,$B:$B,'20Ф'!P:P)*1.2</f>
        <v>0</v>
      </c>
      <c r="CQ30" s="276">
        <f>SUMIF('20Ф'!$H:$H,$B:$B,'20Ф'!Y:Y)*1.2</f>
        <v>0</v>
      </c>
      <c r="CR30" s="276">
        <f>SUMIF('20Ф'!$H:$H,$B:$B,'20Ф'!Z:Z)*1.2</f>
        <v>0</v>
      </c>
      <c r="CS30" s="276">
        <f>SUMIF('20Ф'!$H:$H,$B:$B,'20Ф'!AB:AB)*1.2</f>
        <v>0</v>
      </c>
      <c r="CT30" s="276">
        <f>SUMIF('20Ф'!$H:$H,$B:$B,'20Ф'!AC:AC)*1.2</f>
        <v>0</v>
      </c>
      <c r="CU30" s="276">
        <f>SUMIF('20Ф'!$H:$H,$B:$B,'20Ф'!AD:AD)*1.2</f>
        <v>0</v>
      </c>
      <c r="CV30" s="276">
        <f>SUMIF('20Ф'!$H:$H,$B:$B,'20Ф'!AE:AE)*1.2</f>
        <v>0</v>
      </c>
      <c r="CW30" s="276">
        <f>SUMIF('20Ф'!$H:$H,$B:$B,'20Ф'!AF:AF)*1.2</f>
        <v>0</v>
      </c>
      <c r="CX30" s="276">
        <f>SUMIF('20Ф'!$H:$H,$B:$B,'20Ф'!AG:AG)*1.2</f>
        <v>0</v>
      </c>
      <c r="CY30" s="276">
        <f>SUMIF('20Ф'!$H:$H,$B:$B,'20Ф'!AH:AH)*1.2</f>
        <v>0</v>
      </c>
      <c r="CZ30" s="276">
        <f>SUMIF('20Ф'!$H:$H,$B:$B,'20Ф'!AI:AI)*1.2</f>
        <v>0</v>
      </c>
      <c r="DA30" s="276">
        <f>SUMIF('20Ф'!$H:$H,$B:$B,'20Ф'!AJ:AJ)*1.2</f>
        <v>0</v>
      </c>
      <c r="DB30" s="276">
        <f>SUMIF('20Ф'!$H:$H,$B:$B,'20Ф'!AK:AK)*1.2</f>
        <v>0</v>
      </c>
      <c r="DC30" s="276">
        <f>SUMIF('20Ф'!$H:$H,$B:$B,'20Ф'!AL:AL)*1.2</f>
        <v>0</v>
      </c>
      <c r="DD30" s="276">
        <f>SUMIF('20Ф'!$H:$H,$B:$B,'20Ф'!AM:AM)*1.2</f>
        <v>0</v>
      </c>
      <c r="DE30" s="276">
        <f>SUMIF('20Ф'!$H:$H,$B:$B,'20Ф'!AN:AN)*1.2</f>
        <v>0</v>
      </c>
      <c r="DF30" s="276">
        <f>SUMIF('20Ф'!$H:$H,$B:$B,'20Ф'!AO:AO)*1.2</f>
        <v>0</v>
      </c>
      <c r="DG30" s="276">
        <f>SUMIF('20Ф'!$H:$H,$B:$B,'20Ф'!AP:AP)*1.2</f>
        <v>0</v>
      </c>
      <c r="DH30" s="276">
        <f>SUMIF('20Ф'!$H:$H,$B:$B,'20Ф'!AQ:AQ)*1.2</f>
        <v>0</v>
      </c>
      <c r="DI30" s="276">
        <f>SUMIF('20Ф'!$H:$H,$B:$B,'20Ф'!BA:BA)*1.2</f>
        <v>0</v>
      </c>
      <c r="DJ30" s="276">
        <f>SUMIF('20Ф'!$H:$H,$B:$B,'20Ф'!BB:BB)*1.2</f>
        <v>0</v>
      </c>
      <c r="DK30" s="276">
        <f>SUMIF('20Ф'!$H:$H,$B:$B,'20Ф'!BC:BC)*1.2</f>
        <v>0</v>
      </c>
      <c r="DL30" s="276">
        <f>$D30/$D$281*'20Ф'!$H$218</f>
        <v>33573.552221869795</v>
      </c>
      <c r="DM30" s="240">
        <f t="shared" si="1"/>
        <v>541127.10018653388</v>
      </c>
      <c r="DN30" s="276">
        <f>SUMIF('20Ф'!$H:$H,$B:$B,'20Ф'!AV:AV)*1.2</f>
        <v>0</v>
      </c>
      <c r="DO30" s="276">
        <f>SUMIF('20Ф'!$H:$H,$B:$B,'20Ф'!AW:AW)*1.2+$D30/$D$281*'26Ф'!$D$42</f>
        <v>17866.106586840218</v>
      </c>
      <c r="DP30" s="276">
        <f>SUMIF('20Ф'!$H:$H,$B:$B,'20Ф'!AX:AX)*1.2</f>
        <v>0</v>
      </c>
      <c r="DQ30" s="276">
        <f>SUMIF('20Ф'!$H:$H,$B:$B,'20Ф'!AY:AY)*1.2</f>
        <v>0</v>
      </c>
      <c r="DR30" s="276">
        <f>SUMIF('20Ф'!$H:$H,$B:$B,'20Ф'!AU:AU)*1.2</f>
        <v>0</v>
      </c>
      <c r="DS30" s="276">
        <f>SUMIF('20Ф'!$H:$H,$B:$B,'20Ф'!AS:AS)*1.2</f>
        <v>0</v>
      </c>
      <c r="DT30" s="276">
        <f>SUMIF('20Ф'!$H:$H,$B:$B,'20Ф'!AR:AR)*1.2</f>
        <v>208105.75199999998</v>
      </c>
      <c r="DU30" s="276">
        <f>SUMIF('20Ф'!$H:$H,$B:$B,'20Ф'!X:X)*1.2</f>
        <v>0</v>
      </c>
      <c r="DV30" s="276">
        <f>SUMIF('20Ф'!$H:$H,$B:$B,'20Ф'!AA:AA)*1.2</f>
        <v>0</v>
      </c>
      <c r="DW30" s="276">
        <f>SUMIF('20Ф'!$H:$H,$B:$B,'20Ф'!N:N)*1.2</f>
        <v>0</v>
      </c>
      <c r="DX30" s="276">
        <f>$D30/$D$281*('25Ф'!$D$37)</f>
        <v>300306.90080678102</v>
      </c>
      <c r="DY30" s="276">
        <f>$D30/$D$281*'25Ф'!$D$30</f>
        <v>9584.8535566255105</v>
      </c>
      <c r="DZ30" s="276">
        <f>$D30/$D$281*'25Ф'!$D$31</f>
        <v>5263.4872362870719</v>
      </c>
      <c r="EA30" s="276"/>
      <c r="EB30" s="276">
        <f t="shared" si="2"/>
        <v>189198.06084271919</v>
      </c>
      <c r="EC30" s="276">
        <f>$D30/$D$281*'26Ф'!$D$36</f>
        <v>98483.683747031711</v>
      </c>
      <c r="ED30" s="276">
        <f>$D30/$D$281*'26Ф'!$D$37</f>
        <v>11832.709419581122</v>
      </c>
      <c r="EE30" s="276">
        <f>$D30/$D$281*'26Ф'!$D$38</f>
        <v>11954.065498227086</v>
      </c>
      <c r="EF30" s="276">
        <f>$D30/$D$281*'26Ф'!$D$39</f>
        <v>8385.7660368129436</v>
      </c>
      <c r="EG30" s="276">
        <f>$D30/$D$281*'91Ф'!$D$10</f>
        <v>2587.0053347634539</v>
      </c>
      <c r="EH30" s="276">
        <f>$D30/$D$281*('20Ф'!$I$509+'26Ф'!$D$41+'20Ф'!$I$507)</f>
        <v>18302.210882917636</v>
      </c>
      <c r="EI30" s="276">
        <f>$D30/$D$281*'91Ф'!$D$31</f>
        <v>33550.640771645805</v>
      </c>
      <c r="EJ30" s="276">
        <f>$D30/$D$281*'20Ф'!$I$1316</f>
        <v>4101.9791517394169</v>
      </c>
      <c r="EK30" s="276">
        <f>$D30/$D$281*('20Ф'!$I$1105+'20Ф'!$I$1282+'91Ф'!$D$17+'91Ф'!$D$41)</f>
        <v>134713.56535870276</v>
      </c>
      <c r="EL30" s="276">
        <f>$D30/$D$281*отчёт!BX$294</f>
        <v>225199.99684887429</v>
      </c>
      <c r="EM30" s="276">
        <f>$D30/$D$281*отчёт!BY$294</f>
        <v>198051.30893418778</v>
      </c>
      <c r="EN30" s="276">
        <f>$D30/$D$283*отчёт!BZ$294</f>
        <v>35544.018986808849</v>
      </c>
      <c r="EO30" s="240">
        <f t="shared" si="9"/>
        <v>189888.60950099799</v>
      </c>
      <c r="EP30" s="276">
        <f>SUMIF('20Ф'!$H:$H,$B:$B,'20Ф'!T:T)*1.2</f>
        <v>12025.199999999999</v>
      </c>
      <c r="EQ30" s="276">
        <f>SUM(H30:I30)/SUM($H$284:$I$284)*SUM('60Ф'!$O$155:$P$155)</f>
        <v>172510.26175648702</v>
      </c>
      <c r="ER30" s="276">
        <f>SUM($H30:$I30)/SUM($H$284:$I$284)*SUM('60Ф'!$P$227)</f>
        <v>5353.1477445109776</v>
      </c>
      <c r="ES30" s="239">
        <f t="shared" si="6"/>
        <v>75374.524716389787</v>
      </c>
      <c r="ET30" s="276">
        <f>$D30/$D$282*'20Ф'!$I$381</f>
        <v>5760.947142126689</v>
      </c>
      <c r="EU30" s="276">
        <f>$D30/$D$282*('20Ф'!$I$75+'20Ф'!$I$1098)*1.2</f>
        <v>66541.496933891875</v>
      </c>
      <c r="EV30" s="276">
        <f>$D30/$D$282*('20Ф'!$I$1286)</f>
        <v>3072.0806403712145</v>
      </c>
      <c r="EW30" s="276">
        <f>SUMIF('91.1Ф'!$N:$N,$B:$B,'91.1Ф'!$F:$F)+$D30/$D$281*('91Ф'!$D$12+'91Ф'!$D$11+'91Ф'!$D$19+'91Ф'!$D$20)</f>
        <v>17754.589460503143</v>
      </c>
      <c r="EX30" s="276">
        <f t="shared" si="4"/>
        <v>2692.6712047548453</v>
      </c>
      <c r="EY30" s="276">
        <f>SUMIF('20Ф'!$H:$H,$B:$B,'20Ф'!$AY:$AY)*1.2</f>
        <v>0</v>
      </c>
      <c r="EZ30" s="295">
        <f>D30/$D$286*'20Ф'!$I$1163</f>
        <v>2692.6712047548453</v>
      </c>
      <c r="FA30" s="277">
        <f>SUMIF(отчёт!$B:$B,$B:$B,отчёт!$CU:$CU)/отчёт!$CU$281*'20Ф'!$I$1341</f>
        <v>0</v>
      </c>
      <c r="FB30" s="276">
        <f>SUMIF(Сальдо!$A:$A,$B:$B,Сальдо!$H:$H)-SUMIF(Сальдо!$A:$A,$B:$B,Сальдо!$I:$I)</f>
        <v>208354.65</v>
      </c>
    </row>
    <row r="31" spans="1:158" ht="12" customHeight="1" x14ac:dyDescent="0.25">
      <c r="A31" s="3">
        <f t="shared" si="7"/>
        <v>27</v>
      </c>
      <c r="B31" s="4" t="s">
        <v>76</v>
      </c>
      <c r="C31" s="4" t="s">
        <v>76</v>
      </c>
      <c r="D31" s="5">
        <v>3908.8</v>
      </c>
      <c r="E31" s="6">
        <v>3876.8</v>
      </c>
      <c r="F31" s="6">
        <v>32</v>
      </c>
      <c r="G31" s="6">
        <v>802.06</v>
      </c>
      <c r="H31" s="5">
        <f>SUMIF(отчёт!$B:$B,$B:$B,отчёт!I:I)</f>
        <v>1</v>
      </c>
      <c r="I31" s="5">
        <f>SUMIF(отчёт!$B:$B,$B:$B,отчёт!J:J)</f>
        <v>1</v>
      </c>
      <c r="J31" s="3" t="s">
        <v>74</v>
      </c>
      <c r="K31" s="105">
        <v>1</v>
      </c>
      <c r="L31" s="105" t="s">
        <v>75</v>
      </c>
      <c r="M31" s="12">
        <v>36.54</v>
      </c>
      <c r="N31" s="8">
        <v>4.03</v>
      </c>
      <c r="O31" s="8">
        <v>7</v>
      </c>
      <c r="P31" s="8">
        <v>11</v>
      </c>
      <c r="Q31" s="8">
        <v>5.4</v>
      </c>
      <c r="R31" s="8">
        <v>2.67</v>
      </c>
      <c r="S31" s="8">
        <v>1.54</v>
      </c>
      <c r="T31" s="8">
        <v>4.9000000000000004</v>
      </c>
      <c r="U31" s="8">
        <v>0</v>
      </c>
      <c r="V31" s="9">
        <v>40</v>
      </c>
      <c r="W31" s="9">
        <v>40</v>
      </c>
      <c r="X31" s="9">
        <v>2604.04</v>
      </c>
      <c r="Y31" s="8">
        <v>195.98199600000001</v>
      </c>
      <c r="Z31" s="9">
        <v>42.3</v>
      </c>
      <c r="AA31" s="9">
        <v>2604.04</v>
      </c>
      <c r="AB31" s="8">
        <v>0</v>
      </c>
      <c r="AC31" s="10">
        <v>0</v>
      </c>
      <c r="AD31" s="8">
        <v>5.05</v>
      </c>
      <c r="AE31" s="8">
        <v>10.67</v>
      </c>
      <c r="AF31" s="8">
        <v>14</v>
      </c>
      <c r="AG31" s="7">
        <v>856965.31199999992</v>
      </c>
      <c r="AH31" s="8">
        <v>94514.784000000014</v>
      </c>
      <c r="AI31" s="8">
        <v>164169.60000000001</v>
      </c>
      <c r="AJ31" s="8">
        <v>257980.80000000002</v>
      </c>
      <c r="AK31" s="8">
        <v>126645.12000000002</v>
      </c>
      <c r="AL31" s="8">
        <v>62618.97600000001</v>
      </c>
      <c r="AM31" s="8">
        <v>36117.312000000005</v>
      </c>
      <c r="AN31" s="8">
        <v>114918.72000000002</v>
      </c>
      <c r="AO31" s="8">
        <v>0</v>
      </c>
      <c r="AP31" s="1" t="s">
        <v>75</v>
      </c>
      <c r="AQ31" s="104">
        <v>39.28</v>
      </c>
      <c r="AR31" s="104">
        <v>4.3321948549534763</v>
      </c>
      <c r="AS31" s="104">
        <v>7.5249042145593874</v>
      </c>
      <c r="AT31" s="104">
        <v>11.824849480021895</v>
      </c>
      <c r="AU31" s="104"/>
      <c r="AV31" s="104"/>
      <c r="AW31" s="104"/>
      <c r="AX31" s="104">
        <v>5.8049261083743851</v>
      </c>
      <c r="AY31" s="104">
        <v>2.870213464696223</v>
      </c>
      <c r="AZ31" s="104">
        <v>1.6554789272030652</v>
      </c>
      <c r="BA31" s="104">
        <v>5.267432950191572</v>
      </c>
      <c r="BB31" s="104"/>
      <c r="BC31" s="101">
        <v>0</v>
      </c>
      <c r="BD31" s="104">
        <v>39.28</v>
      </c>
      <c r="BE31" s="104">
        <v>4.3321948549534763</v>
      </c>
      <c r="BF31" s="104">
        <v>7.5249042145593874</v>
      </c>
      <c r="BG31" s="104">
        <v>11.824849480021895</v>
      </c>
      <c r="BH31" s="104">
        <v>0</v>
      </c>
      <c r="BI31" s="104">
        <v>0</v>
      </c>
      <c r="BJ31" s="104">
        <v>0</v>
      </c>
      <c r="BK31" s="104">
        <v>5.8049261083743851</v>
      </c>
      <c r="BL31" s="104">
        <v>2.870213464696223</v>
      </c>
      <c r="BM31" s="104">
        <v>1.6554789272030652</v>
      </c>
      <c r="BN31" s="104">
        <v>5.267432950191572</v>
      </c>
      <c r="BO31" s="104">
        <v>0</v>
      </c>
      <c r="BP31" s="101">
        <v>0</v>
      </c>
      <c r="BQ31" s="103">
        <v>1842451.9680000001</v>
      </c>
      <c r="BR31" s="103">
        <v>203204.19898850581</v>
      </c>
      <c r="BS31" s="103">
        <v>352960.14712643682</v>
      </c>
      <c r="BT31" s="103">
        <v>554651.65977011493</v>
      </c>
      <c r="BU31" s="103">
        <v>0</v>
      </c>
      <c r="BV31" s="103">
        <v>0</v>
      </c>
      <c r="BW31" s="103">
        <v>0</v>
      </c>
      <c r="BX31" s="103">
        <v>272283.54206896556</v>
      </c>
      <c r="BY31" s="103">
        <v>134629.08468965517</v>
      </c>
      <c r="BZ31" s="103">
        <v>77651.232367816105</v>
      </c>
      <c r="CA31" s="103">
        <v>247072.10298850582</v>
      </c>
      <c r="CB31" s="103">
        <v>0</v>
      </c>
      <c r="CC31" s="103">
        <v>0</v>
      </c>
      <c r="CD31" s="13">
        <v>2</v>
      </c>
      <c r="CF31" s="277">
        <f>SUMIF(Оборот!$A:$A,$B:$B,Оборот!H:H)</f>
        <v>1719727.2099999997</v>
      </c>
      <c r="CG31" s="277">
        <f>SUMIF(Оборот!$A:$A,$B:$B,Оборот!I:I)</f>
        <v>1828421.9500000002</v>
      </c>
      <c r="CH31" s="277">
        <f t="shared" si="0"/>
        <v>1579229.0320577398</v>
      </c>
      <c r="CI31" s="239">
        <f t="shared" si="5"/>
        <v>34379.204894908478</v>
      </c>
      <c r="CJ31" s="276">
        <f>SUMIF('20Ф'!$H:$H,$B:$B,'20Ф'!M:M)*1.2</f>
        <v>0</v>
      </c>
      <c r="CK31" s="276">
        <f>SUMIF('20Ф'!$H:$H,$B:$B,'20Ф'!O:O)*1.2</f>
        <v>0</v>
      </c>
      <c r="CL31" s="276">
        <f>SUMIF('20Ф'!$H:$H,$B:$B,'20Ф'!Q:Q)*1.2</f>
        <v>0</v>
      </c>
      <c r="CM31" s="276">
        <f>SUMIF('20Ф'!$H:$H,$B:$B,'20Ф'!R:R)*1.2</f>
        <v>0</v>
      </c>
      <c r="CN31" s="276">
        <f>SUMIF('20Ф'!$H:$H,$B:$B,'20Ф'!S:S)*1.2</f>
        <v>0</v>
      </c>
      <c r="CO31" s="276">
        <f>SUMIF('20Ф'!$H:$H,$B:$B,'20Ф'!W:W)*1.2</f>
        <v>0</v>
      </c>
      <c r="CP31" s="276">
        <f>SUMIF('20Ф'!$H:$H,$B:$B,'20Ф'!P:P)*1.2</f>
        <v>0</v>
      </c>
      <c r="CQ31" s="276">
        <f>SUMIF('20Ф'!$H:$H,$B:$B,'20Ф'!Y:Y)*1.2</f>
        <v>0</v>
      </c>
      <c r="CR31" s="276">
        <f>SUMIF('20Ф'!$H:$H,$B:$B,'20Ф'!Z:Z)*1.2</f>
        <v>0</v>
      </c>
      <c r="CS31" s="276">
        <f>SUMIF('20Ф'!$H:$H,$B:$B,'20Ф'!AB:AB)*1.2</f>
        <v>0</v>
      </c>
      <c r="CT31" s="276">
        <f>SUMIF('20Ф'!$H:$H,$B:$B,'20Ф'!AC:AC)*1.2</f>
        <v>0</v>
      </c>
      <c r="CU31" s="276">
        <f>SUMIF('20Ф'!$H:$H,$B:$B,'20Ф'!AD:AD)*1.2</f>
        <v>0</v>
      </c>
      <c r="CV31" s="276">
        <f>SUMIF('20Ф'!$H:$H,$B:$B,'20Ф'!AE:AE)*1.2</f>
        <v>0</v>
      </c>
      <c r="CW31" s="276">
        <f>SUMIF('20Ф'!$H:$H,$B:$B,'20Ф'!AF:AF)*1.2</f>
        <v>0</v>
      </c>
      <c r="CX31" s="276">
        <f>SUMIF('20Ф'!$H:$H,$B:$B,'20Ф'!AG:AG)*1.2</f>
        <v>0</v>
      </c>
      <c r="CY31" s="276">
        <f>SUMIF('20Ф'!$H:$H,$B:$B,'20Ф'!AH:AH)*1.2</f>
        <v>0</v>
      </c>
      <c r="CZ31" s="276">
        <f>SUMIF('20Ф'!$H:$H,$B:$B,'20Ф'!AI:AI)*1.2</f>
        <v>0</v>
      </c>
      <c r="DA31" s="276">
        <f>SUMIF('20Ф'!$H:$H,$B:$B,'20Ф'!AJ:AJ)*1.2</f>
        <v>0</v>
      </c>
      <c r="DB31" s="276">
        <f>SUMIF('20Ф'!$H:$H,$B:$B,'20Ф'!AK:AK)*1.2</f>
        <v>0</v>
      </c>
      <c r="DC31" s="276">
        <f>SUMIF('20Ф'!$H:$H,$B:$B,'20Ф'!AL:AL)*1.2</f>
        <v>0</v>
      </c>
      <c r="DD31" s="276">
        <f>SUMIF('20Ф'!$H:$H,$B:$B,'20Ф'!AM:AM)*1.2</f>
        <v>0</v>
      </c>
      <c r="DE31" s="276">
        <f>SUMIF('20Ф'!$H:$H,$B:$B,'20Ф'!AN:AN)*1.2</f>
        <v>0</v>
      </c>
      <c r="DF31" s="276">
        <f>SUMIF('20Ф'!$H:$H,$B:$B,'20Ф'!AO:AO)*1.2</f>
        <v>0</v>
      </c>
      <c r="DG31" s="276">
        <f>SUMIF('20Ф'!$H:$H,$B:$B,'20Ф'!AP:AP)*1.2</f>
        <v>0</v>
      </c>
      <c r="DH31" s="276">
        <f>SUMIF('20Ф'!$H:$H,$B:$B,'20Ф'!AQ:AQ)*1.2</f>
        <v>0</v>
      </c>
      <c r="DI31" s="276">
        <f>SUMIF('20Ф'!$H:$H,$B:$B,'20Ф'!BA:BA)*1.2</f>
        <v>0</v>
      </c>
      <c r="DJ31" s="276">
        <f>SUMIF('20Ф'!$H:$H,$B:$B,'20Ф'!BB:BB)*1.2</f>
        <v>0</v>
      </c>
      <c r="DK31" s="276">
        <f>SUMIF('20Ф'!$H:$H,$B:$B,'20Ф'!BC:BC)*1.2</f>
        <v>0</v>
      </c>
      <c r="DL31" s="276">
        <f>$D31/$D$281*'20Ф'!$H$218</f>
        <v>34379.204894908478</v>
      </c>
      <c r="DM31" s="240">
        <f t="shared" si="1"/>
        <v>470133.2238414344</v>
      </c>
      <c r="DN31" s="276">
        <f>SUMIF('20Ф'!$H:$H,$B:$B,'20Ф'!AV:AV)*1.2</f>
        <v>0</v>
      </c>
      <c r="DO31" s="276">
        <f>SUMIF('20Ф'!$H:$H,$B:$B,'20Ф'!AW:AW)*1.2+$D31/$D$281*'26Ф'!$D$42</f>
        <v>18294.833235523693</v>
      </c>
      <c r="DP31" s="276">
        <f>SUMIF('20Ф'!$H:$H,$B:$B,'20Ф'!AX:AX)*1.2</f>
        <v>0</v>
      </c>
      <c r="DQ31" s="276">
        <f>SUMIF('20Ф'!$H:$H,$B:$B,'20Ф'!AY:AY)*1.2</f>
        <v>0</v>
      </c>
      <c r="DR31" s="276">
        <f>SUMIF('20Ф'!$H:$H,$B:$B,'20Ф'!AU:AU)*1.2</f>
        <v>0</v>
      </c>
      <c r="DS31" s="276">
        <f>SUMIF('20Ф'!$H:$H,$B:$B,'20Ф'!AS:AS)*1.2</f>
        <v>0</v>
      </c>
      <c r="DT31" s="276">
        <f>SUMIF('20Ф'!$H:$H,$B:$B,'20Ф'!AR:AR)*1.2</f>
        <v>129120.47999999998</v>
      </c>
      <c r="DU31" s="276">
        <f>SUMIF('20Ф'!$H:$H,$B:$B,'20Ф'!X:X)*1.2</f>
        <v>0</v>
      </c>
      <c r="DV31" s="276">
        <f>SUMIF('20Ф'!$H:$H,$B:$B,'20Ф'!AA:AA)*1.2</f>
        <v>0</v>
      </c>
      <c r="DW31" s="276">
        <f>SUMIF('20Ф'!$H:$H,$B:$B,'20Ф'!N:N)*1.2</f>
        <v>0</v>
      </c>
      <c r="DX31" s="276">
        <f>$D31/$D$281*('25Ф'!$D$37)</f>
        <v>307513.25942406623</v>
      </c>
      <c r="DY31" s="276">
        <f>$D31/$D$281*'25Ф'!$D$30</f>
        <v>9814.8579016393687</v>
      </c>
      <c r="DZ31" s="276">
        <f>$D31/$D$281*'25Ф'!$D$31</f>
        <v>5389.7932802051</v>
      </c>
      <c r="EA31" s="276"/>
      <c r="EB31" s="276">
        <f t="shared" si="2"/>
        <v>193738.17987583062</v>
      </c>
      <c r="EC31" s="276">
        <f>$D31/$D$281*'26Ф'!$D$36</f>
        <v>100846.96191721616</v>
      </c>
      <c r="ED31" s="276">
        <f>$D31/$D$281*'26Ф'!$D$37</f>
        <v>12116.654767698494</v>
      </c>
      <c r="EE31" s="276">
        <f>$D31/$D$281*'26Ф'!$D$38</f>
        <v>12240.922985295512</v>
      </c>
      <c r="EF31" s="276">
        <f>$D31/$D$281*'26Ф'!$D$39</f>
        <v>8586.9963021833883</v>
      </c>
      <c r="EG31" s="276">
        <f>$D31/$D$281*'91Ф'!$D$10</f>
        <v>2649.0847879396911</v>
      </c>
      <c r="EH31" s="276">
        <f>$D31/$D$281*('20Ф'!$I$509+'26Ф'!$D$41+'20Ф'!$I$507)</f>
        <v>18741.402572343195</v>
      </c>
      <c r="EI31" s="276">
        <f>$D31/$D$281*'91Ф'!$D$31</f>
        <v>34355.743646706782</v>
      </c>
      <c r="EJ31" s="276">
        <f>$D31/$D$281*'20Ф'!$I$1316</f>
        <v>4200.4128964474039</v>
      </c>
      <c r="EK31" s="276">
        <f>$D31/$D$281*('20Ф'!$I$1105+'20Ф'!$I$1282+'91Ф'!$D$17+'91Ф'!$D$41)</f>
        <v>137946.23919996261</v>
      </c>
      <c r="EL31" s="276">
        <f>$D31/$D$281*отчёт!BX$294</f>
        <v>230604.04162288582</v>
      </c>
      <c r="EM31" s="276">
        <f>$D31/$D$281*отчёт!BY$294</f>
        <v>202803.87623440038</v>
      </c>
      <c r="EN31" s="276">
        <f>$D31/$D$283*отчёт!BZ$294</f>
        <v>36396.956254751763</v>
      </c>
      <c r="EO31" s="240">
        <f t="shared" si="9"/>
        <v>177863.40950099798</v>
      </c>
      <c r="EP31" s="276">
        <f>SUMIF('20Ф'!$H:$H,$B:$B,'20Ф'!T:T)*1.2</f>
        <v>0</v>
      </c>
      <c r="EQ31" s="276">
        <f>SUM(H31:I31)/SUM($H$284:$I$284)*SUM('60Ф'!$O$155:$P$155)</f>
        <v>172510.26175648702</v>
      </c>
      <c r="ER31" s="276">
        <f>SUM($H31:$I31)/SUM($H$284:$I$284)*SUM('60Ф'!$P$227)</f>
        <v>5353.1477445109776</v>
      </c>
      <c r="ES31" s="239">
        <f t="shared" si="6"/>
        <v>77183.260560469556</v>
      </c>
      <c r="ET31" s="276">
        <f>$D31/$D$282*'20Ф'!$I$381</f>
        <v>5899.1905556808133</v>
      </c>
      <c r="EU31" s="276">
        <f>$D31/$D$282*('20Ф'!$I$75+'20Ф'!$I$1098)*1.2</f>
        <v>68138.269730482178</v>
      </c>
      <c r="EV31" s="276">
        <f>$D31/$D$282*('20Ф'!$I$1286)</f>
        <v>3145.8002743065604</v>
      </c>
      <c r="EW31" s="276">
        <f>SUMIF('91.1Ф'!$N:$N,$B:$B,'91.1Ф'!$F:$F)+$D31/$D$281*('91Ф'!$D$12+'91Ф'!$D$11+'91Ф'!$D$19+'91Ф'!$D$20)</f>
        <v>18180.640072098573</v>
      </c>
      <c r="EX31" s="276">
        <f t="shared" si="4"/>
        <v>0</v>
      </c>
      <c r="EY31" s="276">
        <f>SUMIF('20Ф'!$H:$H,$B:$B,'20Ф'!$AY:$AY)*1.2</f>
        <v>0</v>
      </c>
      <c r="EZ31" s="236"/>
      <c r="FA31" s="277">
        <f>SUMIF(отчёт!$B:$B,$B:$B,отчёт!$CU:$CU)/отчёт!$CU$281*'20Ф'!$I$1341</f>
        <v>920.96385542168503</v>
      </c>
      <c r="FB31" s="276">
        <f>SUMIF(Сальдо!$A:$A,$B:$B,Сальдо!$H:$H)-SUMIF(Сальдо!$A:$A,$B:$B,Сальдо!$I:$I)</f>
        <v>92399.000000000015</v>
      </c>
    </row>
    <row r="32" spans="1:158" ht="12" customHeight="1" x14ac:dyDescent="0.25">
      <c r="A32" s="3">
        <f t="shared" si="7"/>
        <v>28</v>
      </c>
      <c r="B32" s="4" t="s">
        <v>77</v>
      </c>
      <c r="C32" s="4" t="s">
        <v>77</v>
      </c>
      <c r="D32" s="5">
        <v>4187.5</v>
      </c>
      <c r="E32" s="6">
        <v>3783.2</v>
      </c>
      <c r="F32" s="6">
        <v>404.3</v>
      </c>
      <c r="G32" s="6">
        <v>859.24</v>
      </c>
      <c r="H32" s="5">
        <f>SUMIF(отчёт!$B:$B,$B:$B,отчёт!I:I)</f>
        <v>1</v>
      </c>
      <c r="I32" s="5">
        <f>SUMIF(отчёт!$B:$B,$B:$B,отчёт!J:J)</f>
        <v>1</v>
      </c>
      <c r="J32" s="3" t="s">
        <v>74</v>
      </c>
      <c r="K32" s="105">
        <v>1</v>
      </c>
      <c r="L32" s="105" t="s">
        <v>75</v>
      </c>
      <c r="M32" s="12">
        <v>36.54</v>
      </c>
      <c r="N32" s="8">
        <v>4.03</v>
      </c>
      <c r="O32" s="8">
        <v>7</v>
      </c>
      <c r="P32" s="8">
        <v>11</v>
      </c>
      <c r="Q32" s="8">
        <v>5.4</v>
      </c>
      <c r="R32" s="8">
        <v>2.67</v>
      </c>
      <c r="S32" s="8">
        <v>1.54</v>
      </c>
      <c r="T32" s="8">
        <v>4.9000000000000004</v>
      </c>
      <c r="U32" s="8">
        <v>0</v>
      </c>
      <c r="V32" s="9">
        <v>40</v>
      </c>
      <c r="W32" s="9">
        <v>40</v>
      </c>
      <c r="X32" s="9">
        <v>2604.04</v>
      </c>
      <c r="Y32" s="8">
        <v>195.98199600000001</v>
      </c>
      <c r="Z32" s="9">
        <v>42.3</v>
      </c>
      <c r="AA32" s="9">
        <v>2604.04</v>
      </c>
      <c r="AB32" s="8">
        <v>0</v>
      </c>
      <c r="AC32" s="10">
        <v>0</v>
      </c>
      <c r="AD32" s="8">
        <v>5.05</v>
      </c>
      <c r="AE32" s="8">
        <v>10.67</v>
      </c>
      <c r="AF32" s="8">
        <v>14</v>
      </c>
      <c r="AG32" s="7">
        <v>918067.5</v>
      </c>
      <c r="AH32" s="8">
        <v>101253.75</v>
      </c>
      <c r="AI32" s="8">
        <v>175875</v>
      </c>
      <c r="AJ32" s="8">
        <v>276375</v>
      </c>
      <c r="AK32" s="8">
        <v>135675</v>
      </c>
      <c r="AL32" s="8">
        <v>67083.75</v>
      </c>
      <c r="AM32" s="8">
        <v>38692.5</v>
      </c>
      <c r="AN32" s="8">
        <v>123112.5</v>
      </c>
      <c r="AO32" s="8">
        <v>0</v>
      </c>
      <c r="AP32" s="1" t="s">
        <v>75</v>
      </c>
      <c r="AQ32" s="104">
        <v>39.28</v>
      </c>
      <c r="AR32" s="104">
        <v>4.3321948549534763</v>
      </c>
      <c r="AS32" s="104">
        <v>7.5249042145593874</v>
      </c>
      <c r="AT32" s="104">
        <v>11.824849480021895</v>
      </c>
      <c r="AU32" s="104"/>
      <c r="AV32" s="104"/>
      <c r="AW32" s="104"/>
      <c r="AX32" s="104">
        <v>5.8049261083743851</v>
      </c>
      <c r="AY32" s="104">
        <v>2.870213464696223</v>
      </c>
      <c r="AZ32" s="104">
        <v>1.6554789272030652</v>
      </c>
      <c r="BA32" s="104">
        <v>5.267432950191572</v>
      </c>
      <c r="BB32" s="104"/>
      <c r="BC32" s="101">
        <v>0</v>
      </c>
      <c r="BD32" s="104">
        <v>39.28</v>
      </c>
      <c r="BE32" s="104">
        <v>4.3321948549534763</v>
      </c>
      <c r="BF32" s="104">
        <v>7.5249042145593874</v>
      </c>
      <c r="BG32" s="104">
        <v>11.824849480021895</v>
      </c>
      <c r="BH32" s="104">
        <v>0</v>
      </c>
      <c r="BI32" s="104">
        <v>0</v>
      </c>
      <c r="BJ32" s="104">
        <v>0</v>
      </c>
      <c r="BK32" s="104">
        <v>5.8049261083743851</v>
      </c>
      <c r="BL32" s="104">
        <v>2.870213464696223</v>
      </c>
      <c r="BM32" s="104">
        <v>1.6554789272030652</v>
      </c>
      <c r="BN32" s="104">
        <v>5.267432950191572</v>
      </c>
      <c r="BO32" s="104">
        <v>0</v>
      </c>
      <c r="BP32" s="101">
        <v>0</v>
      </c>
      <c r="BQ32" s="103">
        <v>1973820</v>
      </c>
      <c r="BR32" s="103">
        <v>217692.79146141221</v>
      </c>
      <c r="BS32" s="103">
        <v>378126.4367816092</v>
      </c>
      <c r="BT32" s="103">
        <v>594198.68637110014</v>
      </c>
      <c r="BU32" s="103">
        <v>0</v>
      </c>
      <c r="BV32" s="103">
        <v>0</v>
      </c>
      <c r="BW32" s="103">
        <v>0</v>
      </c>
      <c r="BX32" s="103">
        <v>291697.53694581287</v>
      </c>
      <c r="BY32" s="103">
        <v>144228.22660098522</v>
      </c>
      <c r="BZ32" s="103">
        <v>83187.816091954024</v>
      </c>
      <c r="CA32" s="103">
        <v>264688.50574712653</v>
      </c>
      <c r="CB32" s="103">
        <v>0</v>
      </c>
      <c r="CC32" s="103">
        <v>0</v>
      </c>
      <c r="CD32" s="13">
        <v>2</v>
      </c>
      <c r="CF32" s="277">
        <f>SUMIF(Оборот!$A:$A,$B:$B,Оборот!H:H)</f>
        <v>1678207.45</v>
      </c>
      <c r="CG32" s="277">
        <f>SUMIF(Оборот!$A:$A,$B:$B,Оборот!I:I)</f>
        <v>1763883.2399999998</v>
      </c>
      <c r="CH32" s="277">
        <f t="shared" si="0"/>
        <v>1740741.259956677</v>
      </c>
      <c r="CI32" s="239">
        <f t="shared" si="5"/>
        <v>41533.960719972689</v>
      </c>
      <c r="CJ32" s="276">
        <f>SUMIF('20Ф'!$H:$H,$B:$B,'20Ф'!M:M)*1.2</f>
        <v>0</v>
      </c>
      <c r="CK32" s="276">
        <f>SUMIF('20Ф'!$H:$H,$B:$B,'20Ф'!O:O)*1.2</f>
        <v>4703.4960000000001</v>
      </c>
      <c r="CL32" s="276">
        <f>SUMIF('20Ф'!$H:$H,$B:$B,'20Ф'!Q:Q)*1.2</f>
        <v>0</v>
      </c>
      <c r="CM32" s="276">
        <f>SUMIF('20Ф'!$H:$H,$B:$B,'20Ф'!R:R)*1.2</f>
        <v>0</v>
      </c>
      <c r="CN32" s="276">
        <f>SUMIF('20Ф'!$H:$H,$B:$B,'20Ф'!S:S)*1.2</f>
        <v>0</v>
      </c>
      <c r="CO32" s="276">
        <f>SUMIF('20Ф'!$H:$H,$B:$B,'20Ф'!W:W)*1.2</f>
        <v>0</v>
      </c>
      <c r="CP32" s="276">
        <f>SUMIF('20Ф'!$H:$H,$B:$B,'20Ф'!P:P)*1.2</f>
        <v>0</v>
      </c>
      <c r="CQ32" s="276">
        <f>SUMIF('20Ф'!$H:$H,$B:$B,'20Ф'!Y:Y)*1.2</f>
        <v>0</v>
      </c>
      <c r="CR32" s="276">
        <f>SUMIF('20Ф'!$H:$H,$B:$B,'20Ф'!Z:Z)*1.2</f>
        <v>0</v>
      </c>
      <c r="CS32" s="276">
        <f>SUMIF('20Ф'!$H:$H,$B:$B,'20Ф'!AB:AB)*1.2</f>
        <v>0</v>
      </c>
      <c r="CT32" s="276">
        <f>SUMIF('20Ф'!$H:$H,$B:$B,'20Ф'!AC:AC)*1.2</f>
        <v>0</v>
      </c>
      <c r="CU32" s="276">
        <f>SUMIF('20Ф'!$H:$H,$B:$B,'20Ф'!AD:AD)*1.2</f>
        <v>0</v>
      </c>
      <c r="CV32" s="276">
        <f>SUMIF('20Ф'!$H:$H,$B:$B,'20Ф'!AE:AE)*1.2</f>
        <v>0</v>
      </c>
      <c r="CW32" s="276">
        <f>SUMIF('20Ф'!$H:$H,$B:$B,'20Ф'!AF:AF)*1.2</f>
        <v>0</v>
      </c>
      <c r="CX32" s="276">
        <f>SUMIF('20Ф'!$H:$H,$B:$B,'20Ф'!AG:AG)*1.2</f>
        <v>0</v>
      </c>
      <c r="CY32" s="276">
        <f>SUMIF('20Ф'!$H:$H,$B:$B,'20Ф'!AH:AH)*1.2</f>
        <v>0</v>
      </c>
      <c r="CZ32" s="276">
        <f>SUMIF('20Ф'!$H:$H,$B:$B,'20Ф'!AI:AI)*1.2</f>
        <v>0</v>
      </c>
      <c r="DA32" s="276">
        <f>SUMIF('20Ф'!$H:$H,$B:$B,'20Ф'!AJ:AJ)*1.2</f>
        <v>0</v>
      </c>
      <c r="DB32" s="276">
        <f>SUMIF('20Ф'!$H:$H,$B:$B,'20Ф'!AK:AK)*1.2</f>
        <v>0</v>
      </c>
      <c r="DC32" s="276">
        <f>SUMIF('20Ф'!$H:$H,$B:$B,'20Ф'!AL:AL)*1.2</f>
        <v>0</v>
      </c>
      <c r="DD32" s="276">
        <f>SUMIF('20Ф'!$H:$H,$B:$B,'20Ф'!AM:AM)*1.2</f>
        <v>0</v>
      </c>
      <c r="DE32" s="276">
        <f>SUMIF('20Ф'!$H:$H,$B:$B,'20Ф'!AN:AN)*1.2</f>
        <v>0</v>
      </c>
      <c r="DF32" s="276">
        <f>SUMIF('20Ф'!$H:$H,$B:$B,'20Ф'!AO:AO)*1.2</f>
        <v>0</v>
      </c>
      <c r="DG32" s="276">
        <f>SUMIF('20Ф'!$H:$H,$B:$B,'20Ф'!AP:AP)*1.2</f>
        <v>0</v>
      </c>
      <c r="DH32" s="276">
        <f>SUMIF('20Ф'!$H:$H,$B:$B,'20Ф'!AQ:AQ)*1.2</f>
        <v>0</v>
      </c>
      <c r="DI32" s="276">
        <f>SUMIF('20Ф'!$H:$H,$B:$B,'20Ф'!BA:BA)*1.2</f>
        <v>0</v>
      </c>
      <c r="DJ32" s="276">
        <f>SUMIF('20Ф'!$H:$H,$B:$B,'20Ф'!BB:BB)*1.2</f>
        <v>0</v>
      </c>
      <c r="DK32" s="276">
        <f>SUMIF('20Ф'!$H:$H,$B:$B,'20Ф'!BC:BC)*1.2</f>
        <v>0</v>
      </c>
      <c r="DL32" s="276">
        <f>$D32/$D$281*'20Ф'!$H$218</f>
        <v>36830.46471997269</v>
      </c>
      <c r="DM32" s="240">
        <f t="shared" si="1"/>
        <v>490544.47581764392</v>
      </c>
      <c r="DN32" s="276">
        <f>SUMIF('20Ф'!$H:$H,$B:$B,'20Ф'!AV:AV)*1.2</f>
        <v>0</v>
      </c>
      <c r="DO32" s="276">
        <f>SUMIF('20Ф'!$H:$H,$B:$B,'20Ф'!AW:AW)*1.2+$D32/$D$281*'26Ф'!$D$42</f>
        <v>19599.266827096668</v>
      </c>
      <c r="DP32" s="276">
        <f>SUMIF('20Ф'!$H:$H,$B:$B,'20Ф'!AX:AX)*1.2</f>
        <v>0</v>
      </c>
      <c r="DQ32" s="276">
        <f>SUMIF('20Ф'!$H:$H,$B:$B,'20Ф'!AY:AY)*1.2</f>
        <v>0</v>
      </c>
      <c r="DR32" s="276">
        <f>SUMIF('20Ф'!$H:$H,$B:$B,'20Ф'!AU:AU)*1.2</f>
        <v>0</v>
      </c>
      <c r="DS32" s="276">
        <f>SUMIF('20Ф'!$H:$H,$B:$B,'20Ф'!AS:AS)*1.2</f>
        <v>0</v>
      </c>
      <c r="DT32" s="276">
        <f>SUMIF('20Ф'!$H:$H,$B:$B,'20Ф'!AR:AR)*1.2</f>
        <v>125217.29999999999</v>
      </c>
      <c r="DU32" s="276">
        <f>SUMIF('20Ф'!$H:$H,$B:$B,'20Ф'!X:X)*1.2</f>
        <v>0</v>
      </c>
      <c r="DV32" s="276">
        <f>SUMIF('20Ф'!$H:$H,$B:$B,'20Ф'!AA:AA)*1.2</f>
        <v>0</v>
      </c>
      <c r="DW32" s="276">
        <f>SUMIF('20Ф'!$H:$H,$B:$B,'20Ф'!N:N)*1.2</f>
        <v>0</v>
      </c>
      <c r="DX32" s="276">
        <f>$D32/$D$281*('25Ф'!$D$37)</f>
        <v>329439.15622141765</v>
      </c>
      <c r="DY32" s="276">
        <f>$D32/$D$281*'25Ф'!$D$30</f>
        <v>10514.663698095286</v>
      </c>
      <c r="DZ32" s="276">
        <f>$D32/$D$281*'25Ф'!$D$31</f>
        <v>5774.0890710342956</v>
      </c>
      <c r="EA32" s="276"/>
      <c r="EB32" s="276">
        <f t="shared" si="2"/>
        <v>207551.83898640011</v>
      </c>
      <c r="EC32" s="276">
        <f>$D32/$D$281*'26Ф'!$D$36</f>
        <v>108037.41634986253</v>
      </c>
      <c r="ED32" s="276">
        <f>$D32/$D$281*'26Ф'!$D$37</f>
        <v>12980.580188225911</v>
      </c>
      <c r="EE32" s="276">
        <f>$D32/$D$281*'26Ф'!$D$38</f>
        <v>13113.708811124887</v>
      </c>
      <c r="EF32" s="276">
        <f>$D32/$D$281*'26Ф'!$D$39</f>
        <v>9199.2547624316776</v>
      </c>
      <c r="EG32" s="276">
        <f>$D32/$D$281*'91Ф'!$D$10</f>
        <v>2837.9662682914081</v>
      </c>
      <c r="EH32" s="276">
        <f>$D32/$D$281*('20Ф'!$I$509+'26Ф'!$D$41+'20Ф'!$I$507)</f>
        <v>20077.676850104155</v>
      </c>
      <c r="EI32" s="276">
        <f>$D32/$D$281*'91Ф'!$D$31</f>
        <v>36805.330669408679</v>
      </c>
      <c r="EJ32" s="276">
        <f>$D32/$D$281*'20Ф'!$I$1316</f>
        <v>4499.9050869508555</v>
      </c>
      <c r="EK32" s="276">
        <f>$D32/$D$281*('20Ф'!$I$1105+'20Ф'!$I$1282+'91Ф'!$D$17+'91Ф'!$D$41)</f>
        <v>147781.89640038976</v>
      </c>
      <c r="EL32" s="276">
        <f>$D32/$D$281*отчёт!BX$294</f>
        <v>247046.26082066988</v>
      </c>
      <c r="EM32" s="276">
        <f>$D32/$D$281*отчёт!BY$294</f>
        <v>217263.92543275471</v>
      </c>
      <c r="EN32" s="276">
        <f>$D32/$D$283*отчёт!BZ$294</f>
        <v>38992.083073263668</v>
      </c>
      <c r="EO32" s="240">
        <f t="shared" si="9"/>
        <v>177863.40950099798</v>
      </c>
      <c r="EP32" s="276">
        <f>SUMIF('20Ф'!$H:$H,$B:$B,'20Ф'!T:T)*1.2</f>
        <v>0</v>
      </c>
      <c r="EQ32" s="276">
        <f>SUM(H32:I32)/SUM($H$284:$I$284)*SUM('60Ф'!$O$155:$P$155)</f>
        <v>172510.26175648702</v>
      </c>
      <c r="ER32" s="276">
        <f>SUM($H32:$I32)/SUM($H$284:$I$284)*SUM('60Ф'!$P$227)</f>
        <v>5353.1477445109776</v>
      </c>
      <c r="ES32" s="239">
        <f t="shared" si="6"/>
        <v>82686.477588253736</v>
      </c>
      <c r="ET32" s="276">
        <f>$D32/$D$282*'20Ф'!$I$381</f>
        <v>6319.8067058722381</v>
      </c>
      <c r="EU32" s="276">
        <f>$D32/$D$282*('20Ф'!$I$75+'20Ф'!$I$1098)*1.2</f>
        <v>72996.572988230168</v>
      </c>
      <c r="EV32" s="276">
        <f>$D32/$D$282*('20Ф'!$I$1286)</f>
        <v>3370.0978941513304</v>
      </c>
      <c r="EW32" s="276">
        <f>SUMIF('91.1Ф'!$N:$N,$B:$B,'91.1Ф'!$F:$F)+$D32/$D$281*('91Ф'!$D$12+'91Ф'!$D$11+'91Ф'!$D$19+'91Ф'!$D$20)</f>
        <v>89476.931616330534</v>
      </c>
      <c r="EX32" s="276">
        <f t="shared" si="4"/>
        <v>0</v>
      </c>
      <c r="EY32" s="276">
        <f>SUMIF('20Ф'!$H:$H,$B:$B,'20Ф'!$AY:$AY)*1.2</f>
        <v>0</v>
      </c>
      <c r="EZ32" s="236"/>
      <c r="FA32" s="277">
        <f>SUMIF(отчёт!$B:$B,$B:$B,отчёт!$CU:$CU)/отчёт!$CU$281*'20Ф'!$I$1341</f>
        <v>920.96385542168503</v>
      </c>
      <c r="FB32" s="276">
        <f>SUMIF(Сальдо!$A:$A,$B:$B,Сальдо!$H:$H)-SUMIF(Сальдо!$A:$A,$B:$B,Сальдо!$I:$I)</f>
        <v>109158.38</v>
      </c>
    </row>
    <row r="33" spans="1:162" ht="12" customHeight="1" x14ac:dyDescent="0.25">
      <c r="A33" s="3">
        <f t="shared" si="7"/>
        <v>29</v>
      </c>
      <c r="B33" s="4" t="s">
        <v>78</v>
      </c>
      <c r="C33" s="4" t="s">
        <v>78</v>
      </c>
      <c r="D33" s="5">
        <v>1596.9</v>
      </c>
      <c r="E33" s="6">
        <v>1545.9</v>
      </c>
      <c r="F33" s="6">
        <v>51</v>
      </c>
      <c r="G33" s="6">
        <v>87.4</v>
      </c>
      <c r="H33" s="5">
        <f>SUMIF(отчёт!$B:$B,$B:$B,отчёт!I:I)</f>
        <v>0</v>
      </c>
      <c r="I33" s="5">
        <f>SUMIF(отчёт!$B:$B,$B:$B,отчёт!J:J)</f>
        <v>0</v>
      </c>
      <c r="J33" s="3" t="s">
        <v>74</v>
      </c>
      <c r="K33" s="105">
        <v>9</v>
      </c>
      <c r="L33" s="105" t="s">
        <v>75</v>
      </c>
      <c r="M33" s="12">
        <v>20.440000000000001</v>
      </c>
      <c r="N33" s="8">
        <v>3.11</v>
      </c>
      <c r="O33" s="8">
        <v>4.0599999999999996</v>
      </c>
      <c r="P33" s="8">
        <v>7</v>
      </c>
      <c r="Q33" s="8">
        <v>4</v>
      </c>
      <c r="R33" s="8">
        <v>2.0499999999999998</v>
      </c>
      <c r="S33" s="8">
        <v>0</v>
      </c>
      <c r="T33" s="8">
        <v>0</v>
      </c>
      <c r="U33" s="8">
        <v>0.22</v>
      </c>
      <c r="V33" s="9">
        <v>40</v>
      </c>
      <c r="W33" s="9">
        <v>0</v>
      </c>
      <c r="X33" s="9">
        <v>0</v>
      </c>
      <c r="Y33" s="8">
        <v>0</v>
      </c>
      <c r="Z33" s="9">
        <v>42.3</v>
      </c>
      <c r="AA33" s="9">
        <v>2604.04</v>
      </c>
      <c r="AB33" s="8">
        <v>6.92</v>
      </c>
      <c r="AC33" s="10">
        <v>0</v>
      </c>
      <c r="AD33" s="8">
        <v>6.73</v>
      </c>
      <c r="AE33" s="8">
        <v>10.67</v>
      </c>
      <c r="AF33" s="8">
        <v>14</v>
      </c>
      <c r="AG33" s="7">
        <v>195843.81600000002</v>
      </c>
      <c r="AH33" s="8">
        <v>29798.154000000002</v>
      </c>
      <c r="AI33" s="8">
        <v>38900.483999999997</v>
      </c>
      <c r="AJ33" s="8">
        <v>67069.8</v>
      </c>
      <c r="AK33" s="8">
        <v>38325.600000000006</v>
      </c>
      <c r="AL33" s="8">
        <v>19641.87</v>
      </c>
      <c r="AM33" s="8">
        <v>0</v>
      </c>
      <c r="AN33" s="8">
        <v>0</v>
      </c>
      <c r="AO33" s="8">
        <v>2107.9080000000004</v>
      </c>
      <c r="AQ33" s="104">
        <v>26.91</v>
      </c>
      <c r="AR33" s="375">
        <v>7.81</v>
      </c>
      <c r="AS33" s="376"/>
      <c r="AT33" s="14">
        <v>8.4499999999999993</v>
      </c>
      <c r="AU33" s="14">
        <v>1.53</v>
      </c>
      <c r="AV33" s="14">
        <v>0.18</v>
      </c>
      <c r="AW33" s="14">
        <v>0.48</v>
      </c>
      <c r="AX33" s="14">
        <v>4.93</v>
      </c>
      <c r="AY33" s="14">
        <v>2.6</v>
      </c>
      <c r="AZ33" s="14">
        <v>0</v>
      </c>
      <c r="BA33" s="14">
        <v>0</v>
      </c>
      <c r="BB33" s="14">
        <v>0</v>
      </c>
      <c r="BC33" s="15">
        <v>0.93</v>
      </c>
      <c r="BD33" s="104">
        <v>30.48903</v>
      </c>
      <c r="BE33" s="375">
        <v>8.8487299999999998</v>
      </c>
      <c r="BF33" s="376">
        <v>0</v>
      </c>
      <c r="BG33" s="14">
        <v>9.5738499999999984</v>
      </c>
      <c r="BH33" s="14">
        <v>1.73349</v>
      </c>
      <c r="BI33" s="14">
        <v>0.20393999999999998</v>
      </c>
      <c r="BJ33" s="14">
        <v>0.54383999999999999</v>
      </c>
      <c r="BK33" s="14">
        <v>5.5856899999999996</v>
      </c>
      <c r="BL33" s="14">
        <v>2.9458000000000002</v>
      </c>
      <c r="BM33" s="14">
        <v>0</v>
      </c>
      <c r="BN33" s="14">
        <v>0</v>
      </c>
      <c r="BO33" s="14">
        <v>0</v>
      </c>
      <c r="BP33" s="15">
        <v>1.05369</v>
      </c>
      <c r="BQ33" s="103">
        <v>572824.47807000007</v>
      </c>
      <c r="BR33" s="371">
        <v>166248.94737000004</v>
      </c>
      <c r="BS33" s="371">
        <v>0</v>
      </c>
      <c r="BT33" s="103">
        <v>179872.42064999999</v>
      </c>
      <c r="BU33" s="103">
        <v>32568.615810000003</v>
      </c>
      <c r="BV33" s="103">
        <v>3831.6018599999993</v>
      </c>
      <c r="BW33" s="103">
        <v>10217.604960000001</v>
      </c>
      <c r="BX33" s="103">
        <v>104943.31761</v>
      </c>
      <c r="BY33" s="103">
        <v>55345.360200000003</v>
      </c>
      <c r="BZ33" s="103">
        <v>0</v>
      </c>
      <c r="CA33" s="103">
        <v>0</v>
      </c>
      <c r="CB33" s="103">
        <v>0</v>
      </c>
      <c r="CC33" s="103">
        <v>19796.60961</v>
      </c>
      <c r="CD33" s="1">
        <v>1</v>
      </c>
      <c r="CF33" s="277">
        <f>SUMIF(Оборот!$A:$A,$B:$B,Оборот!H:H)</f>
        <v>418280.88</v>
      </c>
      <c r="CG33" s="277">
        <f>SUMIF(Оборот!$A:$A,$B:$B,Оборот!I:I)</f>
        <v>412792.18</v>
      </c>
      <c r="CH33" s="277">
        <f t="shared" si="0"/>
        <v>631590.68272916146</v>
      </c>
      <c r="CI33" s="239">
        <f t="shared" si="5"/>
        <v>45381.938235540147</v>
      </c>
      <c r="CJ33" s="276">
        <f>SUMIF('20Ф'!$H:$H,$B:$B,'20Ф'!M:M)*1.2</f>
        <v>0</v>
      </c>
      <c r="CK33" s="276">
        <f>SUMIF('20Ф'!$H:$H,$B:$B,'20Ф'!O:O)*1.2</f>
        <v>0</v>
      </c>
      <c r="CL33" s="276">
        <f>SUMIF('20Ф'!$H:$H,$B:$B,'20Ф'!Q:Q)*1.2</f>
        <v>0</v>
      </c>
      <c r="CM33" s="276">
        <f>SUMIF('20Ф'!$H:$H,$B:$B,'20Ф'!R:R)*1.2</f>
        <v>0</v>
      </c>
      <c r="CN33" s="276">
        <f>SUMIF('20Ф'!$H:$H,$B:$B,'20Ф'!S:S)*1.2</f>
        <v>0</v>
      </c>
      <c r="CO33" s="276">
        <f>SUMIF('20Ф'!$H:$H,$B:$B,'20Ф'!W:W)*1.2</f>
        <v>0</v>
      </c>
      <c r="CP33" s="276">
        <f>SUMIF('20Ф'!$H:$H,$B:$B,'20Ф'!P:P)*1.2</f>
        <v>0</v>
      </c>
      <c r="CQ33" s="276">
        <f>SUMIF('20Ф'!$H:$H,$B:$B,'20Ф'!Y:Y)*1.2</f>
        <v>0</v>
      </c>
      <c r="CR33" s="276">
        <f>SUMIF('20Ф'!$H:$H,$B:$B,'20Ф'!Z:Z)*1.2</f>
        <v>0</v>
      </c>
      <c r="CS33" s="276">
        <f>SUMIF('20Ф'!$H:$H,$B:$B,'20Ф'!AB:AB)*1.2</f>
        <v>0</v>
      </c>
      <c r="CT33" s="276">
        <f>SUMIF('20Ф'!$H:$H,$B:$B,'20Ф'!AC:AC)*1.2</f>
        <v>0</v>
      </c>
      <c r="CU33" s="276">
        <f>SUMIF('20Ф'!$H:$H,$B:$B,'20Ф'!AD:AD)*1.2</f>
        <v>0</v>
      </c>
      <c r="CV33" s="276">
        <f>SUMIF('20Ф'!$H:$H,$B:$B,'20Ф'!AE:AE)*1.2</f>
        <v>0</v>
      </c>
      <c r="CW33" s="276">
        <f>SUMIF('20Ф'!$H:$H,$B:$B,'20Ф'!AF:AF)*1.2</f>
        <v>0</v>
      </c>
      <c r="CX33" s="276">
        <f>SUMIF('20Ф'!$H:$H,$B:$B,'20Ф'!AG:AG)*1.2</f>
        <v>31336.667999999998</v>
      </c>
      <c r="CY33" s="276">
        <f>SUMIF('20Ф'!$H:$H,$B:$B,'20Ф'!AH:AH)*1.2</f>
        <v>0</v>
      </c>
      <c r="CZ33" s="276">
        <f>SUMIF('20Ф'!$H:$H,$B:$B,'20Ф'!AI:AI)*1.2</f>
        <v>0</v>
      </c>
      <c r="DA33" s="276">
        <f>SUMIF('20Ф'!$H:$H,$B:$B,'20Ф'!AJ:AJ)*1.2</f>
        <v>0</v>
      </c>
      <c r="DB33" s="276">
        <f>SUMIF('20Ф'!$H:$H,$B:$B,'20Ф'!AK:AK)*1.2</f>
        <v>0</v>
      </c>
      <c r="DC33" s="276">
        <f>SUMIF('20Ф'!$H:$H,$B:$B,'20Ф'!AL:AL)*1.2</f>
        <v>0</v>
      </c>
      <c r="DD33" s="276">
        <f>SUMIF('20Ф'!$H:$H,$B:$B,'20Ф'!AM:AM)*1.2</f>
        <v>0</v>
      </c>
      <c r="DE33" s="276">
        <f>SUMIF('20Ф'!$H:$H,$B:$B,'20Ф'!AN:AN)*1.2</f>
        <v>0</v>
      </c>
      <c r="DF33" s="276">
        <f>SUMIF('20Ф'!$H:$H,$B:$B,'20Ф'!AO:AO)*1.2</f>
        <v>0</v>
      </c>
      <c r="DG33" s="276">
        <f>SUMIF('20Ф'!$H:$H,$B:$B,'20Ф'!AP:AP)*1.2</f>
        <v>0</v>
      </c>
      <c r="DH33" s="276">
        <f>SUMIF('20Ф'!$H:$H,$B:$B,'20Ф'!AQ:AQ)*1.2</f>
        <v>0</v>
      </c>
      <c r="DI33" s="276">
        <f>SUMIF('20Ф'!$H:$H,$B:$B,'20Ф'!BA:BA)*1.2</f>
        <v>0</v>
      </c>
      <c r="DJ33" s="276">
        <f>SUMIF('20Ф'!$H:$H,$B:$B,'20Ф'!BB:BB)*1.2</f>
        <v>0</v>
      </c>
      <c r="DK33" s="276">
        <f>SUMIF('20Ф'!$H:$H,$B:$B,'20Ф'!BC:BC)*1.2</f>
        <v>0</v>
      </c>
      <c r="DL33" s="276">
        <f>$D33/$D$281*'20Ф'!$H$218</f>
        <v>14045.270235540152</v>
      </c>
      <c r="DM33" s="240">
        <f t="shared" si="1"/>
        <v>233551.74586583773</v>
      </c>
      <c r="DN33" s="276">
        <f>SUMIF('20Ф'!$H:$H,$B:$B,'20Ф'!AV:AV)*1.2</f>
        <v>0</v>
      </c>
      <c r="DO33" s="276">
        <f>SUMIF('20Ф'!$H:$H,$B:$B,'20Ф'!AW:AW)*1.2+$D33/$D$281*'26Ф'!$D$42</f>
        <v>7474.1657781947861</v>
      </c>
      <c r="DP33" s="276">
        <f>SUMIF('20Ф'!$H:$H,$B:$B,'20Ф'!AX:AX)*1.2</f>
        <v>0</v>
      </c>
      <c r="DQ33" s="276">
        <f>SUMIF('20Ф'!$H:$H,$B:$B,'20Ф'!AY:AY)*1.2</f>
        <v>0</v>
      </c>
      <c r="DR33" s="276">
        <f>SUMIF('20Ф'!$H:$H,$B:$B,'20Ф'!AU:AU)*1.2</f>
        <v>0</v>
      </c>
      <c r="DS33" s="276">
        <f>SUMIF('20Ф'!$H:$H,$B:$B,'20Ф'!AS:AS)*1.2</f>
        <v>0</v>
      </c>
      <c r="DT33" s="276">
        <f>SUMIF('20Ф'!$H:$H,$B:$B,'20Ф'!AR:AR)*1.2</f>
        <v>50755.799999999996</v>
      </c>
      <c r="DU33" s="276">
        <f>SUMIF('20Ф'!$H:$H,$B:$B,'20Ф'!X:X)*1.2</f>
        <v>43478.7</v>
      </c>
      <c r="DV33" s="276">
        <f>SUMIF('20Ф'!$H:$H,$B:$B,'20Ф'!AA:AA)*1.2</f>
        <v>0</v>
      </c>
      <c r="DW33" s="276">
        <f>SUMIF('20Ф'!$H:$H,$B:$B,'20Ф'!N:N)*1.2</f>
        <v>0</v>
      </c>
      <c r="DX33" s="276">
        <f>$D33/$D$281*('25Ф'!$D$37)</f>
        <v>125631.37637492103</v>
      </c>
      <c r="DY33" s="276">
        <f>$D33/$D$281*'25Ф'!$D$30</f>
        <v>4009.759154504683</v>
      </c>
      <c r="DZ33" s="276">
        <f>$D33/$D$281*'25Ф'!$D$31</f>
        <v>2201.9445582172339</v>
      </c>
      <c r="EA33" s="276"/>
      <c r="EB33" s="276">
        <f t="shared" si="2"/>
        <v>79149.738908031606</v>
      </c>
      <c r="EC33" s="276">
        <f>$D33/$D$281*'26Ф'!$D$36</f>
        <v>41199.988100082504</v>
      </c>
      <c r="ED33" s="276">
        <f>$D33/$D$281*'26Ф'!$D$37</f>
        <v>4950.1345677798099</v>
      </c>
      <c r="EE33" s="276">
        <f>$D33/$D$281*'26Ф'!$D$38</f>
        <v>5000.9030687726163</v>
      </c>
      <c r="EF33" s="276">
        <f>$D33/$D$281*'26Ф'!$D$39</f>
        <v>3508.1289385378254</v>
      </c>
      <c r="EG33" s="276">
        <f>$D33/$D$281*'91Ф'!$D$10</f>
        <v>1082.2563185276535</v>
      </c>
      <c r="EH33" s="276">
        <f>$D33/$D$281*('20Ф'!$I$509+'26Ф'!$D$41+'20Ф'!$I$507)</f>
        <v>7656.6070834462871</v>
      </c>
      <c r="EI33" s="276">
        <f>$D33/$D$281*'91Ф'!$D$31</f>
        <v>14035.68538411432</v>
      </c>
      <c r="EJ33" s="276">
        <f>$D33/$D$281*'20Ф'!$I$1316</f>
        <v>1716.035446770584</v>
      </c>
      <c r="EK33" s="276">
        <f>$D33/$D$281*('20Ф'!$I$1105+'20Ф'!$I$1282+'91Ф'!$D$17+'91Ф'!$D$41)</f>
        <v>56356.515907291316</v>
      </c>
      <c r="EL33" s="276">
        <f>$D33/$D$281*отчёт!BX$294</f>
        <v>94210.907201081238</v>
      </c>
      <c r="EM33" s="276">
        <f>$D33/$D$281*отчёт!BY$294</f>
        <v>82853.435826523215</v>
      </c>
      <c r="EN33" s="276">
        <f>SUMIF(отчёт!$B:$B,$B:$B,отчёт!BZ:BZ)/отчёт!BZ$281*('60Ф'!$O$151+'60Ф'!$P$151)*отчёт!BZ$293</f>
        <v>0</v>
      </c>
      <c r="EO33" s="240">
        <f t="shared" si="3"/>
        <v>0</v>
      </c>
      <c r="EP33" s="276">
        <f>SUMIF('20Ф'!$H:$H,$B:$B,'20Ф'!T:T)*1.2</f>
        <v>0</v>
      </c>
      <c r="EQ33" s="276">
        <f>SUMIF('20Ф'!$H:$H,$B:$B,'20Ф'!U:U)*1.2</f>
        <v>0</v>
      </c>
      <c r="ER33" s="236"/>
      <c r="ES33" s="239">
        <f t="shared" si="6"/>
        <v>31532.426521954007</v>
      </c>
      <c r="ET33" s="276">
        <f>$D33/$D$282*'20Ф'!$I$381</f>
        <v>2410.053571010717</v>
      </c>
      <c r="EU33" s="276">
        <f>$D33/$D$282*('20Ф'!$I$75+'20Ф'!$I$1098)*1.2</f>
        <v>27837.188634007107</v>
      </c>
      <c r="EV33" s="276">
        <f>$D33/$D$282*('20Ф'!$I$1286)</f>
        <v>1285.1843169361814</v>
      </c>
      <c r="EW33" s="276">
        <f>SUMIF('91.1Ф'!$N:$N,$B:$B,'91.1Ф'!$F:$F)+$D33/$D$281*('91Ф'!$D$12+'91Ф'!$D$11+'91Ф'!$D$19+'91Ф'!$D$20)</f>
        <v>7427.5133368640527</v>
      </c>
      <c r="EX33" s="276">
        <f t="shared" si="4"/>
        <v>1126.4609260381987</v>
      </c>
      <c r="EY33" s="276">
        <f>SUMIF('20Ф'!$H:$H,$B:$B,'20Ф'!$AY:$AY)*1.2</f>
        <v>0</v>
      </c>
      <c r="EZ33" s="295">
        <f>D33/$D$286*'20Ф'!$I$1163</f>
        <v>1126.4609260381987</v>
      </c>
      <c r="FA33" s="277">
        <f>SUMIF(отчёт!$B:$B,$B:$B,отчёт!$CU:$CU)/отчёт!$CU$281*'20Ф'!$I$1341</f>
        <v>1841.9277108433701</v>
      </c>
      <c r="FB33" s="276">
        <f>SUMIF(Сальдо!$A:$A,$B:$B,Сальдо!$H:$H)-SUMIF(Сальдо!$A:$A,$B:$B,Сальдо!$I:$I)</f>
        <v>7746.5599999999977</v>
      </c>
    </row>
    <row r="34" spans="1:162" ht="12" customHeight="1" x14ac:dyDescent="0.25">
      <c r="A34" s="3">
        <f t="shared" si="7"/>
        <v>30</v>
      </c>
      <c r="B34" s="4" t="s">
        <v>79</v>
      </c>
      <c r="C34" s="4" t="s">
        <v>79</v>
      </c>
      <c r="D34" s="5">
        <v>2617.3000000000002</v>
      </c>
      <c r="E34" s="6">
        <v>2539.3000000000002</v>
      </c>
      <c r="F34" s="6">
        <v>78</v>
      </c>
      <c r="G34" s="6">
        <v>193.2</v>
      </c>
      <c r="H34" s="5">
        <f>SUMIF(отчёт!$B:$B,$B:$B,отчёт!I:I)</f>
        <v>0</v>
      </c>
      <c r="I34" s="5">
        <f>SUMIF(отчёт!$B:$B,$B:$B,отчёт!J:J)</f>
        <v>0</v>
      </c>
      <c r="J34" s="3" t="s">
        <v>74</v>
      </c>
      <c r="K34" s="105">
        <v>9</v>
      </c>
      <c r="L34" s="105" t="s">
        <v>75</v>
      </c>
      <c r="M34" s="12">
        <v>20.440000000000001</v>
      </c>
      <c r="N34" s="8">
        <v>3.11</v>
      </c>
      <c r="O34" s="8">
        <v>4.0599999999999996</v>
      </c>
      <c r="P34" s="8">
        <v>7</v>
      </c>
      <c r="Q34" s="8">
        <v>4</v>
      </c>
      <c r="R34" s="8">
        <v>2.0499999999999998</v>
      </c>
      <c r="S34" s="8">
        <v>0</v>
      </c>
      <c r="T34" s="8">
        <v>0</v>
      </c>
      <c r="U34" s="8">
        <v>0.22</v>
      </c>
      <c r="V34" s="9">
        <v>40</v>
      </c>
      <c r="W34" s="9">
        <v>0</v>
      </c>
      <c r="X34" s="9">
        <v>0</v>
      </c>
      <c r="Y34" s="8">
        <v>0</v>
      </c>
      <c r="Z34" s="9">
        <v>42.3</v>
      </c>
      <c r="AA34" s="9">
        <v>2604.04</v>
      </c>
      <c r="AB34" s="8">
        <v>6.92</v>
      </c>
      <c r="AC34" s="10">
        <v>0</v>
      </c>
      <c r="AD34" s="8">
        <v>6.73</v>
      </c>
      <c r="AE34" s="8">
        <v>10.67</v>
      </c>
      <c r="AF34" s="8">
        <v>14</v>
      </c>
      <c r="AG34" s="7">
        <v>320985.67200000002</v>
      </c>
      <c r="AH34" s="8">
        <v>48838.817999999999</v>
      </c>
      <c r="AI34" s="8">
        <v>63757.428</v>
      </c>
      <c r="AJ34" s="8">
        <v>109926.6</v>
      </c>
      <c r="AK34" s="8">
        <v>62815.200000000004</v>
      </c>
      <c r="AL34" s="8">
        <v>32192.79</v>
      </c>
      <c r="AM34" s="8">
        <v>0</v>
      </c>
      <c r="AN34" s="8">
        <v>0</v>
      </c>
      <c r="AO34" s="8">
        <v>3454.8360000000002</v>
      </c>
      <c r="AQ34" s="104">
        <v>26.91</v>
      </c>
      <c r="AR34" s="375">
        <v>7.81</v>
      </c>
      <c r="AS34" s="376"/>
      <c r="AT34" s="104">
        <v>8.4499999999999993</v>
      </c>
      <c r="AU34" s="104">
        <v>1.53</v>
      </c>
      <c r="AV34" s="104">
        <v>0.18</v>
      </c>
      <c r="AW34" s="104">
        <v>0.48</v>
      </c>
      <c r="AX34" s="104">
        <v>4.93</v>
      </c>
      <c r="AY34" s="104">
        <v>2.6</v>
      </c>
      <c r="AZ34" s="104">
        <v>0</v>
      </c>
      <c r="BA34" s="104">
        <v>0</v>
      </c>
      <c r="BB34" s="104">
        <v>0</v>
      </c>
      <c r="BC34" s="101">
        <v>0.93</v>
      </c>
      <c r="BD34" s="104">
        <v>30.48903</v>
      </c>
      <c r="BE34" s="375">
        <v>8.8487299999999998</v>
      </c>
      <c r="BF34" s="376">
        <v>0</v>
      </c>
      <c r="BG34" s="104">
        <v>9.5738499999999984</v>
      </c>
      <c r="BH34" s="104">
        <v>1.73349</v>
      </c>
      <c r="BI34" s="104">
        <v>0.20393999999999998</v>
      </c>
      <c r="BJ34" s="104">
        <v>0.54383999999999999</v>
      </c>
      <c r="BK34" s="104">
        <v>5.5856899999999996</v>
      </c>
      <c r="BL34" s="104">
        <v>2.9458000000000002</v>
      </c>
      <c r="BM34" s="104">
        <v>0</v>
      </c>
      <c r="BN34" s="104">
        <v>0</v>
      </c>
      <c r="BO34" s="104">
        <v>0</v>
      </c>
      <c r="BP34" s="101">
        <v>1.05369</v>
      </c>
      <c r="BQ34" s="103">
        <v>938852.46819000004</v>
      </c>
      <c r="BR34" s="371">
        <v>272480.03629000002</v>
      </c>
      <c r="BS34" s="371">
        <v>0</v>
      </c>
      <c r="BT34" s="103">
        <v>294808.74605000002</v>
      </c>
      <c r="BU34" s="103">
        <v>53379.571770000002</v>
      </c>
      <c r="BV34" s="103">
        <v>6279.9496199999994</v>
      </c>
      <c r="BW34" s="103">
        <v>16746.532319999998</v>
      </c>
      <c r="BX34" s="103">
        <v>172000.84237</v>
      </c>
      <c r="BY34" s="103">
        <v>90710.383400000006</v>
      </c>
      <c r="BZ34" s="103">
        <v>0</v>
      </c>
      <c r="CA34" s="103">
        <v>0</v>
      </c>
      <c r="CB34" s="103">
        <v>0</v>
      </c>
      <c r="CC34" s="103">
        <v>32446.406370000001</v>
      </c>
      <c r="CD34" s="1">
        <v>1</v>
      </c>
      <c r="CF34" s="277">
        <f>SUMIF(Оборот!$A:$A,$B:$B,Оборот!H:H)</f>
        <v>688569.33000000007</v>
      </c>
      <c r="CG34" s="277">
        <f>SUMIF(Оборот!$A:$A,$B:$B,Оборот!I:I)</f>
        <v>670444.53999999992</v>
      </c>
      <c r="CH34" s="277">
        <f t="shared" si="0"/>
        <v>1059536.7203067408</v>
      </c>
      <c r="CI34" s="239">
        <f t="shared" si="5"/>
        <v>155843.79392515452</v>
      </c>
      <c r="CJ34" s="276">
        <f>SUMIF('20Ф'!$H:$H,$B:$B,'20Ф'!M:M)*1.2</f>
        <v>0</v>
      </c>
      <c r="CK34" s="276">
        <f>SUMIF('20Ф'!$H:$H,$B:$B,'20Ф'!O:O)*1.2</f>
        <v>0</v>
      </c>
      <c r="CL34" s="276">
        <f>SUMIF('20Ф'!$H:$H,$B:$B,'20Ф'!Q:Q)*1.2</f>
        <v>0</v>
      </c>
      <c r="CM34" s="276">
        <f>SUMIF('20Ф'!$H:$H,$B:$B,'20Ф'!R:R)*1.2</f>
        <v>0</v>
      </c>
      <c r="CN34" s="276">
        <f>SUMIF('20Ф'!$H:$H,$B:$B,'20Ф'!S:S)*1.2</f>
        <v>0</v>
      </c>
      <c r="CO34" s="276">
        <f>SUMIF('20Ф'!$H:$H,$B:$B,'20Ф'!W:W)*1.2</f>
        <v>0</v>
      </c>
      <c r="CP34" s="276">
        <f>SUMIF('20Ф'!$H:$H,$B:$B,'20Ф'!P:P)*1.2</f>
        <v>0</v>
      </c>
      <c r="CQ34" s="276">
        <f>SUMIF('20Ф'!$H:$H,$B:$B,'20Ф'!Y:Y)*1.2</f>
        <v>0</v>
      </c>
      <c r="CR34" s="276">
        <f>SUMIF('20Ф'!$H:$H,$B:$B,'20Ф'!Z:Z)*1.2</f>
        <v>0</v>
      </c>
      <c r="CS34" s="276">
        <f>SUMIF('20Ф'!$H:$H,$B:$B,'20Ф'!AB:AB)*1.2</f>
        <v>0</v>
      </c>
      <c r="CT34" s="276">
        <f>SUMIF('20Ф'!$H:$H,$B:$B,'20Ф'!AC:AC)*1.2</f>
        <v>0</v>
      </c>
      <c r="CU34" s="276">
        <f>SUMIF('20Ф'!$H:$H,$B:$B,'20Ф'!AD:AD)*1.2</f>
        <v>0</v>
      </c>
      <c r="CV34" s="276">
        <f>SUMIF('20Ф'!$H:$H,$B:$B,'20Ф'!AE:AE)*1.2</f>
        <v>0</v>
      </c>
      <c r="CW34" s="276">
        <f>SUMIF('20Ф'!$H:$H,$B:$B,'20Ф'!AF:AF)*1.2</f>
        <v>0</v>
      </c>
      <c r="CX34" s="276">
        <f>SUMIF('20Ф'!$H:$H,$B:$B,'20Ф'!AG:AG)*1.2</f>
        <v>0</v>
      </c>
      <c r="CY34" s="276">
        <f>SUMIF('20Ф'!$H:$H,$B:$B,'20Ф'!AH:AH)*1.2</f>
        <v>0</v>
      </c>
      <c r="CZ34" s="276">
        <f>SUMIF('20Ф'!$H:$H,$B:$B,'20Ф'!AI:AI)*1.2</f>
        <v>0</v>
      </c>
      <c r="DA34" s="276">
        <f>SUMIF('20Ф'!$H:$H,$B:$B,'20Ф'!AJ:AJ)*1.2</f>
        <v>0</v>
      </c>
      <c r="DB34" s="276">
        <f>SUMIF('20Ф'!$H:$H,$B:$B,'20Ф'!AK:AK)*1.2</f>
        <v>0</v>
      </c>
      <c r="DC34" s="276">
        <f>SUMIF('20Ф'!$H:$H,$B:$B,'20Ф'!AL:AL)*1.2</f>
        <v>0</v>
      </c>
      <c r="DD34" s="276">
        <f>SUMIF('20Ф'!$H:$H,$B:$B,'20Ф'!AM:AM)*1.2</f>
        <v>0</v>
      </c>
      <c r="DE34" s="276">
        <f>SUMIF('20Ф'!$H:$H,$B:$B,'20Ф'!AN:AN)*1.2</f>
        <v>68561.843999999997</v>
      </c>
      <c r="DF34" s="276">
        <f>SUMIF('20Ф'!$H:$H,$B:$B,'20Ф'!AO:AO)*1.2</f>
        <v>0</v>
      </c>
      <c r="DG34" s="276">
        <f>SUMIF('20Ф'!$H:$H,$B:$B,'20Ф'!AP:AP)*1.2</f>
        <v>0</v>
      </c>
      <c r="DH34" s="276">
        <f>SUMIF('20Ф'!$H:$H,$B:$B,'20Ф'!AQ:AQ)*1.2</f>
        <v>4711.92</v>
      </c>
      <c r="DI34" s="276">
        <f>SUMIF('20Ф'!$H:$H,$B:$B,'20Ф'!BA:BA)*1.2</f>
        <v>59550</v>
      </c>
      <c r="DJ34" s="276">
        <f>SUMIF('20Ф'!$H:$H,$B:$B,'20Ф'!BB:BB)*1.2</f>
        <v>0</v>
      </c>
      <c r="DK34" s="276">
        <f>SUMIF('20Ф'!$H:$H,$B:$B,'20Ф'!BC:BC)*1.2</f>
        <v>0</v>
      </c>
      <c r="DL34" s="276">
        <f>$D34/$D$281*'20Ф'!$H$218</f>
        <v>23020.029925154515</v>
      </c>
      <c r="DM34" s="240">
        <f t="shared" si="1"/>
        <v>325692.3236459748</v>
      </c>
      <c r="DN34" s="276">
        <f>SUMIF('20Ф'!$H:$H,$B:$B,'20Ф'!AV:AV)*1.2</f>
        <v>0</v>
      </c>
      <c r="DO34" s="276">
        <f>SUMIF('20Ф'!$H:$H,$B:$B,'20Ф'!AW:AW)*1.2+$D34/$D$281*'26Ф'!$D$42</f>
        <v>12250.068314402415</v>
      </c>
      <c r="DP34" s="276">
        <f>SUMIF('20Ф'!$H:$H,$B:$B,'20Ф'!AX:AX)*1.2</f>
        <v>0</v>
      </c>
      <c r="DQ34" s="276">
        <f>SUMIF('20Ф'!$H:$H,$B:$B,'20Ф'!AY:AY)*1.2</f>
        <v>0</v>
      </c>
      <c r="DR34" s="276">
        <f>SUMIF('20Ф'!$H:$H,$B:$B,'20Ф'!AU:AU)*1.2</f>
        <v>0</v>
      </c>
      <c r="DS34" s="276">
        <f>SUMIF('20Ф'!$H:$H,$B:$B,'20Ф'!AS:AS)*1.2</f>
        <v>0</v>
      </c>
      <c r="DT34" s="276">
        <f>SUMIF('20Ф'!$H:$H,$B:$B,'20Ф'!AR:AR)*1.2</f>
        <v>76108.512000000002</v>
      </c>
      <c r="DU34" s="276">
        <f>SUMIF('20Ф'!$H:$H,$B:$B,'20Ф'!X:X)*1.2</f>
        <v>21244.511999999999</v>
      </c>
      <c r="DV34" s="276">
        <f>SUMIF('20Ф'!$H:$H,$B:$B,'20Ф'!AA:AA)*1.2</f>
        <v>0</v>
      </c>
      <c r="DW34" s="276">
        <f>SUMIF('20Ф'!$H:$H,$B:$B,'20Ф'!N:N)*1.2</f>
        <v>0</v>
      </c>
      <c r="DX34" s="276">
        <f>$D34/$D$281*('25Ф'!$D$37)</f>
        <v>205908.32324258305</v>
      </c>
      <c r="DY34" s="276">
        <f>$D34/$D$281*'25Ф'!$D$30</f>
        <v>6571.947294811891</v>
      </c>
      <c r="DZ34" s="276">
        <f>$D34/$D$281*'25Ф'!$D$31</f>
        <v>3608.960794177448</v>
      </c>
      <c r="EA34" s="276"/>
      <c r="EB34" s="276">
        <f t="shared" si="2"/>
        <v>129725.47538605494</v>
      </c>
      <c r="EC34" s="276">
        <f>$D34/$D$281*'26Ф'!$D$36</f>
        <v>67526.287716416773</v>
      </c>
      <c r="ED34" s="276">
        <f>$D34/$D$281*'26Ф'!$D$37</f>
        <v>8113.2113496462516</v>
      </c>
      <c r="EE34" s="276">
        <f>$D34/$D$281*'26Ф'!$D$38</f>
        <v>8196.4203155479809</v>
      </c>
      <c r="EF34" s="276">
        <f>$D34/$D$281*'26Ф'!$D$39</f>
        <v>5749.7813706775951</v>
      </c>
      <c r="EG34" s="276">
        <f>$D34/$D$281*'91Ф'!$D$10</f>
        <v>1773.8051615520246</v>
      </c>
      <c r="EH34" s="276">
        <f>$D34/$D$281*('20Ф'!$I$509+'26Ф'!$D$41+'20Ф'!$I$507)</f>
        <v>12549.087431588683</v>
      </c>
      <c r="EI34" s="276">
        <f>$D34/$D$281*'91Ф'!$D$31</f>
        <v>23004.320468308859</v>
      </c>
      <c r="EJ34" s="276">
        <f>$D34/$D$281*'20Ф'!$I$1316</f>
        <v>2812.5615723167703</v>
      </c>
      <c r="EK34" s="276">
        <f>$D34/$D$281*('20Ф'!$I$1105+'20Ф'!$I$1282+'91Ф'!$D$17+'91Ф'!$D$41)</f>
        <v>92367.655510146898</v>
      </c>
      <c r="EL34" s="276">
        <f>$D34/$D$281*отчёт!BX$294</f>
        <v>154410.55007664222</v>
      </c>
      <c r="EM34" s="276">
        <f>$D34/$D$281*отчёт!BY$294</f>
        <v>135795.79033675199</v>
      </c>
      <c r="EN34" s="276">
        <f>SUMIF(отчёт!$B:$B,$B:$B,отчёт!BZ:BZ)/отчёт!BZ$281*('60Ф'!$O$151+'60Ф'!$P$151)*отчёт!BZ$293</f>
        <v>0</v>
      </c>
      <c r="EO34" s="240">
        <f t="shared" si="3"/>
        <v>0</v>
      </c>
      <c r="EP34" s="276">
        <f>SUMIF('20Ф'!$H:$H,$B:$B,'20Ф'!T:T)*1.2</f>
        <v>0</v>
      </c>
      <c r="EQ34" s="276">
        <f>SUMIF('20Ф'!$H:$H,$B:$B,'20Ф'!U:U)*1.2</f>
        <v>0</v>
      </c>
      <c r="ER34" s="236"/>
      <c r="ES34" s="239">
        <f t="shared" si="6"/>
        <v>51681.269920414685</v>
      </c>
      <c r="ET34" s="276">
        <f>$D34/$D$282*'20Ф'!$I$381</f>
        <v>3950.0489770219488</v>
      </c>
      <c r="EU34" s="276">
        <f>$D34/$D$282*('20Ф'!$I$75+'20Ф'!$I$1098)*1.2</f>
        <v>45624.819219604731</v>
      </c>
      <c r="EV34" s="276">
        <f>$D34/$D$282*('20Ф'!$I$1286)</f>
        <v>2106.4017237880066</v>
      </c>
      <c r="EW34" s="276">
        <f>SUMIF('91.1Ф'!$N:$N,$B:$B,'91.1Ф'!$F:$F)+$D34/$D$281*('91Ф'!$D$12+'91Ф'!$D$11+'91Ф'!$D$19+'91Ф'!$D$20)</f>
        <v>12173.605521055975</v>
      </c>
      <c r="EX34" s="276">
        <f t="shared" si="4"/>
        <v>1846.2559845449168</v>
      </c>
      <c r="EY34" s="276">
        <f>SUMIF('20Ф'!$H:$H,$B:$B,'20Ф'!$AY:$AY)*1.2</f>
        <v>0</v>
      </c>
      <c r="EZ34" s="295">
        <f>D34/$D$286*'20Ф'!$I$1163</f>
        <v>1846.2559845449168</v>
      </c>
      <c r="FA34" s="277">
        <f>SUMIF(отчёт!$B:$B,$B:$B,отчёт!$CU:$CU)/отчёт!$CU$281*'20Ф'!$I$1341</f>
        <v>3683.8554216867401</v>
      </c>
      <c r="FB34" s="276">
        <f>SUMIF(Сальдо!$A:$A,$B:$B,Сальдо!$H:$H)-SUMIF(Сальдо!$A:$A,$B:$B,Сальдо!$I:$I)</f>
        <v>158526.46000000002</v>
      </c>
    </row>
    <row r="35" spans="1:162" ht="12" customHeight="1" x14ac:dyDescent="0.25">
      <c r="A35" s="3">
        <f t="shared" si="7"/>
        <v>31</v>
      </c>
      <c r="B35" s="4" t="s">
        <v>80</v>
      </c>
      <c r="C35" s="4" t="s">
        <v>80</v>
      </c>
      <c r="D35" s="5">
        <v>794.16</v>
      </c>
      <c r="E35" s="6">
        <v>794.16</v>
      </c>
      <c r="F35" s="6">
        <v>0</v>
      </c>
      <c r="G35" s="6">
        <v>96</v>
      </c>
      <c r="H35" s="5">
        <f>SUMIF(отчёт!$B:$B,$B:$B,отчёт!I:I)</f>
        <v>0</v>
      </c>
      <c r="I35" s="5">
        <f>SUMIF(отчёт!$B:$B,$B:$B,отчёт!J:J)</f>
        <v>0</v>
      </c>
      <c r="J35" s="3" t="s">
        <v>74</v>
      </c>
      <c r="K35" s="105">
        <v>9</v>
      </c>
      <c r="L35" s="105" t="s">
        <v>81</v>
      </c>
      <c r="M35" s="12">
        <v>16.23</v>
      </c>
      <c r="N35" s="8">
        <v>0</v>
      </c>
      <c r="O35" s="8">
        <v>3.25</v>
      </c>
      <c r="P35" s="8">
        <v>6.71</v>
      </c>
      <c r="Q35" s="8">
        <v>4</v>
      </c>
      <c r="R35" s="8">
        <v>2.0499999999999998</v>
      </c>
      <c r="S35" s="8">
        <v>0</v>
      </c>
      <c r="T35" s="8">
        <v>0</v>
      </c>
      <c r="U35" s="8">
        <v>0.22</v>
      </c>
      <c r="V35" s="9">
        <v>40</v>
      </c>
      <c r="W35" s="9">
        <v>0</v>
      </c>
      <c r="X35" s="9">
        <v>0</v>
      </c>
      <c r="Y35" s="8">
        <v>0</v>
      </c>
      <c r="Z35" s="9">
        <v>42.3</v>
      </c>
      <c r="AA35" s="9">
        <v>2604.04</v>
      </c>
      <c r="AB35" s="8">
        <v>7.85</v>
      </c>
      <c r="AC35" s="10">
        <v>0</v>
      </c>
      <c r="AD35" s="8">
        <v>6.73</v>
      </c>
      <c r="AE35" s="8">
        <v>10.67</v>
      </c>
      <c r="AF35" s="8">
        <v>14</v>
      </c>
      <c r="AG35" s="7">
        <v>77335.300799999997</v>
      </c>
      <c r="AH35" s="8">
        <v>0</v>
      </c>
      <c r="AI35" s="8">
        <v>15486.119999999999</v>
      </c>
      <c r="AJ35" s="8">
        <v>31972.881599999997</v>
      </c>
      <c r="AK35" s="8">
        <v>19059.84</v>
      </c>
      <c r="AL35" s="8">
        <v>9768.1679999999978</v>
      </c>
      <c r="AM35" s="8">
        <v>0</v>
      </c>
      <c r="AN35" s="8">
        <v>0</v>
      </c>
      <c r="AO35" s="8">
        <v>1048.2911999999999</v>
      </c>
      <c r="AP35" s="16" t="s">
        <v>82</v>
      </c>
      <c r="AQ35" s="104">
        <v>16.23</v>
      </c>
      <c r="AR35" s="104">
        <v>0</v>
      </c>
      <c r="AS35" s="104">
        <v>3.25</v>
      </c>
      <c r="AT35" s="104">
        <v>6.71</v>
      </c>
      <c r="AU35" s="104"/>
      <c r="AV35" s="104"/>
      <c r="AW35" s="104"/>
      <c r="AX35" s="104">
        <v>4</v>
      </c>
      <c r="AY35" s="104">
        <v>2.0499999999999998</v>
      </c>
      <c r="AZ35" s="104">
        <v>0</v>
      </c>
      <c r="BA35" s="104">
        <v>0</v>
      </c>
      <c r="BB35" s="104"/>
      <c r="BC35" s="101">
        <v>0.22</v>
      </c>
      <c r="BD35" s="104">
        <v>16.23</v>
      </c>
      <c r="BE35" s="104">
        <v>0</v>
      </c>
      <c r="BF35" s="104">
        <v>3.25</v>
      </c>
      <c r="BG35" s="104">
        <v>6.71</v>
      </c>
      <c r="BH35" s="104">
        <v>0</v>
      </c>
      <c r="BI35" s="104">
        <v>0</v>
      </c>
      <c r="BJ35" s="104">
        <v>0</v>
      </c>
      <c r="BK35" s="104">
        <v>4</v>
      </c>
      <c r="BL35" s="104">
        <v>2.0499999999999998</v>
      </c>
      <c r="BM35" s="104">
        <v>0</v>
      </c>
      <c r="BN35" s="104">
        <v>0</v>
      </c>
      <c r="BO35" s="104">
        <v>0</v>
      </c>
      <c r="BP35" s="101">
        <v>0.22</v>
      </c>
      <c r="BQ35" s="103">
        <v>154670.60160000002</v>
      </c>
      <c r="BR35" s="103">
        <v>0</v>
      </c>
      <c r="BS35" s="103">
        <v>30972.239999999998</v>
      </c>
      <c r="BT35" s="103">
        <v>63945.763199999994</v>
      </c>
      <c r="BU35" s="103">
        <v>0</v>
      </c>
      <c r="BV35" s="103">
        <v>0</v>
      </c>
      <c r="BW35" s="103">
        <v>0</v>
      </c>
      <c r="BX35" s="103">
        <v>38119.68</v>
      </c>
      <c r="BY35" s="103">
        <v>19536.335999999999</v>
      </c>
      <c r="BZ35" s="103">
        <v>0</v>
      </c>
      <c r="CA35" s="103">
        <v>0</v>
      </c>
      <c r="CB35" s="103">
        <v>0</v>
      </c>
      <c r="CC35" s="103">
        <v>2096.5824000000002</v>
      </c>
      <c r="CD35" s="1">
        <v>2</v>
      </c>
      <c r="CF35" s="277">
        <f>SUMIF(Оборот!$A:$A,$B:$B,Оборот!H:H)</f>
        <v>154670.63999999998</v>
      </c>
      <c r="CG35" s="277">
        <f>SUMIF(Оборот!$A:$A,$B:$B,Оборот!I:I)</f>
        <v>148587.44999999998</v>
      </c>
      <c r="CH35" s="277">
        <f t="shared" si="0"/>
        <v>1025469.3867058117</v>
      </c>
      <c r="CI35" s="239">
        <f t="shared" si="5"/>
        <v>620154.11113122711</v>
      </c>
      <c r="CJ35" s="276">
        <f>SUMIF('20Ф'!$H:$H,$B:$B,'20Ф'!M:M)*1.2</f>
        <v>0</v>
      </c>
      <c r="CK35" s="276">
        <f>SUMIF('20Ф'!$H:$H,$B:$B,'20Ф'!O:O)*1.2</f>
        <v>0</v>
      </c>
      <c r="CL35" s="276">
        <f>SUMIF('20Ф'!$H:$H,$B:$B,'20Ф'!Q:Q)*1.2</f>
        <v>0</v>
      </c>
      <c r="CM35" s="276">
        <f>SUMIF('20Ф'!$H:$H,$B:$B,'20Ф'!R:R)*1.2</f>
        <v>0</v>
      </c>
      <c r="CN35" s="276">
        <f>SUMIF('20Ф'!$H:$H,$B:$B,'20Ф'!S:S)*1.2</f>
        <v>0</v>
      </c>
      <c r="CO35" s="276">
        <f>SUMIF('20Ф'!$H:$H,$B:$B,'20Ф'!W:W)*1.2</f>
        <v>0</v>
      </c>
      <c r="CP35" s="276">
        <f>SUMIF('20Ф'!$H:$H,$B:$B,'20Ф'!P:P)*1.2</f>
        <v>0</v>
      </c>
      <c r="CQ35" s="276">
        <f>SUMIF('20Ф'!$H:$H,$B:$B,'20Ф'!Y:Y)*1.2</f>
        <v>0</v>
      </c>
      <c r="CR35" s="276">
        <f>SUMIF('20Ф'!$H:$H,$B:$B,'20Ф'!Z:Z)*1.2</f>
        <v>0</v>
      </c>
      <c r="CS35" s="276">
        <f>SUMIF('20Ф'!$H:$H,$B:$B,'20Ф'!AB:AB)*1.2</f>
        <v>0</v>
      </c>
      <c r="CT35" s="276">
        <f>SUMIF('20Ф'!$H:$H,$B:$B,'20Ф'!AC:AC)*1.2</f>
        <v>0</v>
      </c>
      <c r="CU35" s="276">
        <f>SUMIF('20Ф'!$H:$H,$B:$B,'20Ф'!AD:AD)*1.2</f>
        <v>0</v>
      </c>
      <c r="CV35" s="276">
        <f>SUMIF('20Ф'!$H:$H,$B:$B,'20Ф'!AE:AE)*1.2</f>
        <v>0</v>
      </c>
      <c r="CW35" s="276">
        <f>SUMIF('20Ф'!$H:$H,$B:$B,'20Ф'!AF:AF)*1.2</f>
        <v>0</v>
      </c>
      <c r="CX35" s="276">
        <f>SUMIF('20Ф'!$H:$H,$B:$B,'20Ф'!AG:AG)*1.2</f>
        <v>0</v>
      </c>
      <c r="CY35" s="276">
        <f>SUMIF('20Ф'!$H:$H,$B:$B,'20Ф'!AH:AH)*1.2</f>
        <v>80274.671999999991</v>
      </c>
      <c r="CZ35" s="276">
        <f>SUMIF('20Ф'!$H:$H,$B:$B,'20Ф'!AI:AI)*1.2</f>
        <v>0</v>
      </c>
      <c r="DA35" s="276">
        <f>SUMIF('20Ф'!$H:$H,$B:$B,'20Ф'!AJ:AJ)*1.2</f>
        <v>0</v>
      </c>
      <c r="DB35" s="276">
        <f>SUMIF('20Ф'!$H:$H,$B:$B,'20Ф'!AK:AK)*1.2</f>
        <v>0</v>
      </c>
      <c r="DC35" s="276">
        <f>SUMIF('20Ф'!$H:$H,$B:$B,'20Ф'!AL:AL)*1.2</f>
        <v>532894.53599999996</v>
      </c>
      <c r="DD35" s="276">
        <f>SUMIF('20Ф'!$H:$H,$B:$B,'20Ф'!AM:AM)*1.2</f>
        <v>0</v>
      </c>
      <c r="DE35" s="276">
        <f>SUMIF('20Ф'!$H:$H,$B:$B,'20Ф'!AN:AN)*1.2</f>
        <v>0</v>
      </c>
      <c r="DF35" s="276">
        <f>SUMIF('20Ф'!$H:$H,$B:$B,'20Ф'!AO:AO)*1.2</f>
        <v>0</v>
      </c>
      <c r="DG35" s="276">
        <f>SUMIF('20Ф'!$H:$H,$B:$B,'20Ф'!AP:AP)*1.2</f>
        <v>0</v>
      </c>
      <c r="DH35" s="276">
        <f>SUMIF('20Ф'!$H:$H,$B:$B,'20Ф'!AQ:AQ)*1.2</f>
        <v>0</v>
      </c>
      <c r="DI35" s="276">
        <f>SUMIF('20Ф'!$H:$H,$B:$B,'20Ф'!BA:BA)*1.2</f>
        <v>0</v>
      </c>
      <c r="DJ35" s="276">
        <f>SUMIF('20Ф'!$H:$H,$B:$B,'20Ф'!BB:BB)*1.2</f>
        <v>0</v>
      </c>
      <c r="DK35" s="276">
        <f>SUMIF('20Ф'!$H:$H,$B:$B,'20Ф'!BC:BC)*1.2</f>
        <v>0</v>
      </c>
      <c r="DL35" s="276">
        <f>$D35/$D$281*'20Ф'!$H$218</f>
        <v>6984.9031312271063</v>
      </c>
      <c r="DM35" s="240">
        <f t="shared" si="1"/>
        <v>229934.17342026028</v>
      </c>
      <c r="DN35" s="276">
        <f>SUMIF('20Ф'!$H:$H,$B:$B,'20Ф'!AV:AV)*1.2</f>
        <v>0</v>
      </c>
      <c r="DO35" s="276">
        <f>SUMIF('20Ф'!$H:$H,$B:$B,'20Ф'!AW:AW)*1.2+$D35/$D$281*'26Ф'!$D$42</f>
        <v>3717.0038790225885</v>
      </c>
      <c r="DP35" s="276">
        <f>SUMIF('20Ф'!$H:$H,$B:$B,'20Ф'!AX:AX)*1.2</f>
        <v>0</v>
      </c>
      <c r="DQ35" s="276">
        <f>SUMIF('20Ф'!$H:$H,$B:$B,'20Ф'!AY:AY)*1.2</f>
        <v>0</v>
      </c>
      <c r="DR35" s="276">
        <f>SUMIF('20Ф'!$H:$H,$B:$B,'20Ф'!AU:AU)*1.2</f>
        <v>0</v>
      </c>
      <c r="DS35" s="276">
        <f>SUMIF('20Ф'!$H:$H,$B:$B,'20Ф'!AS:AS)*1.2</f>
        <v>0</v>
      </c>
      <c r="DT35" s="276">
        <f>SUMIF('20Ф'!$H:$H,$B:$B,'20Ф'!AR:AR)*1.2</f>
        <v>99070.715999999986</v>
      </c>
      <c r="DU35" s="276">
        <f>SUMIF('20Ф'!$H:$H,$B:$B,'20Ф'!X:X)*1.2</f>
        <v>61579.103999999992</v>
      </c>
      <c r="DV35" s="276">
        <f>SUMIF('20Ф'!$H:$H,$B:$B,'20Ф'!AA:AA)*1.2</f>
        <v>0</v>
      </c>
      <c r="DW35" s="276">
        <f>SUMIF('20Ф'!$H:$H,$B:$B,'20Ф'!N:N)*1.2</f>
        <v>0</v>
      </c>
      <c r="DX35" s="276">
        <f>$D35/$D$281*('25Ф'!$D$37)</f>
        <v>62478.18514741517</v>
      </c>
      <c r="DY35" s="276">
        <f>$D35/$D$281*'25Ф'!$D$30</f>
        <v>1994.1075396965616</v>
      </c>
      <c r="DZ35" s="276">
        <f>$D35/$D$281*'25Ф'!$D$31</f>
        <v>1095.0568541259929</v>
      </c>
      <c r="EA35" s="276"/>
      <c r="EB35" s="276">
        <f t="shared" si="2"/>
        <v>39362.237241657189</v>
      </c>
      <c r="EC35" s="276">
        <f>$D35/$D$281*'26Ф'!$D$36</f>
        <v>20489.312135738943</v>
      </c>
      <c r="ED35" s="276">
        <f>$D35/$D$281*'26Ф'!$D$37</f>
        <v>2461.7689700970718</v>
      </c>
      <c r="EE35" s="276">
        <f>$D35/$D$281*'26Ф'!$D$38</f>
        <v>2487.0168332998064</v>
      </c>
      <c r="EF35" s="276">
        <f>$D35/$D$281*'26Ф'!$D$39</f>
        <v>1744.6400387182664</v>
      </c>
      <c r="EG35" s="276">
        <f>$D35/$D$281*'91Ф'!$D$10</f>
        <v>538.22072635852044</v>
      </c>
      <c r="EH35" s="276">
        <f>$D35/$D$281*('20Ф'!$I$509+'26Ф'!$D$41+'20Ф'!$I$507)</f>
        <v>3807.7344112904393</v>
      </c>
      <c r="EI35" s="276">
        <f>$D35/$D$281*'91Ф'!$D$31</f>
        <v>6980.1364547862913</v>
      </c>
      <c r="EJ35" s="276">
        <f>$D35/$D$281*'20Ф'!$I$1316</f>
        <v>853.40767136785462</v>
      </c>
      <c r="EK35" s="276">
        <f>$D35/$D$281*('20Ф'!$I$1105+'20Ф'!$I$1282+'91Ф'!$D$17+'91Ф'!$D$41)</f>
        <v>28026.858709333377</v>
      </c>
      <c r="EL35" s="276">
        <f>$D35/$D$281*отчёт!BX$294</f>
        <v>46852.360237216279</v>
      </c>
      <c r="EM35" s="276">
        <f>$D35/$D$281*отчёт!BY$294</f>
        <v>41204.135885773481</v>
      </c>
      <c r="EN35" s="276">
        <f>SUMIF(отчёт!$B:$B,$B:$B,отчёт!BZ:BZ)/отчёт!BZ$281*('60Ф'!$O$151+'60Ф'!$P$151)*отчёт!BZ$293</f>
        <v>0</v>
      </c>
      <c r="EO35" s="240">
        <f t="shared" si="3"/>
        <v>0</v>
      </c>
      <c r="EP35" s="276">
        <f>SUMIF('20Ф'!$H:$H,$B:$B,'20Ф'!T:T)*1.2</f>
        <v>0</v>
      </c>
      <c r="EQ35" s="276">
        <f>SUMIF('20Ф'!$H:$H,$B:$B,'20Ф'!U:U)*1.2</f>
        <v>0</v>
      </c>
      <c r="ER35" s="236"/>
      <c r="ES35" s="239">
        <f t="shared" si="6"/>
        <v>15681.502815877631</v>
      </c>
      <c r="ET35" s="276">
        <f>$D35/$D$282*'20Ф'!$I$381</f>
        <v>1198.552285023402</v>
      </c>
      <c r="EU35" s="276">
        <f>$D35/$D$282*('20Ф'!$I$75+'20Ф'!$I$1098)*1.2</f>
        <v>13843.810962228743</v>
      </c>
      <c r="EV35" s="276">
        <f>$D35/$D$282*('20Ф'!$I$1286)</f>
        <v>639.13956862548548</v>
      </c>
      <c r="EW35" s="276">
        <f>SUMIF('91.1Ф'!$N:$N,$B:$B,'91.1Ф'!$F:$F)+$D35/$D$281*('91Ф'!$D$12+'91Ф'!$D$11+'91Ф'!$D$19+'91Ф'!$D$20)</f>
        <v>3693.8029880418035</v>
      </c>
      <c r="EX35" s="276">
        <f t="shared" si="4"/>
        <v>560.20427642463255</v>
      </c>
      <c r="EY35" s="276">
        <f>SUMIF('20Ф'!$H:$H,$B:$B,'20Ф'!$AY:$AY)*1.2</f>
        <v>0</v>
      </c>
      <c r="EZ35" s="295">
        <f>D35/$D$286*'20Ф'!$I$1163</f>
        <v>560.20427642463255</v>
      </c>
      <c r="FA35" s="277">
        <f>SUMIF(отчёт!$B:$B,$B:$B,отчёт!$CU:$CU)/отчёт!$CU$281*'20Ф'!$I$1341</f>
        <v>0</v>
      </c>
      <c r="FB35" s="276">
        <f>SUMIF(Сальдо!$A:$A,$B:$B,Сальдо!$H:$H)-SUMIF(Сальдо!$A:$A,$B:$B,Сальдо!$I:$I)</f>
        <v>116829.5</v>
      </c>
    </row>
    <row r="36" spans="1:162" ht="12" customHeight="1" x14ac:dyDescent="0.25">
      <c r="A36" s="3">
        <f t="shared" si="7"/>
        <v>32</v>
      </c>
      <c r="B36" s="4" t="s">
        <v>83</v>
      </c>
      <c r="C36" s="4" t="s">
        <v>83</v>
      </c>
      <c r="D36" s="5">
        <v>3900.4</v>
      </c>
      <c r="E36" s="6">
        <v>3900.4</v>
      </c>
      <c r="F36" s="6">
        <v>0</v>
      </c>
      <c r="G36" s="6">
        <v>628</v>
      </c>
      <c r="H36" s="5">
        <f>SUMIF(отчёт!$B:$B,$B:$B,отчёт!I:I)</f>
        <v>1</v>
      </c>
      <c r="I36" s="5">
        <f>SUMIF(отчёт!$B:$B,$B:$B,отчёт!J:J)</f>
        <v>1</v>
      </c>
      <c r="J36" s="3" t="s">
        <v>74</v>
      </c>
      <c r="K36" s="105">
        <v>1</v>
      </c>
      <c r="L36" s="105" t="s">
        <v>75</v>
      </c>
      <c r="M36" s="12">
        <v>36.54</v>
      </c>
      <c r="N36" s="8">
        <v>4.03</v>
      </c>
      <c r="O36" s="8">
        <v>7</v>
      </c>
      <c r="P36" s="8">
        <v>11</v>
      </c>
      <c r="Q36" s="8">
        <v>5.4</v>
      </c>
      <c r="R36" s="8">
        <v>2.67</v>
      </c>
      <c r="S36" s="8">
        <v>1.54</v>
      </c>
      <c r="T36" s="8">
        <v>4.9000000000000004</v>
      </c>
      <c r="U36" s="8">
        <v>0</v>
      </c>
      <c r="V36" s="9">
        <v>40</v>
      </c>
      <c r="W36" s="9">
        <v>40</v>
      </c>
      <c r="X36" s="9">
        <v>2604.04</v>
      </c>
      <c r="Y36" s="8">
        <v>195.98199600000001</v>
      </c>
      <c r="Z36" s="9">
        <v>42.3</v>
      </c>
      <c r="AA36" s="9">
        <v>2604.04</v>
      </c>
      <c r="AB36" s="8">
        <v>0</v>
      </c>
      <c r="AC36" s="10">
        <v>0</v>
      </c>
      <c r="AD36" s="8">
        <v>5.05</v>
      </c>
      <c r="AE36" s="8">
        <v>10.67</v>
      </c>
      <c r="AF36" s="8">
        <v>14</v>
      </c>
      <c r="AG36" s="7">
        <v>855123.696</v>
      </c>
      <c r="AH36" s="8">
        <v>94311.672000000006</v>
      </c>
      <c r="AI36" s="8">
        <v>163816.79999999999</v>
      </c>
      <c r="AJ36" s="8">
        <v>257426.40000000002</v>
      </c>
      <c r="AK36" s="8">
        <v>126372.96000000002</v>
      </c>
      <c r="AL36" s="8">
        <v>62484.407999999996</v>
      </c>
      <c r="AM36" s="8">
        <v>36039.695999999996</v>
      </c>
      <c r="AN36" s="8">
        <v>114671.76000000001</v>
      </c>
      <c r="AO36" s="8">
        <v>0</v>
      </c>
      <c r="AP36" s="1" t="s">
        <v>75</v>
      </c>
      <c r="AQ36" s="104">
        <v>39.28</v>
      </c>
      <c r="AR36" s="104">
        <v>4.3321948549534763</v>
      </c>
      <c r="AS36" s="104">
        <v>7.5249042145593874</v>
      </c>
      <c r="AT36" s="104">
        <v>11.824849480021895</v>
      </c>
      <c r="AU36" s="104"/>
      <c r="AV36" s="104"/>
      <c r="AW36" s="104"/>
      <c r="AX36" s="104">
        <v>5.8049261083743851</v>
      </c>
      <c r="AY36" s="104">
        <v>2.870213464696223</v>
      </c>
      <c r="AZ36" s="104">
        <v>1.6554789272030652</v>
      </c>
      <c r="BA36" s="104">
        <v>5.267432950191572</v>
      </c>
      <c r="BB36" s="104"/>
      <c r="BC36" s="101">
        <v>0</v>
      </c>
      <c r="BD36" s="104">
        <v>39.28</v>
      </c>
      <c r="BE36" s="104">
        <v>4.3321948549534763</v>
      </c>
      <c r="BF36" s="104">
        <v>7.5249042145593874</v>
      </c>
      <c r="BG36" s="104">
        <v>11.824849480021895</v>
      </c>
      <c r="BH36" s="104">
        <v>0</v>
      </c>
      <c r="BI36" s="104">
        <v>0</v>
      </c>
      <c r="BJ36" s="104">
        <v>0</v>
      </c>
      <c r="BK36" s="104">
        <v>5.8049261083743851</v>
      </c>
      <c r="BL36" s="104">
        <v>2.870213464696223</v>
      </c>
      <c r="BM36" s="104">
        <v>1.6554789272030652</v>
      </c>
      <c r="BN36" s="104">
        <v>5.267432950191572</v>
      </c>
      <c r="BO36" s="104">
        <v>0</v>
      </c>
      <c r="BP36" s="101">
        <v>0</v>
      </c>
      <c r="BQ36" s="103">
        <v>1838492.5440000002</v>
      </c>
      <c r="BR36" s="103">
        <v>202767.5137471265</v>
      </c>
      <c r="BS36" s="103">
        <v>352201.63678160921</v>
      </c>
      <c r="BT36" s="103">
        <v>553459.71494252875</v>
      </c>
      <c r="BU36" s="103">
        <v>0</v>
      </c>
      <c r="BV36" s="103">
        <v>0</v>
      </c>
      <c r="BW36" s="103">
        <v>0</v>
      </c>
      <c r="BX36" s="103">
        <v>271698.40551724145</v>
      </c>
      <c r="BY36" s="103">
        <v>134339.76717241379</v>
      </c>
      <c r="BZ36" s="103">
        <v>77484.360091954033</v>
      </c>
      <c r="CA36" s="103">
        <v>246541.14574712652</v>
      </c>
      <c r="CB36" s="103">
        <v>0</v>
      </c>
      <c r="CC36" s="103">
        <v>0</v>
      </c>
      <c r="CD36" s="13">
        <v>2</v>
      </c>
      <c r="CF36" s="277">
        <f>SUMIF(Оборот!$A:$A,$B:$B,Оборот!H:H)</f>
        <v>1367113.25</v>
      </c>
      <c r="CG36" s="277">
        <f>SUMIF(Оборот!$A:$A,$B:$B,Оборот!I:I)</f>
        <v>1428661.75</v>
      </c>
      <c r="CH36" s="277">
        <f t="shared" si="0"/>
        <v>1607498.5408917875</v>
      </c>
      <c r="CI36" s="239">
        <f t="shared" si="5"/>
        <v>34305.324082097068</v>
      </c>
      <c r="CJ36" s="276">
        <f>SUMIF('20Ф'!$H:$H,$B:$B,'20Ф'!M:M)*1.2</f>
        <v>0</v>
      </c>
      <c r="CK36" s="276">
        <f>SUMIF('20Ф'!$H:$H,$B:$B,'20Ф'!O:O)*1.2</f>
        <v>0</v>
      </c>
      <c r="CL36" s="276">
        <f>SUMIF('20Ф'!$H:$H,$B:$B,'20Ф'!Q:Q)*1.2</f>
        <v>0</v>
      </c>
      <c r="CM36" s="276">
        <f>SUMIF('20Ф'!$H:$H,$B:$B,'20Ф'!R:R)*1.2</f>
        <v>0</v>
      </c>
      <c r="CN36" s="276">
        <f>SUMIF('20Ф'!$H:$H,$B:$B,'20Ф'!S:S)*1.2</f>
        <v>0</v>
      </c>
      <c r="CO36" s="276">
        <f>SUMIF('20Ф'!$H:$H,$B:$B,'20Ф'!W:W)*1.2</f>
        <v>0</v>
      </c>
      <c r="CP36" s="276">
        <f>SUMIF('20Ф'!$H:$H,$B:$B,'20Ф'!P:P)*1.2</f>
        <v>0</v>
      </c>
      <c r="CQ36" s="276">
        <f>SUMIF('20Ф'!$H:$H,$B:$B,'20Ф'!Y:Y)*1.2</f>
        <v>0</v>
      </c>
      <c r="CR36" s="276">
        <f>SUMIF('20Ф'!$H:$H,$B:$B,'20Ф'!Z:Z)*1.2</f>
        <v>0</v>
      </c>
      <c r="CS36" s="276">
        <f>SUMIF('20Ф'!$H:$H,$B:$B,'20Ф'!AB:AB)*1.2</f>
        <v>0</v>
      </c>
      <c r="CT36" s="276">
        <f>SUMIF('20Ф'!$H:$H,$B:$B,'20Ф'!AC:AC)*1.2</f>
        <v>0</v>
      </c>
      <c r="CU36" s="276">
        <f>SUMIF('20Ф'!$H:$H,$B:$B,'20Ф'!AD:AD)*1.2</f>
        <v>0</v>
      </c>
      <c r="CV36" s="276">
        <f>SUMIF('20Ф'!$H:$H,$B:$B,'20Ф'!AE:AE)*1.2</f>
        <v>0</v>
      </c>
      <c r="CW36" s="276">
        <f>SUMIF('20Ф'!$H:$H,$B:$B,'20Ф'!AF:AF)*1.2</f>
        <v>0</v>
      </c>
      <c r="CX36" s="276">
        <f>SUMIF('20Ф'!$H:$H,$B:$B,'20Ф'!AG:AG)*1.2</f>
        <v>0</v>
      </c>
      <c r="CY36" s="276">
        <f>SUMIF('20Ф'!$H:$H,$B:$B,'20Ф'!AH:AH)*1.2</f>
        <v>0</v>
      </c>
      <c r="CZ36" s="276">
        <f>SUMIF('20Ф'!$H:$H,$B:$B,'20Ф'!AI:AI)*1.2</f>
        <v>0</v>
      </c>
      <c r="DA36" s="276">
        <f>SUMIF('20Ф'!$H:$H,$B:$B,'20Ф'!AJ:AJ)*1.2</f>
        <v>0</v>
      </c>
      <c r="DB36" s="276">
        <f>SUMIF('20Ф'!$H:$H,$B:$B,'20Ф'!AK:AK)*1.2</f>
        <v>0</v>
      </c>
      <c r="DC36" s="276">
        <f>SUMIF('20Ф'!$H:$H,$B:$B,'20Ф'!AL:AL)*1.2</f>
        <v>0</v>
      </c>
      <c r="DD36" s="276">
        <f>SUMIF('20Ф'!$H:$H,$B:$B,'20Ф'!AM:AM)*1.2</f>
        <v>0</v>
      </c>
      <c r="DE36" s="276">
        <f>SUMIF('20Ф'!$H:$H,$B:$B,'20Ф'!AN:AN)*1.2</f>
        <v>0</v>
      </c>
      <c r="DF36" s="276">
        <f>SUMIF('20Ф'!$H:$H,$B:$B,'20Ф'!AO:AO)*1.2</f>
        <v>0</v>
      </c>
      <c r="DG36" s="276">
        <f>SUMIF('20Ф'!$H:$H,$B:$B,'20Ф'!AP:AP)*1.2</f>
        <v>0</v>
      </c>
      <c r="DH36" s="276">
        <f>SUMIF('20Ф'!$H:$H,$B:$B,'20Ф'!AQ:AQ)*1.2</f>
        <v>0</v>
      </c>
      <c r="DI36" s="276">
        <f>SUMIF('20Ф'!$H:$H,$B:$B,'20Ф'!BA:BA)*1.2</f>
        <v>0</v>
      </c>
      <c r="DJ36" s="276">
        <f>SUMIF('20Ф'!$H:$H,$B:$B,'20Ф'!BB:BB)*1.2</f>
        <v>0</v>
      </c>
      <c r="DK36" s="276">
        <f>SUMIF('20Ф'!$H:$H,$B:$B,'20Ф'!BC:BC)*1.2</f>
        <v>0</v>
      </c>
      <c r="DL36" s="276">
        <f>$D36/$D$281*'20Ф'!$H$218</f>
        <v>34305.324082097068</v>
      </c>
      <c r="DM36" s="240">
        <f t="shared" si="1"/>
        <v>493844.460432033</v>
      </c>
      <c r="DN36" s="276">
        <f>SUMIF('20Ф'!$H:$H,$B:$B,'20Ф'!AV:AV)*1.2</f>
        <v>0</v>
      </c>
      <c r="DO36" s="276">
        <f>SUMIF('20Ф'!$H:$H,$B:$B,'20Ф'!AW:AW)*1.2+$D36/$D$281*'26Ф'!$D$42</f>
        <v>18255.517691321278</v>
      </c>
      <c r="DP36" s="276">
        <f>SUMIF('20Ф'!$H:$H,$B:$B,'20Ф'!AX:AX)*1.2</f>
        <v>0</v>
      </c>
      <c r="DQ36" s="276">
        <f>SUMIF('20Ф'!$H:$H,$B:$B,'20Ф'!AY:AY)*1.2</f>
        <v>0</v>
      </c>
      <c r="DR36" s="276">
        <f>SUMIF('20Ф'!$H:$H,$B:$B,'20Ф'!AU:AU)*1.2</f>
        <v>0</v>
      </c>
      <c r="DS36" s="276">
        <f>SUMIF('20Ф'!$H:$H,$B:$B,'20Ф'!AS:AS)*1.2</f>
        <v>0</v>
      </c>
      <c r="DT36" s="276">
        <f>SUMIF('20Ф'!$H:$H,$B:$B,'20Ф'!AR:AR)*1.2</f>
        <v>153564.552</v>
      </c>
      <c r="DU36" s="276">
        <f>SUMIF('20Ф'!$H:$H,$B:$B,'20Ф'!X:X)*1.2</f>
        <v>0</v>
      </c>
      <c r="DV36" s="276">
        <f>SUMIF('20Ф'!$H:$H,$B:$B,'20Ф'!AA:AA)*1.2</f>
        <v>0</v>
      </c>
      <c r="DW36" s="276">
        <f>SUMIF('20Ф'!$H:$H,$B:$B,'20Ф'!N:N)*1.2</f>
        <v>0</v>
      </c>
      <c r="DX36" s="276">
        <f>$D36/$D$281*('25Ф'!$D$37)</f>
        <v>306852.41431069071</v>
      </c>
      <c r="DY36" s="276">
        <f>$D36/$D$281*'25Ф'!$D$30</f>
        <v>9793.7658001315467</v>
      </c>
      <c r="DZ36" s="276">
        <f>$D36/$D$281*'25Ф'!$D$31</f>
        <v>5378.2106298894723</v>
      </c>
      <c r="EA36" s="276"/>
      <c r="EB36" s="276">
        <f t="shared" si="2"/>
        <v>193321.83708240121</v>
      </c>
      <c r="EC36" s="276">
        <f>$D36/$D$281*'26Ф'!$D$36</f>
        <v>100630.24208501584</v>
      </c>
      <c r="ED36" s="276">
        <f>$D36/$D$281*'26Ф'!$D$37</f>
        <v>12090.616111320918</v>
      </c>
      <c r="EE36" s="276">
        <f>$D36/$D$281*'26Ф'!$D$38</f>
        <v>12214.617276874391</v>
      </c>
      <c r="EF36" s="276">
        <f>$D36/$D$281*'26Ф'!$D$39</f>
        <v>8568.5428717345712</v>
      </c>
      <c r="EG36" s="276">
        <f>$D36/$D$281*'91Ф'!$D$10</f>
        <v>2643.3919123209093</v>
      </c>
      <c r="EH36" s="276">
        <f>$D36/$D$281*('20Ф'!$I$509+'26Ф'!$D$41+'20Ф'!$I$507)</f>
        <v>18701.127351915522</v>
      </c>
      <c r="EI36" s="276">
        <f>$D36/$D$281*'91Ф'!$D$31</f>
        <v>34281.913252050537</v>
      </c>
      <c r="EJ36" s="276">
        <f>$D36/$D$281*'20Ф'!$I$1316</f>
        <v>4191.3862211685055</v>
      </c>
      <c r="EK36" s="276">
        <f>$D36/$D$281*('20Ф'!$I$1105+'20Ф'!$I$1282+'91Ф'!$D$17+'91Ф'!$D$41)</f>
        <v>137649.79312718334</v>
      </c>
      <c r="EL36" s="276">
        <f>$D36/$D$281*отчёт!BX$294</f>
        <v>230108.47419819483</v>
      </c>
      <c r="EM36" s="276">
        <f>$D36/$D$281*отчёт!BY$294</f>
        <v>202368.05128547258</v>
      </c>
      <c r="EN36" s="276">
        <f>$D36/$D$283*отчёт!BZ$294</f>
        <v>36318.739300049572</v>
      </c>
      <c r="EO36" s="240">
        <f>SUBTOTAL(9,EP36:ER36)</f>
        <v>184422.89750099799</v>
      </c>
      <c r="EP36" s="276">
        <f>SUMIF('20Ф'!$H:$H,$B:$B,'20Ф'!T:T)*1.2</f>
        <v>6559.4879999999994</v>
      </c>
      <c r="EQ36" s="276">
        <f>SUM(H36:I36)/SUM($H$284:$I$284)*SUM('60Ф'!$O$155:$P$155)</f>
        <v>172510.26175648702</v>
      </c>
      <c r="ER36" s="276">
        <f>SUM($H36:$I36)/SUM($H$284:$I$284)*SUM('60Ф'!$P$227)</f>
        <v>5353.1477445109776</v>
      </c>
      <c r="ES36" s="239">
        <f t="shared" si="6"/>
        <v>77017.393954680563</v>
      </c>
      <c r="ET36" s="276">
        <f>$D36/$D$282*'20Ф'!$I$381</f>
        <v>5886.5132120797798</v>
      </c>
      <c r="EU36" s="276">
        <f>$D36/$D$282*('20Ф'!$I$75+'20Ф'!$I$1098)*1.2</f>
        <v>67991.840784069951</v>
      </c>
      <c r="EV36" s="276">
        <f>$D36/$D$282*('20Ф'!$I$1286)</f>
        <v>3139.0399585308296</v>
      </c>
      <c r="EW36" s="276">
        <f>SUMIF('91.1Ф'!$N:$N,$B:$B,'91.1Ф'!$F:$F)+$D36/$D$281*('91Ф'!$D$12+'91Ф'!$D$11+'91Ф'!$D$19+'91Ф'!$D$20)</f>
        <v>18141.56992867716</v>
      </c>
      <c r="EX36" s="276">
        <f t="shared" si="4"/>
        <v>0</v>
      </c>
      <c r="EY36" s="276">
        <f>SUMIF('20Ф'!$H:$H,$B:$B,'20Ф'!$AY:$AY)*1.2</f>
        <v>0</v>
      </c>
      <c r="EZ36" s="236"/>
      <c r="FA36" s="277">
        <f>SUMIF(отчёт!$B:$B,$B:$B,отчёт!$CU:$CU)/отчёт!$CU$281*'20Ф'!$I$1341</f>
        <v>0</v>
      </c>
      <c r="FB36" s="276">
        <f>SUMIF(Сальдо!$A:$A,$B:$B,Сальдо!$H:$H)-SUMIF(Сальдо!$A:$A,$B:$B,Сальдо!$I:$I)</f>
        <v>242530.63999999998</v>
      </c>
    </row>
    <row r="37" spans="1:162" ht="12" customHeight="1" x14ac:dyDescent="0.25">
      <c r="A37" s="3">
        <f t="shared" si="7"/>
        <v>33</v>
      </c>
      <c r="B37" s="229" t="s">
        <v>1346</v>
      </c>
      <c r="D37" s="230">
        <v>330.3</v>
      </c>
      <c r="E37" s="231">
        <v>330.3</v>
      </c>
      <c r="F37" s="231">
        <v>0</v>
      </c>
      <c r="G37" s="231">
        <v>148.6</v>
      </c>
      <c r="H37" s="5">
        <f>SUMIF(отчёт!$B:$B,$B:$B,отчёт!I:I)</f>
        <v>0</v>
      </c>
      <c r="I37" s="5">
        <f>SUMIF(отчёт!$B:$B,$B:$B,отчёт!J:J)</f>
        <v>0</v>
      </c>
      <c r="J37" s="3" t="s">
        <v>74</v>
      </c>
      <c r="K37" s="105">
        <v>9</v>
      </c>
      <c r="L37" s="105" t="s">
        <v>52</v>
      </c>
      <c r="M37" s="12"/>
      <c r="N37" s="8"/>
      <c r="O37" s="8"/>
      <c r="P37" s="8"/>
      <c r="Q37" s="8"/>
      <c r="R37" s="8"/>
      <c r="S37" s="8"/>
      <c r="T37" s="8"/>
      <c r="U37" s="8"/>
      <c r="V37" s="9"/>
      <c r="W37" s="9"/>
      <c r="X37" s="9"/>
      <c r="Y37" s="8"/>
      <c r="Z37" s="9"/>
      <c r="AA37" s="9"/>
      <c r="AB37" s="8"/>
      <c r="AC37" s="10"/>
      <c r="AD37" s="8"/>
      <c r="AE37" s="8"/>
      <c r="AF37" s="8"/>
      <c r="AG37" s="7"/>
      <c r="AH37" s="8"/>
      <c r="AI37" s="8"/>
      <c r="AJ37" s="8"/>
      <c r="AK37" s="8"/>
      <c r="AL37" s="8"/>
      <c r="AM37" s="8"/>
      <c r="AN37" s="8"/>
      <c r="AO37" s="8"/>
      <c r="AQ37" s="232">
        <v>16.02</v>
      </c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1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1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3"/>
      <c r="CF37" s="277">
        <f>SUMIF(Оборот!$A:$A,$B:$B,Оборот!H:H)</f>
        <v>58205.31</v>
      </c>
      <c r="CG37" s="277">
        <f>SUMIF(Оборот!$A:$A,$B:$B,Оборот!I:I)</f>
        <v>38469.85</v>
      </c>
      <c r="CH37" s="277">
        <f t="shared" si="0"/>
        <v>149562.77523525053</v>
      </c>
      <c r="CI37" s="239">
        <f t="shared" si="5"/>
        <v>2905.0991037628605</v>
      </c>
      <c r="CJ37" s="276">
        <f>SUMIF('20Ф'!$H:$H,$B:$B,'20Ф'!M:M)*1.2</f>
        <v>0</v>
      </c>
      <c r="CK37" s="276">
        <f>SUMIF('20Ф'!$H:$H,$B:$B,'20Ф'!O:O)*1.2</f>
        <v>0</v>
      </c>
      <c r="CL37" s="276">
        <f>SUMIF('20Ф'!$H:$H,$B:$B,'20Ф'!Q:Q)*1.2</f>
        <v>0</v>
      </c>
      <c r="CM37" s="276">
        <f>SUMIF('20Ф'!$H:$H,$B:$B,'20Ф'!R:R)*1.2</f>
        <v>0</v>
      </c>
      <c r="CN37" s="276">
        <f>SUMIF('20Ф'!$H:$H,$B:$B,'20Ф'!S:S)*1.2</f>
        <v>0</v>
      </c>
      <c r="CO37" s="276">
        <f>SUMIF('20Ф'!$H:$H,$B:$B,'20Ф'!W:W)*1.2</f>
        <v>0</v>
      </c>
      <c r="CP37" s="276">
        <f>SUMIF('20Ф'!$H:$H,$B:$B,'20Ф'!P:P)*1.2</f>
        <v>0</v>
      </c>
      <c r="CQ37" s="276">
        <f>SUMIF('20Ф'!$H:$H,$B:$B,'20Ф'!Y:Y)*1.2</f>
        <v>0</v>
      </c>
      <c r="CR37" s="276">
        <f>SUMIF('20Ф'!$H:$H,$B:$B,'20Ф'!Z:Z)*1.2</f>
        <v>0</v>
      </c>
      <c r="CS37" s="276">
        <f>SUMIF('20Ф'!$H:$H,$B:$B,'20Ф'!AB:AB)*1.2</f>
        <v>0</v>
      </c>
      <c r="CT37" s="276">
        <f>SUMIF('20Ф'!$H:$H,$B:$B,'20Ф'!AC:AC)*1.2</f>
        <v>0</v>
      </c>
      <c r="CU37" s="276">
        <f>SUMIF('20Ф'!$H:$H,$B:$B,'20Ф'!AD:AD)*1.2</f>
        <v>0</v>
      </c>
      <c r="CV37" s="276">
        <f>SUMIF('20Ф'!$H:$H,$B:$B,'20Ф'!AE:AE)*1.2</f>
        <v>0</v>
      </c>
      <c r="CW37" s="276">
        <f>SUMIF('20Ф'!$H:$H,$B:$B,'20Ф'!AF:AF)*1.2</f>
        <v>0</v>
      </c>
      <c r="CX37" s="276">
        <f>SUMIF('20Ф'!$H:$H,$B:$B,'20Ф'!AG:AG)*1.2</f>
        <v>0</v>
      </c>
      <c r="CY37" s="276">
        <f>SUMIF('20Ф'!$H:$H,$B:$B,'20Ф'!AH:AH)*1.2</f>
        <v>0</v>
      </c>
      <c r="CZ37" s="276">
        <f>SUMIF('20Ф'!$H:$H,$B:$B,'20Ф'!AI:AI)*1.2</f>
        <v>0</v>
      </c>
      <c r="DA37" s="276">
        <f>SUMIF('20Ф'!$H:$H,$B:$B,'20Ф'!AJ:AJ)*1.2</f>
        <v>0</v>
      </c>
      <c r="DB37" s="276">
        <f>SUMIF('20Ф'!$H:$H,$B:$B,'20Ф'!AK:AK)*1.2</f>
        <v>0</v>
      </c>
      <c r="DC37" s="276">
        <f>SUMIF('20Ф'!$H:$H,$B:$B,'20Ф'!AL:AL)*1.2</f>
        <v>0</v>
      </c>
      <c r="DD37" s="276">
        <f>SUMIF('20Ф'!$H:$H,$B:$B,'20Ф'!AM:AM)*1.2</f>
        <v>0</v>
      </c>
      <c r="DE37" s="276">
        <f>SUMIF('20Ф'!$H:$H,$B:$B,'20Ф'!AN:AN)*1.2</f>
        <v>0</v>
      </c>
      <c r="DF37" s="276">
        <f>SUMIF('20Ф'!$H:$H,$B:$B,'20Ф'!AO:AO)*1.2</f>
        <v>0</v>
      </c>
      <c r="DG37" s="276">
        <f>SUMIF('20Ф'!$H:$H,$B:$B,'20Ф'!AP:AP)*1.2</f>
        <v>0</v>
      </c>
      <c r="DH37" s="276">
        <f>SUMIF('20Ф'!$H:$H,$B:$B,'20Ф'!AQ:AQ)*1.2</f>
        <v>0</v>
      </c>
      <c r="DI37" s="276">
        <f>SUMIF('20Ф'!$H:$H,$B:$B,'20Ф'!BA:BA)*1.2</f>
        <v>0</v>
      </c>
      <c r="DJ37" s="276">
        <f>SUMIF('20Ф'!$H:$H,$B:$B,'20Ф'!BB:BB)*1.2</f>
        <v>0</v>
      </c>
      <c r="DK37" s="276">
        <f>SUMIF('20Ф'!$H:$H,$B:$B,'20Ф'!BC:BC)*1.2</f>
        <v>0</v>
      </c>
      <c r="DL37" s="276">
        <f>$D37/$D$281*'20Ф'!$H$218</f>
        <v>2905.0991037628605</v>
      </c>
      <c r="DM37" s="240">
        <f t="shared" si="1"/>
        <v>73947.715205389322</v>
      </c>
      <c r="DN37" s="276">
        <f>SUMIF('20Ф'!$H:$H,$B:$B,'20Ф'!AV:AV)*1.2</f>
        <v>0</v>
      </c>
      <c r="DO37" s="276">
        <f>SUMIF('20Ф'!$H:$H,$B:$B,'20Ф'!AW:AW)*1.2+$D37/$D$281*'26Ф'!$D$42</f>
        <v>1545.9433631020966</v>
      </c>
      <c r="DP37" s="276">
        <f>SUMIF('20Ф'!$H:$H,$B:$B,'20Ф'!AX:AX)*1.2</f>
        <v>0</v>
      </c>
      <c r="DQ37" s="276">
        <f>SUMIF('20Ф'!$H:$H,$B:$B,'20Ф'!AY:AY)*1.2</f>
        <v>0</v>
      </c>
      <c r="DR37" s="276">
        <f>SUMIF('20Ф'!$H:$H,$B:$B,'20Ф'!AU:AU)*1.2</f>
        <v>0</v>
      </c>
      <c r="DS37" s="276">
        <f>SUMIF('20Ф'!$H:$H,$B:$B,'20Ф'!AS:AS)*1.2</f>
        <v>0</v>
      </c>
      <c r="DT37" s="276">
        <f>SUMIF('20Ф'!$H:$H,$B:$B,'20Ф'!AR:AR)*1.2</f>
        <v>45131.58</v>
      </c>
      <c r="DU37" s="276">
        <f>SUMIF('20Ф'!$H:$H,$B:$B,'20Ф'!X:X)*1.2</f>
        <v>0</v>
      </c>
      <c r="DV37" s="276">
        <f>SUMIF('20Ф'!$H:$H,$B:$B,'20Ф'!AA:AA)*1.2</f>
        <v>0</v>
      </c>
      <c r="DW37" s="276">
        <f>SUMIF('20Ф'!$H:$H,$B:$B,'20Ф'!N:N)*1.2</f>
        <v>0</v>
      </c>
      <c r="DX37" s="276">
        <f>$D37/$D$281*('25Ф'!$D$37)</f>
        <v>25985.373922372357</v>
      </c>
      <c r="DY37" s="276">
        <f>$D37/$D$281*'25Ф'!$D$30</f>
        <v>829.37156286110394</v>
      </c>
      <c r="DZ37" s="276">
        <f>$D37/$D$281*'25Ф'!$D$31</f>
        <v>455.44635705376186</v>
      </c>
      <c r="EA37" s="276"/>
      <c r="EB37" s="276">
        <f t="shared" si="2"/>
        <v>16371.193413064586</v>
      </c>
      <c r="EC37" s="276">
        <f>$D37/$D$281*'26Ф'!$D$36</f>
        <v>8521.7334018769179</v>
      </c>
      <c r="ED37" s="276">
        <f>$D37/$D$281*'26Ф'!$D$37</f>
        <v>1023.8771668468103</v>
      </c>
      <c r="EE37" s="276">
        <f>$D37/$D$281*'26Ф'!$D$38</f>
        <v>1034.378034701982</v>
      </c>
      <c r="EF37" s="276">
        <f>$D37/$D$281*'26Ф'!$D$39</f>
        <v>725.61524729102871</v>
      </c>
      <c r="EG37" s="276">
        <f>$D37/$D$281*'91Ф'!$D$10</f>
        <v>223.85200200994674</v>
      </c>
      <c r="EH37" s="276">
        <f>$D37/$D$281*('20Ф'!$I$509+'26Ф'!$D$41+'20Ф'!$I$507)</f>
        <v>1583.6792032452304</v>
      </c>
      <c r="EI37" s="276">
        <f>$D37/$D$281*'91Ф'!$D$31</f>
        <v>2903.1165898759846</v>
      </c>
      <c r="EJ37" s="276">
        <f>$D37/$D$281*'20Ф'!$I$1316</f>
        <v>354.94176721668481</v>
      </c>
      <c r="EK37" s="276">
        <f>$D37/$D$281*('20Ф'!$I$1105+'20Ф'!$I$1282+'91Ф'!$D$17+'91Ф'!$D$41)</f>
        <v>11656.68307607134</v>
      </c>
      <c r="EL37" s="276">
        <f>$D37/$D$281*отчёт!BX$294</f>
        <v>19486.419092314569</v>
      </c>
      <c r="EM37" s="276">
        <f>$D37/$D$281*отчёт!BY$294</f>
        <v>17137.259598910776</v>
      </c>
      <c r="EN37" s="276">
        <f>SUMIF(отчёт!$B:$B,$B:$B,отчёт!BZ:BZ)/отчёт!BZ$281*('60Ф'!$O$151+'60Ф'!$P$151)*отчёт!BZ$293</f>
        <v>0</v>
      </c>
      <c r="EO37" s="240">
        <f t="shared" si="3"/>
        <v>0</v>
      </c>
      <c r="EP37" s="276">
        <f>SUMIF('20Ф'!$H:$H,$B:$B,'20Ф'!T:T)*1.2</f>
        <v>0</v>
      </c>
      <c r="EQ37" s="276">
        <f>SUMIF('20Ф'!$H:$H,$B:$B,'20Ф'!U:U)*1.2</f>
        <v>0</v>
      </c>
      <c r="ER37" s="236"/>
      <c r="ES37" s="239">
        <f t="shared" si="6"/>
        <v>6522.1118919164683</v>
      </c>
      <c r="ET37" s="276">
        <f>$D37/$D$282*'20Ф'!$I$381</f>
        <v>498.49126088348663</v>
      </c>
      <c r="EU37" s="276">
        <f>$D37/$D$282*('20Ф'!$I$75+'20Ф'!$I$1098)*1.2</f>
        <v>5757.7953571372955</v>
      </c>
      <c r="EV37" s="276">
        <f>$D37/$D$282*('20Ф'!$I$1286)</f>
        <v>265.82527389568583</v>
      </c>
      <c r="EW37" s="276">
        <f>SUMIF('91.1Ф'!$N:$N,$B:$B,'91.1Ф'!$F:$F)+$D37/$D$281*('91Ф'!$D$12+'91Ф'!$D$11+'91Ф'!$D$19+'91Ф'!$D$20)</f>
        <v>1536.2938538206504</v>
      </c>
      <c r="EX37" s="276">
        <f t="shared" si="4"/>
        <v>0</v>
      </c>
      <c r="EY37" s="276">
        <f>SUMIF('20Ф'!$H:$H,$B:$B,'20Ф'!$AY:$AY)*1.2</f>
        <v>0</v>
      </c>
      <c r="EZ37" s="236"/>
      <c r="FA37" s="277">
        <f>SUMIF(отчёт!$B:$B,$B:$B,отчёт!$CU:$CU)/отчёт!$CU$281*'20Ф'!$I$1341</f>
        <v>0</v>
      </c>
      <c r="FB37" s="276">
        <f>SUMIF(Сальдо!$A:$A,$B:$B,Сальдо!$H:$H)-SUMIF(Сальдо!$A:$A,$B:$B,Сальдо!$I:$I)</f>
        <v>54172.55</v>
      </c>
    </row>
    <row r="38" spans="1:162" ht="12" customHeight="1" x14ac:dyDescent="0.25">
      <c r="A38" s="3">
        <f t="shared" si="7"/>
        <v>34</v>
      </c>
      <c r="B38" s="229" t="s">
        <v>1347</v>
      </c>
      <c r="D38" s="230">
        <v>331.2</v>
      </c>
      <c r="E38" s="231">
        <v>331.2</v>
      </c>
      <c r="F38" s="231">
        <v>0</v>
      </c>
      <c r="G38" s="231">
        <v>41.4</v>
      </c>
      <c r="H38" s="5">
        <f>SUMIF(отчёт!$B:$B,$B:$B,отчёт!I:I)</f>
        <v>0</v>
      </c>
      <c r="I38" s="5">
        <f>SUMIF(отчёт!$B:$B,$B:$B,отчёт!J:J)</f>
        <v>0</v>
      </c>
      <c r="J38" s="3" t="s">
        <v>74</v>
      </c>
      <c r="K38" s="105">
        <v>9</v>
      </c>
      <c r="L38" s="105" t="s">
        <v>52</v>
      </c>
      <c r="M38" s="12"/>
      <c r="N38" s="8"/>
      <c r="O38" s="8"/>
      <c r="P38" s="8"/>
      <c r="Q38" s="8"/>
      <c r="R38" s="8"/>
      <c r="S38" s="8"/>
      <c r="T38" s="8"/>
      <c r="U38" s="8"/>
      <c r="V38" s="9"/>
      <c r="W38" s="9"/>
      <c r="X38" s="9"/>
      <c r="Y38" s="8"/>
      <c r="Z38" s="9"/>
      <c r="AA38" s="9"/>
      <c r="AB38" s="8"/>
      <c r="AC38" s="10"/>
      <c r="AD38" s="8"/>
      <c r="AE38" s="8"/>
      <c r="AF38" s="8"/>
      <c r="AG38" s="7"/>
      <c r="AH38" s="8"/>
      <c r="AI38" s="8"/>
      <c r="AJ38" s="8"/>
      <c r="AK38" s="8"/>
      <c r="AL38" s="8"/>
      <c r="AM38" s="8"/>
      <c r="AN38" s="8"/>
      <c r="AO38" s="8"/>
      <c r="AQ38" s="232">
        <v>16.02</v>
      </c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1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1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3"/>
      <c r="CF38" s="277">
        <f>SUMIF(Оборот!$A:$A,$B:$B,Оборот!H:H)</f>
        <v>53058.2</v>
      </c>
      <c r="CG38" s="277">
        <f>SUMIF(Оборот!$A:$A,$B:$B,Оборот!I:I)</f>
        <v>40421.33</v>
      </c>
      <c r="CH38" s="277">
        <f t="shared" si="0"/>
        <v>106311.44890074171</v>
      </c>
      <c r="CI38" s="239">
        <f t="shared" si="5"/>
        <v>2913.0149051355115</v>
      </c>
      <c r="CJ38" s="276">
        <f>SUMIF('20Ф'!$H:$H,$B:$B,'20Ф'!M:M)*1.2</f>
        <v>0</v>
      </c>
      <c r="CK38" s="276">
        <f>SUMIF('20Ф'!$H:$H,$B:$B,'20Ф'!O:O)*1.2</f>
        <v>0</v>
      </c>
      <c r="CL38" s="276">
        <f>SUMIF('20Ф'!$H:$H,$B:$B,'20Ф'!Q:Q)*1.2</f>
        <v>0</v>
      </c>
      <c r="CM38" s="276">
        <f>SUMIF('20Ф'!$H:$H,$B:$B,'20Ф'!R:R)*1.2</f>
        <v>0</v>
      </c>
      <c r="CN38" s="276">
        <f>SUMIF('20Ф'!$H:$H,$B:$B,'20Ф'!S:S)*1.2</f>
        <v>0</v>
      </c>
      <c r="CO38" s="276">
        <f>SUMIF('20Ф'!$H:$H,$B:$B,'20Ф'!W:W)*1.2</f>
        <v>0</v>
      </c>
      <c r="CP38" s="276">
        <f>SUMIF('20Ф'!$H:$H,$B:$B,'20Ф'!P:P)*1.2</f>
        <v>0</v>
      </c>
      <c r="CQ38" s="276">
        <f>SUMIF('20Ф'!$H:$H,$B:$B,'20Ф'!Y:Y)*1.2</f>
        <v>0</v>
      </c>
      <c r="CR38" s="276">
        <f>SUMIF('20Ф'!$H:$H,$B:$B,'20Ф'!Z:Z)*1.2</f>
        <v>0</v>
      </c>
      <c r="CS38" s="276">
        <f>SUMIF('20Ф'!$H:$H,$B:$B,'20Ф'!AB:AB)*1.2</f>
        <v>0</v>
      </c>
      <c r="CT38" s="276">
        <f>SUMIF('20Ф'!$H:$H,$B:$B,'20Ф'!AC:AC)*1.2</f>
        <v>0</v>
      </c>
      <c r="CU38" s="276">
        <f>SUMIF('20Ф'!$H:$H,$B:$B,'20Ф'!AD:AD)*1.2</f>
        <v>0</v>
      </c>
      <c r="CV38" s="276">
        <f>SUMIF('20Ф'!$H:$H,$B:$B,'20Ф'!AE:AE)*1.2</f>
        <v>0</v>
      </c>
      <c r="CW38" s="276">
        <f>SUMIF('20Ф'!$H:$H,$B:$B,'20Ф'!AF:AF)*1.2</f>
        <v>0</v>
      </c>
      <c r="CX38" s="276">
        <f>SUMIF('20Ф'!$H:$H,$B:$B,'20Ф'!AG:AG)*1.2</f>
        <v>0</v>
      </c>
      <c r="CY38" s="276">
        <f>SUMIF('20Ф'!$H:$H,$B:$B,'20Ф'!AH:AH)*1.2</f>
        <v>0</v>
      </c>
      <c r="CZ38" s="276">
        <f>SUMIF('20Ф'!$H:$H,$B:$B,'20Ф'!AI:AI)*1.2</f>
        <v>0</v>
      </c>
      <c r="DA38" s="276">
        <f>SUMIF('20Ф'!$H:$H,$B:$B,'20Ф'!AJ:AJ)*1.2</f>
        <v>0</v>
      </c>
      <c r="DB38" s="276">
        <f>SUMIF('20Ф'!$H:$H,$B:$B,'20Ф'!AK:AK)*1.2</f>
        <v>0</v>
      </c>
      <c r="DC38" s="276">
        <f>SUMIF('20Ф'!$H:$H,$B:$B,'20Ф'!AL:AL)*1.2</f>
        <v>0</v>
      </c>
      <c r="DD38" s="276">
        <f>SUMIF('20Ф'!$H:$H,$B:$B,'20Ф'!AM:AM)*1.2</f>
        <v>0</v>
      </c>
      <c r="DE38" s="276">
        <f>SUMIF('20Ф'!$H:$H,$B:$B,'20Ф'!AN:AN)*1.2</f>
        <v>0</v>
      </c>
      <c r="DF38" s="276">
        <f>SUMIF('20Ф'!$H:$H,$B:$B,'20Ф'!AO:AO)*1.2</f>
        <v>0</v>
      </c>
      <c r="DG38" s="276">
        <f>SUMIF('20Ф'!$H:$H,$B:$B,'20Ф'!AP:AP)*1.2</f>
        <v>0</v>
      </c>
      <c r="DH38" s="276">
        <f>SUMIF('20Ф'!$H:$H,$B:$B,'20Ф'!AQ:AQ)*1.2</f>
        <v>0</v>
      </c>
      <c r="DI38" s="276">
        <f>SUMIF('20Ф'!$H:$H,$B:$B,'20Ф'!BA:BA)*1.2</f>
        <v>0</v>
      </c>
      <c r="DJ38" s="276">
        <f>SUMIF('20Ф'!$H:$H,$B:$B,'20Ф'!BB:BB)*1.2</f>
        <v>0</v>
      </c>
      <c r="DK38" s="276">
        <f>SUMIF('20Ф'!$H:$H,$B:$B,'20Ф'!BC:BC)*1.2</f>
        <v>0</v>
      </c>
      <c r="DL38" s="276">
        <f>$D38/$D$281*'20Ф'!$H$218</f>
        <v>2913.0149051355115</v>
      </c>
      <c r="DM38" s="240">
        <f t="shared" si="1"/>
        <v>30490.353284968038</v>
      </c>
      <c r="DN38" s="276">
        <f>SUMIF('20Ф'!$H:$H,$B:$B,'20Ф'!AV:AV)*1.2</f>
        <v>0</v>
      </c>
      <c r="DO38" s="276">
        <f>SUMIF('20Ф'!$H:$H,$B:$B,'20Ф'!AW:AW)*1.2+$D38/$D$281*'26Ф'!$D$42</f>
        <v>1550.1557428380695</v>
      </c>
      <c r="DP38" s="276">
        <f>SUMIF('20Ф'!$H:$H,$B:$B,'20Ф'!AX:AX)*1.2</f>
        <v>0</v>
      </c>
      <c r="DQ38" s="276">
        <f>SUMIF('20Ф'!$H:$H,$B:$B,'20Ф'!AY:AY)*1.2</f>
        <v>0</v>
      </c>
      <c r="DR38" s="276">
        <f>SUMIF('20Ф'!$H:$H,$B:$B,'20Ф'!AU:AU)*1.2</f>
        <v>0</v>
      </c>
      <c r="DS38" s="276">
        <f>SUMIF('20Ф'!$H:$H,$B:$B,'20Ф'!AS:AS)*1.2</f>
        <v>0</v>
      </c>
      <c r="DT38" s="276">
        <f>SUMIF('20Ф'!$H:$H,$B:$B,'20Ф'!AR:AR)*1.2</f>
        <v>1595.7</v>
      </c>
      <c r="DU38" s="276">
        <f>SUMIF('20Ф'!$H:$H,$B:$B,'20Ф'!X:X)*1.2</f>
        <v>0</v>
      </c>
      <c r="DV38" s="276">
        <f>SUMIF('20Ф'!$H:$H,$B:$B,'20Ф'!AA:AA)*1.2</f>
        <v>0</v>
      </c>
      <c r="DW38" s="276">
        <f>SUMIF('20Ф'!$H:$H,$B:$B,'20Ф'!N:N)*1.2</f>
        <v>0</v>
      </c>
      <c r="DX38" s="276">
        <f>$D38/$D$281*('25Ф'!$D$37)</f>
        <v>26056.178755948305</v>
      </c>
      <c r="DY38" s="276">
        <f>$D38/$D$281*'25Ф'!$D$30</f>
        <v>831.63143087979904</v>
      </c>
      <c r="DZ38" s="276">
        <f>$D38/$D$281*'25Ф'!$D$31</f>
        <v>456.68735530186473</v>
      </c>
      <c r="EA38" s="276"/>
      <c r="EB38" s="276">
        <f t="shared" si="2"/>
        <v>16415.801569503456</v>
      </c>
      <c r="EC38" s="276">
        <f>$D38/$D$281*'26Ф'!$D$36</f>
        <v>8544.9533838983807</v>
      </c>
      <c r="ED38" s="276">
        <f>$D38/$D$281*'26Ф'!$D$37</f>
        <v>1026.6670228872647</v>
      </c>
      <c r="EE38" s="276">
        <f>$D38/$D$281*'26Ф'!$D$38</f>
        <v>1037.1965034613879</v>
      </c>
      <c r="EF38" s="276">
        <f>$D38/$D$281*'26Ф'!$D$39</f>
        <v>727.59240055340206</v>
      </c>
      <c r="EG38" s="276">
        <f>$D38/$D$281*'91Ф'!$D$10</f>
        <v>224.46195296910193</v>
      </c>
      <c r="EH38" s="276">
        <f>$D38/$D$281*('20Ф'!$I$509+'26Ф'!$D$41+'20Ф'!$I$507)</f>
        <v>1587.9944054339096</v>
      </c>
      <c r="EI38" s="276">
        <f>$D38/$D$281*'91Ф'!$D$31</f>
        <v>2911.0269893034397</v>
      </c>
      <c r="EJ38" s="276">
        <f>$D38/$D$281*'20Ф'!$I$1316</f>
        <v>355.90891099656676</v>
      </c>
      <c r="EK38" s="276">
        <f>$D38/$D$281*('20Ф'!$I$1105+'20Ф'!$I$1282+'91Ф'!$D$17+'91Ф'!$D$41)</f>
        <v>11688.445155297692</v>
      </c>
      <c r="EL38" s="276">
        <f>$D38/$D$281*отчёт!BX$294</f>
        <v>19539.515602102892</v>
      </c>
      <c r="EM38" s="276">
        <f>$D38/$D$281*отчёт!BY$294</f>
        <v>17183.955129153041</v>
      </c>
      <c r="EN38" s="276">
        <f>SUMIF(отчёт!$B:$B,$B:$B,отчёт!BZ:BZ)/отчёт!BZ$281*('60Ф'!$O$151+'60Ф'!$P$151)*отчёт!BZ$293</f>
        <v>0</v>
      </c>
      <c r="EO38" s="240">
        <f t="shared" si="3"/>
        <v>0</v>
      </c>
      <c r="EP38" s="276">
        <f>SUMIF('20Ф'!$H:$H,$B:$B,'20Ф'!T:T)*1.2</f>
        <v>0</v>
      </c>
      <c r="EQ38" s="276">
        <f>SUMIF('20Ф'!$H:$H,$B:$B,'20Ф'!U:U)*1.2</f>
        <v>0</v>
      </c>
      <c r="ER38" s="236"/>
      <c r="ES38" s="239">
        <f t="shared" si="6"/>
        <v>6539.883313965287</v>
      </c>
      <c r="ET38" s="276">
        <f>$D38/$D$282*'20Ф'!$I$381</f>
        <v>499.84954769788305</v>
      </c>
      <c r="EU38" s="276">
        <f>$D38/$D$282*('20Ф'!$I$75+'20Ф'!$I$1098)*1.2</f>
        <v>5773.4841728243182</v>
      </c>
      <c r="EV38" s="276">
        <f>$D38/$D$282*('20Ф'!$I$1286)</f>
        <v>266.54959344308548</v>
      </c>
      <c r="EW38" s="276">
        <f>SUMIF('91.1Ф'!$N:$N,$B:$B,'91.1Ф'!$F:$F)+$D38/$D$281*('91Ф'!$D$12+'91Ф'!$D$11+'91Ф'!$D$19+'91Ф'!$D$20)</f>
        <v>1540.479940615802</v>
      </c>
      <c r="EX38" s="276">
        <f t="shared" si="4"/>
        <v>0</v>
      </c>
      <c r="EY38" s="276">
        <f>SUMIF('20Ф'!$H:$H,$B:$B,'20Ф'!$AY:$AY)*1.2</f>
        <v>0</v>
      </c>
      <c r="EZ38" s="236"/>
      <c r="FA38" s="277">
        <f>SUMIF(отчёт!$B:$B,$B:$B,отчёт!$CU:$CU)/отчёт!$CU$281*'20Ф'!$I$1341</f>
        <v>0</v>
      </c>
      <c r="FB38" s="276">
        <f>SUMIF(Сальдо!$A:$A,$B:$B,Сальдо!$H:$H)-SUMIF(Сальдо!$A:$A,$B:$B,Сальдо!$I:$I)</f>
        <v>0</v>
      </c>
    </row>
    <row r="39" spans="1:162" ht="12" customHeight="1" x14ac:dyDescent="0.25">
      <c r="A39" s="3">
        <f t="shared" si="7"/>
        <v>35</v>
      </c>
      <c r="B39" s="229" t="s">
        <v>1490</v>
      </c>
      <c r="D39" s="230">
        <v>169.6</v>
      </c>
      <c r="E39" s="231">
        <v>169.6</v>
      </c>
      <c r="F39" s="231">
        <v>0</v>
      </c>
      <c r="G39" s="231">
        <v>11.9</v>
      </c>
      <c r="H39" s="5">
        <f>SUMIF(отчёт!$B:$B,$B:$B,отчёт!I:I)</f>
        <v>0</v>
      </c>
      <c r="I39" s="5">
        <f>SUMIF(отчёт!$B:$B,$B:$B,отчёт!J:J)</f>
        <v>0</v>
      </c>
      <c r="J39" s="3" t="s">
        <v>74</v>
      </c>
      <c r="K39" s="105">
        <v>9</v>
      </c>
      <c r="L39" s="105" t="s">
        <v>52</v>
      </c>
      <c r="M39" s="12"/>
      <c r="N39" s="8"/>
      <c r="O39" s="8"/>
      <c r="P39" s="8"/>
      <c r="Q39" s="8"/>
      <c r="R39" s="8"/>
      <c r="S39" s="8"/>
      <c r="T39" s="8"/>
      <c r="U39" s="8"/>
      <c r="V39" s="9"/>
      <c r="W39" s="9"/>
      <c r="X39" s="9"/>
      <c r="Y39" s="8"/>
      <c r="Z39" s="9"/>
      <c r="AA39" s="9"/>
      <c r="AB39" s="8"/>
      <c r="AC39" s="10"/>
      <c r="AD39" s="8"/>
      <c r="AE39" s="8"/>
      <c r="AF39" s="8"/>
      <c r="AG39" s="7"/>
      <c r="AH39" s="8"/>
      <c r="AI39" s="8"/>
      <c r="AJ39" s="8"/>
      <c r="AK39" s="8"/>
      <c r="AL39" s="8"/>
      <c r="AM39" s="8"/>
      <c r="AN39" s="8"/>
      <c r="AO39" s="8"/>
      <c r="AQ39" s="232">
        <v>16.02</v>
      </c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1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1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3"/>
      <c r="CF39" s="277">
        <f>SUMIF(Оборот!$A:$A,$B:$B,Оборот!H:H)</f>
        <v>-12142.27</v>
      </c>
      <c r="CG39" s="277">
        <f>SUMIF(Оборот!$A:$A,$B:$B,Оборот!I:I)</f>
        <v>0</v>
      </c>
      <c r="CH39" s="277">
        <f t="shared" si="0"/>
        <v>53622.557408109271</v>
      </c>
      <c r="CI39" s="239">
        <f t="shared" si="5"/>
        <v>1491.6887920017593</v>
      </c>
      <c r="CJ39" s="276">
        <f>SUMIF('20Ф'!$H:$H,$B:$B,'20Ф'!M:M)*1.2</f>
        <v>0</v>
      </c>
      <c r="CK39" s="276">
        <f>SUMIF('20Ф'!$H:$H,$B:$B,'20Ф'!O:O)*1.2</f>
        <v>0</v>
      </c>
      <c r="CL39" s="276">
        <f>SUMIF('20Ф'!$H:$H,$B:$B,'20Ф'!Q:Q)*1.2</f>
        <v>0</v>
      </c>
      <c r="CM39" s="276">
        <f>SUMIF('20Ф'!$H:$H,$B:$B,'20Ф'!R:R)*1.2</f>
        <v>0</v>
      </c>
      <c r="CN39" s="276">
        <f>SUMIF('20Ф'!$H:$H,$B:$B,'20Ф'!S:S)*1.2</f>
        <v>0</v>
      </c>
      <c r="CO39" s="276">
        <f>SUMIF('20Ф'!$H:$H,$B:$B,'20Ф'!W:W)*1.2</f>
        <v>0</v>
      </c>
      <c r="CP39" s="276">
        <f>SUMIF('20Ф'!$H:$H,$B:$B,'20Ф'!P:P)*1.2</f>
        <v>0</v>
      </c>
      <c r="CQ39" s="276">
        <f>SUMIF('20Ф'!$H:$H,$B:$B,'20Ф'!Y:Y)*1.2</f>
        <v>0</v>
      </c>
      <c r="CR39" s="276">
        <f>SUMIF('20Ф'!$H:$H,$B:$B,'20Ф'!Z:Z)*1.2</f>
        <v>0</v>
      </c>
      <c r="CS39" s="276">
        <f>SUMIF('20Ф'!$H:$H,$B:$B,'20Ф'!AB:AB)*1.2</f>
        <v>0</v>
      </c>
      <c r="CT39" s="276">
        <f>SUMIF('20Ф'!$H:$H,$B:$B,'20Ф'!AC:AC)*1.2</f>
        <v>0</v>
      </c>
      <c r="CU39" s="276">
        <f>SUMIF('20Ф'!$H:$H,$B:$B,'20Ф'!AD:AD)*1.2</f>
        <v>0</v>
      </c>
      <c r="CV39" s="276">
        <f>SUMIF('20Ф'!$H:$H,$B:$B,'20Ф'!AE:AE)*1.2</f>
        <v>0</v>
      </c>
      <c r="CW39" s="276">
        <f>SUMIF('20Ф'!$H:$H,$B:$B,'20Ф'!AF:AF)*1.2</f>
        <v>0</v>
      </c>
      <c r="CX39" s="276">
        <f>SUMIF('20Ф'!$H:$H,$B:$B,'20Ф'!AG:AG)*1.2</f>
        <v>0</v>
      </c>
      <c r="CY39" s="276">
        <f>SUMIF('20Ф'!$H:$H,$B:$B,'20Ф'!AH:AH)*1.2</f>
        <v>0</v>
      </c>
      <c r="CZ39" s="276">
        <f>SUMIF('20Ф'!$H:$H,$B:$B,'20Ф'!AI:AI)*1.2</f>
        <v>0</v>
      </c>
      <c r="DA39" s="276">
        <f>SUMIF('20Ф'!$H:$H,$B:$B,'20Ф'!AJ:AJ)*1.2</f>
        <v>0</v>
      </c>
      <c r="DB39" s="276">
        <f>SUMIF('20Ф'!$H:$H,$B:$B,'20Ф'!AK:AK)*1.2</f>
        <v>0</v>
      </c>
      <c r="DC39" s="276">
        <f>SUMIF('20Ф'!$H:$H,$B:$B,'20Ф'!AL:AL)*1.2</f>
        <v>0</v>
      </c>
      <c r="DD39" s="276">
        <f>SUMIF('20Ф'!$H:$H,$B:$B,'20Ф'!AM:AM)*1.2</f>
        <v>0</v>
      </c>
      <c r="DE39" s="276">
        <f>SUMIF('20Ф'!$H:$H,$B:$B,'20Ф'!AN:AN)*1.2</f>
        <v>0</v>
      </c>
      <c r="DF39" s="276">
        <f>SUMIF('20Ф'!$H:$H,$B:$B,'20Ф'!AO:AO)*1.2</f>
        <v>0</v>
      </c>
      <c r="DG39" s="276">
        <f>SUMIF('20Ф'!$H:$H,$B:$B,'20Ф'!AP:AP)*1.2</f>
        <v>0</v>
      </c>
      <c r="DH39" s="276">
        <f>SUMIF('20Ф'!$H:$H,$B:$B,'20Ф'!AQ:AQ)*1.2</f>
        <v>0</v>
      </c>
      <c r="DI39" s="276">
        <f>SUMIF('20Ф'!$H:$H,$B:$B,'20Ф'!BA:BA)*1.2</f>
        <v>0</v>
      </c>
      <c r="DJ39" s="276">
        <f>SUMIF('20Ф'!$H:$H,$B:$B,'20Ф'!BB:BB)*1.2</f>
        <v>0</v>
      </c>
      <c r="DK39" s="276">
        <f>SUMIF('20Ф'!$H:$H,$B:$B,'20Ф'!BC:BC)*1.2</f>
        <v>0</v>
      </c>
      <c r="DL39" s="276">
        <f>$D39/$D$281*'20Ф'!$H$218</f>
        <v>1491.6887920017593</v>
      </c>
      <c r="DM39" s="240">
        <f t="shared" si="1"/>
        <v>14796.295885056094</v>
      </c>
      <c r="DN39" s="276">
        <f>SUMIF('20Ф'!$H:$H,$B:$B,'20Ф'!AV:AV)*1.2</f>
        <v>0</v>
      </c>
      <c r="DO39" s="276">
        <f>SUMIF('20Ф'!$H:$H,$B:$B,'20Ф'!AW:AW)*1.2+$D39/$D$281*'26Ф'!$D$42</f>
        <v>793.79955913447031</v>
      </c>
      <c r="DP39" s="276">
        <f>SUMIF('20Ф'!$H:$H,$B:$B,'20Ф'!AX:AX)*1.2</f>
        <v>0</v>
      </c>
      <c r="DQ39" s="276">
        <f>SUMIF('20Ф'!$H:$H,$B:$B,'20Ф'!AY:AY)*1.2</f>
        <v>0</v>
      </c>
      <c r="DR39" s="276">
        <f>SUMIF('20Ф'!$H:$H,$B:$B,'20Ф'!AU:AU)*1.2</f>
        <v>0</v>
      </c>
      <c r="DS39" s="276">
        <f>SUMIF('20Ф'!$H:$H,$B:$B,'20Ф'!AS:AS)*1.2</f>
        <v>0</v>
      </c>
      <c r="DT39" s="276">
        <f>SUMIF('20Ф'!$H:$H,$B:$B,'20Ф'!AR:AR)*1.2</f>
        <v>0</v>
      </c>
      <c r="DU39" s="276">
        <f>SUMIF('20Ф'!$H:$H,$B:$B,'20Ф'!X:X)*1.2</f>
        <v>0</v>
      </c>
      <c r="DV39" s="276">
        <f>SUMIF('20Ф'!$H:$H,$B:$B,'20Ф'!AA:AA)*1.2</f>
        <v>0</v>
      </c>
      <c r="DW39" s="276">
        <f>SUMIF('20Ф'!$H:$H,$B:$B,'20Ф'!N:N)*1.2</f>
        <v>0</v>
      </c>
      <c r="DX39" s="276">
        <f>$D39/$D$281*('25Ф'!$D$37)</f>
        <v>13342.77752720058</v>
      </c>
      <c r="DY39" s="276">
        <f>$D39/$D$281*'25Ф'!$D$30</f>
        <v>425.85957330076661</v>
      </c>
      <c r="DZ39" s="276">
        <f>$D39/$D$281*'25Ф'!$D$31</f>
        <v>233.85922542027853</v>
      </c>
      <c r="EA39" s="276"/>
      <c r="EB39" s="276">
        <f t="shared" si="2"/>
        <v>8406.1592578133623</v>
      </c>
      <c r="EC39" s="276">
        <f>$D39/$D$281*'26Ф'!$D$36</f>
        <v>4375.6766120445809</v>
      </c>
      <c r="ED39" s="276">
        <f>$D39/$D$281*'26Ф'!$D$37</f>
        <v>525.73287162343024</v>
      </c>
      <c r="EE39" s="276">
        <f>$D39/$D$281*'26Ф'!$D$38</f>
        <v>531.12477955027589</v>
      </c>
      <c r="EF39" s="276">
        <f>$D39/$D$281*'26Ф'!$D$39</f>
        <v>372.58354810947156</v>
      </c>
      <c r="EG39" s="276">
        <f>$D39/$D$281*'91Ф'!$D$10</f>
        <v>114.9418696363517</v>
      </c>
      <c r="EH39" s="276">
        <f>$D39/$D$281*('20Ф'!$I$509+'26Ф'!$D$41+'20Ф'!$I$507)</f>
        <v>813.1758791110841</v>
      </c>
      <c r="EI39" s="276">
        <f>$D39/$D$281*'91Ф'!$D$31</f>
        <v>1490.6708254404086</v>
      </c>
      <c r="EJ39" s="276">
        <f>$D39/$D$281*'20Ф'!$I$1316</f>
        <v>182.25287229775881</v>
      </c>
      <c r="EK39" s="276">
        <f>$D39/$D$281*('20Ф'!$I$1105+'20Ф'!$I$1282+'91Ф'!$D$17+'91Ф'!$D$41)</f>
        <v>5985.3873742104115</v>
      </c>
      <c r="EL39" s="276">
        <f>$D39/$D$281*отчёт!BX$294</f>
        <v>10005.742288999547</v>
      </c>
      <c r="EM39" s="276">
        <f>$D39/$D$281*отчёт!BY$294</f>
        <v>8799.5132545421366</v>
      </c>
      <c r="EN39" s="276">
        <f>SUMIF(отчёт!$B:$B,$B:$B,отчёт!BZ:BZ)/отчёт!BZ$281*('60Ф'!$O$151+'60Ф'!$P$151)*отчёт!BZ$293</f>
        <v>0</v>
      </c>
      <c r="EO39" s="240">
        <f t="shared" si="3"/>
        <v>0</v>
      </c>
      <c r="EP39" s="276">
        <f>SUMIF('20Ф'!$H:$H,$B:$B,'20Ф'!T:T)*1.2</f>
        <v>0</v>
      </c>
      <c r="EQ39" s="276">
        <f>SUMIF('20Ф'!$H:$H,$B:$B,'20Ф'!U:U)*1.2</f>
        <v>0</v>
      </c>
      <c r="ER39" s="236"/>
      <c r="ES39" s="239">
        <f t="shared" si="6"/>
        <v>3348.9257549773929</v>
      </c>
      <c r="ET39" s="276">
        <f>$D39/$D$282*'20Ф'!$I$381</f>
        <v>255.96160413514787</v>
      </c>
      <c r="EU39" s="276">
        <f>$D39/$D$282*('20Ф'!$I$75+'20Ф'!$I$1098)*1.2</f>
        <v>2956.4701561322595</v>
      </c>
      <c r="EV39" s="276">
        <f>$D39/$D$282*('20Ф'!$I$1286)</f>
        <v>136.49399470998583</v>
      </c>
      <c r="EW39" s="276">
        <f>SUMIF('91.1Ф'!$N:$N,$B:$B,'91.1Ф'!$F:$F)+$D39/$D$281*('91Ф'!$D$12+'91Ф'!$D$11+'91Ф'!$D$19+'91Ф'!$D$20)</f>
        <v>788.84480050857496</v>
      </c>
      <c r="EX39" s="276">
        <f t="shared" si="4"/>
        <v>0</v>
      </c>
      <c r="EY39" s="276">
        <f>SUMIF('20Ф'!$H:$H,$B:$B,'20Ф'!$AY:$AY)*1.2</f>
        <v>0</v>
      </c>
      <c r="EZ39" s="236"/>
      <c r="FA39" s="277">
        <f>SUMIF(отчёт!$B:$B,$B:$B,отчёт!$CU:$CU)/отчёт!$CU$281*'20Ф'!$I$1341</f>
        <v>0</v>
      </c>
      <c r="FB39" s="276">
        <f>SUMIF(Сальдо!$A:$A,$B:$B,Сальдо!$H:$H)-SUMIF(Сальдо!$A:$A,$B:$B,Сальдо!$I:$I)</f>
        <v>4763.58</v>
      </c>
    </row>
    <row r="40" spans="1:162" ht="12" customHeight="1" x14ac:dyDescent="0.25">
      <c r="A40" s="3">
        <f t="shared" si="7"/>
        <v>36</v>
      </c>
      <c r="B40" s="4" t="s">
        <v>84</v>
      </c>
      <c r="C40" s="4" t="s">
        <v>84</v>
      </c>
      <c r="D40" s="5">
        <v>10785.62</v>
      </c>
      <c r="E40" s="6">
        <v>10785.62</v>
      </c>
      <c r="F40" s="6">
        <v>0</v>
      </c>
      <c r="G40" s="6">
        <v>980.8</v>
      </c>
      <c r="H40" s="5">
        <f>SUMIF(отчёт!$B:$B,$B:$B,отчёт!I:I)</f>
        <v>6</v>
      </c>
      <c r="I40" s="5">
        <f>SUMIF(отчёт!$B:$B,$B:$B,отчёт!J:J)</f>
        <v>0</v>
      </c>
      <c r="J40" s="3" t="s">
        <v>51</v>
      </c>
      <c r="K40" s="105">
        <v>3</v>
      </c>
      <c r="L40" s="105" t="s">
        <v>52</v>
      </c>
      <c r="M40" s="7">
        <v>45.06</v>
      </c>
      <c r="N40" s="8">
        <v>5.0999999999999996</v>
      </c>
      <c r="O40" s="8">
        <v>8.6300000000000008</v>
      </c>
      <c r="P40" s="8">
        <v>13.43</v>
      </c>
      <c r="Q40" s="8">
        <v>6.91</v>
      </c>
      <c r="R40" s="8">
        <v>3.15</v>
      </c>
      <c r="S40" s="8">
        <v>1.81</v>
      </c>
      <c r="T40" s="8">
        <v>5.77</v>
      </c>
      <c r="U40" s="8">
        <v>0.26</v>
      </c>
      <c r="V40" s="9">
        <v>40</v>
      </c>
      <c r="W40" s="9">
        <v>40</v>
      </c>
      <c r="X40" s="9">
        <v>2604.04</v>
      </c>
      <c r="Y40" s="8">
        <v>195.98199600000001</v>
      </c>
      <c r="Z40" s="9">
        <v>42.3</v>
      </c>
      <c r="AA40" s="9">
        <v>2604.04</v>
      </c>
      <c r="AB40" s="8">
        <v>7.85</v>
      </c>
      <c r="AC40" s="10">
        <v>0</v>
      </c>
      <c r="AD40" s="8">
        <v>6.73</v>
      </c>
      <c r="AE40" s="8">
        <v>10.67</v>
      </c>
      <c r="AF40" s="8">
        <v>14</v>
      </c>
      <c r="AG40" s="7">
        <v>2916000.2232000004</v>
      </c>
      <c r="AH40" s="8">
        <v>330039.97199999995</v>
      </c>
      <c r="AI40" s="8">
        <v>558479.40360000008</v>
      </c>
      <c r="AJ40" s="8">
        <v>869105.25960000011</v>
      </c>
      <c r="AK40" s="8">
        <v>447171.8052</v>
      </c>
      <c r="AL40" s="8">
        <v>203848.21799999999</v>
      </c>
      <c r="AM40" s="8">
        <v>117131.83320000002</v>
      </c>
      <c r="AN40" s="8">
        <v>373398.16440000001</v>
      </c>
      <c r="AO40" s="8">
        <v>16825.567200000001</v>
      </c>
      <c r="AQ40" s="104">
        <v>48.44</v>
      </c>
      <c r="AR40" s="370">
        <v>18.489999999999998</v>
      </c>
      <c r="AS40" s="370"/>
      <c r="AT40" s="104">
        <v>6.67</v>
      </c>
      <c r="AU40" s="104">
        <v>1.53</v>
      </c>
      <c r="AV40" s="104">
        <v>0.32</v>
      </c>
      <c r="AW40" s="104">
        <v>0.87</v>
      </c>
      <c r="AX40" s="104">
        <v>5.01</v>
      </c>
      <c r="AY40" s="104">
        <v>4.99</v>
      </c>
      <c r="AZ40" s="104">
        <v>2.7</v>
      </c>
      <c r="BA40" s="104">
        <v>6.46</v>
      </c>
      <c r="BB40" s="104">
        <v>0.47</v>
      </c>
      <c r="BC40" s="101">
        <v>0.93</v>
      </c>
      <c r="BD40" s="104">
        <v>54.88252</v>
      </c>
      <c r="BE40" s="370">
        <v>20.949169999999999</v>
      </c>
      <c r="BF40" s="370">
        <v>0</v>
      </c>
      <c r="BG40" s="104">
        <v>7.5571100000000007</v>
      </c>
      <c r="BH40" s="104">
        <v>1.7334900000000002</v>
      </c>
      <c r="BI40" s="104">
        <v>0.36256000000000005</v>
      </c>
      <c r="BJ40" s="104">
        <v>0.98571000000000009</v>
      </c>
      <c r="BK40" s="104">
        <v>5.6763300000000001</v>
      </c>
      <c r="BL40" s="104">
        <v>5.65367</v>
      </c>
      <c r="BM40" s="104">
        <v>3.0591000000000004</v>
      </c>
      <c r="BN40" s="104">
        <v>7.3191800000000002</v>
      </c>
      <c r="BO40" s="104">
        <v>0.53250999999999993</v>
      </c>
      <c r="BP40" s="101">
        <v>1.05369</v>
      </c>
      <c r="BQ40" s="103">
        <v>6964330.9192240005</v>
      </c>
      <c r="BR40" s="371">
        <v>2658350.0969539997</v>
      </c>
      <c r="BS40" s="371">
        <v>0</v>
      </c>
      <c r="BT40" s="103">
        <v>958961.3383820001</v>
      </c>
      <c r="BU40" s="103">
        <v>219971.64133800002</v>
      </c>
      <c r="BV40" s="103">
        <v>46007.140672000001</v>
      </c>
      <c r="BW40" s="103">
        <v>125081.91370200002</v>
      </c>
      <c r="BX40" s="103">
        <v>720299.29614600004</v>
      </c>
      <c r="BY40" s="103">
        <v>717423.84985400003</v>
      </c>
      <c r="BZ40" s="103">
        <v>388185.24942000012</v>
      </c>
      <c r="CA40" s="103">
        <v>928769.15231600008</v>
      </c>
      <c r="CB40" s="103">
        <v>67572.987861999994</v>
      </c>
      <c r="CC40" s="103">
        <v>133708.25257799999</v>
      </c>
      <c r="CD40" s="1">
        <v>1</v>
      </c>
      <c r="CF40" s="277">
        <f>SUMIF(Оборот!$A:$A,$B:$B,Оборот!H:H)</f>
        <v>5975765.71</v>
      </c>
      <c r="CG40" s="277">
        <f>SUMIF(Оборот!$A:$A,$B:$B,Оборот!I:I)</f>
        <v>6059165.0099999998</v>
      </c>
      <c r="CH40" s="277">
        <f t="shared" si="0"/>
        <v>8817693.7753573097</v>
      </c>
      <c r="CI40" s="239">
        <f t="shared" si="5"/>
        <v>4676949.3555565448</v>
      </c>
      <c r="CJ40" s="276">
        <f>SUMIF('20Ф'!$H:$H,$B:$B,'20Ф'!M:M)*1.2</f>
        <v>0</v>
      </c>
      <c r="CK40" s="276">
        <f>SUMIF('20Ф'!$H:$H,$B:$B,'20Ф'!O:O)*1.2</f>
        <v>0</v>
      </c>
      <c r="CL40" s="276">
        <f>SUMIF('20Ф'!$H:$H,$B:$B,'20Ф'!Q:Q)*1.2</f>
        <v>0</v>
      </c>
      <c r="CM40" s="276">
        <f>SUMIF('20Ф'!$H:$H,$B:$B,'20Ф'!R:R)*1.2</f>
        <v>0</v>
      </c>
      <c r="CN40" s="276">
        <f>SUMIF('20Ф'!$H:$H,$B:$B,'20Ф'!S:S)*1.2</f>
        <v>0</v>
      </c>
      <c r="CO40" s="276">
        <f>SUMIF('20Ф'!$H:$H,$B:$B,'20Ф'!W:W)*1.2</f>
        <v>0</v>
      </c>
      <c r="CP40" s="276">
        <f>SUMIF('20Ф'!$H:$H,$B:$B,'20Ф'!P:P)*1.2</f>
        <v>0</v>
      </c>
      <c r="CQ40" s="276">
        <f>SUMIF('20Ф'!$H:$H,$B:$B,'20Ф'!Y:Y)*1.2</f>
        <v>0</v>
      </c>
      <c r="CR40" s="276">
        <f>SUMIF('20Ф'!$H:$H,$B:$B,'20Ф'!Z:Z)*1.2</f>
        <v>0</v>
      </c>
      <c r="CS40" s="276">
        <f>SUMIF('20Ф'!$H:$H,$B:$B,'20Ф'!AB:AB)*1.2</f>
        <v>0</v>
      </c>
      <c r="CT40" s="276">
        <f>SUMIF('20Ф'!$H:$H,$B:$B,'20Ф'!AC:AC)*1.2</f>
        <v>0</v>
      </c>
      <c r="CU40" s="276">
        <f>SUMIF('20Ф'!$H:$H,$B:$B,'20Ф'!AD:AD)*1.2</f>
        <v>0</v>
      </c>
      <c r="CV40" s="276">
        <f>SUMIF('20Ф'!$H:$H,$B:$B,'20Ф'!AE:AE)*1.2</f>
        <v>0</v>
      </c>
      <c r="CW40" s="276">
        <f>SUMIF('20Ф'!$H:$H,$B:$B,'20Ф'!AF:AF)*1.2</f>
        <v>0</v>
      </c>
      <c r="CX40" s="276">
        <f>SUMIF('20Ф'!$H:$H,$B:$B,'20Ф'!AG:AG)*1.2</f>
        <v>0</v>
      </c>
      <c r="CY40" s="276">
        <f>SUMIF('20Ф'!$H:$H,$B:$B,'20Ф'!AH:AH)*1.2</f>
        <v>0</v>
      </c>
      <c r="CZ40" s="276">
        <f>SUMIF('20Ф'!$H:$H,$B:$B,'20Ф'!AI:AI)*1.2</f>
        <v>0</v>
      </c>
      <c r="DA40" s="276">
        <f>SUMIF('20Ф'!$H:$H,$B:$B,'20Ф'!AJ:AJ)*1.2</f>
        <v>0</v>
      </c>
      <c r="DB40" s="276">
        <f>SUMIF('20Ф'!$H:$H,$B:$B,'20Ф'!AK:AK)*1.2</f>
        <v>0</v>
      </c>
      <c r="DC40" s="276">
        <f>SUMIF('20Ф'!$H:$H,$B:$B,'20Ф'!AL:AL)*1.2</f>
        <v>4364594.4720000001</v>
      </c>
      <c r="DD40" s="276">
        <f>SUMIF('20Ф'!$H:$H,$B:$B,'20Ф'!AM:AM)*1.2</f>
        <v>0</v>
      </c>
      <c r="DE40" s="276">
        <f>SUMIF('20Ф'!$H:$H,$B:$B,'20Ф'!AN:AN)*1.2</f>
        <v>0</v>
      </c>
      <c r="DF40" s="276">
        <f>SUMIF('20Ф'!$H:$H,$B:$B,'20Ф'!AO:AO)*1.2</f>
        <v>140091.74399999998</v>
      </c>
      <c r="DG40" s="276">
        <f>SUMIF('20Ф'!$H:$H,$B:$B,'20Ф'!AP:AP)*1.2</f>
        <v>0</v>
      </c>
      <c r="DH40" s="276">
        <f>SUMIF('20Ф'!$H:$H,$B:$B,'20Ф'!AQ:AQ)*1.2</f>
        <v>0</v>
      </c>
      <c r="DI40" s="276">
        <f>SUMIF('20Ф'!$H:$H,$B:$B,'20Ф'!BA:BA)*1.2</f>
        <v>77400</v>
      </c>
      <c r="DJ40" s="276">
        <f>SUMIF('20Ф'!$H:$H,$B:$B,'20Ф'!BB:BB)*1.2</f>
        <v>0</v>
      </c>
      <c r="DK40" s="276">
        <f>SUMIF('20Ф'!$H:$H,$B:$B,'20Ф'!BC:BC)*1.2</f>
        <v>0</v>
      </c>
      <c r="DL40" s="276">
        <f>$D40/$D$281*'20Ф'!$H$218</f>
        <v>94863.139556544935</v>
      </c>
      <c r="DM40" s="240">
        <f t="shared" si="1"/>
        <v>1109266.4665175634</v>
      </c>
      <c r="DN40" s="276">
        <f>SUMIF('20Ф'!$H:$H,$B:$B,'20Ф'!AV:AV)*1.2</f>
        <v>0</v>
      </c>
      <c r="DO40" s="276">
        <f>SUMIF('20Ф'!$H:$H,$B:$B,'20Ф'!AW:AW)*1.2+$D40/$D$281*'26Ф'!$D$42</f>
        <v>50481.252364339198</v>
      </c>
      <c r="DP40" s="276">
        <f>SUMIF('20Ф'!$H:$H,$B:$B,'20Ф'!AX:AX)*1.2</f>
        <v>0</v>
      </c>
      <c r="DQ40" s="276">
        <f>SUMIF('20Ф'!$H:$H,$B:$B,'20Ф'!AY:AY)*1.2</f>
        <v>0</v>
      </c>
      <c r="DR40" s="276">
        <f>SUMIF('20Ф'!$H:$H,$B:$B,'20Ф'!AU:AU)*1.2</f>
        <v>0</v>
      </c>
      <c r="DS40" s="276">
        <f>SUMIF('20Ф'!$H:$H,$B:$B,'20Ф'!AS:AS)*1.2</f>
        <v>168304.05600000001</v>
      </c>
      <c r="DT40" s="276">
        <f>SUMIF('20Ф'!$H:$H,$B:$B,'20Ф'!AR:AR)*1.2</f>
        <v>0</v>
      </c>
      <c r="DU40" s="276">
        <f>SUMIF('20Ф'!$H:$H,$B:$B,'20Ф'!X:X)*1.2</f>
        <v>0</v>
      </c>
      <c r="DV40" s="276">
        <f>SUMIF('20Ф'!$H:$H,$B:$B,'20Ф'!AA:AA)*1.2</f>
        <v>0</v>
      </c>
      <c r="DW40" s="276">
        <f>SUMIF('20Ф'!$H:$H,$B:$B,'20Ф'!N:N)*1.2</f>
        <v>0</v>
      </c>
      <c r="DX40" s="276">
        <f>$D40/$D$281*('25Ф'!$D$37)</f>
        <v>848526.69901488884</v>
      </c>
      <c r="DY40" s="276">
        <f>$D40/$D$281*'25Ф'!$D$30</f>
        <v>27082.30855533146</v>
      </c>
      <c r="DZ40" s="276">
        <f>$D40/$D$281*'25Ф'!$D$31</f>
        <v>14872.150583003922</v>
      </c>
      <c r="EA40" s="276"/>
      <c r="EB40" s="276">
        <f t="shared" si="2"/>
        <v>534585.13805576053</v>
      </c>
      <c r="EC40" s="276">
        <f>$D40/$D$281*'26Ф'!$D$36</f>
        <v>278268.78054481302</v>
      </c>
      <c r="ED40" s="276">
        <f>$D40/$D$281*'26Ф'!$D$37</f>
        <v>33433.696785607921</v>
      </c>
      <c r="EE40" s="276">
        <f>$D40/$D$281*'26Ф'!$D$38</f>
        <v>33776.592245359956</v>
      </c>
      <c r="EF40" s="276">
        <f>$D40/$D$281*'26Ф'!$D$39</f>
        <v>23694.248633021696</v>
      </c>
      <c r="EG40" s="276">
        <f>$D40/$D$281*'91Ф'!$D$10</f>
        <v>7309.6658489812971</v>
      </c>
      <c r="EH40" s="276">
        <f>$D40/$D$281*('20Ф'!$I$509+'26Ф'!$D$41+'20Ф'!$I$507)</f>
        <v>51713.478922512339</v>
      </c>
      <c r="EI40" s="276">
        <f>$D40/$D$281*'91Ф'!$D$31</f>
        <v>94798.402525274665</v>
      </c>
      <c r="EJ40" s="276">
        <f>$D40/$D$281*'20Ф'!$I$1316</f>
        <v>11590.272550189586</v>
      </c>
      <c r="EK40" s="276">
        <f>$D40/$D$281*('20Ф'!$I$1105+'20Ф'!$I$1282+'91Ф'!$D$17+'91Ф'!$D$41)</f>
        <v>380637.46327259031</v>
      </c>
      <c r="EL40" s="276">
        <f>$D40/$D$281*отчёт!BX$294</f>
        <v>636309.75322570361</v>
      </c>
      <c r="EM40" s="276">
        <f>$D40/$D$281*отчёт!BY$294</f>
        <v>559600.27210173802</v>
      </c>
      <c r="EN40" s="276">
        <f>$D40/$D$283*отчёт!BZ$294</f>
        <v>100430.75606845469</v>
      </c>
      <c r="EO40" s="240">
        <f t="shared" ref="EO40:EO45" si="10">SUBTOTAL(9,EP40:ER40)</f>
        <v>549167.06850299402</v>
      </c>
      <c r="EP40" s="276">
        <f>SUMIF('20Ф'!$H:$H,$B:$B,'20Ф'!T:T)*1.2</f>
        <v>15576.84</v>
      </c>
      <c r="EQ40" s="276">
        <f>SUM(H40:I40)/SUM($H$284:$I$284)*SUM('60Ф'!$O$155:$P$155)</f>
        <v>517530.78526946111</v>
      </c>
      <c r="ER40" s="276">
        <f>SUM($H40:$I40)/SUM($H$284:$I$284)*SUM('60Ф'!$P$227)</f>
        <v>16059.443233532935</v>
      </c>
      <c r="ES40" s="239">
        <f t="shared" si="6"/>
        <v>212973.11675353345</v>
      </c>
      <c r="ET40" s="276">
        <f>$D40/$D$282*'20Ф'!$I$381</f>
        <v>16277.739367878146</v>
      </c>
      <c r="EU40" s="276">
        <f>$D40/$D$282*('20Ф'!$I$75+'20Ф'!$I$1098)*1.2</f>
        <v>188015.1158336275</v>
      </c>
      <c r="EV40" s="276">
        <f>$D40/$D$282*('20Ф'!$I$1286)</f>
        <v>8680.2615520278159</v>
      </c>
      <c r="EW40" s="276">
        <f>SUMIF('91.1Ф'!$N:$N,$B:$B,'91.1Ф'!$F:$F)+$D40/$D$281*('91Ф'!$D$12+'91Ф'!$D$11+'91Ф'!$D$19+'91Ф'!$D$20)</f>
        <v>50166.15717724822</v>
      </c>
      <c r="EX40" s="276">
        <f t="shared" si="4"/>
        <v>7608.2281251776058</v>
      </c>
      <c r="EY40" s="276">
        <f>SUMIF('20Ф'!$H:$H,$B:$B,'20Ф'!$AY:$AY)*1.2</f>
        <v>0</v>
      </c>
      <c r="EZ40" s="295">
        <f>D40/$D$286*'20Ф'!$I$1163</f>
        <v>7608.2281251776058</v>
      </c>
      <c r="FA40" s="277">
        <f>SUMIF(отчёт!$B:$B,$B:$B,отчёт!$CU:$CU)/отчёт!$CU$281*'20Ф'!$I$1341</f>
        <v>5525.7831325301113</v>
      </c>
      <c r="FB40" s="276">
        <f>SUMIF(Сальдо!$A:$A,$B:$B,Сальдо!$H:$H)-SUMIF(Сальдо!$A:$A,$B:$B,Сальдо!$I:$I)</f>
        <v>1347190.45</v>
      </c>
    </row>
    <row r="41" spans="1:162" ht="12" customHeight="1" x14ac:dyDescent="0.25">
      <c r="A41" s="3">
        <f t="shared" si="7"/>
        <v>37</v>
      </c>
      <c r="B41" s="4" t="s">
        <v>85</v>
      </c>
      <c r="C41" s="4" t="s">
        <v>85</v>
      </c>
      <c r="D41" s="5">
        <v>10772.68</v>
      </c>
      <c r="E41" s="6">
        <v>10772.68</v>
      </c>
      <c r="F41" s="6">
        <v>0</v>
      </c>
      <c r="G41" s="6">
        <v>1031.5999999999999</v>
      </c>
      <c r="H41" s="5">
        <f>SUMIF(отчёт!$B:$B,$B:$B,отчёт!I:I)</f>
        <v>6</v>
      </c>
      <c r="I41" s="5">
        <f>SUMIF(отчёт!$B:$B,$B:$B,отчёт!J:J)</f>
        <v>0</v>
      </c>
      <c r="J41" s="3" t="s">
        <v>51</v>
      </c>
      <c r="K41" s="105">
        <v>3</v>
      </c>
      <c r="L41" s="105" t="s">
        <v>52</v>
      </c>
      <c r="M41" s="7">
        <v>45.06</v>
      </c>
      <c r="N41" s="8">
        <v>5.0999999999999996</v>
      </c>
      <c r="O41" s="8">
        <v>8.6300000000000008</v>
      </c>
      <c r="P41" s="8">
        <v>13.43</v>
      </c>
      <c r="Q41" s="8">
        <v>6.91</v>
      </c>
      <c r="R41" s="8">
        <v>3.15</v>
      </c>
      <c r="S41" s="8">
        <v>1.81</v>
      </c>
      <c r="T41" s="8">
        <v>5.77</v>
      </c>
      <c r="U41" s="8">
        <v>0.26</v>
      </c>
      <c r="V41" s="9">
        <v>40</v>
      </c>
      <c r="W41" s="9">
        <v>40</v>
      </c>
      <c r="X41" s="9">
        <v>2604.04</v>
      </c>
      <c r="Y41" s="8">
        <v>195.98199600000001</v>
      </c>
      <c r="Z41" s="9">
        <v>42.3</v>
      </c>
      <c r="AA41" s="9">
        <v>2604.04</v>
      </c>
      <c r="AB41" s="8">
        <v>7.85</v>
      </c>
      <c r="AC41" s="10">
        <v>0</v>
      </c>
      <c r="AD41" s="8">
        <v>6.73</v>
      </c>
      <c r="AE41" s="8">
        <v>10.67</v>
      </c>
      <c r="AF41" s="8">
        <v>14</v>
      </c>
      <c r="AG41" s="7">
        <v>2912501.7648000005</v>
      </c>
      <c r="AH41" s="8">
        <v>329644.00799999997</v>
      </c>
      <c r="AI41" s="8">
        <v>557809.37040000001</v>
      </c>
      <c r="AJ41" s="8">
        <v>868062.55440000002</v>
      </c>
      <c r="AK41" s="8">
        <v>446635.31280000001</v>
      </c>
      <c r="AL41" s="8">
        <v>203603.652</v>
      </c>
      <c r="AM41" s="8">
        <v>116991.30480000001</v>
      </c>
      <c r="AN41" s="8">
        <v>372950.18160000001</v>
      </c>
      <c r="AO41" s="8">
        <v>16805.380799999999</v>
      </c>
      <c r="AQ41" s="104">
        <v>48.44</v>
      </c>
      <c r="AR41" s="370">
        <v>18.489999999999998</v>
      </c>
      <c r="AS41" s="370"/>
      <c r="AT41" s="104">
        <v>6.67</v>
      </c>
      <c r="AU41" s="104">
        <v>1.53</v>
      </c>
      <c r="AV41" s="104">
        <v>0.32</v>
      </c>
      <c r="AW41" s="104">
        <v>0.87</v>
      </c>
      <c r="AX41" s="104">
        <v>5.01</v>
      </c>
      <c r="AY41" s="104">
        <v>4.99</v>
      </c>
      <c r="AZ41" s="104">
        <v>2.7</v>
      </c>
      <c r="BA41" s="104">
        <v>6.46</v>
      </c>
      <c r="BB41" s="104">
        <v>0.47</v>
      </c>
      <c r="BC41" s="101">
        <v>0.93</v>
      </c>
      <c r="BD41" s="104">
        <v>54.88252</v>
      </c>
      <c r="BE41" s="370">
        <v>20.949169999999999</v>
      </c>
      <c r="BF41" s="370">
        <v>0</v>
      </c>
      <c r="BG41" s="104">
        <v>7.5571100000000007</v>
      </c>
      <c r="BH41" s="104">
        <v>1.7334900000000002</v>
      </c>
      <c r="BI41" s="104">
        <v>0.36256000000000005</v>
      </c>
      <c r="BJ41" s="104">
        <v>0.98571000000000009</v>
      </c>
      <c r="BK41" s="104">
        <v>5.6763300000000001</v>
      </c>
      <c r="BL41" s="104">
        <v>5.65367</v>
      </c>
      <c r="BM41" s="104">
        <v>3.0591000000000004</v>
      </c>
      <c r="BN41" s="104">
        <v>7.3191800000000002</v>
      </c>
      <c r="BO41" s="104">
        <v>0.53250999999999993</v>
      </c>
      <c r="BP41" s="101">
        <v>1.05369</v>
      </c>
      <c r="BQ41" s="103">
        <v>6955975.4939359995</v>
      </c>
      <c r="BR41" s="371">
        <v>2655160.7531559998</v>
      </c>
      <c r="BS41" s="371">
        <v>0</v>
      </c>
      <c r="BT41" s="103">
        <v>957810.82874800009</v>
      </c>
      <c r="BU41" s="103">
        <v>219707.731332</v>
      </c>
      <c r="BV41" s="103">
        <v>45951.943808000004</v>
      </c>
      <c r="BW41" s="103">
        <v>124931.84722800001</v>
      </c>
      <c r="BX41" s="103">
        <v>719435.12024399999</v>
      </c>
      <c r="BY41" s="103">
        <v>716563.12375600007</v>
      </c>
      <c r="BZ41" s="103">
        <v>387719.52588000009</v>
      </c>
      <c r="CA41" s="103">
        <v>927654.86562400009</v>
      </c>
      <c r="CB41" s="103">
        <v>67491.917467999985</v>
      </c>
      <c r="CC41" s="103">
        <v>133547.83669199998</v>
      </c>
      <c r="CD41" s="1">
        <v>1</v>
      </c>
      <c r="CF41" s="277">
        <f>SUMIF(Оборот!$A:$A,$B:$B,Оборот!H:H)</f>
        <v>5907518.7799999984</v>
      </c>
      <c r="CG41" s="277">
        <f>SUMIF(Оборот!$A:$A,$B:$B,Оборот!I:I)</f>
        <v>6260101.0999999996</v>
      </c>
      <c r="CH41" s="277">
        <f t="shared" si="0"/>
        <v>5196706.1146944957</v>
      </c>
      <c r="CI41" s="239">
        <f t="shared" si="5"/>
        <v>802723.37192347588</v>
      </c>
      <c r="CJ41" s="276">
        <f>SUMIF('20Ф'!$H:$H,$B:$B,'20Ф'!M:M)*1.2</f>
        <v>0</v>
      </c>
      <c r="CK41" s="276">
        <f>SUMIF('20Ф'!$H:$H,$B:$B,'20Ф'!O:O)*1.2</f>
        <v>0</v>
      </c>
      <c r="CL41" s="276">
        <f>SUMIF('20Ф'!$H:$H,$B:$B,'20Ф'!Q:Q)*1.2</f>
        <v>0</v>
      </c>
      <c r="CM41" s="276">
        <f>SUMIF('20Ф'!$H:$H,$B:$B,'20Ф'!R:R)*1.2</f>
        <v>0</v>
      </c>
      <c r="CN41" s="276">
        <f>SUMIF('20Ф'!$H:$H,$B:$B,'20Ф'!S:S)*1.2</f>
        <v>0</v>
      </c>
      <c r="CO41" s="276">
        <f>SUMIF('20Ф'!$H:$H,$B:$B,'20Ф'!W:W)*1.2</f>
        <v>0</v>
      </c>
      <c r="CP41" s="276">
        <f>SUMIF('20Ф'!$H:$H,$B:$B,'20Ф'!P:P)*1.2</f>
        <v>0</v>
      </c>
      <c r="CQ41" s="276">
        <f>SUMIF('20Ф'!$H:$H,$B:$B,'20Ф'!Y:Y)*1.2</f>
        <v>0</v>
      </c>
      <c r="CR41" s="276">
        <f>SUMIF('20Ф'!$H:$H,$B:$B,'20Ф'!Z:Z)*1.2</f>
        <v>0</v>
      </c>
      <c r="CS41" s="276">
        <f>SUMIF('20Ф'!$H:$H,$B:$B,'20Ф'!AB:AB)*1.2</f>
        <v>0</v>
      </c>
      <c r="CT41" s="276">
        <f>SUMIF('20Ф'!$H:$H,$B:$B,'20Ф'!AC:AC)*1.2</f>
        <v>0</v>
      </c>
      <c r="CU41" s="276">
        <f>SUMIF('20Ф'!$H:$H,$B:$B,'20Ф'!AD:AD)*1.2</f>
        <v>0</v>
      </c>
      <c r="CV41" s="276">
        <f>SUMIF('20Ф'!$H:$H,$B:$B,'20Ф'!AE:AE)*1.2</f>
        <v>0</v>
      </c>
      <c r="CW41" s="276">
        <f>SUMIF('20Ф'!$H:$H,$B:$B,'20Ф'!AF:AF)*1.2</f>
        <v>0</v>
      </c>
      <c r="CX41" s="276">
        <f>SUMIF('20Ф'!$H:$H,$B:$B,'20Ф'!AG:AG)*1.2</f>
        <v>0</v>
      </c>
      <c r="CY41" s="276">
        <f>SUMIF('20Ф'!$H:$H,$B:$B,'20Ф'!AH:AH)*1.2</f>
        <v>0</v>
      </c>
      <c r="CZ41" s="276">
        <f>SUMIF('20Ф'!$H:$H,$B:$B,'20Ф'!AI:AI)*1.2</f>
        <v>0</v>
      </c>
      <c r="DA41" s="276">
        <f>SUMIF('20Ф'!$H:$H,$B:$B,'20Ф'!AJ:AJ)*1.2</f>
        <v>0</v>
      </c>
      <c r="DB41" s="276">
        <f>SUMIF('20Ф'!$H:$H,$B:$B,'20Ф'!AK:AK)*1.2</f>
        <v>0</v>
      </c>
      <c r="DC41" s="276">
        <f>SUMIF('20Ф'!$H:$H,$B:$B,'20Ф'!AL:AL)*1.2</f>
        <v>499882.68</v>
      </c>
      <c r="DD41" s="276">
        <f>SUMIF('20Ф'!$H:$H,$B:$B,'20Ф'!AM:AM)*1.2</f>
        <v>0</v>
      </c>
      <c r="DE41" s="276">
        <f>SUMIF('20Ф'!$H:$H,$B:$B,'20Ф'!AN:AN)*1.2</f>
        <v>7534.116</v>
      </c>
      <c r="DF41" s="276">
        <f>SUMIF('20Ф'!$H:$H,$B:$B,'20Ф'!AO:AO)*1.2</f>
        <v>0</v>
      </c>
      <c r="DG41" s="276">
        <f>SUMIF('20Ф'!$H:$H,$B:$B,'20Ф'!AP:AP)*1.2</f>
        <v>200557.24799999999</v>
      </c>
      <c r="DH41" s="276">
        <f>SUMIF('20Ф'!$H:$H,$B:$B,'20Ф'!AQ:AQ)*1.2</f>
        <v>0</v>
      </c>
      <c r="DI41" s="276">
        <f>SUMIF('20Ф'!$H:$H,$B:$B,'20Ф'!BA:BA)*1.2</f>
        <v>0</v>
      </c>
      <c r="DJ41" s="276">
        <f>SUMIF('20Ф'!$H:$H,$B:$B,'20Ф'!BB:BB)*1.2</f>
        <v>0</v>
      </c>
      <c r="DK41" s="276">
        <f>SUMIF('20Ф'!$H:$H,$B:$B,'20Ф'!BC:BC)*1.2</f>
        <v>0</v>
      </c>
      <c r="DL41" s="276">
        <f>$D41/$D$281*'20Ф'!$H$218</f>
        <v>94749.32792347591</v>
      </c>
      <c r="DM41" s="240">
        <f t="shared" si="1"/>
        <v>1115482.9310178426</v>
      </c>
      <c r="DN41" s="276">
        <f>SUMIF('20Ф'!$H:$H,$B:$B,'20Ф'!AV:AV)*1.2</f>
        <v>0</v>
      </c>
      <c r="DO41" s="276">
        <f>SUMIF('20Ф'!$H:$H,$B:$B,'20Ф'!AW:AW)*1.2+$D41/$D$281*'26Ф'!$D$42</f>
        <v>50420.687704579759</v>
      </c>
      <c r="DP41" s="276">
        <f>SUMIF('20Ф'!$H:$H,$B:$B,'20Ф'!AX:AX)*1.2</f>
        <v>0</v>
      </c>
      <c r="DQ41" s="276">
        <f>SUMIF('20Ф'!$H:$H,$B:$B,'20Ф'!AY:AY)*1.2</f>
        <v>0</v>
      </c>
      <c r="DR41" s="276">
        <f>SUMIF('20Ф'!$H:$H,$B:$B,'20Ф'!AU:AU)*1.2</f>
        <v>0</v>
      </c>
      <c r="DS41" s="276">
        <f>SUMIF('20Ф'!$H:$H,$B:$B,'20Ф'!AS:AS)*1.2</f>
        <v>175649.43599999999</v>
      </c>
      <c r="DT41" s="276">
        <f>SUMIF('20Ф'!$H:$H,$B:$B,'20Ф'!AR:AR)*1.2</f>
        <v>0</v>
      </c>
      <c r="DU41" s="276">
        <f>SUMIF('20Ф'!$H:$H,$B:$B,'20Ф'!X:X)*1.2</f>
        <v>0</v>
      </c>
      <c r="DV41" s="276">
        <f>SUMIF('20Ф'!$H:$H,$B:$B,'20Ф'!AA:AA)*1.2</f>
        <v>0</v>
      </c>
      <c r="DW41" s="276">
        <f>SUMIF('20Ф'!$H:$H,$B:$B,'20Ф'!N:N)*1.2</f>
        <v>0</v>
      </c>
      <c r="DX41" s="276">
        <f>$D41/$D$281*('25Ф'!$D$37)</f>
        <v>847508.68285214133</v>
      </c>
      <c r="DY41" s="276">
        <f>$D41/$D$281*'25Ф'!$D$30</f>
        <v>27049.816675151553</v>
      </c>
      <c r="DZ41" s="276">
        <f>$D41/$D$281*'25Ф'!$D$31</f>
        <v>14854.307785970086</v>
      </c>
      <c r="EA41" s="276"/>
      <c r="EB41" s="276">
        <f t="shared" si="2"/>
        <v>533943.77189540607</v>
      </c>
      <c r="EC41" s="276">
        <f>$D41/$D$281*'26Ф'!$D$36</f>
        <v>277934.92880330438</v>
      </c>
      <c r="ED41" s="276">
        <f>$D41/$D$281*'26Ф'!$D$37</f>
        <v>33393.58485542627</v>
      </c>
      <c r="EE41" s="276">
        <f>$D41/$D$281*'26Ф'!$D$38</f>
        <v>33736.068927863605</v>
      </c>
      <c r="EF41" s="276">
        <f>$D41/$D$281*'26Ф'!$D$39</f>
        <v>23665.821562782683</v>
      </c>
      <c r="EG41" s="276">
        <f>$D41/$D$281*'91Ф'!$D$10</f>
        <v>7300.8961096352205</v>
      </c>
      <c r="EH41" s="276">
        <f>$D41/$D$281*('20Ф'!$I$509+'26Ф'!$D$41+'20Ф'!$I$507)</f>
        <v>51651.435904377322</v>
      </c>
      <c r="EI41" s="276">
        <f>$D41/$D$281*'91Ф'!$D$31</f>
        <v>94684.668560173261</v>
      </c>
      <c r="EJ41" s="276">
        <f>$D41/$D$281*'20Ф'!$I$1316</f>
        <v>11576.367171843282</v>
      </c>
      <c r="EK41" s="276">
        <f>$D41/$D$281*('20Ф'!$I$1105+'20Ф'!$I$1282+'91Ф'!$D$17+'91Ф'!$D$41)</f>
        <v>380180.79515571363</v>
      </c>
      <c r="EL41" s="276">
        <f>$D41/$D$281*отчёт!BX$294</f>
        <v>635546.34340719145</v>
      </c>
      <c r="EM41" s="276">
        <f>$D41/$D$281*отчёт!BY$294</f>
        <v>558928.89414469921</v>
      </c>
      <c r="EN41" s="276">
        <f>$D41/$D$283*отчёт!BZ$294</f>
        <v>100310.26471204442</v>
      </c>
      <c r="EO41" s="240">
        <f t="shared" si="10"/>
        <v>549167.06850299402</v>
      </c>
      <c r="EP41" s="276">
        <f>SUMIF('20Ф'!$H:$H,$B:$B,'20Ф'!T:T)*1.2</f>
        <v>15576.84</v>
      </c>
      <c r="EQ41" s="276">
        <f>SUM(H41:I41)/SUM($H$284:$I$284)*SUM('60Ф'!$O$155:$P$155)</f>
        <v>517530.78526946111</v>
      </c>
      <c r="ER41" s="276">
        <f>SUM($H41:$I41)/SUM($H$284:$I$284)*SUM('60Ф'!$P$227)</f>
        <v>16059.443233532935</v>
      </c>
      <c r="ES41" s="239">
        <f t="shared" si="6"/>
        <v>212717.60319652042</v>
      </c>
      <c r="ET41" s="276">
        <f>$D41/$D$282*'20Ф'!$I$381</f>
        <v>16258.210221902269</v>
      </c>
      <c r="EU41" s="276">
        <f>$D41/$D$282*('20Ф'!$I$75+'20Ф'!$I$1098)*1.2</f>
        <v>187789.54552808296</v>
      </c>
      <c r="EV41" s="276">
        <f>$D41/$D$282*('20Ф'!$I$1286)</f>
        <v>8669.847446535201</v>
      </c>
      <c r="EW41" s="276">
        <f>SUMIF('91.1Ф'!$N:$N,$B:$B,'91.1Ф'!$F:$F)+$D41/$D$281*('91Ф'!$D$12+'91Ф'!$D$11+'91Ф'!$D$19+'91Ф'!$D$20)</f>
        <v>300105.97055154905</v>
      </c>
      <c r="EX41" s="276">
        <f t="shared" si="4"/>
        <v>7599.100187058164</v>
      </c>
      <c r="EY41" s="276">
        <f>SUMIF('20Ф'!$H:$H,$B:$B,'20Ф'!$AY:$AY)*1.2</f>
        <v>0</v>
      </c>
      <c r="EZ41" s="295">
        <f>D41/$D$286*'20Ф'!$I$1163</f>
        <v>7599.100187058164</v>
      </c>
      <c r="FA41" s="277">
        <f>SUMIF(отчёт!$B:$B,$B:$B,отчёт!$CU:$CU)/отчёт!$CU$281*'20Ф'!$I$1341</f>
        <v>5525.7831325301113</v>
      </c>
      <c r="FB41" s="276">
        <f>SUMIF(Сальдо!$A:$A,$B:$B,Сальдо!$H:$H)-SUMIF(Сальдо!$A:$A,$B:$B,Сальдо!$I:$I)</f>
        <v>1328185.1300000001</v>
      </c>
    </row>
    <row r="42" spans="1:162" ht="12" customHeight="1" x14ac:dyDescent="0.25">
      <c r="A42" s="3">
        <f t="shared" si="7"/>
        <v>38</v>
      </c>
      <c r="B42" s="4" t="s">
        <v>86</v>
      </c>
      <c r="C42" s="4" t="s">
        <v>86</v>
      </c>
      <c r="D42" s="5">
        <v>10745.800000000001</v>
      </c>
      <c r="E42" s="6">
        <v>10719.1</v>
      </c>
      <c r="F42" s="6">
        <v>26.7</v>
      </c>
      <c r="G42" s="6">
        <v>907.7</v>
      </c>
      <c r="H42" s="5">
        <f>SUMIF(отчёт!$B:$B,$B:$B,отчёт!I:I)</f>
        <v>6</v>
      </c>
      <c r="I42" s="5">
        <f>SUMIF(отчёт!$B:$B,$B:$B,отчёт!J:J)</f>
        <v>0</v>
      </c>
      <c r="J42" s="3" t="s">
        <v>51</v>
      </c>
      <c r="K42" s="105">
        <v>3</v>
      </c>
      <c r="L42" s="105" t="s">
        <v>52</v>
      </c>
      <c r="M42" s="7">
        <v>45.06</v>
      </c>
      <c r="N42" s="8">
        <v>5.0999999999999996</v>
      </c>
      <c r="O42" s="8">
        <v>8.6300000000000008</v>
      </c>
      <c r="P42" s="8">
        <v>13.43</v>
      </c>
      <c r="Q42" s="8">
        <v>6.91</v>
      </c>
      <c r="R42" s="8">
        <v>3.15</v>
      </c>
      <c r="S42" s="8">
        <v>1.81</v>
      </c>
      <c r="T42" s="8">
        <v>5.77</v>
      </c>
      <c r="U42" s="8">
        <v>0.26</v>
      </c>
      <c r="V42" s="9">
        <v>40</v>
      </c>
      <c r="W42" s="9">
        <v>40</v>
      </c>
      <c r="X42" s="9">
        <v>2604.04</v>
      </c>
      <c r="Y42" s="8">
        <v>195.98199600000001</v>
      </c>
      <c r="Z42" s="9">
        <v>42.3</v>
      </c>
      <c r="AA42" s="9">
        <v>2604.04</v>
      </c>
      <c r="AB42" s="8">
        <v>7.85</v>
      </c>
      <c r="AC42" s="10">
        <v>0</v>
      </c>
      <c r="AD42" s="8">
        <v>6.73</v>
      </c>
      <c r="AE42" s="8">
        <v>10.67</v>
      </c>
      <c r="AF42" s="8">
        <v>14</v>
      </c>
      <c r="AG42" s="7">
        <v>2905234.4880000004</v>
      </c>
      <c r="AH42" s="8">
        <v>328821.48</v>
      </c>
      <c r="AI42" s="8">
        <v>556417.52400000009</v>
      </c>
      <c r="AJ42" s="8">
        <v>865896.56400000001</v>
      </c>
      <c r="AK42" s="8">
        <v>445520.86800000002</v>
      </c>
      <c r="AL42" s="8">
        <v>203095.62000000002</v>
      </c>
      <c r="AM42" s="8">
        <v>116699.38800000001</v>
      </c>
      <c r="AN42" s="8">
        <v>372019.59600000002</v>
      </c>
      <c r="AO42" s="8">
        <v>16763.448000000004</v>
      </c>
      <c r="AQ42" s="104">
        <v>48.44</v>
      </c>
      <c r="AR42" s="370">
        <v>18.489999999999998</v>
      </c>
      <c r="AS42" s="370"/>
      <c r="AT42" s="104">
        <v>6.67</v>
      </c>
      <c r="AU42" s="104">
        <v>1.53</v>
      </c>
      <c r="AV42" s="104">
        <v>0.32</v>
      </c>
      <c r="AW42" s="104">
        <v>0.87</v>
      </c>
      <c r="AX42" s="104">
        <v>5.01</v>
      </c>
      <c r="AY42" s="104">
        <v>4.99</v>
      </c>
      <c r="AZ42" s="104">
        <v>2.7</v>
      </c>
      <c r="BA42" s="104">
        <v>6.46</v>
      </c>
      <c r="BB42" s="104">
        <v>0.47</v>
      </c>
      <c r="BC42" s="101">
        <v>0.93</v>
      </c>
      <c r="BD42" s="104">
        <v>54.88252</v>
      </c>
      <c r="BE42" s="370">
        <v>20.949169999999999</v>
      </c>
      <c r="BF42" s="370">
        <v>0</v>
      </c>
      <c r="BG42" s="104">
        <v>7.5571100000000007</v>
      </c>
      <c r="BH42" s="104">
        <v>1.7334900000000002</v>
      </c>
      <c r="BI42" s="104">
        <v>0.36256000000000005</v>
      </c>
      <c r="BJ42" s="104">
        <v>0.98571000000000009</v>
      </c>
      <c r="BK42" s="104">
        <v>5.6763300000000001</v>
      </c>
      <c r="BL42" s="104">
        <v>5.65367</v>
      </c>
      <c r="BM42" s="104">
        <v>3.0591000000000004</v>
      </c>
      <c r="BN42" s="104">
        <v>7.3191800000000002</v>
      </c>
      <c r="BO42" s="104">
        <v>0.53250999999999993</v>
      </c>
      <c r="BP42" s="101">
        <v>1.05369</v>
      </c>
      <c r="BQ42" s="103">
        <v>6938618.9381600004</v>
      </c>
      <c r="BR42" s="371">
        <v>2648535.5938599999</v>
      </c>
      <c r="BS42" s="371">
        <v>0</v>
      </c>
      <c r="BT42" s="103">
        <v>955420.89838000014</v>
      </c>
      <c r="BU42" s="103">
        <v>219159.51642000003</v>
      </c>
      <c r="BV42" s="103">
        <v>45837.284480000002</v>
      </c>
      <c r="BW42" s="103">
        <v>124620.11718000003</v>
      </c>
      <c r="BX42" s="103">
        <v>717639.98514</v>
      </c>
      <c r="BY42" s="103">
        <v>714775.15486000013</v>
      </c>
      <c r="BZ42" s="103">
        <v>386752.0878000001</v>
      </c>
      <c r="CA42" s="103">
        <v>925340.18044000014</v>
      </c>
      <c r="CB42" s="103">
        <v>67323.511579999991</v>
      </c>
      <c r="CC42" s="103">
        <v>133214.60801999999</v>
      </c>
      <c r="CD42" s="1">
        <v>1</v>
      </c>
      <c r="CF42" s="277">
        <f>SUMIF(Оборот!$A:$A,$B:$B,Оборот!H:H)</f>
        <v>5929663.6700000009</v>
      </c>
      <c r="CG42" s="277">
        <f>SUMIF(Оборот!$A:$A,$B:$B,Оборот!I:I)</f>
        <v>5927870.8700000001</v>
      </c>
      <c r="CH42" s="277">
        <f t="shared" si="0"/>
        <v>4219834.7536824066</v>
      </c>
      <c r="CI42" s="239">
        <f t="shared" si="5"/>
        <v>137930.99732247941</v>
      </c>
      <c r="CJ42" s="276">
        <f>SUMIF('20Ф'!$H:$H,$B:$B,'20Ф'!M:M)*1.2</f>
        <v>0</v>
      </c>
      <c r="CK42" s="276">
        <f>SUMIF('20Ф'!$H:$H,$B:$B,'20Ф'!O:O)*1.2</f>
        <v>0</v>
      </c>
      <c r="CL42" s="276">
        <f>SUMIF('20Ф'!$H:$H,$B:$B,'20Ф'!Q:Q)*1.2</f>
        <v>0</v>
      </c>
      <c r="CM42" s="276">
        <f>SUMIF('20Ф'!$H:$H,$B:$B,'20Ф'!R:R)*1.2</f>
        <v>0</v>
      </c>
      <c r="CN42" s="276">
        <f>SUMIF('20Ф'!$H:$H,$B:$B,'20Ф'!S:S)*1.2</f>
        <v>0</v>
      </c>
      <c r="CO42" s="276">
        <f>SUMIF('20Ф'!$H:$H,$B:$B,'20Ф'!W:W)*1.2</f>
        <v>0</v>
      </c>
      <c r="CP42" s="276">
        <f>SUMIF('20Ф'!$H:$H,$B:$B,'20Ф'!P:P)*1.2</f>
        <v>0</v>
      </c>
      <c r="CQ42" s="276">
        <f>SUMIF('20Ф'!$H:$H,$B:$B,'20Ф'!Y:Y)*1.2</f>
        <v>0</v>
      </c>
      <c r="CR42" s="276">
        <f>SUMIF('20Ф'!$H:$H,$B:$B,'20Ф'!Z:Z)*1.2</f>
        <v>0</v>
      </c>
      <c r="CS42" s="276">
        <f>SUMIF('20Ф'!$H:$H,$B:$B,'20Ф'!AB:AB)*1.2</f>
        <v>0</v>
      </c>
      <c r="CT42" s="276">
        <f>SUMIF('20Ф'!$H:$H,$B:$B,'20Ф'!AC:AC)*1.2</f>
        <v>0</v>
      </c>
      <c r="CU42" s="276">
        <f>SUMIF('20Ф'!$H:$H,$B:$B,'20Ф'!AD:AD)*1.2</f>
        <v>0</v>
      </c>
      <c r="CV42" s="276">
        <f>SUMIF('20Ф'!$H:$H,$B:$B,'20Ф'!AE:AE)*1.2</f>
        <v>0</v>
      </c>
      <c r="CW42" s="276">
        <f>SUMIF('20Ф'!$H:$H,$B:$B,'20Ф'!AF:AF)*1.2</f>
        <v>0</v>
      </c>
      <c r="CX42" s="276">
        <f>SUMIF('20Ф'!$H:$H,$B:$B,'20Ф'!AG:AG)*1.2</f>
        <v>0</v>
      </c>
      <c r="CY42" s="276">
        <f>SUMIF('20Ф'!$H:$H,$B:$B,'20Ф'!AH:AH)*1.2</f>
        <v>0</v>
      </c>
      <c r="CZ42" s="276">
        <f>SUMIF('20Ф'!$H:$H,$B:$B,'20Ф'!AI:AI)*1.2</f>
        <v>0</v>
      </c>
      <c r="DA42" s="276">
        <f>SUMIF('20Ф'!$H:$H,$B:$B,'20Ф'!AJ:AJ)*1.2</f>
        <v>43418.087999999996</v>
      </c>
      <c r="DB42" s="276">
        <f>SUMIF('20Ф'!$H:$H,$B:$B,'20Ф'!AK:AK)*1.2</f>
        <v>0</v>
      </c>
      <c r="DC42" s="276">
        <f>SUMIF('20Ф'!$H:$H,$B:$B,'20Ф'!AL:AL)*1.2</f>
        <v>0</v>
      </c>
      <c r="DD42" s="276">
        <f>SUMIF('20Ф'!$H:$H,$B:$B,'20Ф'!AM:AM)*1.2</f>
        <v>0</v>
      </c>
      <c r="DE42" s="276">
        <f>SUMIF('20Ф'!$H:$H,$B:$B,'20Ф'!AN:AN)*1.2</f>
        <v>0</v>
      </c>
      <c r="DF42" s="276">
        <f>SUMIF('20Ф'!$H:$H,$B:$B,'20Ф'!AO:AO)*1.2</f>
        <v>0</v>
      </c>
      <c r="DG42" s="276">
        <f>SUMIF('20Ф'!$H:$H,$B:$B,'20Ф'!AP:AP)*1.2</f>
        <v>0</v>
      </c>
      <c r="DH42" s="276">
        <f>SUMIF('20Ф'!$H:$H,$B:$B,'20Ф'!AQ:AQ)*1.2</f>
        <v>0</v>
      </c>
      <c r="DI42" s="276">
        <f>SUMIF('20Ф'!$H:$H,$B:$B,'20Ф'!BA:BA)*1.2</f>
        <v>0</v>
      </c>
      <c r="DJ42" s="276">
        <f>SUMIF('20Ф'!$H:$H,$B:$B,'20Ф'!BB:BB)*1.2</f>
        <v>0</v>
      </c>
      <c r="DK42" s="276">
        <f>SUMIF('20Ф'!$H:$H,$B:$B,'20Ф'!BC:BC)*1.2</f>
        <v>0</v>
      </c>
      <c r="DL42" s="276">
        <f>$D42/$D$281*'20Ф'!$H$218</f>
        <v>94512.90932247942</v>
      </c>
      <c r="DM42" s="240">
        <f t="shared" si="1"/>
        <v>1059590.3777077585</v>
      </c>
      <c r="DN42" s="276">
        <f>SUMIF('20Ф'!$H:$H,$B:$B,'20Ф'!AV:AV)*1.2</f>
        <v>0</v>
      </c>
      <c r="DO42" s="276">
        <f>SUMIF('20Ф'!$H:$H,$B:$B,'20Ф'!AW:AW)*1.2+$D42/$D$281*'26Ф'!$D$42</f>
        <v>50294.877963132036</v>
      </c>
      <c r="DP42" s="276">
        <f>SUMIF('20Ф'!$H:$H,$B:$B,'20Ф'!AX:AX)*1.2</f>
        <v>0</v>
      </c>
      <c r="DQ42" s="276">
        <f>SUMIF('20Ф'!$H:$H,$B:$B,'20Ф'!AY:AY)*1.2</f>
        <v>0</v>
      </c>
      <c r="DR42" s="276">
        <f>SUMIF('20Ф'!$H:$H,$B:$B,'20Ф'!AU:AU)*1.2</f>
        <v>0</v>
      </c>
      <c r="DS42" s="276">
        <f>SUMIF('20Ф'!$H:$H,$B:$B,'20Ф'!AS:AS)*1.2</f>
        <v>122101.95600000001</v>
      </c>
      <c r="DT42" s="276">
        <f>SUMIF('20Ф'!$H:$H,$B:$B,'20Ф'!AR:AR)*1.2</f>
        <v>0</v>
      </c>
      <c r="DU42" s="276">
        <f>SUMIF('20Ф'!$H:$H,$B:$B,'20Ф'!X:X)*1.2</f>
        <v>0</v>
      </c>
      <c r="DV42" s="276">
        <f>SUMIF('20Ф'!$H:$H,$B:$B,'20Ф'!AA:AA)*1.2</f>
        <v>0</v>
      </c>
      <c r="DW42" s="276">
        <f>SUMIF('20Ф'!$H:$H,$B:$B,'20Ф'!N:N)*1.2</f>
        <v>0</v>
      </c>
      <c r="DX42" s="276">
        <f>$D42/$D$281*('25Ф'!$D$37)</f>
        <v>845393.9784893397</v>
      </c>
      <c r="DY42" s="276">
        <f>$D42/$D$281*'25Ф'!$D$30</f>
        <v>26982.321950326528</v>
      </c>
      <c r="DZ42" s="276">
        <f>$D42/$D$281*'25Ф'!$D$31</f>
        <v>14817.24330496008</v>
      </c>
      <c r="EA42" s="276"/>
      <c r="EB42" s="276">
        <f t="shared" si="2"/>
        <v>532611.47495643178</v>
      </c>
      <c r="EC42" s="276">
        <f>$D42/$D$281*'26Ф'!$D$36</f>
        <v>277241.42534026341</v>
      </c>
      <c r="ED42" s="276">
        <f>$D42/$D$281*'26Ф'!$D$37</f>
        <v>33310.26115501803</v>
      </c>
      <c r="EE42" s="276">
        <f>$D42/$D$281*'26Ф'!$D$38</f>
        <v>33651.890660916019</v>
      </c>
      <c r="EF42" s="276">
        <f>$D42/$D$281*'26Ф'!$D$39</f>
        <v>23606.770585346465</v>
      </c>
      <c r="EG42" s="276">
        <f>$D42/$D$281*'91Ф'!$D$10</f>
        <v>7282.6789076551204</v>
      </c>
      <c r="EH42" s="276">
        <f>$D42/$D$281*('20Ф'!$I$509+'26Ф'!$D$41+'20Ф'!$I$507)</f>
        <v>51522.555199008777</v>
      </c>
      <c r="EI42" s="276">
        <f>$D42/$D$281*'91Ф'!$D$31</f>
        <v>94448.411297273269</v>
      </c>
      <c r="EJ42" s="276">
        <f>$D42/$D$281*'20Ф'!$I$1316</f>
        <v>11547.481810950807</v>
      </c>
      <c r="EK42" s="276">
        <f>$D42/$D$281*('20Ф'!$I$1105+'20Ф'!$I$1282+'91Ф'!$D$17+'91Ф'!$D$41)</f>
        <v>379232.1677228199</v>
      </c>
      <c r="EL42" s="276">
        <f>$D42/$D$281*отчёт!BX$294</f>
        <v>633960.52764818014</v>
      </c>
      <c r="EM42" s="276">
        <f>$D42/$D$281*отчёт!BY$294</f>
        <v>557534.25430813036</v>
      </c>
      <c r="EN42" s="276">
        <f>$D42/$D$283*отчёт!BZ$294</f>
        <v>100059.97045699741</v>
      </c>
      <c r="EO42" s="240">
        <f t="shared" si="10"/>
        <v>549167.06850299402</v>
      </c>
      <c r="EP42" s="276">
        <f>SUMIF('20Ф'!$H:$H,$B:$B,'20Ф'!T:T)*1.2</f>
        <v>15576.84</v>
      </c>
      <c r="EQ42" s="276">
        <f>SUM(H42:I42)/SUM($H$284:$I$284)*SUM('60Ф'!$O$155:$P$155)</f>
        <v>517530.78526946111</v>
      </c>
      <c r="ER42" s="276">
        <f>SUM($H42:$I42)/SUM($H$284:$I$284)*SUM('60Ф'!$P$227)</f>
        <v>16059.443233532935</v>
      </c>
      <c r="ES42" s="239">
        <f t="shared" si="6"/>
        <v>212186.83005799571</v>
      </c>
      <c r="ET42" s="276">
        <f>$D42/$D$282*'20Ф'!$I$381</f>
        <v>16217.642722378963</v>
      </c>
      <c r="EU42" s="276">
        <f>$D42/$D$282*('20Ф'!$I$75+'20Ф'!$I$1098)*1.2</f>
        <v>187320.9728995639</v>
      </c>
      <c r="EV42" s="276">
        <f>$D42/$D$282*('20Ф'!$I$1286)</f>
        <v>8648.2144360528655</v>
      </c>
      <c r="EW42" s="276">
        <f>SUMIF('91.1Ф'!$N:$N,$B:$B,'91.1Ф'!$F:$F)+$D42/$D$281*('91Ф'!$D$12+'91Ф'!$D$11+'91Ф'!$D$19+'91Ф'!$D$20)</f>
        <v>49980.946092600512</v>
      </c>
      <c r="EX42" s="276">
        <f t="shared" si="4"/>
        <v>7580.1389060187084</v>
      </c>
      <c r="EY42" s="276">
        <f>SUMIF('20Ф'!$H:$H,$B:$B,'20Ф'!$AY:$AY)*1.2</f>
        <v>0</v>
      </c>
      <c r="EZ42" s="295">
        <f>D42/$D$286*'20Ф'!$I$1163</f>
        <v>7580.1389060187084</v>
      </c>
      <c r="FA42" s="277">
        <f>SUMIF(отчёт!$B:$B,$B:$B,отчёт!$CU:$CU)/отчёт!$CU$281*'20Ф'!$I$1341</f>
        <v>5525.7831325301113</v>
      </c>
      <c r="FB42" s="276">
        <f>SUMIF(Сальдо!$A:$A,$B:$B,Сальдо!$H:$H)-SUMIF(Сальдо!$A:$A,$B:$B,Сальдо!$I:$I)</f>
        <v>1207989.8600000001</v>
      </c>
      <c r="FF42" s="24"/>
    </row>
    <row r="43" spans="1:162" ht="12" customHeight="1" x14ac:dyDescent="0.25">
      <c r="A43" s="3">
        <f t="shared" si="7"/>
        <v>39</v>
      </c>
      <c r="B43" s="4" t="s">
        <v>87</v>
      </c>
      <c r="C43" s="4" t="s">
        <v>87</v>
      </c>
      <c r="D43" s="5">
        <v>4054.4</v>
      </c>
      <c r="E43" s="6">
        <v>3427.5</v>
      </c>
      <c r="F43" s="6">
        <v>626.9</v>
      </c>
      <c r="G43" s="6">
        <v>442.5</v>
      </c>
      <c r="H43" s="5">
        <f>SUMIF(отчёт!$B:$B,$B:$B,отчёт!I:I)</f>
        <v>2</v>
      </c>
      <c r="I43" s="5">
        <f>SUMIF(отчёт!$B:$B,$B:$B,отчёт!J:J)</f>
        <v>0</v>
      </c>
      <c r="J43" s="3" t="s">
        <v>51</v>
      </c>
      <c r="K43" s="105">
        <v>3</v>
      </c>
      <c r="L43" s="105" t="s">
        <v>52</v>
      </c>
      <c r="M43" s="7">
        <v>45.06</v>
      </c>
      <c r="N43" s="8">
        <v>5.0999999999999996</v>
      </c>
      <c r="O43" s="8">
        <v>8.6300000000000008</v>
      </c>
      <c r="P43" s="8">
        <v>13.43</v>
      </c>
      <c r="Q43" s="8">
        <v>6.91</v>
      </c>
      <c r="R43" s="8">
        <v>3.15</v>
      </c>
      <c r="S43" s="8">
        <v>1.81</v>
      </c>
      <c r="T43" s="8">
        <v>5.77</v>
      </c>
      <c r="U43" s="8">
        <v>0.26</v>
      </c>
      <c r="V43" s="9">
        <v>40</v>
      </c>
      <c r="W43" s="9">
        <v>40</v>
      </c>
      <c r="X43" s="9">
        <v>2604.04</v>
      </c>
      <c r="Y43" s="8">
        <v>195.98199600000001</v>
      </c>
      <c r="Z43" s="9">
        <v>42.3</v>
      </c>
      <c r="AA43" s="9">
        <v>2604.04</v>
      </c>
      <c r="AB43" s="8">
        <v>7.85</v>
      </c>
      <c r="AC43" s="10">
        <v>0</v>
      </c>
      <c r="AD43" s="8">
        <v>6.73</v>
      </c>
      <c r="AE43" s="8">
        <v>10.67</v>
      </c>
      <c r="AF43" s="8">
        <v>14</v>
      </c>
      <c r="AG43" s="7">
        <v>1096147.5840000003</v>
      </c>
      <c r="AH43" s="8">
        <v>124064.63999999998</v>
      </c>
      <c r="AI43" s="8">
        <v>209936.83199999999</v>
      </c>
      <c r="AJ43" s="8">
        <v>326703.55199999997</v>
      </c>
      <c r="AK43" s="8">
        <v>168095.424</v>
      </c>
      <c r="AL43" s="8">
        <v>76628.160000000003</v>
      </c>
      <c r="AM43" s="8">
        <v>44030.784</v>
      </c>
      <c r="AN43" s="8">
        <v>140363.32799999998</v>
      </c>
      <c r="AO43" s="8">
        <v>6324.8639999999996</v>
      </c>
      <c r="AQ43" s="104">
        <v>48.44</v>
      </c>
      <c r="AR43" s="375">
        <v>18.489999999999998</v>
      </c>
      <c r="AS43" s="376"/>
      <c r="AT43" s="104">
        <v>6.67</v>
      </c>
      <c r="AU43" s="104">
        <v>1.53</v>
      </c>
      <c r="AV43" s="104">
        <v>0.32</v>
      </c>
      <c r="AW43" s="104">
        <v>0.87</v>
      </c>
      <c r="AX43" s="104">
        <v>5.01</v>
      </c>
      <c r="AY43" s="104">
        <v>4.99</v>
      </c>
      <c r="AZ43" s="104">
        <v>2.7</v>
      </c>
      <c r="BA43" s="104">
        <v>6.46</v>
      </c>
      <c r="BB43" s="104">
        <v>0.47</v>
      </c>
      <c r="BC43" s="101">
        <v>0.93</v>
      </c>
      <c r="BD43" s="104">
        <v>54.88252</v>
      </c>
      <c r="BE43" s="375">
        <v>20.949169999999999</v>
      </c>
      <c r="BF43" s="376">
        <v>0</v>
      </c>
      <c r="BG43" s="104">
        <v>7.5571100000000007</v>
      </c>
      <c r="BH43" s="104">
        <v>1.7334900000000002</v>
      </c>
      <c r="BI43" s="104">
        <v>0.36256000000000005</v>
      </c>
      <c r="BJ43" s="104">
        <v>0.98571000000000009</v>
      </c>
      <c r="BK43" s="104">
        <v>5.6763300000000001</v>
      </c>
      <c r="BL43" s="104">
        <v>5.65367</v>
      </c>
      <c r="BM43" s="104">
        <v>3.0591000000000004</v>
      </c>
      <c r="BN43" s="104">
        <v>7.3191800000000002</v>
      </c>
      <c r="BO43" s="104">
        <v>0.53250999999999993</v>
      </c>
      <c r="BP43" s="101">
        <v>1.05369</v>
      </c>
      <c r="BQ43" s="103">
        <v>2617947.1628799997</v>
      </c>
      <c r="BR43" s="371">
        <v>999294.86047999992</v>
      </c>
      <c r="BS43" s="371">
        <v>0</v>
      </c>
      <c r="BT43" s="103">
        <v>360481.16384000005</v>
      </c>
      <c r="BU43" s="103">
        <v>82689.082559999995</v>
      </c>
      <c r="BV43" s="103">
        <v>17294.448640000002</v>
      </c>
      <c r="BW43" s="103">
        <v>47019.282240000008</v>
      </c>
      <c r="BX43" s="103">
        <v>270766.21152000001</v>
      </c>
      <c r="BY43" s="103">
        <v>269685.30848000001</v>
      </c>
      <c r="BZ43" s="103">
        <v>145921.91040000002</v>
      </c>
      <c r="CA43" s="103">
        <v>349131.68192</v>
      </c>
      <c r="CB43" s="103">
        <v>25401.221439999994</v>
      </c>
      <c r="CC43" s="103">
        <v>50261.991359999993</v>
      </c>
      <c r="CD43" s="1">
        <v>1</v>
      </c>
      <c r="CF43" s="277">
        <f>SUMIF(Оборот!$A:$A,$B:$B,Оборот!H:H)</f>
        <v>1898672.0599999996</v>
      </c>
      <c r="CG43" s="277">
        <f>SUMIF(Оборот!$A:$A,$B:$B,Оборот!I:I)</f>
        <v>1877534.6799999997</v>
      </c>
      <c r="CH43" s="277">
        <f t="shared" si="0"/>
        <v>1731275.4254910415</v>
      </c>
      <c r="CI43" s="239">
        <f t="shared" si="5"/>
        <v>203574.18565030623</v>
      </c>
      <c r="CJ43" s="276">
        <f>SUMIF('20Ф'!$H:$H,$B:$B,'20Ф'!M:M)*1.2</f>
        <v>0</v>
      </c>
      <c r="CK43" s="276">
        <f>SUMIF('20Ф'!$H:$H,$B:$B,'20Ф'!O:O)*1.2</f>
        <v>0</v>
      </c>
      <c r="CL43" s="276">
        <f>SUMIF('20Ф'!$H:$H,$B:$B,'20Ф'!Q:Q)*1.2</f>
        <v>0</v>
      </c>
      <c r="CM43" s="276">
        <f>SUMIF('20Ф'!$H:$H,$B:$B,'20Ф'!R:R)*1.2</f>
        <v>0</v>
      </c>
      <c r="CN43" s="276">
        <f>SUMIF('20Ф'!$H:$H,$B:$B,'20Ф'!S:S)*1.2</f>
        <v>0</v>
      </c>
      <c r="CO43" s="276">
        <f>SUMIF('20Ф'!$H:$H,$B:$B,'20Ф'!W:W)*1.2</f>
        <v>0</v>
      </c>
      <c r="CP43" s="276">
        <f>SUMIF('20Ф'!$H:$H,$B:$B,'20Ф'!P:P)*1.2</f>
        <v>0</v>
      </c>
      <c r="CQ43" s="276">
        <f>SUMIF('20Ф'!$H:$H,$B:$B,'20Ф'!Y:Y)*1.2</f>
        <v>0</v>
      </c>
      <c r="CR43" s="276">
        <f>SUMIF('20Ф'!$H:$H,$B:$B,'20Ф'!Z:Z)*1.2</f>
        <v>0</v>
      </c>
      <c r="CS43" s="276">
        <f>SUMIF('20Ф'!$H:$H,$B:$B,'20Ф'!AB:AB)*1.2</f>
        <v>0</v>
      </c>
      <c r="CT43" s="276">
        <f>SUMIF('20Ф'!$H:$H,$B:$B,'20Ф'!AC:AC)*1.2</f>
        <v>0</v>
      </c>
      <c r="CU43" s="276">
        <f>SUMIF('20Ф'!$H:$H,$B:$B,'20Ф'!AD:AD)*1.2</f>
        <v>0</v>
      </c>
      <c r="CV43" s="276">
        <f>SUMIF('20Ф'!$H:$H,$B:$B,'20Ф'!AE:AE)*1.2</f>
        <v>0</v>
      </c>
      <c r="CW43" s="276">
        <f>SUMIF('20Ф'!$H:$H,$B:$B,'20Ф'!AF:AF)*1.2</f>
        <v>0</v>
      </c>
      <c r="CX43" s="276">
        <f>SUMIF('20Ф'!$H:$H,$B:$B,'20Ф'!AG:AG)*1.2</f>
        <v>0</v>
      </c>
      <c r="CY43" s="276">
        <f>SUMIF('20Ф'!$H:$H,$B:$B,'20Ф'!AH:AH)*1.2</f>
        <v>0</v>
      </c>
      <c r="CZ43" s="276">
        <f>SUMIF('20Ф'!$H:$H,$B:$B,'20Ф'!AI:AI)*1.2</f>
        <v>0</v>
      </c>
      <c r="DA43" s="276">
        <f>SUMIF('20Ф'!$H:$H,$B:$B,'20Ф'!AJ:AJ)*1.2</f>
        <v>62049.18</v>
      </c>
      <c r="DB43" s="276">
        <f>SUMIF('20Ф'!$H:$H,$B:$B,'20Ф'!AK:AK)*1.2</f>
        <v>0</v>
      </c>
      <c r="DC43" s="276">
        <f>SUMIF('20Ф'!$H:$H,$B:$B,'20Ф'!AL:AL)*1.2</f>
        <v>0</v>
      </c>
      <c r="DD43" s="276">
        <f>SUMIF('20Ф'!$H:$H,$B:$B,'20Ф'!AM:AM)*1.2</f>
        <v>0</v>
      </c>
      <c r="DE43" s="276">
        <f>SUMIF('20Ф'!$H:$H,$B:$B,'20Ф'!AN:AN)*1.2</f>
        <v>0</v>
      </c>
      <c r="DF43" s="276">
        <f>SUMIF('20Ф'!$H:$H,$B:$B,'20Ф'!AO:AO)*1.2</f>
        <v>0</v>
      </c>
      <c r="DG43" s="276">
        <f>SUMIF('20Ф'!$H:$H,$B:$B,'20Ф'!AP:AP)*1.2</f>
        <v>0</v>
      </c>
      <c r="DH43" s="276">
        <f>SUMIF('20Ф'!$H:$H,$B:$B,'20Ф'!AQ:AQ)*1.2</f>
        <v>0</v>
      </c>
      <c r="DI43" s="276">
        <f>SUMIF('20Ф'!$H:$H,$B:$B,'20Ф'!BA:BA)*1.2</f>
        <v>97188</v>
      </c>
      <c r="DJ43" s="276">
        <f>SUMIF('20Ф'!$H:$H,$B:$B,'20Ф'!BB:BB)*1.2</f>
        <v>8677.1999999999989</v>
      </c>
      <c r="DK43" s="276">
        <f>SUMIF('20Ф'!$H:$H,$B:$B,'20Ф'!BC:BC)*1.2</f>
        <v>0</v>
      </c>
      <c r="DL43" s="276">
        <f>$D43/$D$281*'20Ф'!$H$218</f>
        <v>35659.805650306218</v>
      </c>
      <c r="DM43" s="240">
        <f t="shared" si="1"/>
        <v>410704.9042710581</v>
      </c>
      <c r="DN43" s="276">
        <f>SUMIF('20Ф'!$H:$H,$B:$B,'20Ф'!AV:AV)*1.2</f>
        <v>0</v>
      </c>
      <c r="DO43" s="276">
        <f>SUMIF('20Ф'!$H:$H,$B:$B,'20Ф'!AW:AW)*1.2+$D43/$D$281*'26Ф'!$D$42</f>
        <v>18976.302668365548</v>
      </c>
      <c r="DP43" s="276">
        <f>SUMIF('20Ф'!$H:$H,$B:$B,'20Ф'!AX:AX)*1.2</f>
        <v>0</v>
      </c>
      <c r="DQ43" s="276">
        <f>SUMIF('20Ф'!$H:$H,$B:$B,'20Ф'!AY:AY)*1.2</f>
        <v>0</v>
      </c>
      <c r="DR43" s="276">
        <f>SUMIF('20Ф'!$H:$H,$B:$B,'20Ф'!AU:AU)*1.2</f>
        <v>0</v>
      </c>
      <c r="DS43" s="276">
        <f>SUMIF('20Ф'!$H:$H,$B:$B,'20Ф'!AS:AS)*1.2</f>
        <v>56989.68</v>
      </c>
      <c r="DT43" s="276">
        <f>SUMIF('20Ф'!$H:$H,$B:$B,'20Ф'!AR:AR)*1.2</f>
        <v>0</v>
      </c>
      <c r="DU43" s="276">
        <f>SUMIF('20Ф'!$H:$H,$B:$B,'20Ф'!X:X)*1.2</f>
        <v>0</v>
      </c>
      <c r="DV43" s="276">
        <f>SUMIF('20Ф'!$H:$H,$B:$B,'20Ф'!AA:AA)*1.2</f>
        <v>0</v>
      </c>
      <c r="DW43" s="276">
        <f>SUMIF('20Ф'!$H:$H,$B:$B,'20Ф'!N:N)*1.2</f>
        <v>0</v>
      </c>
      <c r="DX43" s="276">
        <f>$D43/$D$281*('25Ф'!$D$37)</f>
        <v>318967.90805590828</v>
      </c>
      <c r="DY43" s="276">
        <f>$D43/$D$281*'25Ф'!$D$30</f>
        <v>10180.454327774933</v>
      </c>
      <c r="DZ43" s="276">
        <f>$D43/$D$281*'25Ф'!$D$31</f>
        <v>5590.5592190093012</v>
      </c>
      <c r="EA43" s="276"/>
      <c r="EB43" s="276">
        <f t="shared" si="2"/>
        <v>200954.78829527419</v>
      </c>
      <c r="EC43" s="276">
        <f>$D43/$D$281*'26Ф'!$D$36</f>
        <v>104603.43900868841</v>
      </c>
      <c r="ED43" s="276">
        <f>$D43/$D$281*'26Ф'!$D$37</f>
        <v>12567.991478243137</v>
      </c>
      <c r="EE43" s="276">
        <f>$D43/$D$281*'26Ф'!$D$38</f>
        <v>12696.888597928297</v>
      </c>
      <c r="EF43" s="276">
        <f>$D43/$D$281*'26Ф'!$D$39</f>
        <v>8906.8557632962384</v>
      </c>
      <c r="EG43" s="276">
        <f>$D43/$D$281*'91Ф'!$D$10</f>
        <v>2747.7612986652384</v>
      </c>
      <c r="EH43" s="276">
        <f>$D43/$D$281*('20Ф'!$I$509+'26Ф'!$D$41+'20Ф'!$I$507)</f>
        <v>19439.506393089505</v>
      </c>
      <c r="EI43" s="276">
        <f>$D43/$D$281*'91Ф'!$D$31</f>
        <v>35635.470487415056</v>
      </c>
      <c r="EJ43" s="276">
        <f>$D43/$D$281*'20Ф'!$I$1316</f>
        <v>4356.8752679483105</v>
      </c>
      <c r="EK43" s="276">
        <f>$D43/$D$281*('20Ф'!$I$1105+'20Ф'!$I$1282+'91Ф'!$D$17+'91Ф'!$D$41)</f>
        <v>143084.63779480365</v>
      </c>
      <c r="EL43" s="276">
        <f>$D43/$D$281*отчёт!BX$294</f>
        <v>239193.87698419677</v>
      </c>
      <c r="EM43" s="276">
        <f>$D43/$D$281*отчёт!BY$294</f>
        <v>210358.17534914883</v>
      </c>
      <c r="EN43" s="276">
        <f>$D43/$D$283*отчёт!BZ$294</f>
        <v>37752.716802923031</v>
      </c>
      <c r="EO43" s="240">
        <f t="shared" si="10"/>
        <v>183876.00950099801</v>
      </c>
      <c r="EP43" s="276">
        <f>SUMIF('20Ф'!$H:$H,$B:$B,'20Ф'!T:T)*1.2</f>
        <v>6012.5999999999995</v>
      </c>
      <c r="EQ43" s="276">
        <f>SUM(H43:I43)/SUM($H$284:$I$284)*SUM('60Ф'!$O$155:$P$155)</f>
        <v>172510.26175648702</v>
      </c>
      <c r="ER43" s="276">
        <f>SUM($H43:$I43)/SUM($H$284:$I$284)*SUM('60Ф'!$P$227)</f>
        <v>5353.1477445109776</v>
      </c>
      <c r="ES43" s="239">
        <f t="shared" si="6"/>
        <v>80058.281727478432</v>
      </c>
      <c r="ET43" s="276">
        <f>$D43/$D$282*'20Ф'!$I$381</f>
        <v>6118.9311780987227</v>
      </c>
      <c r="EU43" s="276">
        <f>$D43/$D$282*('20Ф'!$I$75+'20Ф'!$I$1098)*1.2</f>
        <v>70676.37146829383</v>
      </c>
      <c r="EV43" s="276">
        <f>$D43/$D$282*('20Ф'!$I$1286)</f>
        <v>3262.9790810858876</v>
      </c>
      <c r="EW43" s="276">
        <f>SUMIF('91.1Ф'!$N:$N,$B:$B,'91.1Ф'!$F:$F)+$D43/$D$281*('91Ф'!$D$12+'91Ф'!$D$11+'91Ф'!$D$19+'91Ф'!$D$20)</f>
        <v>18857.855891403105</v>
      </c>
      <c r="EX43" s="276">
        <f t="shared" si="4"/>
        <v>2859.9932234512321</v>
      </c>
      <c r="EY43" s="276">
        <f>SUMIF('20Ф'!$H:$H,$B:$B,'20Ф'!$AY:$AY)*1.2</f>
        <v>0</v>
      </c>
      <c r="EZ43" s="295">
        <f>D43/$D$286*'20Ф'!$I$1163</f>
        <v>2859.9932234512321</v>
      </c>
      <c r="FA43" s="277">
        <f>SUMIF(отчёт!$B:$B,$B:$B,отчёт!$CU:$CU)/отчёт!$CU$281*'20Ф'!$I$1341</f>
        <v>920.96385542168503</v>
      </c>
      <c r="FB43" s="276">
        <f>SUMIF(Сальдо!$A:$A,$B:$B,Сальдо!$H:$H)-SUMIF(Сальдо!$A:$A,$B:$B,Сальдо!$I:$I)</f>
        <v>271831.64</v>
      </c>
    </row>
    <row r="44" spans="1:162" ht="12" customHeight="1" x14ac:dyDescent="0.25">
      <c r="A44" s="3">
        <f t="shared" si="7"/>
        <v>40</v>
      </c>
      <c r="B44" s="4" t="s">
        <v>88</v>
      </c>
      <c r="C44" s="4" t="s">
        <v>88</v>
      </c>
      <c r="D44" s="5">
        <v>3567.1</v>
      </c>
      <c r="E44" s="6">
        <v>3567.1</v>
      </c>
      <c r="F44" s="6">
        <v>0</v>
      </c>
      <c r="G44" s="6">
        <v>685.7</v>
      </c>
      <c r="H44" s="5">
        <f>SUMIF(отчёт!$B:$B,$B:$B,отчёт!I:I)</f>
        <v>2</v>
      </c>
      <c r="I44" s="5">
        <f>SUMIF(отчёт!$B:$B,$B:$B,отчёт!J:J)</f>
        <v>0</v>
      </c>
      <c r="J44" s="3" t="s">
        <v>51</v>
      </c>
      <c r="K44" s="105">
        <v>3</v>
      </c>
      <c r="L44" s="105" t="s">
        <v>52</v>
      </c>
      <c r="M44" s="7">
        <v>45.06</v>
      </c>
      <c r="N44" s="8">
        <v>5.0999999999999996</v>
      </c>
      <c r="O44" s="8">
        <v>8.6300000000000008</v>
      </c>
      <c r="P44" s="8">
        <v>13.43</v>
      </c>
      <c r="Q44" s="8">
        <v>6.91</v>
      </c>
      <c r="R44" s="8">
        <v>3.15</v>
      </c>
      <c r="S44" s="8">
        <v>1.81</v>
      </c>
      <c r="T44" s="8">
        <v>5.77</v>
      </c>
      <c r="U44" s="8">
        <v>0.26</v>
      </c>
      <c r="V44" s="9">
        <v>40</v>
      </c>
      <c r="W44" s="9">
        <v>40</v>
      </c>
      <c r="X44" s="9">
        <v>2604.04</v>
      </c>
      <c r="Y44" s="8">
        <v>195.98199600000001</v>
      </c>
      <c r="Z44" s="9">
        <v>42.3</v>
      </c>
      <c r="AA44" s="9">
        <v>2604.04</v>
      </c>
      <c r="AB44" s="8">
        <v>7.85</v>
      </c>
      <c r="AC44" s="10">
        <v>0</v>
      </c>
      <c r="AD44" s="8">
        <v>6.73</v>
      </c>
      <c r="AE44" s="8">
        <v>10.67</v>
      </c>
      <c r="AF44" s="8">
        <v>14</v>
      </c>
      <c r="AG44" s="7">
        <v>964401.15600000008</v>
      </c>
      <c r="AH44" s="8">
        <v>109153.26</v>
      </c>
      <c r="AI44" s="8">
        <v>184704.43799999999</v>
      </c>
      <c r="AJ44" s="8">
        <v>287436.91800000001</v>
      </c>
      <c r="AK44" s="8">
        <v>147891.96600000001</v>
      </c>
      <c r="AL44" s="8">
        <v>67418.19</v>
      </c>
      <c r="AM44" s="8">
        <v>38738.705999999998</v>
      </c>
      <c r="AN44" s="8">
        <v>123493.00199999998</v>
      </c>
      <c r="AO44" s="8">
        <v>5564.6760000000004</v>
      </c>
      <c r="AQ44" s="104">
        <v>48.44</v>
      </c>
      <c r="AR44" s="375">
        <v>18.489999999999998</v>
      </c>
      <c r="AS44" s="376"/>
      <c r="AT44" s="104">
        <v>6.67</v>
      </c>
      <c r="AU44" s="104">
        <v>1.53</v>
      </c>
      <c r="AV44" s="104">
        <v>0.32</v>
      </c>
      <c r="AW44" s="104">
        <v>0.87</v>
      </c>
      <c r="AX44" s="104">
        <v>5.01</v>
      </c>
      <c r="AY44" s="104">
        <v>4.99</v>
      </c>
      <c r="AZ44" s="104">
        <v>2.7</v>
      </c>
      <c r="BA44" s="104">
        <v>6.46</v>
      </c>
      <c r="BB44" s="104">
        <v>0.47</v>
      </c>
      <c r="BC44" s="101">
        <v>0.93</v>
      </c>
      <c r="BD44" s="104">
        <v>54.88252</v>
      </c>
      <c r="BE44" s="375">
        <v>20.949169999999999</v>
      </c>
      <c r="BF44" s="376">
        <v>0</v>
      </c>
      <c r="BG44" s="104">
        <v>7.5571100000000007</v>
      </c>
      <c r="BH44" s="104">
        <v>1.7334900000000002</v>
      </c>
      <c r="BI44" s="104">
        <v>0.36256000000000005</v>
      </c>
      <c r="BJ44" s="104">
        <v>0.98571000000000009</v>
      </c>
      <c r="BK44" s="104">
        <v>5.6763300000000001</v>
      </c>
      <c r="BL44" s="104">
        <v>5.65367</v>
      </c>
      <c r="BM44" s="104">
        <v>3.0591000000000004</v>
      </c>
      <c r="BN44" s="104">
        <v>7.3191800000000002</v>
      </c>
      <c r="BO44" s="104">
        <v>0.53250999999999993</v>
      </c>
      <c r="BP44" s="101">
        <v>1.05369</v>
      </c>
      <c r="BQ44" s="103">
        <v>2303295.0189199997</v>
      </c>
      <c r="BR44" s="371">
        <v>879189.20106999984</v>
      </c>
      <c r="BS44" s="371">
        <v>0</v>
      </c>
      <c r="BT44" s="103">
        <v>317154.78480999998</v>
      </c>
      <c r="BU44" s="103">
        <v>72750.647790000003</v>
      </c>
      <c r="BV44" s="103">
        <v>15215.821760000001</v>
      </c>
      <c r="BW44" s="103">
        <v>41368.01541</v>
      </c>
      <c r="BX44" s="103">
        <v>238222.70942999999</v>
      </c>
      <c r="BY44" s="103">
        <v>237271.72057</v>
      </c>
      <c r="BZ44" s="103">
        <v>128383.49610000002</v>
      </c>
      <c r="CA44" s="103">
        <v>307169.40178000001</v>
      </c>
      <c r="CB44" s="103">
        <v>22348.238209999996</v>
      </c>
      <c r="CC44" s="103">
        <v>44220.981989999993</v>
      </c>
      <c r="CD44" s="1">
        <v>1</v>
      </c>
      <c r="CF44" s="277">
        <f>SUMIF(Оборот!$A:$A,$B:$B,Оборот!H:H)</f>
        <v>1977029.3199999998</v>
      </c>
      <c r="CG44" s="277">
        <f>SUMIF(Оборот!$A:$A,$B:$B,Оборот!I:I)</f>
        <v>2065619.75</v>
      </c>
      <c r="CH44" s="277">
        <f t="shared" si="0"/>
        <v>1984890.0218782877</v>
      </c>
      <c r="CI44" s="239">
        <f t="shared" si="5"/>
        <v>608317.36297375872</v>
      </c>
      <c r="CJ44" s="276">
        <f>SUMIF('20Ф'!$H:$H,$B:$B,'20Ф'!M:M)*1.2</f>
        <v>0</v>
      </c>
      <c r="CK44" s="276">
        <f>SUMIF('20Ф'!$H:$H,$B:$B,'20Ф'!O:O)*1.2</f>
        <v>43142.76</v>
      </c>
      <c r="CL44" s="276">
        <f>SUMIF('20Ф'!$H:$H,$B:$B,'20Ф'!Q:Q)*1.2</f>
        <v>0</v>
      </c>
      <c r="CM44" s="276">
        <f>SUMIF('20Ф'!$H:$H,$B:$B,'20Ф'!R:R)*1.2</f>
        <v>0</v>
      </c>
      <c r="CN44" s="276">
        <f>SUMIF('20Ф'!$H:$H,$B:$B,'20Ф'!S:S)*1.2</f>
        <v>0</v>
      </c>
      <c r="CO44" s="276">
        <f>SUMIF('20Ф'!$H:$H,$B:$B,'20Ф'!W:W)*1.2</f>
        <v>0</v>
      </c>
      <c r="CP44" s="276">
        <f>SUMIF('20Ф'!$H:$H,$B:$B,'20Ф'!P:P)*1.2</f>
        <v>0</v>
      </c>
      <c r="CQ44" s="276">
        <f>SUMIF('20Ф'!$H:$H,$B:$B,'20Ф'!Y:Y)*1.2</f>
        <v>0</v>
      </c>
      <c r="CR44" s="276">
        <f>SUMIF('20Ф'!$H:$H,$B:$B,'20Ф'!Z:Z)*1.2</f>
        <v>0</v>
      </c>
      <c r="CS44" s="276">
        <f>SUMIF('20Ф'!$H:$H,$B:$B,'20Ф'!AB:AB)*1.2</f>
        <v>0</v>
      </c>
      <c r="CT44" s="276">
        <f>SUMIF('20Ф'!$H:$H,$B:$B,'20Ф'!AC:AC)*1.2</f>
        <v>0</v>
      </c>
      <c r="CU44" s="276">
        <f>SUMIF('20Ф'!$H:$H,$B:$B,'20Ф'!AD:AD)*1.2</f>
        <v>0</v>
      </c>
      <c r="CV44" s="276">
        <f>SUMIF('20Ф'!$H:$H,$B:$B,'20Ф'!AE:AE)*1.2</f>
        <v>0</v>
      </c>
      <c r="CW44" s="276">
        <f>SUMIF('20Ф'!$H:$H,$B:$B,'20Ф'!AF:AF)*1.2</f>
        <v>0</v>
      </c>
      <c r="CX44" s="276">
        <f>SUMIF('20Ф'!$H:$H,$B:$B,'20Ф'!AG:AG)*1.2</f>
        <v>0</v>
      </c>
      <c r="CY44" s="276">
        <f>SUMIF('20Ф'!$H:$H,$B:$B,'20Ф'!AH:AH)*1.2</f>
        <v>234837.6</v>
      </c>
      <c r="CZ44" s="276">
        <f>SUMIF('20Ф'!$H:$H,$B:$B,'20Ф'!AI:AI)*1.2</f>
        <v>0</v>
      </c>
      <c r="DA44" s="276">
        <f>SUMIF('20Ф'!$H:$H,$B:$B,'20Ф'!AJ:AJ)*1.2</f>
        <v>62149.163999999997</v>
      </c>
      <c r="DB44" s="276">
        <f>SUMIF('20Ф'!$H:$H,$B:$B,'20Ф'!AK:AK)*1.2</f>
        <v>0</v>
      </c>
      <c r="DC44" s="276">
        <f>SUMIF('20Ф'!$H:$H,$B:$B,'20Ф'!AL:AL)*1.2</f>
        <v>0</v>
      </c>
      <c r="DD44" s="276">
        <f>SUMIF('20Ф'!$H:$H,$B:$B,'20Ф'!AM:AM)*1.2</f>
        <v>0</v>
      </c>
      <c r="DE44" s="276">
        <f>SUMIF('20Ф'!$H:$H,$B:$B,'20Ф'!AN:AN)*1.2</f>
        <v>0</v>
      </c>
      <c r="DF44" s="276">
        <f>SUMIF('20Ф'!$H:$H,$B:$B,'20Ф'!AO:AO)*1.2</f>
        <v>0</v>
      </c>
      <c r="DG44" s="276">
        <f>SUMIF('20Ф'!$H:$H,$B:$B,'20Ф'!AP:AP)*1.2</f>
        <v>0</v>
      </c>
      <c r="DH44" s="276">
        <f>SUMIF('20Ф'!$H:$H,$B:$B,'20Ф'!AQ:AQ)*1.2</f>
        <v>0</v>
      </c>
      <c r="DI44" s="276">
        <f>SUMIF('20Ф'!$H:$H,$B:$B,'20Ф'!BA:BA)*1.2</f>
        <v>224564.4</v>
      </c>
      <c r="DJ44" s="276">
        <f>SUMIF('20Ф'!$H:$H,$B:$B,'20Ф'!BB:BB)*1.2</f>
        <v>12249.6</v>
      </c>
      <c r="DK44" s="276">
        <f>SUMIF('20Ф'!$H:$H,$B:$B,'20Ф'!BC:BC)*1.2</f>
        <v>0</v>
      </c>
      <c r="DL44" s="276">
        <f>$D44/$D$281*'20Ф'!$H$218</f>
        <v>31373.838973758706</v>
      </c>
      <c r="DM44" s="240">
        <f t="shared" si="1"/>
        <v>372275.32629471464</v>
      </c>
      <c r="DN44" s="276">
        <f>SUMIF('20Ф'!$H:$H,$B:$B,'20Ф'!AV:AV)*1.2</f>
        <v>0</v>
      </c>
      <c r="DO44" s="276">
        <f>SUMIF('20Ф'!$H:$H,$B:$B,'20Ф'!AW:AW)*1.2+$D44/$D$281*'26Ф'!$D$42</f>
        <v>16695.533062432602</v>
      </c>
      <c r="DP44" s="276">
        <f>SUMIF('20Ф'!$H:$H,$B:$B,'20Ф'!AX:AX)*1.2</f>
        <v>0</v>
      </c>
      <c r="DQ44" s="276">
        <f>SUMIF('20Ф'!$H:$H,$B:$B,'20Ф'!AY:AY)*1.2</f>
        <v>0</v>
      </c>
      <c r="DR44" s="276">
        <f>SUMIF('20Ф'!$H:$H,$B:$B,'20Ф'!AU:AU)*1.2</f>
        <v>0</v>
      </c>
      <c r="DS44" s="276">
        <f>SUMIF('20Ф'!$H:$H,$B:$B,'20Ф'!AS:AS)*1.2</f>
        <v>61073.279999999999</v>
      </c>
      <c r="DT44" s="276">
        <f>SUMIF('20Ф'!$H:$H,$B:$B,'20Ф'!AR:AR)*1.2</f>
        <v>0</v>
      </c>
      <c r="DU44" s="276">
        <f>SUMIF('20Ф'!$H:$H,$B:$B,'20Ф'!X:X)*1.2</f>
        <v>0</v>
      </c>
      <c r="DV44" s="276">
        <f>SUMIF('20Ф'!$H:$H,$B:$B,'20Ф'!AA:AA)*1.2</f>
        <v>0</v>
      </c>
      <c r="DW44" s="276">
        <f>SUMIF('20Ф'!$H:$H,$B:$B,'20Ф'!N:N)*1.2</f>
        <v>0</v>
      </c>
      <c r="DX44" s="276">
        <f>$D44/$D$281*('25Ф'!$D$37)</f>
        <v>280631.02427639853</v>
      </c>
      <c r="DY44" s="276">
        <f>$D44/$D$281*'25Ф'!$D$30</f>
        <v>8956.8613438747925</v>
      </c>
      <c r="DZ44" s="276">
        <f>$D44/$D$281*'25Ф'!$D$31</f>
        <v>4918.6276120087005</v>
      </c>
      <c r="EA44" s="276"/>
      <c r="EB44" s="276">
        <f t="shared" si="2"/>
        <v>176801.94981454036</v>
      </c>
      <c r="EC44" s="276">
        <f>$D44/$D$281*'26Ф'!$D$36</f>
        <v>92031.10874306738</v>
      </c>
      <c r="ED44" s="276">
        <f>$D44/$D$281*'26Ф'!$D$37</f>
        <v>11057.439424339258</v>
      </c>
      <c r="EE44" s="276">
        <f>$D44/$D$281*'26Ф'!$D$38</f>
        <v>11170.84434630772</v>
      </c>
      <c r="EF44" s="276">
        <f>$D44/$D$281*'26Ф'!$D$39</f>
        <v>7836.3371135689631</v>
      </c>
      <c r="EG44" s="276">
        <f>$D44/$D$281*'91Ф'!$D$10</f>
        <v>2417.506740447112</v>
      </c>
      <c r="EH44" s="276">
        <f>$D44/$D$281*('20Ф'!$I$509+'26Ф'!$D$41+'20Ф'!$I$507)</f>
        <v>17103.064141374693</v>
      </c>
      <c r="EI44" s="276">
        <f>$D44/$D$281*'91Ф'!$D$31</f>
        <v>31352.428664083032</v>
      </c>
      <c r="EJ44" s="276">
        <f>$D44/$D$281*'20Ф'!$I$1316</f>
        <v>3833.220641352214</v>
      </c>
      <c r="EK44" s="276">
        <f>$D44/$D$281*('20Ф'!$I$1105+'20Ф'!$I$1282+'91Ф'!$D$17+'91Ф'!$D$41)</f>
        <v>125887.23645369081</v>
      </c>
      <c r="EL44" s="276">
        <f>$D44/$D$281*отчёт!BX$294</f>
        <v>210445.06673991916</v>
      </c>
      <c r="EM44" s="276">
        <f>$D44/$D$281*отчёт!BY$294</f>
        <v>185075.13991908758</v>
      </c>
      <c r="EN44" s="276">
        <f>$D44/$D$283*отчёт!BZ$294</f>
        <v>33215.202275973446</v>
      </c>
      <c r="EO44" s="240">
        <f t="shared" si="10"/>
        <v>183329.12150099798</v>
      </c>
      <c r="EP44" s="276">
        <f>SUMIF('20Ф'!$H:$H,$B:$B,'20Ф'!T:T)*1.2</f>
        <v>5465.7120000000004</v>
      </c>
      <c r="EQ44" s="276">
        <f>SUM(H44:I44)/SUM($H$284:$I$284)*SUM('60Ф'!$O$155:$P$155)</f>
        <v>172510.26175648702</v>
      </c>
      <c r="ER44" s="276">
        <f>SUM($H44:$I44)/SUM($H$284:$I$284)*SUM('60Ф'!$P$227)</f>
        <v>5353.1477445109776</v>
      </c>
      <c r="ES44" s="239">
        <f t="shared" si="6"/>
        <v>70436.043989268044</v>
      </c>
      <c r="ET44" s="276">
        <f>$D44/$D$282*'20Ф'!$I$381</f>
        <v>5383.4943284816391</v>
      </c>
      <c r="EU44" s="276">
        <f>$D44/$D$282*('20Ф'!$I$75+'20Ф'!$I$1098)*1.2</f>
        <v>62181.74937464259</v>
      </c>
      <c r="EV44" s="276">
        <f>$D44/$D$282*('20Ф'!$I$1286)</f>
        <v>2870.8002861438117</v>
      </c>
      <c r="EW44" s="276">
        <f>SUMIF('91.1Ф'!$N:$N,$B:$B,'91.1Ф'!$F:$F)+$D44/$D$281*('91Ф'!$D$12+'91Ф'!$D$11+'91Ф'!$D$19+'91Ф'!$D$20)</f>
        <v>16591.322452206001</v>
      </c>
      <c r="EX44" s="276">
        <f t="shared" si="4"/>
        <v>2516.2494641310404</v>
      </c>
      <c r="EY44" s="276">
        <f>SUMIF('20Ф'!$H:$H,$B:$B,'20Ф'!$AY:$AY)*1.2</f>
        <v>0</v>
      </c>
      <c r="EZ44" s="295">
        <f>D44/$D$286*'20Ф'!$I$1163</f>
        <v>2516.2494641310404</v>
      </c>
      <c r="FA44" s="277">
        <f>SUMIF(отчёт!$B:$B,$B:$B,отчёт!$CU:$CU)/отчёт!$CU$281*'20Ф'!$I$1341</f>
        <v>1841.9277108433701</v>
      </c>
      <c r="FB44" s="276">
        <f>SUMIF(Сальдо!$A:$A,$B:$B,Сальдо!$H:$H)-SUMIF(Сальдо!$A:$A,$B:$B,Сальдо!$I:$I)</f>
        <v>565338.67000000004</v>
      </c>
    </row>
    <row r="45" spans="1:162" ht="12" customHeight="1" x14ac:dyDescent="0.25">
      <c r="A45" s="3">
        <f t="shared" si="7"/>
        <v>41</v>
      </c>
      <c r="B45" s="4" t="s">
        <v>89</v>
      </c>
      <c r="C45" s="4" t="s">
        <v>89</v>
      </c>
      <c r="D45" s="5">
        <v>21973.200000000001</v>
      </c>
      <c r="E45" s="6">
        <v>20211.400000000001</v>
      </c>
      <c r="F45" s="6">
        <v>1761.8</v>
      </c>
      <c r="G45" s="6">
        <v>3728</v>
      </c>
      <c r="H45" s="5">
        <f>SUMIF(отчёт!$B:$B,$B:$B,отчёт!I:I)</f>
        <v>8</v>
      </c>
      <c r="I45" s="5">
        <f>SUMIF(отчёт!$B:$B,$B:$B,отчёт!J:J)</f>
        <v>8</v>
      </c>
      <c r="J45" s="3" t="s">
        <v>51</v>
      </c>
      <c r="K45" s="105">
        <v>1</v>
      </c>
      <c r="L45" s="105" t="s">
        <v>52</v>
      </c>
      <c r="M45" s="7">
        <v>44.8</v>
      </c>
      <c r="N45" s="8">
        <v>5.0999999999999996</v>
      </c>
      <c r="O45" s="8">
        <v>8.6300000000000008</v>
      </c>
      <c r="P45" s="8">
        <v>13.43</v>
      </c>
      <c r="Q45" s="8">
        <v>6.91</v>
      </c>
      <c r="R45" s="8">
        <v>3.15</v>
      </c>
      <c r="S45" s="8">
        <v>1.81</v>
      </c>
      <c r="T45" s="8">
        <v>5.77</v>
      </c>
      <c r="U45" s="8">
        <v>0</v>
      </c>
      <c r="V45" s="9">
        <v>40</v>
      </c>
      <c r="W45" s="9">
        <v>40</v>
      </c>
      <c r="X45" s="9">
        <v>2604.04</v>
      </c>
      <c r="Y45" s="8">
        <v>195.98199600000001</v>
      </c>
      <c r="Z45" s="9">
        <v>42.3</v>
      </c>
      <c r="AA45" s="9">
        <v>2604.04</v>
      </c>
      <c r="AB45" s="8">
        <v>0</v>
      </c>
      <c r="AC45" s="10">
        <v>0</v>
      </c>
      <c r="AD45" s="8">
        <v>5.05</v>
      </c>
      <c r="AE45" s="8">
        <v>10.67</v>
      </c>
      <c r="AF45" s="8">
        <v>14</v>
      </c>
      <c r="AG45" s="7">
        <v>5906396.1600000001</v>
      </c>
      <c r="AH45" s="8">
        <v>672379.91999999993</v>
      </c>
      <c r="AI45" s="8">
        <v>1137772.2960000001</v>
      </c>
      <c r="AJ45" s="8">
        <v>1770600.456</v>
      </c>
      <c r="AK45" s="8">
        <v>911008.87199999997</v>
      </c>
      <c r="AL45" s="8">
        <v>415293.48</v>
      </c>
      <c r="AM45" s="8">
        <v>238628.95200000005</v>
      </c>
      <c r="AN45" s="8">
        <v>760712.18400000001</v>
      </c>
      <c r="AO45" s="8">
        <v>0</v>
      </c>
      <c r="AQ45" s="104">
        <v>48.16</v>
      </c>
      <c r="AR45" s="375">
        <v>18.649999999999999</v>
      </c>
      <c r="AS45" s="376"/>
      <c r="AT45" s="104">
        <v>7.16</v>
      </c>
      <c r="AU45" s="104">
        <v>1.53</v>
      </c>
      <c r="AV45" s="104">
        <v>0.32</v>
      </c>
      <c r="AW45" s="104">
        <v>0.87</v>
      </c>
      <c r="AX45" s="104">
        <v>5.01</v>
      </c>
      <c r="AY45" s="104">
        <v>4.99</v>
      </c>
      <c r="AZ45" s="104">
        <v>2.7</v>
      </c>
      <c r="BA45" s="104">
        <v>6.46</v>
      </c>
      <c r="BB45" s="104">
        <v>0.47</v>
      </c>
      <c r="BC45" s="101">
        <v>0</v>
      </c>
      <c r="BD45" s="104">
        <v>54.565279999999994</v>
      </c>
      <c r="BE45" s="375">
        <v>21.130449999999996</v>
      </c>
      <c r="BF45" s="376">
        <v>0</v>
      </c>
      <c r="BG45" s="104">
        <v>8.1122800000000002</v>
      </c>
      <c r="BH45" s="104">
        <v>1.7334900000000002</v>
      </c>
      <c r="BI45" s="104">
        <v>0.36255999999999999</v>
      </c>
      <c r="BJ45" s="104">
        <v>0.98570999999999998</v>
      </c>
      <c r="BK45" s="104">
        <v>5.6763299999999992</v>
      </c>
      <c r="BL45" s="104">
        <v>5.6536700000000009</v>
      </c>
      <c r="BM45" s="104">
        <v>3.0591000000000004</v>
      </c>
      <c r="BN45" s="104">
        <v>7.3191800000000002</v>
      </c>
      <c r="BO45" s="104">
        <v>0.53250999999999993</v>
      </c>
      <c r="BP45" s="101">
        <v>0</v>
      </c>
      <c r="BQ45" s="103">
        <v>14106196.728959998</v>
      </c>
      <c r="BR45" s="371">
        <v>5462636.3993999995</v>
      </c>
      <c r="BS45" s="371">
        <v>0</v>
      </c>
      <c r="BT45" s="103">
        <v>2097183.7329600002</v>
      </c>
      <c r="BU45" s="103">
        <v>448141.21668000001</v>
      </c>
      <c r="BV45" s="103">
        <v>93728.88192</v>
      </c>
      <c r="BW45" s="103">
        <v>254825.39771999998</v>
      </c>
      <c r="BX45" s="103">
        <v>1467442.8075599999</v>
      </c>
      <c r="BY45" s="103">
        <v>1461584.7524400004</v>
      </c>
      <c r="BZ45" s="103">
        <v>790837.44120000012</v>
      </c>
      <c r="CA45" s="103">
        <v>1892151.80376</v>
      </c>
      <c r="CB45" s="103">
        <v>137664.29531999998</v>
      </c>
      <c r="CC45" s="103">
        <v>0</v>
      </c>
      <c r="CD45" s="1">
        <v>1</v>
      </c>
      <c r="CF45" s="277">
        <f>SUMIF(Оборот!$A:$A,$B:$B,Оборот!H:H)</f>
        <v>11139616.990000002</v>
      </c>
      <c r="CG45" s="277">
        <f>SUMIF(Оборот!$A:$A,$B:$B,Оборот!I:I)</f>
        <v>11259338.99</v>
      </c>
      <c r="CH45" s="277">
        <f t="shared" si="0"/>
        <v>9162164.6434027366</v>
      </c>
      <c r="CI45" s="239">
        <f t="shared" si="5"/>
        <v>535663.48391281278</v>
      </c>
      <c r="CJ45" s="276">
        <f>SUMIF('20Ф'!$H:$H,$B:$B,'20Ф'!M:M)*1.2</f>
        <v>0</v>
      </c>
      <c r="CK45" s="276">
        <f>SUMIF('20Ф'!$H:$H,$B:$B,'20Ф'!O:O)*1.2</f>
        <v>103361.496</v>
      </c>
      <c r="CL45" s="276">
        <f>SUMIF('20Ф'!$H:$H,$B:$B,'20Ф'!Q:Q)*1.2</f>
        <v>0</v>
      </c>
      <c r="CM45" s="276">
        <f>SUMIF('20Ф'!$H:$H,$B:$B,'20Ф'!R:R)*1.2</f>
        <v>0</v>
      </c>
      <c r="CN45" s="276">
        <f>SUMIF('20Ф'!$H:$H,$B:$B,'20Ф'!S:S)*1.2</f>
        <v>0</v>
      </c>
      <c r="CO45" s="276">
        <f>SUMIF('20Ф'!$H:$H,$B:$B,'20Ф'!W:W)*1.2</f>
        <v>36360</v>
      </c>
      <c r="CP45" s="276">
        <f>SUMIF('20Ф'!$H:$H,$B:$B,'20Ф'!P:P)*1.2</f>
        <v>0</v>
      </c>
      <c r="CQ45" s="276">
        <f>SUMIF('20Ф'!$H:$H,$B:$B,'20Ф'!Y:Y)*1.2</f>
        <v>0</v>
      </c>
      <c r="CR45" s="276">
        <f>SUMIF('20Ф'!$H:$H,$B:$B,'20Ф'!Z:Z)*1.2</f>
        <v>0</v>
      </c>
      <c r="CS45" s="276">
        <f>SUMIF('20Ф'!$H:$H,$B:$B,'20Ф'!AB:AB)*1.2</f>
        <v>0</v>
      </c>
      <c r="CT45" s="276">
        <f>SUMIF('20Ф'!$H:$H,$B:$B,'20Ф'!AC:AC)*1.2</f>
        <v>0</v>
      </c>
      <c r="CU45" s="276">
        <f>SUMIF('20Ф'!$H:$H,$B:$B,'20Ф'!AD:AD)*1.2</f>
        <v>0</v>
      </c>
      <c r="CV45" s="276">
        <f>SUMIF('20Ф'!$H:$H,$B:$B,'20Ф'!AE:AE)*1.2</f>
        <v>0</v>
      </c>
      <c r="CW45" s="276">
        <f>SUMIF('20Ф'!$H:$H,$B:$B,'20Ф'!AF:AF)*1.2</f>
        <v>0</v>
      </c>
      <c r="CX45" s="276">
        <f>SUMIF('20Ф'!$H:$H,$B:$B,'20Ф'!AG:AG)*1.2</f>
        <v>0</v>
      </c>
      <c r="CY45" s="276">
        <f>SUMIF('20Ф'!$H:$H,$B:$B,'20Ф'!AH:AH)*1.2</f>
        <v>0</v>
      </c>
      <c r="CZ45" s="276">
        <f>SUMIF('20Ф'!$H:$H,$B:$B,'20Ф'!AI:AI)*1.2</f>
        <v>0</v>
      </c>
      <c r="DA45" s="276">
        <f>SUMIF('20Ф'!$H:$H,$B:$B,'20Ф'!AJ:AJ)*1.2</f>
        <v>0</v>
      </c>
      <c r="DB45" s="276">
        <f>SUMIF('20Ф'!$H:$H,$B:$B,'20Ф'!AK:AK)*1.2</f>
        <v>0</v>
      </c>
      <c r="DC45" s="276">
        <f>SUMIF('20Ф'!$H:$H,$B:$B,'20Ф'!AL:AL)*1.2</f>
        <v>0</v>
      </c>
      <c r="DD45" s="276">
        <f>SUMIF('20Ф'!$H:$H,$B:$B,'20Ф'!AM:AM)*1.2</f>
        <v>0</v>
      </c>
      <c r="DE45" s="276">
        <f>SUMIF('20Ф'!$H:$H,$B:$B,'20Ф'!AN:AN)*1.2</f>
        <v>0</v>
      </c>
      <c r="DF45" s="276">
        <f>SUMIF('20Ф'!$H:$H,$B:$B,'20Ф'!AO:AO)*1.2</f>
        <v>0</v>
      </c>
      <c r="DG45" s="276">
        <f>SUMIF('20Ф'!$H:$H,$B:$B,'20Ф'!AP:AP)*1.2</f>
        <v>202680.33599999998</v>
      </c>
      <c r="DH45" s="276">
        <f>SUMIF('20Ф'!$H:$H,$B:$B,'20Ф'!AQ:AQ)*1.2</f>
        <v>0</v>
      </c>
      <c r="DI45" s="276">
        <f>SUMIF('20Ф'!$H:$H,$B:$B,'20Ф'!BA:BA)*1.2</f>
        <v>0</v>
      </c>
      <c r="DJ45" s="276">
        <f>SUMIF('20Ф'!$H:$H,$B:$B,'20Ф'!BB:BB)*1.2</f>
        <v>0</v>
      </c>
      <c r="DK45" s="276">
        <f>SUMIF('20Ф'!$H:$H,$B:$B,'20Ф'!BC:BC)*1.2</f>
        <v>0</v>
      </c>
      <c r="DL45" s="276">
        <f>$D45/$D$281*'20Ф'!$H$218</f>
        <v>193261.65191281287</v>
      </c>
      <c r="DM45" s="240">
        <f t="shared" si="1"/>
        <v>2113039.8122211946</v>
      </c>
      <c r="DN45" s="276">
        <f>SUMIF('20Ф'!$H:$H,$B:$B,'20Ф'!AV:AV)*1.2</f>
        <v>0</v>
      </c>
      <c r="DO45" s="276">
        <f>SUMIF('20Ф'!$H:$H,$B:$B,'20Ф'!AW:AW)*1.2+$D45/$D$281*'26Ф'!$D$42</f>
        <v>102843.84712720251</v>
      </c>
      <c r="DP45" s="276">
        <f>SUMIF('20Ф'!$H:$H,$B:$B,'20Ф'!AX:AX)*1.2</f>
        <v>0</v>
      </c>
      <c r="DQ45" s="276">
        <f>SUMIF('20Ф'!$H:$H,$B:$B,'20Ф'!AY:AY)*1.2</f>
        <v>0</v>
      </c>
      <c r="DR45" s="276">
        <f>SUMIF('20Ф'!$H:$H,$B:$B,'20Ф'!AU:AU)*1.2</f>
        <v>0</v>
      </c>
      <c r="DS45" s="276">
        <f>SUMIF('20Ф'!$H:$H,$B:$B,'20Ф'!AS:AS)*1.2</f>
        <v>196047.07199999999</v>
      </c>
      <c r="DT45" s="276">
        <f>SUMIF('20Ф'!$H:$H,$B:$B,'20Ф'!AR:AR)*1.2</f>
        <v>0</v>
      </c>
      <c r="DU45" s="276">
        <f>SUMIF('20Ф'!$H:$H,$B:$B,'20Ф'!X:X)*1.2</f>
        <v>0</v>
      </c>
      <c r="DV45" s="276">
        <f>SUMIF('20Ф'!$H:$H,$B:$B,'20Ф'!AA:AA)*1.2</f>
        <v>0</v>
      </c>
      <c r="DW45" s="276">
        <f>SUMIF('20Ф'!$H:$H,$B:$B,'20Ф'!N:N)*1.2</f>
        <v>0</v>
      </c>
      <c r="DX45" s="276">
        <f>$D45/$D$281*('25Ф'!$D$37)</f>
        <v>1728676.4101455414</v>
      </c>
      <c r="DY45" s="276">
        <f>$D45/$D$281*'25Ф'!$D$30</f>
        <v>55173.924387101455</v>
      </c>
      <c r="DZ45" s="276">
        <f>$D45/$D$281*'25Ф'!$D$31</f>
        <v>30298.55856134944</v>
      </c>
      <c r="EA45" s="276"/>
      <c r="EB45" s="276">
        <f t="shared" si="2"/>
        <v>1089093.2700694846</v>
      </c>
      <c r="EC45" s="276">
        <f>$D45/$D$281*'26Ф'!$D$36</f>
        <v>566908.12106001179</v>
      </c>
      <c r="ED45" s="276">
        <f>$D45/$D$281*'26Ф'!$D$37</f>
        <v>68113.405275683719</v>
      </c>
      <c r="EE45" s="276">
        <f>$D45/$D$281*'26Ф'!$D$38</f>
        <v>68811.975271309697</v>
      </c>
      <c r="EF45" s="276">
        <f>$D45/$D$281*'26Ф'!$D$39</f>
        <v>48271.537849758504</v>
      </c>
      <c r="EG45" s="276">
        <f>$D45/$D$281*'91Ф'!$D$10</f>
        <v>14891.749350787049</v>
      </c>
      <c r="EH45" s="276">
        <f>$D45/$D$281*('20Ф'!$I$509+'26Ф'!$D$41+'20Ф'!$I$507)</f>
        <v>105354.22303587072</v>
      </c>
      <c r="EI45" s="276">
        <f>$D45/$D$281*'91Ф'!$D$31</f>
        <v>193129.76522150467</v>
      </c>
      <c r="EJ45" s="276">
        <f>$D45/$D$281*'20Ф'!$I$1316</f>
        <v>23612.493004558455</v>
      </c>
      <c r="EK45" s="276">
        <f>$D45/$D$281*('20Ф'!$I$1105+'20Ф'!$I$1282+'91Ф'!$D$17+'91Ф'!$D$41)</f>
        <v>775460.5769516523</v>
      </c>
      <c r="EL45" s="276">
        <f>$D45/$D$281*отчёт!BX$294</f>
        <v>1296333.5876453118</v>
      </c>
      <c r="EM45" s="276">
        <f>$D45/$D$281*отчёт!BY$294</f>
        <v>1140055.8056881207</v>
      </c>
      <c r="EN45" s="276">
        <f>$D45/$D$283*отчёт!BZ$294</f>
        <v>204604.37965025366</v>
      </c>
      <c r="EO45" s="240">
        <f t="shared" si="10"/>
        <v>1471828.4680079841</v>
      </c>
      <c r="EP45" s="276">
        <f>SUMIF('20Ф'!$H:$H,$B:$B,'20Ф'!T:T)*1.2</f>
        <v>48921.192000000003</v>
      </c>
      <c r="EQ45" s="276">
        <f>SUM(H45:I45)/SUM($H$284:$I$284)*SUM('60Ф'!$O$155:$P$155)</f>
        <v>1380082.0940518961</v>
      </c>
      <c r="ER45" s="276">
        <f>SUM($H45:$I45)/SUM($H$284:$I$284)*SUM('60Ф'!$P$227)</f>
        <v>42825.181956087821</v>
      </c>
      <c r="ES45" s="239">
        <f t="shared" si="6"/>
        <v>433883.34551455925</v>
      </c>
      <c r="ET45" s="276">
        <f>$D45/$D$282*'20Ф'!$I$381</f>
        <v>33162.119811217162</v>
      </c>
      <c r="EU45" s="276">
        <f>$D45/$D$282*('20Ф'!$I$75+'20Ф'!$I$1098)*1.2</f>
        <v>383037.20539342781</v>
      </c>
      <c r="EV45" s="276">
        <f>$D45/$D$282*('20Ф'!$I$1286)</f>
        <v>17684.020309914271</v>
      </c>
      <c r="EW45" s="276">
        <f>SUMIF('91.1Ф'!$N:$N,$B:$B,'91.1Ф'!$F:$F)+$D45/$D$281*('91Ф'!$D$12+'91Ф'!$D$11+'91Ф'!$D$19+'91Ф'!$D$20)</f>
        <v>102201.91374136215</v>
      </c>
      <c r="EX45" s="276">
        <f t="shared" si="4"/>
        <v>0</v>
      </c>
      <c r="EY45" s="276">
        <f>SUMIF('20Ф'!$H:$H,$B:$B,'20Ф'!$AY:$AY)*1.2</f>
        <v>0</v>
      </c>
      <c r="EZ45" s="236"/>
      <c r="FA45" s="277">
        <f>SUMIF(отчёт!$B:$B,$B:$B,отчёт!$CU:$CU)/отчёт!$CU$281*'20Ф'!$I$1341</f>
        <v>7367.7108433734802</v>
      </c>
      <c r="FB45" s="276">
        <f>SUMIF(Сальдо!$A:$A,$B:$B,Сальдо!$H:$H)-SUMIF(Сальдо!$A:$A,$B:$B,Сальдо!$I:$I)</f>
        <v>2014435.44</v>
      </c>
    </row>
    <row r="46" spans="1:162" ht="12" customHeight="1" x14ac:dyDescent="0.25">
      <c r="A46" s="3">
        <f t="shared" si="7"/>
        <v>42</v>
      </c>
      <c r="B46" s="4" t="s">
        <v>90</v>
      </c>
      <c r="C46" s="4" t="s">
        <v>90</v>
      </c>
      <c r="D46" s="5">
        <v>644.9</v>
      </c>
      <c r="E46" s="6">
        <v>644.9</v>
      </c>
      <c r="F46" s="6">
        <v>0</v>
      </c>
      <c r="G46" s="6">
        <v>62.2</v>
      </c>
      <c r="H46" s="5">
        <f>SUMIF(отчёт!$B:$B,$B:$B,отчёт!I:I)</f>
        <v>0</v>
      </c>
      <c r="I46" s="5">
        <f>SUMIF(отчёт!$B:$B,$B:$B,отчёт!J:J)</f>
        <v>0</v>
      </c>
      <c r="J46" s="3" t="s">
        <v>51</v>
      </c>
      <c r="K46" s="105">
        <v>7</v>
      </c>
      <c r="L46" s="105" t="s">
        <v>52</v>
      </c>
      <c r="M46" s="7">
        <v>31</v>
      </c>
      <c r="N46" s="8">
        <v>5.0999999999999996</v>
      </c>
      <c r="O46" s="8">
        <v>6.59</v>
      </c>
      <c r="P46" s="8">
        <v>8.98</v>
      </c>
      <c r="Q46" s="8">
        <v>6.92</v>
      </c>
      <c r="R46" s="8">
        <v>3.15</v>
      </c>
      <c r="S46" s="8">
        <v>0</v>
      </c>
      <c r="T46" s="8">
        <v>0</v>
      </c>
      <c r="U46" s="8">
        <v>0.26</v>
      </c>
      <c r="V46" s="9">
        <v>40</v>
      </c>
      <c r="W46" s="9">
        <v>40</v>
      </c>
      <c r="X46" s="9">
        <v>2604.04</v>
      </c>
      <c r="Y46" s="8">
        <v>195.98199600000001</v>
      </c>
      <c r="Z46" s="9">
        <v>42.3</v>
      </c>
      <c r="AA46" s="9">
        <v>2604.04</v>
      </c>
      <c r="AB46" s="8">
        <v>7.85</v>
      </c>
      <c r="AC46" s="10">
        <v>0</v>
      </c>
      <c r="AD46" s="8">
        <v>6.73</v>
      </c>
      <c r="AE46" s="8">
        <v>10.67</v>
      </c>
      <c r="AF46" s="8">
        <v>14</v>
      </c>
      <c r="AG46" s="7">
        <v>119951.4</v>
      </c>
      <c r="AH46" s="8">
        <v>19733.939999999999</v>
      </c>
      <c r="AI46" s="8">
        <v>25499.345999999998</v>
      </c>
      <c r="AJ46" s="8">
        <v>34747.212</v>
      </c>
      <c r="AK46" s="8">
        <v>26776.248</v>
      </c>
      <c r="AL46" s="8">
        <v>12188.61</v>
      </c>
      <c r="AM46" s="8">
        <v>0</v>
      </c>
      <c r="AN46" s="8">
        <v>0</v>
      </c>
      <c r="AO46" s="8">
        <v>1006.0440000000001</v>
      </c>
      <c r="AQ46" s="104">
        <v>33.17</v>
      </c>
      <c r="AR46" s="375">
        <v>13.89</v>
      </c>
      <c r="AS46" s="376"/>
      <c r="AT46" s="104">
        <v>5.9</v>
      </c>
      <c r="AU46" s="104">
        <v>1.53</v>
      </c>
      <c r="AV46" s="104">
        <v>0.32</v>
      </c>
      <c r="AW46" s="104">
        <v>0.6</v>
      </c>
      <c r="AX46" s="104">
        <v>5.01</v>
      </c>
      <c r="AY46" s="104">
        <v>4.99</v>
      </c>
      <c r="AZ46" s="104">
        <v>0</v>
      </c>
      <c r="BA46" s="104">
        <v>0</v>
      </c>
      <c r="BB46" s="104">
        <v>0</v>
      </c>
      <c r="BC46" s="101">
        <v>0.93</v>
      </c>
      <c r="BD46" s="104">
        <v>37.581610000000005</v>
      </c>
      <c r="BE46" s="375">
        <v>15.737370000000004</v>
      </c>
      <c r="BF46" s="376">
        <v>0</v>
      </c>
      <c r="BG46" s="104">
        <v>6.6847000000000012</v>
      </c>
      <c r="BH46" s="104">
        <v>1.7334900000000002</v>
      </c>
      <c r="BI46" s="104">
        <v>0.36256000000000005</v>
      </c>
      <c r="BJ46" s="104">
        <v>0.67980000000000007</v>
      </c>
      <c r="BK46" s="104">
        <v>5.6763300000000001</v>
      </c>
      <c r="BL46" s="104">
        <v>5.65367</v>
      </c>
      <c r="BM46" s="104">
        <v>0</v>
      </c>
      <c r="BN46" s="104">
        <v>0</v>
      </c>
      <c r="BO46" s="104">
        <v>0</v>
      </c>
      <c r="BP46" s="101">
        <v>1.0536900000000002</v>
      </c>
      <c r="BQ46" s="103">
        <v>285146.46889000008</v>
      </c>
      <c r="BR46" s="371">
        <v>119405.62113000003</v>
      </c>
      <c r="BS46" s="371">
        <v>0</v>
      </c>
      <c r="BT46" s="103">
        <v>50719.450300000004</v>
      </c>
      <c r="BU46" s="103">
        <v>13152.67101</v>
      </c>
      <c r="BV46" s="103">
        <v>2750.88544</v>
      </c>
      <c r="BW46" s="103">
        <v>5157.9102000000003</v>
      </c>
      <c r="BX46" s="103">
        <v>43068.550169999995</v>
      </c>
      <c r="BY46" s="103">
        <v>42896.619829999996</v>
      </c>
      <c r="BZ46" s="103">
        <v>0</v>
      </c>
      <c r="CA46" s="103">
        <v>0</v>
      </c>
      <c r="CB46" s="103">
        <v>0</v>
      </c>
      <c r="CC46" s="103">
        <v>7994.7608100000016</v>
      </c>
      <c r="CD46" s="1">
        <v>1</v>
      </c>
      <c r="CF46" s="277">
        <f>SUMIF(Оборот!$A:$A,$B:$B,Оборот!H:H)</f>
        <v>245500.39999999997</v>
      </c>
      <c r="CG46" s="277">
        <f>SUMIF(Оборот!$A:$A,$B:$B,Оборот!I:I)</f>
        <v>247021.74</v>
      </c>
      <c r="CH46" s="277">
        <f t="shared" si="0"/>
        <v>262567.65741726867</v>
      </c>
      <c r="CI46" s="239">
        <f t="shared" si="5"/>
        <v>5672.1114502472565</v>
      </c>
      <c r="CJ46" s="276">
        <f>SUMIF('20Ф'!$H:$H,$B:$B,'20Ф'!M:M)*1.2</f>
        <v>0</v>
      </c>
      <c r="CK46" s="276">
        <f>SUMIF('20Ф'!$H:$H,$B:$B,'20Ф'!O:O)*1.2</f>
        <v>0</v>
      </c>
      <c r="CL46" s="276">
        <f>SUMIF('20Ф'!$H:$H,$B:$B,'20Ф'!Q:Q)*1.2</f>
        <v>0</v>
      </c>
      <c r="CM46" s="276">
        <f>SUMIF('20Ф'!$H:$H,$B:$B,'20Ф'!R:R)*1.2</f>
        <v>0</v>
      </c>
      <c r="CN46" s="276">
        <f>SUMIF('20Ф'!$H:$H,$B:$B,'20Ф'!S:S)*1.2</f>
        <v>0</v>
      </c>
      <c r="CO46" s="276">
        <f>SUMIF('20Ф'!$H:$H,$B:$B,'20Ф'!W:W)*1.2</f>
        <v>0</v>
      </c>
      <c r="CP46" s="276">
        <f>SUMIF('20Ф'!$H:$H,$B:$B,'20Ф'!P:P)*1.2</f>
        <v>0</v>
      </c>
      <c r="CQ46" s="276">
        <f>SUMIF('20Ф'!$H:$H,$B:$B,'20Ф'!Y:Y)*1.2</f>
        <v>0</v>
      </c>
      <c r="CR46" s="276">
        <f>SUMIF('20Ф'!$H:$H,$B:$B,'20Ф'!Z:Z)*1.2</f>
        <v>0</v>
      </c>
      <c r="CS46" s="276">
        <f>SUMIF('20Ф'!$H:$H,$B:$B,'20Ф'!AB:AB)*1.2</f>
        <v>0</v>
      </c>
      <c r="CT46" s="276">
        <f>SUMIF('20Ф'!$H:$H,$B:$B,'20Ф'!AC:AC)*1.2</f>
        <v>0</v>
      </c>
      <c r="CU46" s="276">
        <f>SUMIF('20Ф'!$H:$H,$B:$B,'20Ф'!AD:AD)*1.2</f>
        <v>0</v>
      </c>
      <c r="CV46" s="276">
        <f>SUMIF('20Ф'!$H:$H,$B:$B,'20Ф'!AE:AE)*1.2</f>
        <v>0</v>
      </c>
      <c r="CW46" s="276">
        <f>SUMIF('20Ф'!$H:$H,$B:$B,'20Ф'!AF:AF)*1.2</f>
        <v>0</v>
      </c>
      <c r="CX46" s="276">
        <f>SUMIF('20Ф'!$H:$H,$B:$B,'20Ф'!AG:AG)*1.2</f>
        <v>0</v>
      </c>
      <c r="CY46" s="276">
        <f>SUMIF('20Ф'!$H:$H,$B:$B,'20Ф'!AH:AH)*1.2</f>
        <v>0</v>
      </c>
      <c r="CZ46" s="276">
        <f>SUMIF('20Ф'!$H:$H,$B:$B,'20Ф'!AI:AI)*1.2</f>
        <v>0</v>
      </c>
      <c r="DA46" s="276">
        <f>SUMIF('20Ф'!$H:$H,$B:$B,'20Ф'!AJ:AJ)*1.2</f>
        <v>0</v>
      </c>
      <c r="DB46" s="276">
        <f>SUMIF('20Ф'!$H:$H,$B:$B,'20Ф'!AK:AK)*1.2</f>
        <v>0</v>
      </c>
      <c r="DC46" s="276">
        <f>SUMIF('20Ф'!$H:$H,$B:$B,'20Ф'!AL:AL)*1.2</f>
        <v>0</v>
      </c>
      <c r="DD46" s="276">
        <f>SUMIF('20Ф'!$H:$H,$B:$B,'20Ф'!AM:AM)*1.2</f>
        <v>0</v>
      </c>
      <c r="DE46" s="276">
        <f>SUMIF('20Ф'!$H:$H,$B:$B,'20Ф'!AN:AN)*1.2</f>
        <v>0</v>
      </c>
      <c r="DF46" s="276">
        <f>SUMIF('20Ф'!$H:$H,$B:$B,'20Ф'!AO:AO)*1.2</f>
        <v>0</v>
      </c>
      <c r="DG46" s="276">
        <f>SUMIF('20Ф'!$H:$H,$B:$B,'20Ф'!AP:AP)*1.2</f>
        <v>0</v>
      </c>
      <c r="DH46" s="276">
        <f>SUMIF('20Ф'!$H:$H,$B:$B,'20Ф'!AQ:AQ)*1.2</f>
        <v>0</v>
      </c>
      <c r="DI46" s="276">
        <f>SUMIF('20Ф'!$H:$H,$B:$B,'20Ф'!BA:BA)*1.2</f>
        <v>0</v>
      </c>
      <c r="DJ46" s="276">
        <f>SUMIF('20Ф'!$H:$H,$B:$B,'20Ф'!BB:BB)*1.2</f>
        <v>0</v>
      </c>
      <c r="DK46" s="276">
        <f>SUMIF('20Ф'!$H:$H,$B:$B,'20Ф'!BC:BC)*1.2</f>
        <v>0</v>
      </c>
      <c r="DL46" s="276">
        <f>$D46/$D$281*'20Ф'!$H$218</f>
        <v>5672.1114502472565</v>
      </c>
      <c r="DM46" s="240">
        <f t="shared" si="1"/>
        <v>101775.79413368324</v>
      </c>
      <c r="DN46" s="276">
        <f>SUMIF('20Ф'!$H:$H,$B:$B,'20Ф'!AV:AV)*1.2</f>
        <v>0</v>
      </c>
      <c r="DO46" s="276">
        <f>SUMIF('20Ф'!$H:$H,$B:$B,'20Ф'!AW:AW)*1.2+$D46/$D$281*'26Ф'!$D$42</f>
        <v>3018.4041019211086</v>
      </c>
      <c r="DP46" s="276">
        <f>SUMIF('20Ф'!$H:$H,$B:$B,'20Ф'!AX:AX)*1.2</f>
        <v>0</v>
      </c>
      <c r="DQ46" s="276">
        <f>SUMIF('20Ф'!$H:$H,$B:$B,'20Ф'!AY:AY)*1.2</f>
        <v>12701.003999999999</v>
      </c>
      <c r="DR46" s="276">
        <f>SUMIF('20Ф'!$H:$H,$B:$B,'20Ф'!AU:AU)*1.2</f>
        <v>0</v>
      </c>
      <c r="DS46" s="276">
        <f>SUMIF('20Ф'!$H:$H,$B:$B,'20Ф'!AS:AS)*1.2</f>
        <v>19587.335999999999</v>
      </c>
      <c r="DT46" s="276">
        <f>SUMIF('20Ф'!$H:$H,$B:$B,'20Ф'!AR:AR)*1.2</f>
        <v>0</v>
      </c>
      <c r="DU46" s="276">
        <f>SUMIF('20Ф'!$H:$H,$B:$B,'20Ф'!X:X)*1.2</f>
        <v>13224.887999999999</v>
      </c>
      <c r="DV46" s="276">
        <f>SUMIF('20Ф'!$H:$H,$B:$B,'20Ф'!AA:AA)*1.2</f>
        <v>0</v>
      </c>
      <c r="DW46" s="276">
        <f>SUMIF('20Ф'!$H:$H,$B:$B,'20Ф'!N:N)*1.2</f>
        <v>0</v>
      </c>
      <c r="DX46" s="276">
        <f>$D46/$D$281*('25Ф'!$D$37)</f>
        <v>50735.596859030986</v>
      </c>
      <c r="DY46" s="276">
        <f>$D46/$D$281*'25Ф'!$D$30</f>
        <v>1619.3209836183044</v>
      </c>
      <c r="DZ46" s="276">
        <f>$D46/$D$281*'25Ф'!$D$31</f>
        <v>889.24418911283988</v>
      </c>
      <c r="EA46" s="276"/>
      <c r="EB46" s="276">
        <f t="shared" si="2"/>
        <v>31964.222319362252</v>
      </c>
      <c r="EC46" s="276">
        <f>$D46/$D$281*'26Ф'!$D$36</f>
        <v>16638.407117379425</v>
      </c>
      <c r="ED46" s="276">
        <f>$D46/$D$281*'26Ф'!$D$37</f>
        <v>1999.086844987914</v>
      </c>
      <c r="EE46" s="276">
        <f>$D46/$D$281*'26Ф'!$D$38</f>
        <v>2019.5894477121049</v>
      </c>
      <c r="EF46" s="276">
        <f>$D46/$D$281*'26Ф'!$D$39</f>
        <v>1416.7401543384331</v>
      </c>
      <c r="EG46" s="276">
        <f>$D46/$D$281*'91Ф'!$D$10</f>
        <v>437.06374839907556</v>
      </c>
      <c r="EH46" s="276">
        <f>$D46/$D$281*('20Ф'!$I$509+'26Ф'!$D$41+'20Ф'!$I$507)</f>
        <v>3092.0821016435034</v>
      </c>
      <c r="EI46" s="276">
        <f>$D46/$D$281*'91Ф'!$D$31</f>
        <v>5668.2406564063658</v>
      </c>
      <c r="EJ46" s="276">
        <f>$D46/$D$281*'20Ф'!$I$1316</f>
        <v>693.01224849542848</v>
      </c>
      <c r="EK46" s="276">
        <f>$D46/$D$281*('20Ф'!$I$1105+'20Ф'!$I$1282+'91Ф'!$D$17+'91Ф'!$D$41)</f>
        <v>22759.294325638533</v>
      </c>
      <c r="EL46" s="276">
        <f>$D46/$D$281*отчёт!BX$294</f>
        <v>38046.599069432836</v>
      </c>
      <c r="EM46" s="276">
        <f>$D46/$D$281*отчёт!BY$294</f>
        <v>33459.941614706513</v>
      </c>
      <c r="EN46" s="276">
        <f>SUMIF(отчёт!$B:$B,$B:$B,отчёт!BZ:BZ)/отчёт!BZ$281*('60Ф'!$O$151+'60Ф'!$P$151)*отчёт!BZ$293</f>
        <v>0</v>
      </c>
      <c r="EO46" s="240">
        <f t="shared" si="3"/>
        <v>0</v>
      </c>
      <c r="EP46" s="276">
        <f>SUMIF('20Ф'!$H:$H,$B:$B,'20Ф'!T:T)*1.2</f>
        <v>0</v>
      </c>
      <c r="EQ46" s="276">
        <f>SUMIF('20Ф'!$H:$H,$B:$B,'20Ф'!U:U)*1.2</f>
        <v>0</v>
      </c>
      <c r="ER46" s="236"/>
      <c r="ES46" s="239">
        <f t="shared" si="6"/>
        <v>12734.211199203542</v>
      </c>
      <c r="ET46" s="276">
        <f>$D46/$D$282*'20Ф'!$I$381</f>
        <v>973.28796289361344</v>
      </c>
      <c r="EU46" s="276">
        <f>$D46/$D$282*('20Ф'!$I$75+'20Ф'!$I$1098)*1.2</f>
        <v>11241.908040623197</v>
      </c>
      <c r="EV46" s="276">
        <f>$D46/$D$282*('20Ф'!$I$1286)</f>
        <v>519.01519568673257</v>
      </c>
      <c r="EW46" s="276">
        <f>SUMIF('91.1Ф'!$N:$N,$B:$B,'91.1Ф'!$F:$F)+$D46/$D$281*('91Ф'!$D$12+'91Ф'!$D$11+'91Ф'!$D$19+'91Ф'!$D$20)</f>
        <v>2999.5637491036559</v>
      </c>
      <c r="EX46" s="276">
        <f t="shared" si="4"/>
        <v>13155.919555890809</v>
      </c>
      <c r="EY46" s="276">
        <f>SUMIF('20Ф'!$H:$H,$B:$B,'20Ф'!$AY:$AY)*1.2</f>
        <v>12701.003999999999</v>
      </c>
      <c r="EZ46" s="295">
        <f>D46/$D$286*'20Ф'!$I$1163</f>
        <v>454.91555589080986</v>
      </c>
      <c r="FA46" s="277">
        <f>SUMIF(отчёт!$B:$B,$B:$B,отчёт!$CU:$CU)/отчёт!$CU$281*'20Ф'!$I$1341</f>
        <v>0</v>
      </c>
      <c r="FB46" s="276">
        <f>SUMIF(Сальдо!$A:$A,$B:$B,Сальдо!$H:$H)-SUMIF(Сальдо!$A:$A,$B:$B,Сальдо!$I:$I)</f>
        <v>17264.88</v>
      </c>
    </row>
    <row r="47" spans="1:162" ht="12" customHeight="1" x14ac:dyDescent="0.25">
      <c r="A47" s="3">
        <f t="shared" si="7"/>
        <v>43</v>
      </c>
      <c r="B47" s="4" t="s">
        <v>91</v>
      </c>
      <c r="C47" s="4" t="s">
        <v>91</v>
      </c>
      <c r="D47" s="5">
        <v>1486.2</v>
      </c>
      <c r="E47" s="6">
        <v>1376.2</v>
      </c>
      <c r="F47" s="6">
        <v>110</v>
      </c>
      <c r="G47" s="6">
        <v>88.8</v>
      </c>
      <c r="H47" s="5">
        <f>SUMIF(отчёт!$B:$B,$B:$B,отчёт!I:I)</f>
        <v>0</v>
      </c>
      <c r="I47" s="5">
        <f>SUMIF(отчёт!$B:$B,$B:$B,отчёт!J:J)</f>
        <v>0</v>
      </c>
      <c r="J47" s="3" t="s">
        <v>74</v>
      </c>
      <c r="K47" s="105">
        <v>9</v>
      </c>
      <c r="L47" s="105" t="s">
        <v>75</v>
      </c>
      <c r="M47" s="12">
        <v>20.440000000000001</v>
      </c>
      <c r="N47" s="8">
        <v>3.11</v>
      </c>
      <c r="O47" s="8">
        <v>4.0599999999999996</v>
      </c>
      <c r="P47" s="8">
        <v>7</v>
      </c>
      <c r="Q47" s="8">
        <v>4</v>
      </c>
      <c r="R47" s="8">
        <v>2.0499999999999998</v>
      </c>
      <c r="S47" s="8">
        <v>0</v>
      </c>
      <c r="T47" s="8">
        <v>0</v>
      </c>
      <c r="U47" s="8">
        <v>0.22</v>
      </c>
      <c r="V47" s="9">
        <v>40</v>
      </c>
      <c r="W47" s="9">
        <v>0</v>
      </c>
      <c r="X47" s="9">
        <v>0</v>
      </c>
      <c r="Y47" s="8">
        <v>0</v>
      </c>
      <c r="Z47" s="9">
        <v>42.3</v>
      </c>
      <c r="AA47" s="9">
        <v>2604.04</v>
      </c>
      <c r="AB47" s="8">
        <v>6.92</v>
      </c>
      <c r="AC47" s="10">
        <v>0</v>
      </c>
      <c r="AD47" s="8">
        <v>6.73</v>
      </c>
      <c r="AE47" s="8">
        <v>10.67</v>
      </c>
      <c r="AF47" s="8">
        <v>14</v>
      </c>
      <c r="AG47" s="7">
        <v>182267.56800000003</v>
      </c>
      <c r="AH47" s="8">
        <v>27732.492000000002</v>
      </c>
      <c r="AI47" s="8">
        <v>36203.831999999995</v>
      </c>
      <c r="AJ47" s="8">
        <v>62420.399999999994</v>
      </c>
      <c r="AK47" s="8">
        <v>35668.800000000003</v>
      </c>
      <c r="AL47" s="8">
        <v>18280.260000000002</v>
      </c>
      <c r="AM47" s="8">
        <v>0</v>
      </c>
      <c r="AN47" s="8">
        <v>0</v>
      </c>
      <c r="AO47" s="8">
        <v>1961.7840000000001</v>
      </c>
      <c r="AQ47" s="104">
        <v>26.91</v>
      </c>
      <c r="AR47" s="375">
        <v>7.81</v>
      </c>
      <c r="AS47" s="376"/>
      <c r="AT47" s="104">
        <v>8.4499999999999993</v>
      </c>
      <c r="AU47" s="104">
        <v>1.53</v>
      </c>
      <c r="AV47" s="104">
        <v>0.18</v>
      </c>
      <c r="AW47" s="104">
        <v>0.48</v>
      </c>
      <c r="AX47" s="104">
        <v>4.93</v>
      </c>
      <c r="AY47" s="104">
        <v>2.6</v>
      </c>
      <c r="AZ47" s="104">
        <v>0</v>
      </c>
      <c r="BA47" s="104">
        <v>0</v>
      </c>
      <c r="BB47" s="104">
        <v>0</v>
      </c>
      <c r="BC47" s="101">
        <v>0.93</v>
      </c>
      <c r="BD47" s="104">
        <v>30.48903</v>
      </c>
      <c r="BE47" s="375">
        <v>8.8487299999999998</v>
      </c>
      <c r="BF47" s="376">
        <v>0</v>
      </c>
      <c r="BG47" s="104">
        <v>9.5738499999999984</v>
      </c>
      <c r="BH47" s="104">
        <v>1.73349</v>
      </c>
      <c r="BI47" s="104">
        <v>0.20393999999999998</v>
      </c>
      <c r="BJ47" s="104">
        <v>0.54383999999999999</v>
      </c>
      <c r="BK47" s="104">
        <v>5.5856899999999996</v>
      </c>
      <c r="BL47" s="104">
        <v>2.9458000000000002</v>
      </c>
      <c r="BM47" s="104">
        <v>0</v>
      </c>
      <c r="BN47" s="104">
        <v>0</v>
      </c>
      <c r="BO47" s="104">
        <v>0</v>
      </c>
      <c r="BP47" s="101">
        <v>1.05369</v>
      </c>
      <c r="BQ47" s="103">
        <v>533115.24786</v>
      </c>
      <c r="BR47" s="371">
        <v>154724.26926000003</v>
      </c>
      <c r="BS47" s="371">
        <v>0</v>
      </c>
      <c r="BT47" s="103">
        <v>167403.33869999999</v>
      </c>
      <c r="BU47" s="103">
        <v>30310.900379999999</v>
      </c>
      <c r="BV47" s="103">
        <v>3565.9882799999996</v>
      </c>
      <c r="BW47" s="103">
        <v>9509.3020799999995</v>
      </c>
      <c r="BX47" s="103">
        <v>97668.456779999993</v>
      </c>
      <c r="BY47" s="103">
        <v>51508.719600000004</v>
      </c>
      <c r="BZ47" s="103">
        <v>0</v>
      </c>
      <c r="CA47" s="103">
        <v>0</v>
      </c>
      <c r="CB47" s="103">
        <v>0</v>
      </c>
      <c r="CC47" s="103">
        <v>18424.272779999999</v>
      </c>
      <c r="CD47" s="1">
        <v>1</v>
      </c>
      <c r="CF47" s="277">
        <f>SUMIF(Оборот!$A:$A,$B:$B,Оборот!H:H)</f>
        <v>376214.99000000005</v>
      </c>
      <c r="CG47" s="277">
        <f>SUMIF(Оборот!$A:$A,$B:$B,Оборот!I:I)</f>
        <v>379398.19</v>
      </c>
      <c r="CH47" s="277">
        <f t="shared" si="0"/>
        <v>715980.65356232692</v>
      </c>
      <c r="CI47" s="239">
        <f t="shared" si="5"/>
        <v>17827.910666704098</v>
      </c>
      <c r="CJ47" s="276">
        <f>SUMIF('20Ф'!$H:$H,$B:$B,'20Ф'!M:M)*1.2</f>
        <v>0</v>
      </c>
      <c r="CK47" s="276">
        <f>SUMIF('20Ф'!$H:$H,$B:$B,'20Ф'!O:O)*1.2</f>
        <v>0</v>
      </c>
      <c r="CL47" s="276">
        <f>SUMIF('20Ф'!$H:$H,$B:$B,'20Ф'!Q:Q)*1.2</f>
        <v>0</v>
      </c>
      <c r="CM47" s="276">
        <f>SUMIF('20Ф'!$H:$H,$B:$B,'20Ф'!R:R)*1.2</f>
        <v>0</v>
      </c>
      <c r="CN47" s="276">
        <f>SUMIF('20Ф'!$H:$H,$B:$B,'20Ф'!S:S)*1.2</f>
        <v>0</v>
      </c>
      <c r="CO47" s="276">
        <f>SUMIF('20Ф'!$H:$H,$B:$B,'20Ф'!W:W)*1.2</f>
        <v>0</v>
      </c>
      <c r="CP47" s="276">
        <f>SUMIF('20Ф'!$H:$H,$B:$B,'20Ф'!P:P)*1.2</f>
        <v>0</v>
      </c>
      <c r="CQ47" s="276">
        <f>SUMIF('20Ф'!$H:$H,$B:$B,'20Ф'!Y:Y)*1.2</f>
        <v>0</v>
      </c>
      <c r="CR47" s="276">
        <f>SUMIF('20Ф'!$H:$H,$B:$B,'20Ф'!Z:Z)*1.2</f>
        <v>0</v>
      </c>
      <c r="CS47" s="276">
        <f>SUMIF('20Ф'!$H:$H,$B:$B,'20Ф'!AB:AB)*1.2</f>
        <v>0</v>
      </c>
      <c r="CT47" s="276">
        <f>SUMIF('20Ф'!$H:$H,$B:$B,'20Ф'!AC:AC)*1.2</f>
        <v>0</v>
      </c>
      <c r="CU47" s="276">
        <f>SUMIF('20Ф'!$H:$H,$B:$B,'20Ф'!AD:AD)*1.2</f>
        <v>0</v>
      </c>
      <c r="CV47" s="276">
        <f>SUMIF('20Ф'!$H:$H,$B:$B,'20Ф'!AE:AE)*1.2</f>
        <v>0</v>
      </c>
      <c r="CW47" s="276">
        <f>SUMIF('20Ф'!$H:$H,$B:$B,'20Ф'!AF:AF)*1.2</f>
        <v>0</v>
      </c>
      <c r="CX47" s="276">
        <f>SUMIF('20Ф'!$H:$H,$B:$B,'20Ф'!AG:AG)*1.2</f>
        <v>4756.2839999999997</v>
      </c>
      <c r="CY47" s="276">
        <f>SUMIF('20Ф'!$H:$H,$B:$B,'20Ф'!AH:AH)*1.2</f>
        <v>0</v>
      </c>
      <c r="CZ47" s="276">
        <f>SUMIF('20Ф'!$H:$H,$B:$B,'20Ф'!AI:AI)*1.2</f>
        <v>0</v>
      </c>
      <c r="DA47" s="276">
        <f>SUMIF('20Ф'!$H:$H,$B:$B,'20Ф'!AJ:AJ)*1.2</f>
        <v>0</v>
      </c>
      <c r="DB47" s="276">
        <f>SUMIF('20Ф'!$H:$H,$B:$B,'20Ф'!AK:AK)*1.2</f>
        <v>0</v>
      </c>
      <c r="DC47" s="276">
        <f>SUMIF('20Ф'!$H:$H,$B:$B,'20Ф'!AL:AL)*1.2</f>
        <v>0</v>
      </c>
      <c r="DD47" s="276">
        <f>SUMIF('20Ф'!$H:$H,$B:$B,'20Ф'!AM:AM)*1.2</f>
        <v>0</v>
      </c>
      <c r="DE47" s="276">
        <f>SUMIF('20Ф'!$H:$H,$B:$B,'20Ф'!AN:AN)*1.2</f>
        <v>0</v>
      </c>
      <c r="DF47" s="276">
        <f>SUMIF('20Ф'!$H:$H,$B:$B,'20Ф'!AO:AO)*1.2</f>
        <v>0</v>
      </c>
      <c r="DG47" s="276">
        <f>SUMIF('20Ф'!$H:$H,$B:$B,'20Ф'!AP:AP)*1.2</f>
        <v>0</v>
      </c>
      <c r="DH47" s="276">
        <f>SUMIF('20Ф'!$H:$H,$B:$B,'20Ф'!AQ:AQ)*1.2</f>
        <v>0</v>
      </c>
      <c r="DI47" s="276">
        <f>SUMIF('20Ф'!$H:$H,$B:$B,'20Ф'!BA:BA)*1.2</f>
        <v>0</v>
      </c>
      <c r="DJ47" s="276">
        <f>SUMIF('20Ф'!$H:$H,$B:$B,'20Ф'!BB:BB)*1.2</f>
        <v>0</v>
      </c>
      <c r="DK47" s="276">
        <f>SUMIF('20Ф'!$H:$H,$B:$B,'20Ф'!BC:BC)*1.2</f>
        <v>0</v>
      </c>
      <c r="DL47" s="276">
        <f>$D47/$D$281*'20Ф'!$H$218</f>
        <v>13071.626666704096</v>
      </c>
      <c r="DM47" s="240">
        <f t="shared" si="1"/>
        <v>340729.56207765546</v>
      </c>
      <c r="DN47" s="276">
        <f>SUMIF('20Ф'!$H:$H,$B:$B,'20Ф'!AV:AV)*1.2</f>
        <v>0</v>
      </c>
      <c r="DO47" s="276">
        <f>SUMIF('20Ф'!$H:$H,$B:$B,'20Ф'!AW:AW)*1.2+$D47/$D$281*'26Ф'!$D$42</f>
        <v>6956.0430706701054</v>
      </c>
      <c r="DP47" s="276">
        <f>SUMIF('20Ф'!$H:$H,$B:$B,'20Ф'!AX:AX)*1.2</f>
        <v>0</v>
      </c>
      <c r="DQ47" s="276">
        <f>SUMIF('20Ф'!$H:$H,$B:$B,'20Ф'!AY:AY)*1.2</f>
        <v>29213.003999999997</v>
      </c>
      <c r="DR47" s="276">
        <f>SUMIF('20Ф'!$H:$H,$B:$B,'20Ф'!AU:AU)*1.2</f>
        <v>0</v>
      </c>
      <c r="DS47" s="276">
        <f>SUMIF('20Ф'!$H:$H,$B:$B,'20Ф'!AS:AS)*1.2</f>
        <v>0</v>
      </c>
      <c r="DT47" s="276">
        <f>SUMIF('20Ф'!$H:$H,$B:$B,'20Ф'!AR:AR)*1.2</f>
        <v>27068.735999999997</v>
      </c>
      <c r="DU47" s="276">
        <f>SUMIF('20Ф'!$H:$H,$B:$B,'20Ф'!X:X)*1.2</f>
        <v>154788.29999999999</v>
      </c>
      <c r="DV47" s="276">
        <f>SUMIF('20Ф'!$H:$H,$B:$B,'20Ф'!AA:AA)*1.2</f>
        <v>0</v>
      </c>
      <c r="DW47" s="276">
        <f>SUMIF('20Ф'!$H:$H,$B:$B,'20Ф'!N:N)*1.2</f>
        <v>0</v>
      </c>
      <c r="DX47" s="276">
        <f>$D47/$D$281*('25Ф'!$D$37)</f>
        <v>116922.38184507961</v>
      </c>
      <c r="DY47" s="276">
        <f>$D47/$D$281*'25Ф'!$D$30</f>
        <v>3731.7953882051852</v>
      </c>
      <c r="DZ47" s="276">
        <f>$D47/$D$281*'25Ф'!$D$31</f>
        <v>2049.3017737005775</v>
      </c>
      <c r="EA47" s="276"/>
      <c r="EB47" s="276">
        <f t="shared" si="2"/>
        <v>73662.93566605082</v>
      </c>
      <c r="EC47" s="276">
        <f>$D47/$D$281*'26Ф'!$D$36</f>
        <v>38343.930311442549</v>
      </c>
      <c r="ED47" s="276">
        <f>$D47/$D$281*'26Ф'!$D$37</f>
        <v>4606.9822748039032</v>
      </c>
      <c r="EE47" s="276">
        <f>$D47/$D$281*'26Ф'!$D$38</f>
        <v>4654.2314113656848</v>
      </c>
      <c r="EF47" s="276">
        <f>$D47/$D$281*'26Ф'!$D$39</f>
        <v>3264.9390872659005</v>
      </c>
      <c r="EG47" s="276">
        <f>$D47/$D$281*'91Ф'!$D$10</f>
        <v>1007.2323505515678</v>
      </c>
      <c r="EH47" s="276">
        <f>$D47/$D$281*('20Ф'!$I$509+'26Ф'!$D$41+'20Ф'!$I$507)</f>
        <v>7125.837214238757</v>
      </c>
      <c r="EI47" s="276">
        <f>$D47/$D$281*'91Ф'!$D$31</f>
        <v>13062.706254537356</v>
      </c>
      <c r="EJ47" s="276">
        <f>$D47/$D$281*'20Ф'!$I$1316</f>
        <v>1597.0767618451011</v>
      </c>
      <c r="EK47" s="276">
        <f>$D47/$D$281*('20Ф'!$I$1105+'20Ф'!$I$1282+'91Ф'!$D$17+'91Ф'!$D$41)</f>
        <v>52449.78016244997</v>
      </c>
      <c r="EL47" s="276">
        <f>$D47/$D$281*отчёт!BX$294</f>
        <v>87680.0364971175</v>
      </c>
      <c r="EM47" s="276">
        <f>$D47/$D$281*отчёт!BY$294</f>
        <v>77109.885606724783</v>
      </c>
      <c r="EN47" s="276">
        <f>SUMIF(отчёт!$B:$B,$B:$B,отчёт!BZ:BZ)/отчёт!BZ$281*('60Ф'!$O$151+'60Ф'!$P$151)*отчёт!BZ$293</f>
        <v>0</v>
      </c>
      <c r="EO47" s="240">
        <f t="shared" si="3"/>
        <v>0</v>
      </c>
      <c r="EP47" s="276">
        <f>SUMIF('20Ф'!$H:$H,$B:$B,'20Ф'!T:T)*1.2</f>
        <v>0</v>
      </c>
      <c r="EQ47" s="276">
        <f>SUMIF('20Ф'!$H:$H,$B:$B,'20Ф'!U:U)*1.2</f>
        <v>0</v>
      </c>
      <c r="ER47" s="236"/>
      <c r="ES47" s="239">
        <f t="shared" si="6"/>
        <v>29346.541609949301</v>
      </c>
      <c r="ET47" s="276">
        <f>$D47/$D$282*'20Ф'!$I$381</f>
        <v>2242.9842928399571</v>
      </c>
      <c r="EU47" s="276">
        <f>$D47/$D$282*('20Ф'!$I$75+'20Ф'!$I$1098)*1.2</f>
        <v>25907.464304503326</v>
      </c>
      <c r="EV47" s="276">
        <f>$D47/$D$282*('20Ф'!$I$1286)</f>
        <v>1196.0930126060198</v>
      </c>
      <c r="EW47" s="276">
        <f>SUMIF('91.1Ф'!$N:$N,$B:$B,'91.1Ф'!$F:$F)+$D47/$D$281*('91Ф'!$D$12+'91Ф'!$D$11+'91Ф'!$D$19+'91Ф'!$D$20)</f>
        <v>6912.6246610604012</v>
      </c>
      <c r="EX47" s="276">
        <f t="shared" si="4"/>
        <v>30261.376614614546</v>
      </c>
      <c r="EY47" s="276">
        <f>SUMIF('20Ф'!$H:$H,$B:$B,'20Ф'!$AY:$AY)*1.2</f>
        <v>29213.003999999997</v>
      </c>
      <c r="EZ47" s="295">
        <f>D47/$D$286*'20Ф'!$I$1163</f>
        <v>1048.3726146145475</v>
      </c>
      <c r="FA47" s="277">
        <f>SUMIF(отчёт!$B:$B,$B:$B,отчёт!$CU:$CU)/отчёт!$CU$281*'20Ф'!$I$1341</f>
        <v>0</v>
      </c>
      <c r="FB47" s="276">
        <f>SUMIF(Сальдо!$A:$A,$B:$B,Сальдо!$H:$H)-SUMIF(Сальдо!$A:$A,$B:$B,Сальдо!$I:$I)</f>
        <v>33640.11</v>
      </c>
    </row>
    <row r="48" spans="1:162" ht="12" customHeight="1" x14ac:dyDescent="0.25">
      <c r="A48" s="3">
        <f t="shared" si="7"/>
        <v>44</v>
      </c>
      <c r="B48" s="4" t="s">
        <v>92</v>
      </c>
      <c r="C48" s="4" t="s">
        <v>92</v>
      </c>
      <c r="D48" s="5">
        <v>879.9</v>
      </c>
      <c r="E48" s="6">
        <v>879.9</v>
      </c>
      <c r="F48" s="6">
        <v>0</v>
      </c>
      <c r="G48" s="6">
        <v>88.8</v>
      </c>
      <c r="H48" s="5">
        <f>SUMIF(отчёт!$B:$B,$B:$B,отчёт!I:I)</f>
        <v>0</v>
      </c>
      <c r="I48" s="5">
        <f>SUMIF(отчёт!$B:$B,$B:$B,отчёт!J:J)</f>
        <v>0</v>
      </c>
      <c r="J48" s="105" t="s">
        <v>74</v>
      </c>
      <c r="K48" s="105">
        <v>9</v>
      </c>
      <c r="L48" s="105" t="s">
        <v>75</v>
      </c>
      <c r="M48" s="12">
        <v>20.440000000000001</v>
      </c>
      <c r="N48" s="8">
        <v>3.11</v>
      </c>
      <c r="O48" s="8">
        <v>4.0599999999999996</v>
      </c>
      <c r="P48" s="8">
        <v>7</v>
      </c>
      <c r="Q48" s="8">
        <v>4</v>
      </c>
      <c r="R48" s="8">
        <v>2.0499999999999998</v>
      </c>
      <c r="S48" s="8">
        <v>0</v>
      </c>
      <c r="T48" s="8">
        <v>0</v>
      </c>
      <c r="U48" s="8">
        <v>0.22</v>
      </c>
      <c r="V48" s="9">
        <v>40</v>
      </c>
      <c r="W48" s="9">
        <v>0</v>
      </c>
      <c r="X48" s="9">
        <v>0</v>
      </c>
      <c r="Y48" s="8">
        <v>0</v>
      </c>
      <c r="Z48" s="9">
        <v>42.3</v>
      </c>
      <c r="AA48" s="9">
        <v>2604.04</v>
      </c>
      <c r="AB48" s="8">
        <v>6.92</v>
      </c>
      <c r="AC48" s="10">
        <v>0</v>
      </c>
      <c r="AD48" s="8">
        <v>6.73</v>
      </c>
      <c r="AE48" s="8">
        <v>10.67</v>
      </c>
      <c r="AF48" s="8">
        <v>14</v>
      </c>
      <c r="AG48" s="7">
        <v>107910.93599999999</v>
      </c>
      <c r="AH48" s="8">
        <v>16418.934000000001</v>
      </c>
      <c r="AI48" s="8">
        <v>21434.363999999998</v>
      </c>
      <c r="AJ48" s="8">
        <v>36955.800000000003</v>
      </c>
      <c r="AK48" s="8">
        <v>21117.599999999999</v>
      </c>
      <c r="AL48" s="8">
        <v>10822.769999999999</v>
      </c>
      <c r="AM48" s="8">
        <v>0</v>
      </c>
      <c r="AN48" s="8">
        <v>0</v>
      </c>
      <c r="AO48" s="8">
        <v>1161.4680000000001</v>
      </c>
      <c r="AQ48" s="104">
        <v>26.91</v>
      </c>
      <c r="AR48" s="375">
        <v>7.81</v>
      </c>
      <c r="AS48" s="376"/>
      <c r="AT48" s="104">
        <v>8.4499999999999993</v>
      </c>
      <c r="AU48" s="104">
        <v>1.53</v>
      </c>
      <c r="AV48" s="104">
        <v>0.18</v>
      </c>
      <c r="AW48" s="104">
        <v>0.48</v>
      </c>
      <c r="AX48" s="104">
        <v>4.93</v>
      </c>
      <c r="AY48" s="104">
        <v>2.6</v>
      </c>
      <c r="AZ48" s="104">
        <v>0</v>
      </c>
      <c r="BA48" s="104">
        <v>0</v>
      </c>
      <c r="BB48" s="104">
        <v>0</v>
      </c>
      <c r="BC48" s="101">
        <v>0.93</v>
      </c>
      <c r="BD48" s="104">
        <v>30.48903</v>
      </c>
      <c r="BE48" s="375">
        <v>8.8487299999999998</v>
      </c>
      <c r="BF48" s="376">
        <v>0</v>
      </c>
      <c r="BG48" s="104">
        <v>9.5738499999999984</v>
      </c>
      <c r="BH48" s="104">
        <v>1.73349</v>
      </c>
      <c r="BI48" s="104">
        <v>0.20393999999999998</v>
      </c>
      <c r="BJ48" s="104">
        <v>0.54383999999999999</v>
      </c>
      <c r="BK48" s="104">
        <v>5.5856899999999996</v>
      </c>
      <c r="BL48" s="104">
        <v>2.9458000000000002</v>
      </c>
      <c r="BM48" s="104">
        <v>0</v>
      </c>
      <c r="BN48" s="104">
        <v>0</v>
      </c>
      <c r="BO48" s="104">
        <v>0</v>
      </c>
      <c r="BP48" s="101">
        <v>1.05369</v>
      </c>
      <c r="BQ48" s="103">
        <v>315629.19296999997</v>
      </c>
      <c r="BR48" s="371">
        <v>91604.01327000001</v>
      </c>
      <c r="BS48" s="371">
        <v>0</v>
      </c>
      <c r="BT48" s="103">
        <v>99110.616149999987</v>
      </c>
      <c r="BU48" s="103">
        <v>17945.47251</v>
      </c>
      <c r="BV48" s="103">
        <v>2111.2320599999994</v>
      </c>
      <c r="BW48" s="103">
        <v>5629.9521599999998</v>
      </c>
      <c r="BX48" s="103">
        <v>57824.300309999991</v>
      </c>
      <c r="BY48" s="103">
        <v>30495.574199999999</v>
      </c>
      <c r="BZ48" s="103">
        <v>0</v>
      </c>
      <c r="CA48" s="103">
        <v>0</v>
      </c>
      <c r="CB48" s="103">
        <v>0</v>
      </c>
      <c r="CC48" s="103">
        <v>10908.032309999999</v>
      </c>
      <c r="CD48" s="1">
        <v>1</v>
      </c>
      <c r="CF48" s="277">
        <f>SUMIF(Оборот!$A:$A,$B:$B,Оборот!H:H)</f>
        <v>238314.07</v>
      </c>
      <c r="CG48" s="277">
        <f>SUMIF(Оборот!$A:$A,$B:$B,Оборот!I:I)</f>
        <v>231505.13</v>
      </c>
      <c r="CH48" s="277">
        <f t="shared" si="0"/>
        <v>396773.83531253622</v>
      </c>
      <c r="CI48" s="239">
        <f t="shared" si="5"/>
        <v>7739.0151419949771</v>
      </c>
      <c r="CJ48" s="276">
        <f>SUMIF('20Ф'!$H:$H,$B:$B,'20Ф'!M:M)*1.2</f>
        <v>0</v>
      </c>
      <c r="CK48" s="276">
        <f>SUMIF('20Ф'!$H:$H,$B:$B,'20Ф'!O:O)*1.2</f>
        <v>0</v>
      </c>
      <c r="CL48" s="276">
        <f>SUMIF('20Ф'!$H:$H,$B:$B,'20Ф'!Q:Q)*1.2</f>
        <v>0</v>
      </c>
      <c r="CM48" s="276">
        <f>SUMIF('20Ф'!$H:$H,$B:$B,'20Ф'!R:R)*1.2</f>
        <v>0</v>
      </c>
      <c r="CN48" s="276">
        <f>SUMIF('20Ф'!$H:$H,$B:$B,'20Ф'!S:S)*1.2</f>
        <v>0</v>
      </c>
      <c r="CO48" s="276">
        <f>SUMIF('20Ф'!$H:$H,$B:$B,'20Ф'!W:W)*1.2</f>
        <v>0</v>
      </c>
      <c r="CP48" s="276">
        <f>SUMIF('20Ф'!$H:$H,$B:$B,'20Ф'!P:P)*1.2</f>
        <v>0</v>
      </c>
      <c r="CQ48" s="276">
        <f>SUMIF('20Ф'!$H:$H,$B:$B,'20Ф'!Y:Y)*1.2</f>
        <v>0</v>
      </c>
      <c r="CR48" s="276">
        <f>SUMIF('20Ф'!$H:$H,$B:$B,'20Ф'!Z:Z)*1.2</f>
        <v>0</v>
      </c>
      <c r="CS48" s="276">
        <f>SUMIF('20Ф'!$H:$H,$B:$B,'20Ф'!AB:AB)*1.2</f>
        <v>0</v>
      </c>
      <c r="CT48" s="276">
        <f>SUMIF('20Ф'!$H:$H,$B:$B,'20Ф'!AC:AC)*1.2</f>
        <v>0</v>
      </c>
      <c r="CU48" s="276">
        <f>SUMIF('20Ф'!$H:$H,$B:$B,'20Ф'!AD:AD)*1.2</f>
        <v>0</v>
      </c>
      <c r="CV48" s="276">
        <f>SUMIF('20Ф'!$H:$H,$B:$B,'20Ф'!AE:AE)*1.2</f>
        <v>0</v>
      </c>
      <c r="CW48" s="276">
        <f>SUMIF('20Ф'!$H:$H,$B:$B,'20Ф'!AF:AF)*1.2</f>
        <v>0</v>
      </c>
      <c r="CX48" s="276">
        <f>SUMIF('20Ф'!$H:$H,$B:$B,'20Ф'!AG:AG)*1.2</f>
        <v>0</v>
      </c>
      <c r="CY48" s="276">
        <f>SUMIF('20Ф'!$H:$H,$B:$B,'20Ф'!AH:AH)*1.2</f>
        <v>0</v>
      </c>
      <c r="CZ48" s="276">
        <f>SUMIF('20Ф'!$H:$H,$B:$B,'20Ф'!AI:AI)*1.2</f>
        <v>0</v>
      </c>
      <c r="DA48" s="276">
        <f>SUMIF('20Ф'!$H:$H,$B:$B,'20Ф'!AJ:AJ)*1.2</f>
        <v>0</v>
      </c>
      <c r="DB48" s="276">
        <f>SUMIF('20Ф'!$H:$H,$B:$B,'20Ф'!AK:AK)*1.2</f>
        <v>0</v>
      </c>
      <c r="DC48" s="276">
        <f>SUMIF('20Ф'!$H:$H,$B:$B,'20Ф'!AL:AL)*1.2</f>
        <v>0</v>
      </c>
      <c r="DD48" s="276">
        <f>SUMIF('20Ф'!$H:$H,$B:$B,'20Ф'!AM:AM)*1.2</f>
        <v>0</v>
      </c>
      <c r="DE48" s="276">
        <f>SUMIF('20Ф'!$H:$H,$B:$B,'20Ф'!AN:AN)*1.2</f>
        <v>0</v>
      </c>
      <c r="DF48" s="276">
        <f>SUMIF('20Ф'!$H:$H,$B:$B,'20Ф'!AO:AO)*1.2</f>
        <v>0</v>
      </c>
      <c r="DG48" s="276">
        <f>SUMIF('20Ф'!$H:$H,$B:$B,'20Ф'!AP:AP)*1.2</f>
        <v>0</v>
      </c>
      <c r="DH48" s="276">
        <f>SUMIF('20Ф'!$H:$H,$B:$B,'20Ф'!AQ:AQ)*1.2</f>
        <v>0</v>
      </c>
      <c r="DI48" s="276">
        <f>SUMIF('20Ф'!$H:$H,$B:$B,'20Ф'!BA:BA)*1.2</f>
        <v>0</v>
      </c>
      <c r="DJ48" s="276">
        <f>SUMIF('20Ф'!$H:$H,$B:$B,'20Ф'!BB:BB)*1.2</f>
        <v>0</v>
      </c>
      <c r="DK48" s="276">
        <f>SUMIF('20Ф'!$H:$H,$B:$B,'20Ф'!BC:BC)*1.2</f>
        <v>0</v>
      </c>
      <c r="DL48" s="276">
        <f>$D48/$D$281*'20Ф'!$H$218</f>
        <v>7739.0151419949771</v>
      </c>
      <c r="DM48" s="240">
        <f t="shared" si="1"/>
        <v>184339.02513479278</v>
      </c>
      <c r="DN48" s="276">
        <f>SUMIF('20Ф'!$H:$H,$B:$B,'20Ф'!AV:AV)*1.2</f>
        <v>0</v>
      </c>
      <c r="DO48" s="276">
        <f>SUMIF('20Ф'!$H:$H,$B:$B,'20Ф'!AW:AW)*1.2+$D48/$D$281*'26Ф'!$D$42</f>
        <v>4118.3032552029508</v>
      </c>
      <c r="DP48" s="276">
        <f>SUMIF('20Ф'!$H:$H,$B:$B,'20Ф'!AX:AX)*1.2</f>
        <v>0</v>
      </c>
      <c r="DQ48" s="276">
        <f>SUMIF('20Ф'!$H:$H,$B:$B,'20Ф'!AY:AY)*1.2</f>
        <v>10380</v>
      </c>
      <c r="DR48" s="276">
        <f>SUMIF('20Ф'!$H:$H,$B:$B,'20Ф'!AU:AU)*1.2</f>
        <v>0</v>
      </c>
      <c r="DS48" s="276">
        <f>SUMIF('20Ф'!$H:$H,$B:$B,'20Ф'!AS:AS)*1.2</f>
        <v>0</v>
      </c>
      <c r="DT48" s="276">
        <f>SUMIF('20Ф'!$H:$H,$B:$B,'20Ф'!AR:AR)*1.2</f>
        <v>15193.284</v>
      </c>
      <c r="DU48" s="276">
        <f>SUMIF('20Ф'!$H:$H,$B:$B,'20Ф'!X:X)*1.2</f>
        <v>82001.232000000004</v>
      </c>
      <c r="DV48" s="276">
        <f>SUMIF('20Ф'!$H:$H,$B:$B,'20Ф'!AA:AA)*1.2</f>
        <v>0</v>
      </c>
      <c r="DW48" s="276">
        <f>SUMIF('20Ф'!$H:$H,$B:$B,'20Ф'!N:N)*1.2</f>
        <v>0</v>
      </c>
      <c r="DX48" s="276">
        <f>$D48/$D$281*('25Ф'!$D$37)</f>
        <v>69223.525626083676</v>
      </c>
      <c r="DY48" s="276">
        <f>$D48/$D$281*'25Ф'!$D$30</f>
        <v>2209.3976329442485</v>
      </c>
      <c r="DZ48" s="276">
        <f>$D48/$D$281*'25Ф'!$D$31</f>
        <v>1213.2826205619288</v>
      </c>
      <c r="EA48" s="276"/>
      <c r="EB48" s="276">
        <f t="shared" si="2"/>
        <v>43611.907611733361</v>
      </c>
      <c r="EC48" s="276">
        <f>$D48/$D$281*'26Ф'!$D$36</f>
        <v>22701.40242298365</v>
      </c>
      <c r="ED48" s="276">
        <f>$D48/$D$281*'26Ф'!$D$37</f>
        <v>2727.5492555510396</v>
      </c>
      <c r="EE48" s="276">
        <f>$D48/$D$281*'26Ф'!$D$38</f>
        <v>2755.522957112546</v>
      </c>
      <c r="EF48" s="276">
        <f>$D48/$D$281*'26Ф'!$D$39</f>
        <v>1932.9968395137032</v>
      </c>
      <c r="EG48" s="276">
        <f>$D48/$D$281*'91Ф'!$D$10</f>
        <v>596.32872106736954</v>
      </c>
      <c r="EH48" s="276">
        <f>$D48/$D$281*('20Ф'!$I$509+'26Ф'!$D$41+'20Ф'!$I$507)</f>
        <v>4218.8293397986017</v>
      </c>
      <c r="EI48" s="276">
        <f>$D48/$D$281*'91Ф'!$D$31</f>
        <v>7733.7338402418372</v>
      </c>
      <c r="EJ48" s="276">
        <f>$D48/$D$281*'20Ф'!$I$1316</f>
        <v>945.54423546461078</v>
      </c>
      <c r="EK48" s="276">
        <f>$D48/$D$281*('20Ф'!$I$1105+'20Ф'!$I$1282+'91Ф'!$D$17+'91Ф'!$D$41)</f>
        <v>31052.726123630553</v>
      </c>
      <c r="EL48" s="276">
        <f>$D48/$D$281*отчёт!BX$294</f>
        <v>51910.687736383858</v>
      </c>
      <c r="EM48" s="276">
        <f>$D48/$D$281*отчёт!BY$294</f>
        <v>45652.663400186473</v>
      </c>
      <c r="EN48" s="276">
        <f>SUMIF(отчёт!$B:$B,$B:$B,отчёт!BZ:BZ)/отчёт!BZ$281*('60Ф'!$O$151+'60Ф'!$P$151)*отчёт!BZ$293</f>
        <v>0</v>
      </c>
      <c r="EO48" s="240">
        <f t="shared" si="3"/>
        <v>0</v>
      </c>
      <c r="EP48" s="276">
        <f>SUMIF('20Ф'!$H:$H,$B:$B,'20Ф'!T:T)*1.2</f>
        <v>0</v>
      </c>
      <c r="EQ48" s="276">
        <f>SUMIF('20Ф'!$H:$H,$B:$B,'20Ф'!U:U)*1.2</f>
        <v>0</v>
      </c>
      <c r="ER48" s="236"/>
      <c r="ES48" s="239">
        <f t="shared" si="6"/>
        <v>17374.526956395097</v>
      </c>
      <c r="ET48" s="276">
        <f>$D48/$D$282*'20Ф'!$I$381</f>
        <v>1327.9517422082347</v>
      </c>
      <c r="EU48" s="276">
        <f>$D48/$D$282*('20Ф'!$I$75+'20Ф'!$I$1098)*1.2</f>
        <v>15338.432136679097</v>
      </c>
      <c r="EV48" s="276">
        <f>$D48/$D$282*('20Ф'!$I$1286)</f>
        <v>708.14307750776254</v>
      </c>
      <c r="EW48" s="276">
        <f>SUMIF('91.1Ф'!$N:$N,$B:$B,'91.1Ф'!$F:$F)+$D48/$D$281*('91Ф'!$D$12+'91Ф'!$D$11+'91Ф'!$D$19+'91Ф'!$D$20)</f>
        <v>4092.5975233932495</v>
      </c>
      <c r="EX48" s="276">
        <f t="shared" si="4"/>
        <v>11000.685684025932</v>
      </c>
      <c r="EY48" s="276">
        <f>SUMIF('20Ф'!$H:$H,$B:$B,'20Ф'!$AY:$AY)*1.2</f>
        <v>10380</v>
      </c>
      <c r="EZ48" s="295">
        <f>D48/$D$286*'20Ф'!$I$1163</f>
        <v>620.68568402593212</v>
      </c>
      <c r="FA48" s="277">
        <f>SUMIF(отчёт!$B:$B,$B:$B,отчёт!$CU:$CU)/отчёт!$CU$281*'20Ф'!$I$1341</f>
        <v>0</v>
      </c>
      <c r="FB48" s="276">
        <f>SUMIF(Сальдо!$A:$A,$B:$B,Сальдо!$H:$H)-SUMIF(Сальдо!$A:$A,$B:$B,Сальдо!$I:$I)</f>
        <v>22470.080000000002</v>
      </c>
    </row>
    <row r="49" spans="1:158" ht="12" customHeight="1" x14ac:dyDescent="0.25">
      <c r="A49" s="3">
        <f t="shared" si="7"/>
        <v>45</v>
      </c>
      <c r="B49" s="4" t="s">
        <v>93</v>
      </c>
      <c r="C49" s="4" t="s">
        <v>93</v>
      </c>
      <c r="D49" s="5">
        <v>886.63</v>
      </c>
      <c r="E49" s="6">
        <v>886.63</v>
      </c>
      <c r="F49" s="6">
        <v>0</v>
      </c>
      <c r="G49" s="6">
        <v>89.5</v>
      </c>
      <c r="H49" s="5">
        <f>SUMIF(отчёт!$B:$B,$B:$B,отчёт!I:I)</f>
        <v>0</v>
      </c>
      <c r="I49" s="5">
        <f>SUMIF(отчёт!$B:$B,$B:$B,отчёт!J:J)</f>
        <v>0</v>
      </c>
      <c r="J49" s="105" t="s">
        <v>74</v>
      </c>
      <c r="K49" s="105">
        <v>9</v>
      </c>
      <c r="L49" s="105" t="s">
        <v>75</v>
      </c>
      <c r="M49" s="12">
        <v>20.440000000000001</v>
      </c>
      <c r="N49" s="8">
        <v>3.11</v>
      </c>
      <c r="O49" s="8">
        <v>4.0599999999999996</v>
      </c>
      <c r="P49" s="8">
        <v>7</v>
      </c>
      <c r="Q49" s="8">
        <v>4</v>
      </c>
      <c r="R49" s="8">
        <v>2.0499999999999998</v>
      </c>
      <c r="S49" s="8">
        <v>0</v>
      </c>
      <c r="T49" s="8">
        <v>0</v>
      </c>
      <c r="U49" s="8">
        <v>0.22</v>
      </c>
      <c r="V49" s="9">
        <v>40</v>
      </c>
      <c r="W49" s="9">
        <v>0</v>
      </c>
      <c r="X49" s="9">
        <v>0</v>
      </c>
      <c r="Y49" s="8">
        <v>0</v>
      </c>
      <c r="Z49" s="9">
        <v>42.3</v>
      </c>
      <c r="AA49" s="9">
        <v>2604.04</v>
      </c>
      <c r="AB49" s="8">
        <v>6.92</v>
      </c>
      <c r="AC49" s="10">
        <v>0</v>
      </c>
      <c r="AD49" s="8">
        <v>6.73</v>
      </c>
      <c r="AE49" s="8">
        <v>10.67</v>
      </c>
      <c r="AF49" s="8">
        <v>14</v>
      </c>
      <c r="AG49" s="7">
        <v>108736.30320000002</v>
      </c>
      <c r="AH49" s="8">
        <v>16544.515800000001</v>
      </c>
      <c r="AI49" s="8">
        <v>21598.306799999998</v>
      </c>
      <c r="AJ49" s="8">
        <v>37238.46</v>
      </c>
      <c r="AK49" s="8">
        <v>21279.119999999999</v>
      </c>
      <c r="AL49" s="8">
        <v>10905.548999999999</v>
      </c>
      <c r="AM49" s="8">
        <v>0</v>
      </c>
      <c r="AN49" s="8">
        <v>0</v>
      </c>
      <c r="AO49" s="8">
        <v>1170.3516</v>
      </c>
      <c r="AQ49" s="104">
        <v>26.91</v>
      </c>
      <c r="AR49" s="375">
        <v>7.81</v>
      </c>
      <c r="AS49" s="376"/>
      <c r="AT49" s="104">
        <v>8.4499999999999993</v>
      </c>
      <c r="AU49" s="104">
        <v>1.53</v>
      </c>
      <c r="AV49" s="104">
        <v>0.18</v>
      </c>
      <c r="AW49" s="104">
        <v>0.48</v>
      </c>
      <c r="AX49" s="104">
        <v>4.93</v>
      </c>
      <c r="AY49" s="104">
        <v>2.6</v>
      </c>
      <c r="AZ49" s="104">
        <v>0</v>
      </c>
      <c r="BA49" s="104">
        <v>0</v>
      </c>
      <c r="BB49" s="104">
        <v>0</v>
      </c>
      <c r="BC49" s="101">
        <v>0.93</v>
      </c>
      <c r="BD49" s="104">
        <v>30.48903</v>
      </c>
      <c r="BE49" s="375">
        <v>8.8487299999999998</v>
      </c>
      <c r="BF49" s="376">
        <v>0</v>
      </c>
      <c r="BG49" s="104">
        <v>9.5738499999999984</v>
      </c>
      <c r="BH49" s="104">
        <v>1.73349</v>
      </c>
      <c r="BI49" s="104">
        <v>0.20393999999999998</v>
      </c>
      <c r="BJ49" s="104">
        <v>0.54383999999999999</v>
      </c>
      <c r="BK49" s="104">
        <v>5.5856899999999996</v>
      </c>
      <c r="BL49" s="104">
        <v>2.9458000000000002</v>
      </c>
      <c r="BM49" s="104">
        <v>0</v>
      </c>
      <c r="BN49" s="104">
        <v>0</v>
      </c>
      <c r="BO49" s="104">
        <v>0</v>
      </c>
      <c r="BP49" s="101">
        <v>1.05369</v>
      </c>
      <c r="BQ49" s="103">
        <v>318043.31328900007</v>
      </c>
      <c r="BR49" s="371">
        <v>92304.65539900001</v>
      </c>
      <c r="BS49" s="371">
        <v>0</v>
      </c>
      <c r="BT49" s="103">
        <v>99868.673254999987</v>
      </c>
      <c r="BU49" s="103">
        <v>18082.730187000001</v>
      </c>
      <c r="BV49" s="103">
        <v>2127.3800219999994</v>
      </c>
      <c r="BW49" s="103">
        <v>5673.0133919999998</v>
      </c>
      <c r="BX49" s="103">
        <v>58266.575046999998</v>
      </c>
      <c r="BY49" s="103">
        <v>30728.822540000001</v>
      </c>
      <c r="BZ49" s="103">
        <v>0</v>
      </c>
      <c r="CA49" s="103">
        <v>0</v>
      </c>
      <c r="CB49" s="103">
        <v>0</v>
      </c>
      <c r="CC49" s="103">
        <v>10991.463446999998</v>
      </c>
      <c r="CD49" s="1">
        <v>1</v>
      </c>
      <c r="CF49" s="277">
        <f>SUMIF(Оборот!$A:$A,$B:$B,Оборот!H:H)</f>
        <v>240418.72000000003</v>
      </c>
      <c r="CG49" s="277">
        <f>SUMIF(Оборот!$A:$A,$B:$B,Оборот!I:I)</f>
        <v>221586.47999999998</v>
      </c>
      <c r="CH49" s="277">
        <f t="shared" si="0"/>
        <v>448344.62376323901</v>
      </c>
      <c r="CI49" s="239">
        <f t="shared" si="5"/>
        <v>7798.2077455926892</v>
      </c>
      <c r="CJ49" s="276">
        <f>SUMIF('20Ф'!$H:$H,$B:$B,'20Ф'!M:M)*1.2</f>
        <v>0</v>
      </c>
      <c r="CK49" s="276">
        <f>SUMIF('20Ф'!$H:$H,$B:$B,'20Ф'!O:O)*1.2</f>
        <v>0</v>
      </c>
      <c r="CL49" s="276">
        <f>SUMIF('20Ф'!$H:$H,$B:$B,'20Ф'!Q:Q)*1.2</f>
        <v>0</v>
      </c>
      <c r="CM49" s="276">
        <f>SUMIF('20Ф'!$H:$H,$B:$B,'20Ф'!R:R)*1.2</f>
        <v>0</v>
      </c>
      <c r="CN49" s="276">
        <f>SUMIF('20Ф'!$H:$H,$B:$B,'20Ф'!S:S)*1.2</f>
        <v>0</v>
      </c>
      <c r="CO49" s="276">
        <f>SUMIF('20Ф'!$H:$H,$B:$B,'20Ф'!W:W)*1.2</f>
        <v>0</v>
      </c>
      <c r="CP49" s="276">
        <f>SUMIF('20Ф'!$H:$H,$B:$B,'20Ф'!P:P)*1.2</f>
        <v>0</v>
      </c>
      <c r="CQ49" s="276">
        <f>SUMIF('20Ф'!$H:$H,$B:$B,'20Ф'!Y:Y)*1.2</f>
        <v>0</v>
      </c>
      <c r="CR49" s="276">
        <f>SUMIF('20Ф'!$H:$H,$B:$B,'20Ф'!Z:Z)*1.2</f>
        <v>0</v>
      </c>
      <c r="CS49" s="276">
        <f>SUMIF('20Ф'!$H:$H,$B:$B,'20Ф'!AB:AB)*1.2</f>
        <v>0</v>
      </c>
      <c r="CT49" s="276">
        <f>SUMIF('20Ф'!$H:$H,$B:$B,'20Ф'!AC:AC)*1.2</f>
        <v>0</v>
      </c>
      <c r="CU49" s="276">
        <f>SUMIF('20Ф'!$H:$H,$B:$B,'20Ф'!AD:AD)*1.2</f>
        <v>0</v>
      </c>
      <c r="CV49" s="276">
        <f>SUMIF('20Ф'!$H:$H,$B:$B,'20Ф'!AE:AE)*1.2</f>
        <v>0</v>
      </c>
      <c r="CW49" s="276">
        <f>SUMIF('20Ф'!$H:$H,$B:$B,'20Ф'!AF:AF)*1.2</f>
        <v>0</v>
      </c>
      <c r="CX49" s="276">
        <f>SUMIF('20Ф'!$H:$H,$B:$B,'20Ф'!AG:AG)*1.2</f>
        <v>0</v>
      </c>
      <c r="CY49" s="276">
        <f>SUMIF('20Ф'!$H:$H,$B:$B,'20Ф'!AH:AH)*1.2</f>
        <v>0</v>
      </c>
      <c r="CZ49" s="276">
        <f>SUMIF('20Ф'!$H:$H,$B:$B,'20Ф'!AI:AI)*1.2</f>
        <v>0</v>
      </c>
      <c r="DA49" s="276">
        <f>SUMIF('20Ф'!$H:$H,$B:$B,'20Ф'!AJ:AJ)*1.2</f>
        <v>0</v>
      </c>
      <c r="DB49" s="276">
        <f>SUMIF('20Ф'!$H:$H,$B:$B,'20Ф'!AK:AK)*1.2</f>
        <v>0</v>
      </c>
      <c r="DC49" s="276">
        <f>SUMIF('20Ф'!$H:$H,$B:$B,'20Ф'!AL:AL)*1.2</f>
        <v>0</v>
      </c>
      <c r="DD49" s="276">
        <f>SUMIF('20Ф'!$H:$H,$B:$B,'20Ф'!AM:AM)*1.2</f>
        <v>0</v>
      </c>
      <c r="DE49" s="276">
        <f>SUMIF('20Ф'!$H:$H,$B:$B,'20Ф'!AN:AN)*1.2</f>
        <v>0</v>
      </c>
      <c r="DF49" s="276">
        <f>SUMIF('20Ф'!$H:$H,$B:$B,'20Ф'!AO:AO)*1.2</f>
        <v>0</v>
      </c>
      <c r="DG49" s="276">
        <f>SUMIF('20Ф'!$H:$H,$B:$B,'20Ф'!AP:AP)*1.2</f>
        <v>0</v>
      </c>
      <c r="DH49" s="276">
        <f>SUMIF('20Ф'!$H:$H,$B:$B,'20Ф'!AQ:AQ)*1.2</f>
        <v>0</v>
      </c>
      <c r="DI49" s="276">
        <f>SUMIF('20Ф'!$H:$H,$B:$B,'20Ф'!BA:BA)*1.2</f>
        <v>0</v>
      </c>
      <c r="DJ49" s="276">
        <f>SUMIF('20Ф'!$H:$H,$B:$B,'20Ф'!BB:BB)*1.2</f>
        <v>0</v>
      </c>
      <c r="DK49" s="276">
        <f>SUMIF('20Ф'!$H:$H,$B:$B,'20Ф'!BC:BC)*1.2</f>
        <v>0</v>
      </c>
      <c r="DL49" s="276">
        <f>$D49/$D$281*'20Ф'!$H$218</f>
        <v>7798.2077455926892</v>
      </c>
      <c r="DM49" s="240">
        <f t="shared" si="1"/>
        <v>233435.3738854203</v>
      </c>
      <c r="DN49" s="276">
        <f>SUMIF('20Ф'!$H:$H,$B:$B,'20Ф'!AV:AV)*1.2</f>
        <v>0</v>
      </c>
      <c r="DO49" s="276">
        <f>SUMIF('20Ф'!$H:$H,$B:$B,'20Ф'!AW:AW)*1.2+$D49/$D$281*'26Ф'!$D$42</f>
        <v>4149.8024947841714</v>
      </c>
      <c r="DP49" s="276">
        <f>SUMIF('20Ф'!$H:$H,$B:$B,'20Ф'!AX:AX)*1.2</f>
        <v>0</v>
      </c>
      <c r="DQ49" s="276">
        <f>SUMIF('20Ф'!$H:$H,$B:$B,'20Ф'!AY:AY)*1.2</f>
        <v>11309.003999999999</v>
      </c>
      <c r="DR49" s="276">
        <f>SUMIF('20Ф'!$H:$H,$B:$B,'20Ф'!AU:AU)*1.2</f>
        <v>0</v>
      </c>
      <c r="DS49" s="276">
        <f>SUMIF('20Ф'!$H:$H,$B:$B,'20Ф'!AS:AS)*1.2</f>
        <v>0</v>
      </c>
      <c r="DT49" s="276">
        <f>SUMIF('20Ф'!$H:$H,$B:$B,'20Ф'!AR:AR)*1.2</f>
        <v>25483.151999999998</v>
      </c>
      <c r="DU49" s="276">
        <f>SUMIF('20Ф'!$H:$H,$B:$B,'20Ф'!X:X)*1.2</f>
        <v>119291.568</v>
      </c>
      <c r="DV49" s="276">
        <f>SUMIF('20Ф'!$H:$H,$B:$B,'20Ф'!AA:AA)*1.2</f>
        <v>0</v>
      </c>
      <c r="DW49" s="276">
        <f>SUMIF('20Ф'!$H:$H,$B:$B,'20Ф'!N:N)*1.2</f>
        <v>0</v>
      </c>
      <c r="DX49" s="276">
        <f>$D49/$D$281*('25Ф'!$D$37)</f>
        <v>69752.988437157139</v>
      </c>
      <c r="DY49" s="276">
        <f>$D49/$D$281*'25Ф'!$D$30</f>
        <v>2226.2964237951578</v>
      </c>
      <c r="DZ49" s="276">
        <f>$D49/$D$281*'25Ф'!$D$31</f>
        <v>1222.5625296838537</v>
      </c>
      <c r="EA49" s="276"/>
      <c r="EB49" s="276">
        <f t="shared" si="2"/>
        <v>43945.477492659564</v>
      </c>
      <c r="EC49" s="276">
        <f>$D49/$D$281*'26Ф'!$D$36</f>
        <v>22875.036288544146</v>
      </c>
      <c r="ED49" s="276">
        <f>$D49/$D$281*'26Ф'!$D$37</f>
        <v>2748.4111790535499</v>
      </c>
      <c r="EE49" s="276">
        <f>$D49/$D$281*'26Ф'!$D$38</f>
        <v>2776.5988401689929</v>
      </c>
      <c r="EF49" s="276">
        <f>$D49/$D$281*'26Ф'!$D$39</f>
        <v>1947.7815522423398</v>
      </c>
      <c r="EG49" s="276">
        <f>$D49/$D$281*'91Ф'!$D$10</f>
        <v>600.88979879527426</v>
      </c>
      <c r="EH49" s="276">
        <f>$D49/$D$281*('20Ф'!$I$509+'26Ф'!$D$41+'20Ф'!$I$507)</f>
        <v>4251.0974628317254</v>
      </c>
      <c r="EI49" s="276">
        <f>$D49/$D$281*'91Ф'!$D$31</f>
        <v>7792.8860492938074</v>
      </c>
      <c r="EJ49" s="276">
        <f>$D49/$D$281*'20Ф'!$I$1316</f>
        <v>952.77632172972824</v>
      </c>
      <c r="EK49" s="276">
        <f>$D49/$D$281*('20Ф'!$I$1105+'20Ф'!$I$1282+'91Ф'!$D$17+'91Ф'!$D$41)</f>
        <v>31290.235893845391</v>
      </c>
      <c r="EL49" s="276">
        <f>$D49/$D$281*отчёт!BX$294</f>
        <v>52307.731637356548</v>
      </c>
      <c r="EM49" s="276">
        <f>$D49/$D$281*отчёт!BY$294</f>
        <v>46001.842198553626</v>
      </c>
      <c r="EN49" s="276">
        <f>SUMIF(отчёт!$B:$B,$B:$B,отчёт!BZ:BZ)/отчёт!BZ$281*('60Ф'!$O$151+'60Ф'!$P$151)*отчёт!BZ$293</f>
        <v>0</v>
      </c>
      <c r="EO49" s="240">
        <f t="shared" si="3"/>
        <v>0</v>
      </c>
      <c r="EP49" s="276">
        <f>SUMIF('20Ф'!$H:$H,$B:$B,'20Ф'!T:T)*1.2</f>
        <v>0</v>
      </c>
      <c r="EQ49" s="276">
        <f>SUMIF('20Ф'!$H:$H,$B:$B,'20Ф'!U:U)*1.2</f>
        <v>0</v>
      </c>
      <c r="ER49" s="236"/>
      <c r="ES49" s="239">
        <f t="shared" si="6"/>
        <v>17507.417701271261</v>
      </c>
      <c r="ET49" s="276">
        <f>$D49/$D$282*'20Ф'!$I$381</f>
        <v>1338.1087091647769</v>
      </c>
      <c r="EU49" s="276">
        <f>$D49/$D$282*('20Ф'!$I$75+'20Ф'!$I$1098)*1.2</f>
        <v>15455.749613983167</v>
      </c>
      <c r="EV49" s="276">
        <f>$D49/$D$282*('20Ф'!$I$1286)</f>
        <v>713.55937812331808</v>
      </c>
      <c r="EW49" s="276">
        <f>SUMIF('91.1Ф'!$N:$N,$B:$B,'91.1Ф'!$F:$F)+$D49/$D$281*('91Ф'!$D$12+'91Ф'!$D$11+'91Ф'!$D$19+'91Ф'!$D$20)</f>
        <v>4123.9001502058836</v>
      </c>
      <c r="EX49" s="276">
        <f t="shared" si="4"/>
        <v>11934.4370583338</v>
      </c>
      <c r="EY49" s="276">
        <f>SUMIF('20Ф'!$H:$H,$B:$B,'20Ф'!$AY:$AY)*1.2</f>
        <v>11309.003999999999</v>
      </c>
      <c r="EZ49" s="295">
        <f>D49/$D$286*'20Ф'!$I$1163</f>
        <v>625.4330583338018</v>
      </c>
      <c r="FA49" s="277">
        <f>SUMIF(отчёт!$B:$B,$B:$B,отчёт!$CU:$CU)/отчёт!$CU$281*'20Ф'!$I$1341</f>
        <v>0</v>
      </c>
      <c r="FB49" s="276">
        <f>SUMIF(Сальдо!$A:$A,$B:$B,Сальдо!$H:$H)-SUMIF(Сальдо!$A:$A,$B:$B,Сальдо!$I:$I)</f>
        <v>65197.38</v>
      </c>
    </row>
    <row r="50" spans="1:158" ht="12" customHeight="1" x14ac:dyDescent="0.25">
      <c r="A50" s="3">
        <f t="shared" si="7"/>
        <v>46</v>
      </c>
      <c r="B50" s="4" t="s">
        <v>94</v>
      </c>
      <c r="C50" s="4" t="s">
        <v>94</v>
      </c>
      <c r="D50" s="5">
        <v>885.3</v>
      </c>
      <c r="E50" s="6">
        <v>885.3</v>
      </c>
      <c r="F50" s="6">
        <v>0</v>
      </c>
      <c r="G50" s="6">
        <v>88.8</v>
      </c>
      <c r="H50" s="5">
        <f>SUMIF(отчёт!$B:$B,$B:$B,отчёт!I:I)</f>
        <v>0</v>
      </c>
      <c r="I50" s="5">
        <f>SUMIF(отчёт!$B:$B,$B:$B,отчёт!J:J)</f>
        <v>0</v>
      </c>
      <c r="J50" s="105" t="s">
        <v>74</v>
      </c>
      <c r="K50" s="105">
        <v>9</v>
      </c>
      <c r="L50" s="105" t="s">
        <v>75</v>
      </c>
      <c r="M50" s="12">
        <v>20.440000000000001</v>
      </c>
      <c r="N50" s="8">
        <v>3.11</v>
      </c>
      <c r="O50" s="8">
        <v>4.0599999999999996</v>
      </c>
      <c r="P50" s="8">
        <v>7</v>
      </c>
      <c r="Q50" s="8">
        <v>4</v>
      </c>
      <c r="R50" s="8">
        <v>2.0499999999999998</v>
      </c>
      <c r="S50" s="8">
        <v>0</v>
      </c>
      <c r="T50" s="8">
        <v>0</v>
      </c>
      <c r="U50" s="8">
        <v>0.22</v>
      </c>
      <c r="V50" s="9">
        <v>40</v>
      </c>
      <c r="W50" s="9">
        <v>0</v>
      </c>
      <c r="X50" s="9">
        <v>0</v>
      </c>
      <c r="Y50" s="8">
        <v>0</v>
      </c>
      <c r="Z50" s="9">
        <v>42.3</v>
      </c>
      <c r="AA50" s="9">
        <v>2604.04</v>
      </c>
      <c r="AB50" s="8">
        <v>6.92</v>
      </c>
      <c r="AC50" s="10">
        <v>0</v>
      </c>
      <c r="AD50" s="8">
        <v>6.73</v>
      </c>
      <c r="AE50" s="8">
        <v>10.67</v>
      </c>
      <c r="AF50" s="8">
        <v>14</v>
      </c>
      <c r="AG50" s="7">
        <v>108573.192</v>
      </c>
      <c r="AH50" s="8">
        <v>16519.698</v>
      </c>
      <c r="AI50" s="8">
        <v>21565.907999999996</v>
      </c>
      <c r="AJ50" s="8">
        <v>37182.6</v>
      </c>
      <c r="AK50" s="8">
        <v>21247.199999999997</v>
      </c>
      <c r="AL50" s="8">
        <v>10889.189999999999</v>
      </c>
      <c r="AM50" s="8">
        <v>0</v>
      </c>
      <c r="AN50" s="8">
        <v>0</v>
      </c>
      <c r="AO50" s="8">
        <v>1168.596</v>
      </c>
      <c r="AQ50" s="104">
        <v>26.91</v>
      </c>
      <c r="AR50" s="375">
        <v>7.81</v>
      </c>
      <c r="AS50" s="376"/>
      <c r="AT50" s="104">
        <v>8.4499999999999993</v>
      </c>
      <c r="AU50" s="104">
        <v>1.53</v>
      </c>
      <c r="AV50" s="104">
        <v>0.18</v>
      </c>
      <c r="AW50" s="104">
        <v>0.48</v>
      </c>
      <c r="AX50" s="104">
        <v>4.93</v>
      </c>
      <c r="AY50" s="104">
        <v>2.6</v>
      </c>
      <c r="AZ50" s="104">
        <v>0</v>
      </c>
      <c r="BA50" s="104">
        <v>0</v>
      </c>
      <c r="BB50" s="104">
        <v>0</v>
      </c>
      <c r="BC50" s="101">
        <v>0.93</v>
      </c>
      <c r="BD50" s="104">
        <v>30.48903</v>
      </c>
      <c r="BE50" s="375">
        <v>8.8487299999999998</v>
      </c>
      <c r="BF50" s="376">
        <v>0</v>
      </c>
      <c r="BG50" s="104">
        <v>9.5738499999999984</v>
      </c>
      <c r="BH50" s="104">
        <v>1.73349</v>
      </c>
      <c r="BI50" s="104">
        <v>0.20393999999999998</v>
      </c>
      <c r="BJ50" s="104">
        <v>0.54383999999999999</v>
      </c>
      <c r="BK50" s="104">
        <v>5.5856899999999996</v>
      </c>
      <c r="BL50" s="104">
        <v>2.9458000000000002</v>
      </c>
      <c r="BM50" s="104">
        <v>0</v>
      </c>
      <c r="BN50" s="104">
        <v>0</v>
      </c>
      <c r="BO50" s="104">
        <v>0</v>
      </c>
      <c r="BP50" s="101">
        <v>1.05369</v>
      </c>
      <c r="BQ50" s="103">
        <v>317566.22858999996</v>
      </c>
      <c r="BR50" s="371">
        <v>92166.192689999996</v>
      </c>
      <c r="BS50" s="371">
        <v>0</v>
      </c>
      <c r="BT50" s="103">
        <v>99718.864049999989</v>
      </c>
      <c r="BU50" s="103">
        <v>18055.60497</v>
      </c>
      <c r="BV50" s="103">
        <v>2124.1888199999994</v>
      </c>
      <c r="BW50" s="103">
        <v>5664.5035199999993</v>
      </c>
      <c r="BX50" s="103">
        <v>58179.171569999991</v>
      </c>
      <c r="BY50" s="103">
        <v>30682.7274</v>
      </c>
      <c r="BZ50" s="103">
        <v>0</v>
      </c>
      <c r="CA50" s="103">
        <v>0</v>
      </c>
      <c r="CB50" s="103">
        <v>0</v>
      </c>
      <c r="CC50" s="103">
        <v>10974.975569999999</v>
      </c>
      <c r="CD50" s="1">
        <v>1</v>
      </c>
      <c r="CF50" s="277">
        <f>SUMIF(Оборот!$A:$A,$B:$B,Оборот!H:H)</f>
        <v>239786.92</v>
      </c>
      <c r="CG50" s="277">
        <f>SUMIF(Оборот!$A:$A,$B:$B,Оборот!I:I)</f>
        <v>252627.64</v>
      </c>
      <c r="CH50" s="277">
        <f t="shared" si="0"/>
        <v>375671.51449140627</v>
      </c>
      <c r="CI50" s="239">
        <f t="shared" si="5"/>
        <v>7786.5099502308822</v>
      </c>
      <c r="CJ50" s="276">
        <f>SUMIF('20Ф'!$H:$H,$B:$B,'20Ф'!M:M)*1.2</f>
        <v>0</v>
      </c>
      <c r="CK50" s="276">
        <f>SUMIF('20Ф'!$H:$H,$B:$B,'20Ф'!O:O)*1.2</f>
        <v>0</v>
      </c>
      <c r="CL50" s="276">
        <f>SUMIF('20Ф'!$H:$H,$B:$B,'20Ф'!Q:Q)*1.2</f>
        <v>0</v>
      </c>
      <c r="CM50" s="276">
        <f>SUMIF('20Ф'!$H:$H,$B:$B,'20Ф'!R:R)*1.2</f>
        <v>0</v>
      </c>
      <c r="CN50" s="276">
        <f>SUMIF('20Ф'!$H:$H,$B:$B,'20Ф'!S:S)*1.2</f>
        <v>0</v>
      </c>
      <c r="CO50" s="276">
        <f>SUMIF('20Ф'!$H:$H,$B:$B,'20Ф'!W:W)*1.2</f>
        <v>0</v>
      </c>
      <c r="CP50" s="276">
        <f>SUMIF('20Ф'!$H:$H,$B:$B,'20Ф'!P:P)*1.2</f>
        <v>0</v>
      </c>
      <c r="CQ50" s="276">
        <f>SUMIF('20Ф'!$H:$H,$B:$B,'20Ф'!Y:Y)*1.2</f>
        <v>0</v>
      </c>
      <c r="CR50" s="276">
        <f>SUMIF('20Ф'!$H:$H,$B:$B,'20Ф'!Z:Z)*1.2</f>
        <v>0</v>
      </c>
      <c r="CS50" s="276">
        <f>SUMIF('20Ф'!$H:$H,$B:$B,'20Ф'!AB:AB)*1.2</f>
        <v>0</v>
      </c>
      <c r="CT50" s="276">
        <f>SUMIF('20Ф'!$H:$H,$B:$B,'20Ф'!AC:AC)*1.2</f>
        <v>0</v>
      </c>
      <c r="CU50" s="276">
        <f>SUMIF('20Ф'!$H:$H,$B:$B,'20Ф'!AD:AD)*1.2</f>
        <v>0</v>
      </c>
      <c r="CV50" s="276">
        <f>SUMIF('20Ф'!$H:$H,$B:$B,'20Ф'!AE:AE)*1.2</f>
        <v>0</v>
      </c>
      <c r="CW50" s="276">
        <f>SUMIF('20Ф'!$H:$H,$B:$B,'20Ф'!AF:AF)*1.2</f>
        <v>0</v>
      </c>
      <c r="CX50" s="276">
        <f>SUMIF('20Ф'!$H:$H,$B:$B,'20Ф'!AG:AG)*1.2</f>
        <v>0</v>
      </c>
      <c r="CY50" s="276">
        <f>SUMIF('20Ф'!$H:$H,$B:$B,'20Ф'!AH:AH)*1.2</f>
        <v>0</v>
      </c>
      <c r="CZ50" s="276">
        <f>SUMIF('20Ф'!$H:$H,$B:$B,'20Ф'!AI:AI)*1.2</f>
        <v>0</v>
      </c>
      <c r="DA50" s="276">
        <f>SUMIF('20Ф'!$H:$H,$B:$B,'20Ф'!AJ:AJ)*1.2</f>
        <v>0</v>
      </c>
      <c r="DB50" s="276">
        <f>SUMIF('20Ф'!$H:$H,$B:$B,'20Ф'!AK:AK)*1.2</f>
        <v>0</v>
      </c>
      <c r="DC50" s="276">
        <f>SUMIF('20Ф'!$H:$H,$B:$B,'20Ф'!AL:AL)*1.2</f>
        <v>0</v>
      </c>
      <c r="DD50" s="276">
        <f>SUMIF('20Ф'!$H:$H,$B:$B,'20Ф'!AM:AM)*1.2</f>
        <v>0</v>
      </c>
      <c r="DE50" s="276">
        <f>SUMIF('20Ф'!$H:$H,$B:$B,'20Ф'!AN:AN)*1.2</f>
        <v>0</v>
      </c>
      <c r="DF50" s="276">
        <f>SUMIF('20Ф'!$H:$H,$B:$B,'20Ф'!AO:AO)*1.2</f>
        <v>0</v>
      </c>
      <c r="DG50" s="276">
        <f>SUMIF('20Ф'!$H:$H,$B:$B,'20Ф'!AP:AP)*1.2</f>
        <v>0</v>
      </c>
      <c r="DH50" s="276">
        <f>SUMIF('20Ф'!$H:$H,$B:$B,'20Ф'!AQ:AQ)*1.2</f>
        <v>0</v>
      </c>
      <c r="DI50" s="276">
        <f>SUMIF('20Ф'!$H:$H,$B:$B,'20Ф'!BA:BA)*1.2</f>
        <v>0</v>
      </c>
      <c r="DJ50" s="276">
        <f>SUMIF('20Ф'!$H:$H,$B:$B,'20Ф'!BB:BB)*1.2</f>
        <v>0</v>
      </c>
      <c r="DK50" s="276">
        <f>SUMIF('20Ф'!$H:$H,$B:$B,'20Ф'!BC:BC)*1.2</f>
        <v>0</v>
      </c>
      <c r="DL50" s="276">
        <f>$D50/$D$281*'20Ф'!$H$218</f>
        <v>7786.5099502308822</v>
      </c>
      <c r="DM50" s="240">
        <f t="shared" si="1"/>
        <v>162309.67761226508</v>
      </c>
      <c r="DN50" s="276">
        <f>SUMIF('20Ф'!$H:$H,$B:$B,'20Ф'!AV:AV)*1.2</f>
        <v>0</v>
      </c>
      <c r="DO50" s="276">
        <f>SUMIF('20Ф'!$H:$H,$B:$B,'20Ф'!AW:AW)*1.2+$D50/$D$281*'26Ф'!$D$42</f>
        <v>4143.5775336187889</v>
      </c>
      <c r="DP50" s="276">
        <f>SUMIF('20Ф'!$H:$H,$B:$B,'20Ф'!AX:AX)*1.2</f>
        <v>0</v>
      </c>
      <c r="DQ50" s="276">
        <f>SUMIF('20Ф'!$H:$H,$B:$B,'20Ф'!AY:AY)*1.2</f>
        <v>10067.003999999999</v>
      </c>
      <c r="DR50" s="276">
        <f>SUMIF('20Ф'!$H:$H,$B:$B,'20Ф'!AU:AU)*1.2</f>
        <v>0</v>
      </c>
      <c r="DS50" s="276">
        <f>SUMIF('20Ф'!$H:$H,$B:$B,'20Ф'!AS:AS)*1.2</f>
        <v>0</v>
      </c>
      <c r="DT50" s="276">
        <f>SUMIF('20Ф'!$H:$H,$B:$B,'20Ф'!AR:AR)*1.2</f>
        <v>14533.02</v>
      </c>
      <c r="DU50" s="276">
        <f>SUMIF('20Ф'!$H:$H,$B:$B,'20Ф'!X:X)*1.2</f>
        <v>60474.035999999993</v>
      </c>
      <c r="DV50" s="276">
        <f>SUMIF('20Ф'!$H:$H,$B:$B,'20Ф'!AA:AA)*1.2</f>
        <v>0</v>
      </c>
      <c r="DW50" s="276">
        <f>SUMIF('20Ф'!$H:$H,$B:$B,'20Ф'!N:N)*1.2</f>
        <v>0</v>
      </c>
      <c r="DX50" s="276">
        <f>$D50/$D$281*('25Ф'!$D$37)</f>
        <v>69648.35462753936</v>
      </c>
      <c r="DY50" s="276">
        <f>$D50/$D$281*'25Ф'!$D$30</f>
        <v>2222.9568410564193</v>
      </c>
      <c r="DZ50" s="276">
        <f>$D50/$D$281*'25Ф'!$D$31</f>
        <v>1220.728610050546</v>
      </c>
      <c r="EA50" s="276"/>
      <c r="EB50" s="276">
        <f t="shared" si="2"/>
        <v>43879.556550366564</v>
      </c>
      <c r="EC50" s="276">
        <f>$D50/$D$281*'26Ф'!$D$36</f>
        <v>22840.722315112431</v>
      </c>
      <c r="ED50" s="276">
        <f>$D50/$D$281*'26Ф'!$D$37</f>
        <v>2744.2883917937666</v>
      </c>
      <c r="EE50" s="276">
        <f>$D50/$D$281*'26Ф'!$D$38</f>
        <v>2772.4337696689818</v>
      </c>
      <c r="EF50" s="276">
        <f>$D50/$D$281*'26Ф'!$D$39</f>
        <v>1944.8597590879435</v>
      </c>
      <c r="EG50" s="276">
        <f>$D50/$D$281*'91Ф'!$D$10</f>
        <v>599.98842682230054</v>
      </c>
      <c r="EH50" s="276">
        <f>$D50/$D$281*('20Ф'!$I$509+'26Ф'!$D$41+'20Ф'!$I$507)</f>
        <v>4244.7205529306766</v>
      </c>
      <c r="EI50" s="276">
        <f>$D50/$D$281*'91Ф'!$D$31</f>
        <v>7781.1962368065679</v>
      </c>
      <c r="EJ50" s="276">
        <f>$D50/$D$281*'20Ф'!$I$1316</f>
        <v>951.3470981439026</v>
      </c>
      <c r="EK50" s="276">
        <f>$D50/$D$281*('20Ф'!$I$1105+'20Ф'!$I$1282+'91Ф'!$D$17+'91Ф'!$D$41)</f>
        <v>31243.298598988669</v>
      </c>
      <c r="EL50" s="276">
        <f>$D50/$D$281*отчёт!BX$294</f>
        <v>52229.266795113799</v>
      </c>
      <c r="EM50" s="276">
        <f>$D50/$D$281*отчёт!BY$294</f>
        <v>45932.836581640055</v>
      </c>
      <c r="EN50" s="276">
        <f>SUMIF(отчёт!$B:$B,$B:$B,отчёт!BZ:BZ)/отчёт!BZ$281*('60Ф'!$O$151+'60Ф'!$P$151)*отчёт!BZ$293</f>
        <v>0</v>
      </c>
      <c r="EO50" s="240">
        <f t="shared" si="3"/>
        <v>0</v>
      </c>
      <c r="EP50" s="276">
        <f>SUMIF('20Ф'!$H:$H,$B:$B,'20Ф'!T:T)*1.2</f>
        <v>0</v>
      </c>
      <c r="EQ50" s="276">
        <f>SUMIF('20Ф'!$H:$H,$B:$B,'20Ф'!U:U)*1.2</f>
        <v>0</v>
      </c>
      <c r="ER50" s="236"/>
      <c r="ES50" s="239">
        <f t="shared" si="6"/>
        <v>17481.155488688008</v>
      </c>
      <c r="ET50" s="276">
        <f>$D50/$D$282*'20Ф'!$I$381</f>
        <v>1336.1014630946131</v>
      </c>
      <c r="EU50" s="276">
        <f>$D50/$D$282*('20Ф'!$I$75+'20Ф'!$I$1098)*1.2</f>
        <v>15432.565030801234</v>
      </c>
      <c r="EV50" s="276">
        <f>$D50/$D$282*('20Ф'!$I$1286)</f>
        <v>712.48899479216072</v>
      </c>
      <c r="EW50" s="276">
        <f>SUMIF('91.1Ф'!$N:$N,$B:$B,'91.1Ф'!$F:$F)+$D50/$D$281*('91Ф'!$D$12+'91Ф'!$D$11+'91Ф'!$D$19+'91Ф'!$D$20)</f>
        <v>4117.7140441641595</v>
      </c>
      <c r="EX50" s="276">
        <f t="shared" si="4"/>
        <v>10691.498869949037</v>
      </c>
      <c r="EY50" s="276">
        <f>SUMIF('20Ф'!$H:$H,$B:$B,'20Ф'!$AY:$AY)*1.2</f>
        <v>10067.003999999999</v>
      </c>
      <c r="EZ50" s="295">
        <f>D50/$D$286*'20Ф'!$I$1163</f>
        <v>624.49486994903714</v>
      </c>
      <c r="FA50" s="277">
        <f>SUMIF(отчёт!$B:$B,$B:$B,отчёт!$CU:$CU)/отчёт!$CU$281*'20Ф'!$I$1341</f>
        <v>0</v>
      </c>
      <c r="FB50" s="276">
        <f>SUMIF(Сальдо!$A:$A,$B:$B,Сальдо!$H:$H)-SUMIF(Сальдо!$A:$A,$B:$B,Сальдо!$I:$I)</f>
        <v>24993.919999999998</v>
      </c>
    </row>
    <row r="51" spans="1:158" ht="12" customHeight="1" x14ac:dyDescent="0.25">
      <c r="A51" s="3">
        <f t="shared" si="7"/>
        <v>47</v>
      </c>
      <c r="B51" s="4" t="s">
        <v>95</v>
      </c>
      <c r="C51" s="4" t="s">
        <v>95</v>
      </c>
      <c r="D51" s="5">
        <v>1380.65</v>
      </c>
      <c r="E51" s="6">
        <v>1380.65</v>
      </c>
      <c r="F51" s="6">
        <v>0</v>
      </c>
      <c r="G51" s="6">
        <v>142.19999999999999</v>
      </c>
      <c r="H51" s="5">
        <f>SUMIF(отчёт!$B:$B,$B:$B,отчёт!I:I)</f>
        <v>0</v>
      </c>
      <c r="I51" s="5">
        <f>SUMIF(отчёт!$B:$B,$B:$B,отчёт!J:J)</f>
        <v>0</v>
      </c>
      <c r="J51" s="105" t="s">
        <v>74</v>
      </c>
      <c r="K51" s="105">
        <v>9</v>
      </c>
      <c r="L51" s="105" t="s">
        <v>75</v>
      </c>
      <c r="M51" s="12">
        <v>20.440000000000001</v>
      </c>
      <c r="N51" s="8">
        <v>3.11</v>
      </c>
      <c r="O51" s="8">
        <v>4.0599999999999996</v>
      </c>
      <c r="P51" s="8">
        <v>7</v>
      </c>
      <c r="Q51" s="8">
        <v>4</v>
      </c>
      <c r="R51" s="8">
        <v>2.0499999999999998</v>
      </c>
      <c r="S51" s="8">
        <v>0</v>
      </c>
      <c r="T51" s="8">
        <v>0</v>
      </c>
      <c r="U51" s="8">
        <v>0.22</v>
      </c>
      <c r="V51" s="9">
        <v>40</v>
      </c>
      <c r="W51" s="9">
        <v>0</v>
      </c>
      <c r="X51" s="9">
        <v>0</v>
      </c>
      <c r="Y51" s="8">
        <v>0</v>
      </c>
      <c r="Z51" s="9">
        <v>42.3</v>
      </c>
      <c r="AA51" s="9">
        <v>2604.04</v>
      </c>
      <c r="AB51" s="8">
        <v>6.92</v>
      </c>
      <c r="AC51" s="10">
        <v>0</v>
      </c>
      <c r="AD51" s="8">
        <v>6.73</v>
      </c>
      <c r="AE51" s="8">
        <v>10.67</v>
      </c>
      <c r="AF51" s="8">
        <v>14</v>
      </c>
      <c r="AG51" s="7">
        <v>169322.91600000003</v>
      </c>
      <c r="AH51" s="8">
        <v>25762.929</v>
      </c>
      <c r="AI51" s="8">
        <v>33632.633999999998</v>
      </c>
      <c r="AJ51" s="8">
        <v>57987.3</v>
      </c>
      <c r="AK51" s="8">
        <v>33135.600000000006</v>
      </c>
      <c r="AL51" s="8">
        <v>16981.994999999999</v>
      </c>
      <c r="AM51" s="8">
        <v>0</v>
      </c>
      <c r="AN51" s="8">
        <v>0</v>
      </c>
      <c r="AO51" s="8">
        <v>1822.4580000000001</v>
      </c>
      <c r="AQ51" s="104">
        <v>26.91</v>
      </c>
      <c r="AR51" s="375">
        <v>7.81</v>
      </c>
      <c r="AS51" s="376"/>
      <c r="AT51" s="104">
        <v>8.4499999999999993</v>
      </c>
      <c r="AU51" s="104">
        <v>1.53</v>
      </c>
      <c r="AV51" s="104">
        <v>0.18</v>
      </c>
      <c r="AW51" s="104">
        <v>0.48</v>
      </c>
      <c r="AX51" s="104">
        <v>4.93</v>
      </c>
      <c r="AY51" s="104">
        <v>2.6</v>
      </c>
      <c r="AZ51" s="104">
        <v>0</v>
      </c>
      <c r="BA51" s="104">
        <v>0</v>
      </c>
      <c r="BB51" s="104">
        <v>0</v>
      </c>
      <c r="BC51" s="101">
        <v>0.93</v>
      </c>
      <c r="BD51" s="104">
        <v>30.48903</v>
      </c>
      <c r="BE51" s="375">
        <v>8.8487299999999998</v>
      </c>
      <c r="BF51" s="376">
        <v>0</v>
      </c>
      <c r="BG51" s="104">
        <v>9.5738499999999984</v>
      </c>
      <c r="BH51" s="104">
        <v>1.73349</v>
      </c>
      <c r="BI51" s="104">
        <v>0.20393999999999998</v>
      </c>
      <c r="BJ51" s="104">
        <v>0.54383999999999999</v>
      </c>
      <c r="BK51" s="104">
        <v>5.5856899999999996</v>
      </c>
      <c r="BL51" s="104">
        <v>2.9458000000000002</v>
      </c>
      <c r="BM51" s="104">
        <v>0</v>
      </c>
      <c r="BN51" s="104">
        <v>0</v>
      </c>
      <c r="BO51" s="104">
        <v>0</v>
      </c>
      <c r="BP51" s="101">
        <v>1.05369</v>
      </c>
      <c r="BQ51" s="103">
        <v>495253.37569500005</v>
      </c>
      <c r="BR51" s="371">
        <v>143735.74374500001</v>
      </c>
      <c r="BS51" s="371">
        <v>0</v>
      </c>
      <c r="BT51" s="103">
        <v>155514.34502499999</v>
      </c>
      <c r="BU51" s="103">
        <v>28158.218685</v>
      </c>
      <c r="BV51" s="103">
        <v>3312.7316099999994</v>
      </c>
      <c r="BW51" s="103">
        <v>8833.9509600000001</v>
      </c>
      <c r="BX51" s="103">
        <v>90732.037985000003</v>
      </c>
      <c r="BY51" s="103">
        <v>47850.567700000007</v>
      </c>
      <c r="BZ51" s="103">
        <v>0</v>
      </c>
      <c r="CA51" s="103">
        <v>0</v>
      </c>
      <c r="CB51" s="103">
        <v>0</v>
      </c>
      <c r="CC51" s="103">
        <v>17115.779985000001</v>
      </c>
      <c r="CD51" s="1">
        <v>1</v>
      </c>
      <c r="CF51" s="277">
        <f>SUMIF(Оборот!$A:$A,$B:$B,Оборот!H:H)</f>
        <v>378200.56</v>
      </c>
      <c r="CG51" s="277">
        <f>SUMIF(Оборот!$A:$A,$B:$B,Оборот!I:I)</f>
        <v>346090.05</v>
      </c>
      <c r="CH51" s="277">
        <f t="shared" si="0"/>
        <v>1569381.0085383037</v>
      </c>
      <c r="CI51" s="239">
        <f t="shared" si="5"/>
        <v>735248.48307238938</v>
      </c>
      <c r="CJ51" s="276">
        <f>SUMIF('20Ф'!$H:$H,$B:$B,'20Ф'!M:M)*1.2</f>
        <v>0</v>
      </c>
      <c r="CK51" s="276">
        <f>SUMIF('20Ф'!$H:$H,$B:$B,'20Ф'!O:O)*1.2</f>
        <v>0</v>
      </c>
      <c r="CL51" s="276">
        <f>SUMIF('20Ф'!$H:$H,$B:$B,'20Ф'!Q:Q)*1.2</f>
        <v>0</v>
      </c>
      <c r="CM51" s="276">
        <f>SUMIF('20Ф'!$H:$H,$B:$B,'20Ф'!R:R)*1.2</f>
        <v>0</v>
      </c>
      <c r="CN51" s="276">
        <f>SUMIF('20Ф'!$H:$H,$B:$B,'20Ф'!S:S)*1.2</f>
        <v>0</v>
      </c>
      <c r="CO51" s="276">
        <f>SUMIF('20Ф'!$H:$H,$B:$B,'20Ф'!W:W)*1.2</f>
        <v>0</v>
      </c>
      <c r="CP51" s="276">
        <f>SUMIF('20Ф'!$H:$H,$B:$B,'20Ф'!P:P)*1.2</f>
        <v>0</v>
      </c>
      <c r="CQ51" s="276">
        <f>SUMIF('20Ф'!$H:$H,$B:$B,'20Ф'!Y:Y)*1.2</f>
        <v>0</v>
      </c>
      <c r="CR51" s="276">
        <f>SUMIF('20Ф'!$H:$H,$B:$B,'20Ф'!Z:Z)*1.2</f>
        <v>0</v>
      </c>
      <c r="CS51" s="276">
        <f>SUMIF('20Ф'!$H:$H,$B:$B,'20Ф'!AB:AB)*1.2</f>
        <v>0</v>
      </c>
      <c r="CT51" s="276">
        <f>SUMIF('20Ф'!$H:$H,$B:$B,'20Ф'!AC:AC)*1.2</f>
        <v>0</v>
      </c>
      <c r="CU51" s="276">
        <f>SUMIF('20Ф'!$H:$H,$B:$B,'20Ф'!AD:AD)*1.2</f>
        <v>0</v>
      </c>
      <c r="CV51" s="276">
        <f>SUMIF('20Ф'!$H:$H,$B:$B,'20Ф'!AE:AE)*1.2</f>
        <v>0</v>
      </c>
      <c r="CW51" s="276">
        <f>SUMIF('20Ф'!$H:$H,$B:$B,'20Ф'!AF:AF)*1.2</f>
        <v>0</v>
      </c>
      <c r="CX51" s="276">
        <f>SUMIF('20Ф'!$H:$H,$B:$B,'20Ф'!AG:AG)*1.2</f>
        <v>0</v>
      </c>
      <c r="CY51" s="276">
        <f>SUMIF('20Ф'!$H:$H,$B:$B,'20Ф'!AH:AH)*1.2</f>
        <v>0</v>
      </c>
      <c r="CZ51" s="276">
        <f>SUMIF('20Ф'!$H:$H,$B:$B,'20Ф'!AI:AI)*1.2</f>
        <v>0</v>
      </c>
      <c r="DA51" s="276">
        <f>SUMIF('20Ф'!$H:$H,$B:$B,'20Ф'!AJ:AJ)*1.2</f>
        <v>723105.20400000003</v>
      </c>
      <c r="DB51" s="276">
        <f>SUMIF('20Ф'!$H:$H,$B:$B,'20Ф'!AK:AK)*1.2</f>
        <v>0</v>
      </c>
      <c r="DC51" s="276">
        <f>SUMIF('20Ф'!$H:$H,$B:$B,'20Ф'!AL:AL)*1.2</f>
        <v>0</v>
      </c>
      <c r="DD51" s="276">
        <f>SUMIF('20Ф'!$H:$H,$B:$B,'20Ф'!AM:AM)*1.2</f>
        <v>0</v>
      </c>
      <c r="DE51" s="276">
        <f>SUMIF('20Ф'!$H:$H,$B:$B,'20Ф'!AN:AN)*1.2</f>
        <v>0</v>
      </c>
      <c r="DF51" s="276">
        <f>SUMIF('20Ф'!$H:$H,$B:$B,'20Ф'!AO:AO)*1.2</f>
        <v>0</v>
      </c>
      <c r="DG51" s="276">
        <f>SUMIF('20Ф'!$H:$H,$B:$B,'20Ф'!AP:AP)*1.2</f>
        <v>0</v>
      </c>
      <c r="DH51" s="276">
        <f>SUMIF('20Ф'!$H:$H,$B:$B,'20Ф'!AQ:AQ)*1.2</f>
        <v>0</v>
      </c>
      <c r="DI51" s="276">
        <f>SUMIF('20Ф'!$H:$H,$B:$B,'20Ф'!BA:BA)*1.2</f>
        <v>0</v>
      </c>
      <c r="DJ51" s="276">
        <f>SUMIF('20Ф'!$H:$H,$B:$B,'20Ф'!BB:BB)*1.2</f>
        <v>0</v>
      </c>
      <c r="DK51" s="276">
        <f>SUMIF('20Ф'!$H:$H,$B:$B,'20Ф'!BC:BC)*1.2</f>
        <v>0</v>
      </c>
      <c r="DL51" s="276">
        <f>$D51/$D$281*'20Ф'!$H$218</f>
        <v>12143.279072389325</v>
      </c>
      <c r="DM51" s="240">
        <f t="shared" si="1"/>
        <v>500004.35218928481</v>
      </c>
      <c r="DN51" s="276">
        <f>SUMIF('20Ф'!$H:$H,$B:$B,'20Ф'!AV:AV)*1.2</f>
        <v>0</v>
      </c>
      <c r="DO51" s="276">
        <f>SUMIF('20Ф'!$H:$H,$B:$B,'20Ф'!AW:AW)*1.2+$D51/$D$281*'26Ф'!$D$42</f>
        <v>6462.0245360790486</v>
      </c>
      <c r="DP51" s="276">
        <f>SUMIF('20Ф'!$H:$H,$B:$B,'20Ф'!AX:AX)*1.2</f>
        <v>0</v>
      </c>
      <c r="DQ51" s="276">
        <f>SUMIF('20Ф'!$H:$H,$B:$B,'20Ф'!AY:AY)*1.2</f>
        <v>29227.5</v>
      </c>
      <c r="DR51" s="276">
        <f>SUMIF('20Ф'!$H:$H,$B:$B,'20Ф'!AU:AU)*1.2</f>
        <v>0</v>
      </c>
      <c r="DS51" s="276">
        <f>SUMIF('20Ф'!$H:$H,$B:$B,'20Ф'!AS:AS)*1.2</f>
        <v>0</v>
      </c>
      <c r="DT51" s="276">
        <f>SUMIF('20Ф'!$H:$H,$B:$B,'20Ф'!AR:AR)*1.2</f>
        <v>34646.196000000004</v>
      </c>
      <c r="DU51" s="276">
        <f>SUMIF('20Ф'!$H:$H,$B:$B,'20Ф'!X:X)*1.2</f>
        <v>315679.56</v>
      </c>
      <c r="DV51" s="276">
        <f>SUMIF('20Ф'!$H:$H,$B:$B,'20Ф'!AA:AA)*1.2</f>
        <v>0</v>
      </c>
      <c r="DW51" s="276">
        <f>SUMIF('20Ф'!$H:$H,$B:$B,'20Ф'!N:N)*1.2</f>
        <v>0</v>
      </c>
      <c r="DX51" s="276">
        <f>$D51/$D$281*('25Ф'!$D$37)</f>
        <v>108618.54830736724</v>
      </c>
      <c r="DY51" s="276">
        <f>$D51/$D$281*'25Ф'!$D$30</f>
        <v>3466.7630889015541</v>
      </c>
      <c r="DZ51" s="276">
        <f>$D51/$D$281*'25Ф'!$D$31</f>
        <v>1903.7602569369553</v>
      </c>
      <c r="EA51" s="276"/>
      <c r="EB51" s="276">
        <f t="shared" si="2"/>
        <v>68431.390208136901</v>
      </c>
      <c r="EC51" s="276">
        <f>$D51/$D$281*'26Ф'!$D$36</f>
        <v>35620.742419925424</v>
      </c>
      <c r="ED51" s="276">
        <f>$D51/$D$281*'26Ф'!$D$37</f>
        <v>4279.7941580594879</v>
      </c>
      <c r="EE51" s="276">
        <f>$D51/$D$281*'26Ф'!$D$38</f>
        <v>4323.6876585264654</v>
      </c>
      <c r="EF51" s="276">
        <f>$D51/$D$281*'26Ф'!$D$39</f>
        <v>3033.0629463286677</v>
      </c>
      <c r="EG51" s="276">
        <f>$D51/$D$281*'91Ф'!$D$10</f>
        <v>935.69865750842575</v>
      </c>
      <c r="EH51" s="276">
        <f>$D51/$D$281*('20Ф'!$I$509+'26Ф'!$D$41+'20Ф'!$I$507)</f>
        <v>6619.7598908886694</v>
      </c>
      <c r="EI51" s="276">
        <f>$D51/$D$281*'91Ф'!$D$31</f>
        <v>12134.992188350829</v>
      </c>
      <c r="EJ51" s="276">
        <f>$D51/$D$281*'20Ф'!$I$1316</f>
        <v>1483.652288548943</v>
      </c>
      <c r="EK51" s="276">
        <f>$D51/$D$281*('20Ф'!$I$1105+'20Ф'!$I$1282+'91Ф'!$D$17+'91Ф'!$D$41)</f>
        <v>48724.794093181641</v>
      </c>
      <c r="EL51" s="276">
        <f>$D51/$D$281*отчёт!BX$294</f>
        <v>81452.995821386954</v>
      </c>
      <c r="EM51" s="276">
        <f>$D51/$D$281*отчёт!BY$294</f>
        <v>71633.537587757091</v>
      </c>
      <c r="EN51" s="276">
        <f>SUMIF(отчёт!$B:$B,$B:$B,отчёт!BZ:BZ)/отчёт!BZ$281*('60Ф'!$O$151+'60Ф'!$P$151)*отчёт!BZ$293</f>
        <v>0</v>
      </c>
      <c r="EO51" s="240">
        <f t="shared" si="3"/>
        <v>0</v>
      </c>
      <c r="EP51" s="276">
        <f>SUMIF('20Ф'!$H:$H,$B:$B,'20Ф'!T:T)*1.2</f>
        <v>0</v>
      </c>
      <c r="EQ51" s="276">
        <f>SUMIF('20Ф'!$H:$H,$B:$B,'20Ф'!U:U)*1.2</f>
        <v>0</v>
      </c>
      <c r="ER51" s="236"/>
      <c r="ES51" s="239">
        <f t="shared" si="6"/>
        <v>27262.348724112842</v>
      </c>
      <c r="ET51" s="276">
        <f>$D51/$D$282*'20Ф'!$I$381</f>
        <v>2083.6874336626884</v>
      </c>
      <c r="EU51" s="276">
        <f>$D51/$D$282*('20Ф'!$I$75+'20Ф'!$I$1098)*1.2</f>
        <v>24067.514864764173</v>
      </c>
      <c r="EV51" s="276">
        <f>$D51/$D$282*('20Ф'!$I$1286)</f>
        <v>1111.1464256859786</v>
      </c>
      <c r="EW51" s="276">
        <f>SUMIF('91.1Ф'!$N:$N,$B:$B,'91.1Ф'!$F:$F)+$D51/$D$281*('91Ф'!$D$12+'91Ф'!$D$11+'91Ф'!$D$19+'91Ф'!$D$20)</f>
        <v>6421.6897041401189</v>
      </c>
      <c r="EX51" s="276">
        <f t="shared" si="4"/>
        <v>30201.417137913857</v>
      </c>
      <c r="EY51" s="276">
        <f>SUMIF('20Ф'!$H:$H,$B:$B,'20Ф'!$AY:$AY)*1.2</f>
        <v>29227.5</v>
      </c>
      <c r="EZ51" s="295">
        <f>D51/$D$286*'20Ф'!$I$1163</f>
        <v>973.91713791385757</v>
      </c>
      <c r="FA51" s="277">
        <f>SUMIF(отчёт!$B:$B,$B:$B,отчёт!$CU:$CU)/отчёт!$CU$281*'20Ф'!$I$1341</f>
        <v>0</v>
      </c>
      <c r="FB51" s="276">
        <f>SUMIF(Сальдо!$A:$A,$B:$B,Сальдо!$H:$H)-SUMIF(Сальдо!$A:$A,$B:$B,Сальдо!$I:$I)</f>
        <v>100951.26</v>
      </c>
    </row>
    <row r="52" spans="1:158" ht="12" customHeight="1" x14ac:dyDescent="0.25">
      <c r="A52" s="3">
        <f t="shared" si="7"/>
        <v>48</v>
      </c>
      <c r="B52" s="4" t="s">
        <v>96</v>
      </c>
      <c r="C52" s="4" t="s">
        <v>96</v>
      </c>
      <c r="D52" s="5">
        <v>379.15</v>
      </c>
      <c r="E52" s="6">
        <v>379.15</v>
      </c>
      <c r="F52" s="6">
        <v>0</v>
      </c>
      <c r="G52" s="6">
        <v>160.9</v>
      </c>
      <c r="H52" s="5">
        <f>SUMIF(отчёт!$B:$B,$B:$B,отчёт!I:I)</f>
        <v>0</v>
      </c>
      <c r="I52" s="5">
        <f>SUMIF(отчёт!$B:$B,$B:$B,отчёт!J:J)</f>
        <v>0</v>
      </c>
      <c r="J52" s="105" t="s">
        <v>74</v>
      </c>
      <c r="K52" s="105">
        <v>7</v>
      </c>
      <c r="L52" s="105" t="s">
        <v>75</v>
      </c>
      <c r="M52" s="12">
        <v>25.29</v>
      </c>
      <c r="N52" s="8">
        <v>4.32</v>
      </c>
      <c r="O52" s="8">
        <v>5.61</v>
      </c>
      <c r="P52" s="8">
        <v>7.16</v>
      </c>
      <c r="Q52" s="8">
        <v>5.31</v>
      </c>
      <c r="R52" s="8">
        <v>2.67</v>
      </c>
      <c r="S52" s="8">
        <v>0</v>
      </c>
      <c r="T52" s="8">
        <v>0</v>
      </c>
      <c r="U52" s="8">
        <v>0.22</v>
      </c>
      <c r="V52" s="9">
        <v>40</v>
      </c>
      <c r="W52" s="9">
        <v>40</v>
      </c>
      <c r="X52" s="9">
        <v>2604.04</v>
      </c>
      <c r="Y52" s="8">
        <v>195.98199600000001</v>
      </c>
      <c r="Z52" s="9">
        <v>42.3</v>
      </c>
      <c r="AA52" s="9">
        <v>2604.04</v>
      </c>
      <c r="AB52" s="8">
        <v>7.85</v>
      </c>
      <c r="AC52" s="10">
        <v>0</v>
      </c>
      <c r="AD52" s="8">
        <v>6.73</v>
      </c>
      <c r="AE52" s="8">
        <v>10.67</v>
      </c>
      <c r="AF52" s="8">
        <v>14</v>
      </c>
      <c r="AG52" s="7">
        <v>57532.220999999998</v>
      </c>
      <c r="AH52" s="8">
        <v>9827.5680000000011</v>
      </c>
      <c r="AI52" s="8">
        <v>12762.189</v>
      </c>
      <c r="AJ52" s="8">
        <v>16288.284</v>
      </c>
      <c r="AK52" s="8">
        <v>12079.718999999997</v>
      </c>
      <c r="AL52" s="8">
        <v>6073.9829999999993</v>
      </c>
      <c r="AM52" s="8">
        <v>0</v>
      </c>
      <c r="AN52" s="8">
        <v>0</v>
      </c>
      <c r="AO52" s="8">
        <v>500.47799999999995</v>
      </c>
      <c r="AQ52" s="104">
        <v>33.17</v>
      </c>
      <c r="AR52" s="375">
        <v>13.89</v>
      </c>
      <c r="AS52" s="376"/>
      <c r="AT52" s="104">
        <v>5.9</v>
      </c>
      <c r="AU52" s="104">
        <v>1.53</v>
      </c>
      <c r="AV52" s="104">
        <v>0.32</v>
      </c>
      <c r="AW52" s="104">
        <v>0.6</v>
      </c>
      <c r="AX52" s="104">
        <v>5.01</v>
      </c>
      <c r="AY52" s="104">
        <v>4.99</v>
      </c>
      <c r="AZ52" s="104">
        <v>0</v>
      </c>
      <c r="BA52" s="104">
        <v>0</v>
      </c>
      <c r="BB52" s="104">
        <v>0</v>
      </c>
      <c r="BC52" s="101">
        <v>0.93</v>
      </c>
      <c r="BD52" s="104">
        <v>37.581610000000005</v>
      </c>
      <c r="BE52" s="375">
        <v>15.737370000000004</v>
      </c>
      <c r="BF52" s="376">
        <v>0</v>
      </c>
      <c r="BG52" s="104">
        <v>6.6847000000000012</v>
      </c>
      <c r="BH52" s="104">
        <v>1.7334900000000002</v>
      </c>
      <c r="BI52" s="104">
        <v>0.36256000000000005</v>
      </c>
      <c r="BJ52" s="104">
        <v>0.67980000000000007</v>
      </c>
      <c r="BK52" s="104">
        <v>5.6763300000000001</v>
      </c>
      <c r="BL52" s="104">
        <v>5.65367</v>
      </c>
      <c r="BM52" s="104">
        <v>0</v>
      </c>
      <c r="BN52" s="104">
        <v>0</v>
      </c>
      <c r="BO52" s="104">
        <v>0</v>
      </c>
      <c r="BP52" s="101">
        <v>1.0536900000000002</v>
      </c>
      <c r="BQ52" s="103">
        <v>167643.485315</v>
      </c>
      <c r="BR52" s="371">
        <v>70201.025355000005</v>
      </c>
      <c r="BS52" s="371">
        <v>0</v>
      </c>
      <c r="BT52" s="103">
        <v>29819.010050000001</v>
      </c>
      <c r="BU52" s="103">
        <v>7732.7263349999994</v>
      </c>
      <c r="BV52" s="103">
        <v>1617.30224</v>
      </c>
      <c r="BW52" s="103">
        <v>3032.4417000000003</v>
      </c>
      <c r="BX52" s="103">
        <v>25320.888194999996</v>
      </c>
      <c r="BY52" s="103">
        <v>25219.806805</v>
      </c>
      <c r="BZ52" s="103">
        <v>0</v>
      </c>
      <c r="CA52" s="103">
        <v>0</v>
      </c>
      <c r="CB52" s="103">
        <v>0</v>
      </c>
      <c r="CC52" s="103">
        <v>4700.2846350000009</v>
      </c>
      <c r="CD52" s="1">
        <v>1</v>
      </c>
      <c r="CF52" s="277">
        <f>SUMIF(Оборот!$A:$A,$B:$B,Оборот!H:H)</f>
        <v>127015.23999999999</v>
      </c>
      <c r="CG52" s="277">
        <f>SUMIF(Оборот!$A:$A,$B:$B,Оборот!I:I)</f>
        <v>120910.54999999999</v>
      </c>
      <c r="CH52" s="277">
        <f t="shared" si="0"/>
        <v>272481.98208676907</v>
      </c>
      <c r="CI52" s="239">
        <f t="shared" si="5"/>
        <v>72543.599211600624</v>
      </c>
      <c r="CJ52" s="276">
        <f>SUMIF('20Ф'!$H:$H,$B:$B,'20Ф'!M:M)*1.2</f>
        <v>0</v>
      </c>
      <c r="CK52" s="276">
        <f>SUMIF('20Ф'!$H:$H,$B:$B,'20Ф'!O:O)*1.2</f>
        <v>0</v>
      </c>
      <c r="CL52" s="276">
        <f>SUMIF('20Ф'!$H:$H,$B:$B,'20Ф'!Q:Q)*1.2</f>
        <v>0</v>
      </c>
      <c r="CM52" s="276">
        <f>SUMIF('20Ф'!$H:$H,$B:$B,'20Ф'!R:R)*1.2</f>
        <v>0</v>
      </c>
      <c r="CN52" s="276">
        <f>SUMIF('20Ф'!$H:$H,$B:$B,'20Ф'!S:S)*1.2</f>
        <v>0</v>
      </c>
      <c r="CO52" s="276">
        <f>SUMIF('20Ф'!$H:$H,$B:$B,'20Ф'!W:W)*1.2</f>
        <v>0</v>
      </c>
      <c r="CP52" s="276">
        <f>SUMIF('20Ф'!$H:$H,$B:$B,'20Ф'!P:P)*1.2</f>
        <v>0</v>
      </c>
      <c r="CQ52" s="276">
        <f>SUMIF('20Ф'!$H:$H,$B:$B,'20Ф'!Y:Y)*1.2</f>
        <v>0</v>
      </c>
      <c r="CR52" s="276">
        <f>SUMIF('20Ф'!$H:$H,$B:$B,'20Ф'!Z:Z)*1.2</f>
        <v>0</v>
      </c>
      <c r="CS52" s="276">
        <f>SUMIF('20Ф'!$H:$H,$B:$B,'20Ф'!AB:AB)*1.2</f>
        <v>0</v>
      </c>
      <c r="CT52" s="276">
        <f>SUMIF('20Ф'!$H:$H,$B:$B,'20Ф'!AC:AC)*1.2</f>
        <v>0</v>
      </c>
      <c r="CU52" s="276">
        <f>SUMIF('20Ф'!$H:$H,$B:$B,'20Ф'!AD:AD)*1.2</f>
        <v>0</v>
      </c>
      <c r="CV52" s="276">
        <f>SUMIF('20Ф'!$H:$H,$B:$B,'20Ф'!AE:AE)*1.2</f>
        <v>0</v>
      </c>
      <c r="CW52" s="276">
        <f>SUMIF('20Ф'!$H:$H,$B:$B,'20Ф'!AF:AF)*1.2</f>
        <v>0</v>
      </c>
      <c r="CX52" s="276">
        <f>SUMIF('20Ф'!$H:$H,$B:$B,'20Ф'!AG:AG)*1.2</f>
        <v>0</v>
      </c>
      <c r="CY52" s="276">
        <f>SUMIF('20Ф'!$H:$H,$B:$B,'20Ф'!AH:AH)*1.2</f>
        <v>0</v>
      </c>
      <c r="CZ52" s="276">
        <f>SUMIF('20Ф'!$H:$H,$B:$B,'20Ф'!AI:AI)*1.2</f>
        <v>0</v>
      </c>
      <c r="DA52" s="276">
        <f>SUMIF('20Ф'!$H:$H,$B:$B,'20Ф'!AJ:AJ)*1.2</f>
        <v>0</v>
      </c>
      <c r="DB52" s="276">
        <f>SUMIF('20Ф'!$H:$H,$B:$B,'20Ф'!AK:AK)*1.2</f>
        <v>0</v>
      </c>
      <c r="DC52" s="276">
        <f>SUMIF('20Ф'!$H:$H,$B:$B,'20Ф'!AL:AL)*1.2</f>
        <v>0</v>
      </c>
      <c r="DD52" s="276">
        <f>SUMIF('20Ф'!$H:$H,$B:$B,'20Ф'!AM:AM)*1.2</f>
        <v>0</v>
      </c>
      <c r="DE52" s="276">
        <f>SUMIF('20Ф'!$H:$H,$B:$B,'20Ф'!AN:AN)*1.2</f>
        <v>0</v>
      </c>
      <c r="DF52" s="276">
        <f>SUMIF('20Ф'!$H:$H,$B:$B,'20Ф'!AO:AO)*1.2</f>
        <v>0</v>
      </c>
      <c r="DG52" s="276">
        <f>SUMIF('20Ф'!$H:$H,$B:$B,'20Ф'!AP:AP)*1.2</f>
        <v>0</v>
      </c>
      <c r="DH52" s="276">
        <f>SUMIF('20Ф'!$H:$H,$B:$B,'20Ф'!AQ:AQ)*1.2</f>
        <v>69208.847999999998</v>
      </c>
      <c r="DI52" s="276">
        <f>SUMIF('20Ф'!$H:$H,$B:$B,'20Ф'!BA:BA)*1.2</f>
        <v>0</v>
      </c>
      <c r="DJ52" s="276">
        <f>SUMIF('20Ф'!$H:$H,$B:$B,'20Ф'!BB:BB)*1.2</f>
        <v>0</v>
      </c>
      <c r="DK52" s="276">
        <f>SUMIF('20Ф'!$H:$H,$B:$B,'20Ф'!BC:BC)*1.2</f>
        <v>0</v>
      </c>
      <c r="DL52" s="276">
        <f>$D52/$D$281*'20Ф'!$H$218</f>
        <v>3334.7512116006314</v>
      </c>
      <c r="DM52" s="240">
        <f t="shared" si="1"/>
        <v>113564.46608030082</v>
      </c>
      <c r="DN52" s="276">
        <f>SUMIF('20Ф'!$H:$H,$B:$B,'20Ф'!AV:AV)*1.2</f>
        <v>0</v>
      </c>
      <c r="DO52" s="276">
        <f>SUMIF('20Ф'!$H:$H,$B:$B,'20Ф'!AW:AW)*1.2+$D52/$D$281*'26Ф'!$D$42</f>
        <v>1774.5819743268542</v>
      </c>
      <c r="DP52" s="276">
        <f>SUMIF('20Ф'!$H:$H,$B:$B,'20Ф'!AX:AX)*1.2</f>
        <v>0</v>
      </c>
      <c r="DQ52" s="276">
        <f>SUMIF('20Ф'!$H:$H,$B:$B,'20Ф'!AY:AY)*1.2</f>
        <v>2643</v>
      </c>
      <c r="DR52" s="276">
        <f>SUMIF('20Ф'!$H:$H,$B:$B,'20Ф'!AU:AU)*1.2</f>
        <v>0</v>
      </c>
      <c r="DS52" s="276">
        <f>SUMIF('20Ф'!$H:$H,$B:$B,'20Ф'!AS:AS)*1.2</f>
        <v>0</v>
      </c>
      <c r="DT52" s="276">
        <f>SUMIF('20Ф'!$H:$H,$B:$B,'20Ф'!AR:AR)*1.2</f>
        <v>17427.059999999998</v>
      </c>
      <c r="DU52" s="276">
        <f>SUMIF('20Ф'!$H:$H,$B:$B,'20Ф'!X:X)*1.2</f>
        <v>60416.483999999997</v>
      </c>
      <c r="DV52" s="276">
        <f>SUMIF('20Ф'!$H:$H,$B:$B,'20Ф'!AA:AA)*1.2</f>
        <v>0</v>
      </c>
      <c r="DW52" s="276">
        <f>SUMIF('20Ф'!$H:$H,$B:$B,'20Ф'!N:N)*1.2</f>
        <v>0</v>
      </c>
      <c r="DX52" s="276">
        <f>$D52/$D$281*('25Ф'!$D$37)</f>
        <v>29828.502944800119</v>
      </c>
      <c r="DY52" s="276">
        <f>$D52/$D$281*'25Ф'!$D$30</f>
        <v>952.03217698694391</v>
      </c>
      <c r="DZ52" s="276">
        <f>$D52/$D$281*'25Ф'!$D$31</f>
        <v>522.80498418690217</v>
      </c>
      <c r="EA52" s="276"/>
      <c r="EB52" s="276">
        <f t="shared" si="2"/>
        <v>18792.425015329816</v>
      </c>
      <c r="EC52" s="276">
        <f>$D52/$D$281*'26Ф'!$D$36</f>
        <v>9782.0624260418808</v>
      </c>
      <c r="ED52" s="276">
        <f>$D52/$D$281*'26Ф'!$D$37</f>
        <v>1175.3043530425919</v>
      </c>
      <c r="EE52" s="276">
        <f>$D52/$D$281*'26Ф'!$D$38</f>
        <v>1187.3582556986269</v>
      </c>
      <c r="EF52" s="276">
        <f>$D52/$D$281*'26Ф'!$D$39</f>
        <v>832.93073269873912</v>
      </c>
      <c r="EG52" s="276">
        <f>$D52/$D$281*'91Ф'!$D$10</f>
        <v>256.95878462631339</v>
      </c>
      <c r="EH52" s="276">
        <f>$D52/$D$281*('20Ф'!$I$509+'26Ф'!$D$41+'20Ф'!$I$507)</f>
        <v>1817.898788708535</v>
      </c>
      <c r="EI52" s="276">
        <f>$D52/$D$281*'91Ф'!$D$31</f>
        <v>3332.4754921328476</v>
      </c>
      <c r="EJ52" s="276">
        <f>$D52/$D$281*'20Ф'!$I$1316</f>
        <v>407.43618238027864</v>
      </c>
      <c r="EK52" s="276">
        <f>$D52/$D$281*('20Ф'!$I$1105+'20Ф'!$I$1282+'91Ф'!$D$17+'91Ф'!$D$41)</f>
        <v>13380.658154079469</v>
      </c>
      <c r="EL52" s="276">
        <f>$D52/$D$281*отчёт!BX$294</f>
        <v>22368.379651380772</v>
      </c>
      <c r="EM52" s="276">
        <f>$D52/$D$281*отчёт!BY$294</f>
        <v>19671.789212615866</v>
      </c>
      <c r="EN52" s="276">
        <f>SUMIF(отчёт!$B:$B,$B:$B,отчёт!BZ:BZ)/отчёт!BZ$281*('60Ф'!$O$151+'60Ф'!$P$151)*отчёт!BZ$293</f>
        <v>0</v>
      </c>
      <c r="EO52" s="240">
        <f t="shared" si="3"/>
        <v>0</v>
      </c>
      <c r="EP52" s="276">
        <f>SUMIF('20Ф'!$H:$H,$B:$B,'20Ф'!T:T)*1.2</f>
        <v>0</v>
      </c>
      <c r="EQ52" s="276">
        <f>SUMIF('20Ф'!$H:$H,$B:$B,'20Ф'!U:U)*1.2</f>
        <v>0</v>
      </c>
      <c r="ER52" s="236"/>
      <c r="ES52" s="239">
        <f t="shared" si="6"/>
        <v>7486.7051886773497</v>
      </c>
      <c r="ET52" s="276">
        <f>$D52/$D$282*'20Ф'!$I$381</f>
        <v>572.21605075378125</v>
      </c>
      <c r="EU52" s="276">
        <f>$D52/$D$282*('20Ф'!$I$75+'20Ф'!$I$1098)*1.2</f>
        <v>6609.349408594022</v>
      </c>
      <c r="EV52" s="276">
        <f>$D52/$D$282*('20Ф'!$I$1286)</f>
        <v>305.1397293295467</v>
      </c>
      <c r="EW52" s="276">
        <f>SUMIF('91.1Ф'!$N:$N,$B:$B,'91.1Ф'!$F:$F)+$D52/$D$281*('91Ф'!$D$12+'91Ф'!$D$11+'91Ф'!$D$19+'91Ф'!$D$20)</f>
        <v>1763.505342646381</v>
      </c>
      <c r="EX52" s="276">
        <f t="shared" si="4"/>
        <v>2910.4542301380066</v>
      </c>
      <c r="EY52" s="276">
        <f>SUMIF('20Ф'!$H:$H,$B:$B,'20Ф'!$AY:$AY)*1.2</f>
        <v>2643</v>
      </c>
      <c r="EZ52" s="295">
        <f>D52/$D$286*'20Ф'!$I$1163</f>
        <v>267.45423013800672</v>
      </c>
      <c r="FA52" s="277">
        <f>SUMIF(отчёт!$B:$B,$B:$B,отчёт!$CU:$CU)/отчёт!$CU$281*'20Ф'!$I$1341</f>
        <v>0</v>
      </c>
      <c r="FB52" s="276">
        <f>SUMIF(Сальдо!$A:$A,$B:$B,Сальдо!$H:$H)-SUMIF(Сальдо!$A:$A,$B:$B,Сальдо!$I:$I)</f>
        <v>34368.69</v>
      </c>
    </row>
    <row r="53" spans="1:158" ht="12" customHeight="1" x14ac:dyDescent="0.25">
      <c r="A53" s="3">
        <f t="shared" si="7"/>
        <v>49</v>
      </c>
      <c r="B53" s="4" t="s">
        <v>97</v>
      </c>
      <c r="C53" s="4" t="s">
        <v>97</v>
      </c>
      <c r="D53" s="5">
        <v>502.68</v>
      </c>
      <c r="E53" s="6">
        <v>502.68</v>
      </c>
      <c r="F53" s="6">
        <v>0</v>
      </c>
      <c r="G53" s="6">
        <v>65.2</v>
      </c>
      <c r="H53" s="5">
        <f>SUMIF(отчёт!$B:$B,$B:$B,отчёт!I:I)</f>
        <v>0</v>
      </c>
      <c r="I53" s="5">
        <f>SUMIF(отчёт!$B:$B,$B:$B,отчёт!J:J)</f>
        <v>0</v>
      </c>
      <c r="J53" s="105" t="s">
        <v>74</v>
      </c>
      <c r="K53" s="105">
        <v>9</v>
      </c>
      <c r="L53" s="105" t="s">
        <v>75</v>
      </c>
      <c r="M53" s="12">
        <v>20.440000000000001</v>
      </c>
      <c r="N53" s="8">
        <v>3.11</v>
      </c>
      <c r="O53" s="8">
        <v>4.0599999999999996</v>
      </c>
      <c r="P53" s="8">
        <v>7</v>
      </c>
      <c r="Q53" s="8">
        <v>4</v>
      </c>
      <c r="R53" s="8">
        <v>2.0499999999999998</v>
      </c>
      <c r="S53" s="8">
        <v>0</v>
      </c>
      <c r="T53" s="8">
        <v>0</v>
      </c>
      <c r="U53" s="8">
        <v>0.22</v>
      </c>
      <c r="V53" s="9">
        <v>40</v>
      </c>
      <c r="W53" s="9">
        <v>0</v>
      </c>
      <c r="X53" s="9">
        <v>0</v>
      </c>
      <c r="Y53" s="8">
        <v>0</v>
      </c>
      <c r="Z53" s="9">
        <v>42.3</v>
      </c>
      <c r="AA53" s="9">
        <v>2604.04</v>
      </c>
      <c r="AB53" s="8">
        <v>6.92</v>
      </c>
      <c r="AC53" s="10">
        <v>0</v>
      </c>
      <c r="AD53" s="8">
        <v>6.73</v>
      </c>
      <c r="AE53" s="8">
        <v>10.67</v>
      </c>
      <c r="AF53" s="8">
        <v>14</v>
      </c>
      <c r="AG53" s="7">
        <v>61648.675200000005</v>
      </c>
      <c r="AH53" s="8">
        <v>9380.0087999999996</v>
      </c>
      <c r="AI53" s="8">
        <v>12245.284799999999</v>
      </c>
      <c r="AJ53" s="8">
        <v>21112.560000000001</v>
      </c>
      <c r="AK53" s="8">
        <v>12064.32</v>
      </c>
      <c r="AL53" s="8">
        <v>6182.9639999999999</v>
      </c>
      <c r="AM53" s="8">
        <v>0</v>
      </c>
      <c r="AN53" s="8">
        <v>0</v>
      </c>
      <c r="AO53" s="8">
        <v>663.5376</v>
      </c>
      <c r="AQ53" s="104">
        <v>26.91</v>
      </c>
      <c r="AR53" s="375">
        <v>7.81</v>
      </c>
      <c r="AS53" s="376"/>
      <c r="AT53" s="104">
        <v>8.4499999999999993</v>
      </c>
      <c r="AU53" s="104">
        <v>1.53</v>
      </c>
      <c r="AV53" s="104">
        <v>0.18</v>
      </c>
      <c r="AW53" s="104">
        <v>0.48</v>
      </c>
      <c r="AX53" s="104">
        <v>4.93</v>
      </c>
      <c r="AY53" s="104">
        <v>2.6</v>
      </c>
      <c r="AZ53" s="104">
        <v>0</v>
      </c>
      <c r="BA53" s="104">
        <v>0</v>
      </c>
      <c r="BB53" s="104">
        <v>0</v>
      </c>
      <c r="BC53" s="101">
        <v>0.93</v>
      </c>
      <c r="BD53" s="104">
        <v>30.48903</v>
      </c>
      <c r="BE53" s="375">
        <v>8.8487299999999998</v>
      </c>
      <c r="BF53" s="376">
        <v>0</v>
      </c>
      <c r="BG53" s="104">
        <v>9.5738499999999984</v>
      </c>
      <c r="BH53" s="104">
        <v>1.73349</v>
      </c>
      <c r="BI53" s="104">
        <v>0.20393999999999998</v>
      </c>
      <c r="BJ53" s="104">
        <v>0.54383999999999999</v>
      </c>
      <c r="BK53" s="104">
        <v>5.5856899999999996</v>
      </c>
      <c r="BL53" s="104">
        <v>2.9458000000000002</v>
      </c>
      <c r="BM53" s="104">
        <v>0</v>
      </c>
      <c r="BN53" s="104">
        <v>0</v>
      </c>
      <c r="BO53" s="104">
        <v>0</v>
      </c>
      <c r="BP53" s="101">
        <v>1.05369</v>
      </c>
      <c r="BQ53" s="103">
        <v>180316.49360400005</v>
      </c>
      <c r="BR53" s="371">
        <v>52332.657564000008</v>
      </c>
      <c r="BS53" s="371">
        <v>0</v>
      </c>
      <c r="BT53" s="103">
        <v>56621.121179999995</v>
      </c>
      <c r="BU53" s="103">
        <v>10252.108332</v>
      </c>
      <c r="BV53" s="103">
        <v>1206.1303919999998</v>
      </c>
      <c r="BW53" s="103">
        <v>3216.3477119999998</v>
      </c>
      <c r="BX53" s="103">
        <v>33034.571292000001</v>
      </c>
      <c r="BY53" s="103">
        <v>17421.883440000001</v>
      </c>
      <c r="BZ53" s="103">
        <v>0</v>
      </c>
      <c r="CA53" s="103">
        <v>0</v>
      </c>
      <c r="CB53" s="103">
        <v>0</v>
      </c>
      <c r="CC53" s="103">
        <v>6231.6736919999994</v>
      </c>
      <c r="CD53" s="1">
        <v>1</v>
      </c>
      <c r="CF53" s="277">
        <f>SUMIF(Оборот!$A:$A,$B:$B,Оборот!H:H)</f>
        <v>136306.72000000003</v>
      </c>
      <c r="CG53" s="277">
        <f>SUMIF(Оборот!$A:$A,$B:$B,Оборот!I:I)</f>
        <v>132696.42000000001</v>
      </c>
      <c r="CH53" s="277">
        <f t="shared" si="0"/>
        <v>301619.9841841411</v>
      </c>
      <c r="CI53" s="239">
        <f t="shared" si="5"/>
        <v>52432.926926671251</v>
      </c>
      <c r="CJ53" s="276">
        <f>SUMIF('20Ф'!$H:$H,$B:$B,'20Ф'!M:M)*1.2</f>
        <v>0</v>
      </c>
      <c r="CK53" s="276">
        <f>SUMIF('20Ф'!$H:$H,$B:$B,'20Ф'!O:O)*1.2</f>
        <v>0</v>
      </c>
      <c r="CL53" s="276">
        <f>SUMIF('20Ф'!$H:$H,$B:$B,'20Ф'!Q:Q)*1.2</f>
        <v>0</v>
      </c>
      <c r="CM53" s="276">
        <f>SUMIF('20Ф'!$H:$H,$B:$B,'20Ф'!R:R)*1.2</f>
        <v>0</v>
      </c>
      <c r="CN53" s="276">
        <f>SUMIF('20Ф'!$H:$H,$B:$B,'20Ф'!S:S)*1.2</f>
        <v>0</v>
      </c>
      <c r="CO53" s="276">
        <f>SUMIF('20Ф'!$H:$H,$B:$B,'20Ф'!W:W)*1.2</f>
        <v>0</v>
      </c>
      <c r="CP53" s="276">
        <f>SUMIF('20Ф'!$H:$H,$B:$B,'20Ф'!P:P)*1.2</f>
        <v>0</v>
      </c>
      <c r="CQ53" s="276">
        <f>SUMIF('20Ф'!$H:$H,$B:$B,'20Ф'!Y:Y)*1.2</f>
        <v>0</v>
      </c>
      <c r="CR53" s="276">
        <f>SUMIF('20Ф'!$H:$H,$B:$B,'20Ф'!Z:Z)*1.2</f>
        <v>0</v>
      </c>
      <c r="CS53" s="276">
        <f>SUMIF('20Ф'!$H:$H,$B:$B,'20Ф'!AB:AB)*1.2</f>
        <v>0</v>
      </c>
      <c r="CT53" s="276">
        <f>SUMIF('20Ф'!$H:$H,$B:$B,'20Ф'!AC:AC)*1.2</f>
        <v>0</v>
      </c>
      <c r="CU53" s="276">
        <f>SUMIF('20Ф'!$H:$H,$B:$B,'20Ф'!AD:AD)*1.2</f>
        <v>48011.687999999995</v>
      </c>
      <c r="CV53" s="276">
        <f>SUMIF('20Ф'!$H:$H,$B:$B,'20Ф'!AE:AE)*1.2</f>
        <v>0</v>
      </c>
      <c r="CW53" s="276">
        <f>SUMIF('20Ф'!$H:$H,$B:$B,'20Ф'!AF:AF)*1.2</f>
        <v>0</v>
      </c>
      <c r="CX53" s="276">
        <f>SUMIF('20Ф'!$H:$H,$B:$B,'20Ф'!AG:AG)*1.2</f>
        <v>0</v>
      </c>
      <c r="CY53" s="276">
        <f>SUMIF('20Ф'!$H:$H,$B:$B,'20Ф'!AH:AH)*1.2</f>
        <v>0</v>
      </c>
      <c r="CZ53" s="276">
        <f>SUMIF('20Ф'!$H:$H,$B:$B,'20Ф'!AI:AI)*1.2</f>
        <v>0</v>
      </c>
      <c r="DA53" s="276">
        <f>SUMIF('20Ф'!$H:$H,$B:$B,'20Ф'!AJ:AJ)*1.2</f>
        <v>0</v>
      </c>
      <c r="DB53" s="276">
        <f>SUMIF('20Ф'!$H:$H,$B:$B,'20Ф'!AK:AK)*1.2</f>
        <v>0</v>
      </c>
      <c r="DC53" s="276">
        <f>SUMIF('20Ф'!$H:$H,$B:$B,'20Ф'!AL:AL)*1.2</f>
        <v>0</v>
      </c>
      <c r="DD53" s="276">
        <f>SUMIF('20Ф'!$H:$H,$B:$B,'20Ф'!AM:AM)*1.2</f>
        <v>0</v>
      </c>
      <c r="DE53" s="276">
        <f>SUMIF('20Ф'!$H:$H,$B:$B,'20Ф'!AN:AN)*1.2</f>
        <v>0</v>
      </c>
      <c r="DF53" s="276">
        <f>SUMIF('20Ф'!$H:$H,$B:$B,'20Ф'!AO:AO)*1.2</f>
        <v>0</v>
      </c>
      <c r="DG53" s="276">
        <f>SUMIF('20Ф'!$H:$H,$B:$B,'20Ф'!AP:AP)*1.2</f>
        <v>0</v>
      </c>
      <c r="DH53" s="276">
        <f>SUMIF('20Ф'!$H:$H,$B:$B,'20Ф'!AQ:AQ)*1.2</f>
        <v>0</v>
      </c>
      <c r="DI53" s="276">
        <f>SUMIF('20Ф'!$H:$H,$B:$B,'20Ф'!BA:BA)*1.2</f>
        <v>0</v>
      </c>
      <c r="DJ53" s="276">
        <f>SUMIF('20Ф'!$H:$H,$B:$B,'20Ф'!BB:BB)*1.2</f>
        <v>0</v>
      </c>
      <c r="DK53" s="276">
        <f>SUMIF('20Ф'!$H:$H,$B:$B,'20Ф'!BC:BC)*1.2</f>
        <v>0</v>
      </c>
      <c r="DL53" s="276">
        <f>$D53/$D$281*'20Ф'!$H$218</f>
        <v>4421.2389266712526</v>
      </c>
      <c r="DM53" s="240">
        <f t="shared" si="1"/>
        <v>131316.96471403298</v>
      </c>
      <c r="DN53" s="276">
        <f>SUMIF('20Ф'!$H:$H,$B:$B,'20Ф'!AV:AV)*1.2</f>
        <v>0</v>
      </c>
      <c r="DO53" s="276">
        <f>SUMIF('20Ф'!$H:$H,$B:$B,'20Ф'!AW:AW)*1.2+$D53/$D$281*'26Ф'!$D$42</f>
        <v>2352.7544951987948</v>
      </c>
      <c r="DP53" s="276">
        <f>SUMIF('20Ф'!$H:$H,$B:$B,'20Ф'!AX:AX)*1.2</f>
        <v>0</v>
      </c>
      <c r="DQ53" s="276">
        <f>SUMIF('20Ф'!$H:$H,$B:$B,'20Ф'!AY:AY)*1.2</f>
        <v>6858.9960000000001</v>
      </c>
      <c r="DR53" s="276">
        <f>SUMIF('20Ф'!$H:$H,$B:$B,'20Ф'!AU:AU)*1.2</f>
        <v>0</v>
      </c>
      <c r="DS53" s="276">
        <f>SUMIF('20Ф'!$H:$H,$B:$B,'20Ф'!AS:AS)*1.2</f>
        <v>0</v>
      </c>
      <c r="DT53" s="276">
        <f>SUMIF('20Ф'!$H:$H,$B:$B,'20Ф'!AR:AR)*1.2</f>
        <v>30971.58</v>
      </c>
      <c r="DU53" s="276">
        <f>SUMIF('20Ф'!$H:$H,$B:$B,'20Ф'!X:X)*1.2</f>
        <v>49631.423999999992</v>
      </c>
      <c r="DV53" s="276">
        <f>SUMIF('20Ф'!$H:$H,$B:$B,'20Ф'!AA:AA)*1.2</f>
        <v>0</v>
      </c>
      <c r="DW53" s="276">
        <f>SUMIF('20Ф'!$H:$H,$B:$B,'20Ф'!N:N)*1.2</f>
        <v>0</v>
      </c>
      <c r="DX53" s="276">
        <f>$D53/$D$281*('25Ф'!$D$37)</f>
        <v>39546.859713285303</v>
      </c>
      <c r="DY53" s="276">
        <f>$D53/$D$281*'25Ф'!$D$30</f>
        <v>1262.2116173751733</v>
      </c>
      <c r="DZ53" s="276">
        <f>$D53/$D$281*'25Ф'!$D$31</f>
        <v>693.13888817373595</v>
      </c>
      <c r="EA53" s="276"/>
      <c r="EB53" s="276">
        <f t="shared" si="2"/>
        <v>24915.142309655785</v>
      </c>
      <c r="EC53" s="276">
        <f>$D53/$D$281*'26Ф'!$D$36</f>
        <v>12969.133958387796</v>
      </c>
      <c r="ED53" s="276">
        <f>$D53/$D$281*'26Ф'!$D$37</f>
        <v>1558.2275937951999</v>
      </c>
      <c r="EE53" s="276">
        <f>$D53/$D$281*'26Ф'!$D$38</f>
        <v>1574.2087510868673</v>
      </c>
      <c r="EF53" s="276">
        <f>$D53/$D$281*'26Ф'!$D$39</f>
        <v>1104.3060021442759</v>
      </c>
      <c r="EG53" s="276">
        <f>$D53/$D$281*'91Ф'!$D$10</f>
        <v>340.6779423868</v>
      </c>
      <c r="EH53" s="276">
        <f>$D53/$D$281*('20Ф'!$I$509+'26Ф'!$D$41+'20Ф'!$I$507)</f>
        <v>2410.1842624502342</v>
      </c>
      <c r="EI53" s="276">
        <f>$D53/$D$281*'91Ф'!$D$31</f>
        <v>4418.221760214532</v>
      </c>
      <c r="EJ53" s="276">
        <f>$D53/$D$281*'20Ф'!$I$1316</f>
        <v>540.18203919007897</v>
      </c>
      <c r="EK53" s="276">
        <f>$D53/$D$281*('20Ф'!$I$1105+'20Ф'!$I$1282+'91Ф'!$D$17+'91Ф'!$D$41)</f>
        <v>17740.179983892041</v>
      </c>
      <c r="EL53" s="276">
        <f>$D53/$D$281*отчёт!BX$294</f>
        <v>29656.170600438047</v>
      </c>
      <c r="EM53" s="276">
        <f>$D53/$D$281*отчёт!BY$294</f>
        <v>26081.010157979017</v>
      </c>
      <c r="EN53" s="276">
        <f>SUMIF(отчёт!$B:$B,$B:$B,отчёт!BZ:BZ)/отчёт!BZ$281*('60Ф'!$O$151+'60Ф'!$P$151)*отчёт!BZ$293</f>
        <v>0</v>
      </c>
      <c r="EO53" s="240">
        <f t="shared" si="3"/>
        <v>0</v>
      </c>
      <c r="EP53" s="276">
        <f>SUMIF('20Ф'!$H:$H,$B:$B,'20Ф'!T:T)*1.2</f>
        <v>0</v>
      </c>
      <c r="EQ53" s="276">
        <f>SUMIF('20Ф'!$H:$H,$B:$B,'20Ф'!U:U)*1.2</f>
        <v>0</v>
      </c>
      <c r="ER53" s="236"/>
      <c r="ES53" s="239">
        <f t="shared" si="6"/>
        <v>9925.931595000211</v>
      </c>
      <c r="ET53" s="276">
        <f>$D53/$D$282*'20Ф'!$I$381</f>
        <v>758.64846206754783</v>
      </c>
      <c r="EU53" s="276">
        <f>$D53/$D$282*('20Ф'!$I$75+'20Ф'!$I$1098)*1.2</f>
        <v>8762.7265217250242</v>
      </c>
      <c r="EV53" s="276">
        <f>$D53/$D$282*('20Ф'!$I$1286)</f>
        <v>404.55661120763961</v>
      </c>
      <c r="EW53" s="276">
        <f>SUMIF('91.1Ф'!$N:$N,$B:$B,'91.1Ф'!$F:$F)+$D53/$D$281*('91Ф'!$D$12+'91Ф'!$D$11+'91Ф'!$D$19+'91Ф'!$D$20)</f>
        <v>2338.0690113186938</v>
      </c>
      <c r="EX53" s="276">
        <f t="shared" si="4"/>
        <v>7213.5888851530353</v>
      </c>
      <c r="EY53" s="276">
        <f>SUMIF('20Ф'!$H:$H,$B:$B,'20Ф'!$AY:$AY)*1.2</f>
        <v>6858.9960000000001</v>
      </c>
      <c r="EZ53" s="295">
        <f>D53/$D$286*'20Ф'!$I$1163</f>
        <v>354.59288515303507</v>
      </c>
      <c r="FA53" s="277">
        <f>SUMIF(отчёт!$B:$B,$B:$B,отчёт!$CU:$CU)/отчёт!$CU$281*'20Ф'!$I$1341</f>
        <v>0</v>
      </c>
      <c r="FB53" s="276">
        <f>SUMIF(Сальдо!$A:$A,$B:$B,Сальдо!$H:$H)-SUMIF(Сальдо!$A:$A,$B:$B,Сальдо!$I:$I)</f>
        <v>35230.880000000005</v>
      </c>
    </row>
    <row r="54" spans="1:158" ht="12" customHeight="1" x14ac:dyDescent="0.25">
      <c r="A54" s="3">
        <f t="shared" si="7"/>
        <v>50</v>
      </c>
      <c r="B54" s="4" t="s">
        <v>98</v>
      </c>
      <c r="C54" s="4" t="s">
        <v>98</v>
      </c>
      <c r="D54" s="5">
        <v>758.99</v>
      </c>
      <c r="E54" s="6">
        <v>758.99</v>
      </c>
      <c r="F54" s="6">
        <v>0</v>
      </c>
      <c r="G54" s="6">
        <v>99.8</v>
      </c>
      <c r="H54" s="5">
        <f>SUMIF(отчёт!$B:$B,$B:$B,отчёт!I:I)</f>
        <v>0</v>
      </c>
      <c r="I54" s="5">
        <f>SUMIF(отчёт!$B:$B,$B:$B,отчёт!J:J)</f>
        <v>0</v>
      </c>
      <c r="J54" s="3" t="s">
        <v>74</v>
      </c>
      <c r="K54" s="105">
        <v>9</v>
      </c>
      <c r="L54" s="105" t="s">
        <v>75</v>
      </c>
      <c r="M54" s="12">
        <v>20.440000000000001</v>
      </c>
      <c r="N54" s="8">
        <v>3.11</v>
      </c>
      <c r="O54" s="8">
        <v>4.0599999999999996</v>
      </c>
      <c r="P54" s="8">
        <v>7</v>
      </c>
      <c r="Q54" s="8">
        <v>4</v>
      </c>
      <c r="R54" s="8">
        <v>2.0499999999999998</v>
      </c>
      <c r="S54" s="8">
        <v>0</v>
      </c>
      <c r="T54" s="8">
        <v>0</v>
      </c>
      <c r="U54" s="8">
        <v>0.22</v>
      </c>
      <c r="V54" s="9">
        <v>40</v>
      </c>
      <c r="W54" s="9">
        <v>0</v>
      </c>
      <c r="X54" s="9">
        <v>0</v>
      </c>
      <c r="Y54" s="8">
        <v>0</v>
      </c>
      <c r="Z54" s="9">
        <v>42.3</v>
      </c>
      <c r="AA54" s="9">
        <v>2604.04</v>
      </c>
      <c r="AB54" s="8">
        <v>6.92</v>
      </c>
      <c r="AC54" s="10">
        <v>0</v>
      </c>
      <c r="AD54" s="8">
        <v>6.73</v>
      </c>
      <c r="AE54" s="8">
        <v>10.67</v>
      </c>
      <c r="AF54" s="8">
        <v>14</v>
      </c>
      <c r="AG54" s="7">
        <v>93082.533599999995</v>
      </c>
      <c r="AH54" s="8">
        <v>14162.753400000001</v>
      </c>
      <c r="AI54" s="8">
        <v>18488.996399999996</v>
      </c>
      <c r="AJ54" s="8">
        <v>31877.58</v>
      </c>
      <c r="AK54" s="8">
        <v>18215.760000000002</v>
      </c>
      <c r="AL54" s="8">
        <v>9335.5769999999993</v>
      </c>
      <c r="AM54" s="8">
        <v>0</v>
      </c>
      <c r="AN54" s="8">
        <v>0</v>
      </c>
      <c r="AO54" s="8">
        <v>1001.8668</v>
      </c>
      <c r="AQ54" s="104">
        <v>26.91</v>
      </c>
      <c r="AR54" s="375">
        <v>7.81</v>
      </c>
      <c r="AS54" s="376"/>
      <c r="AT54" s="104">
        <v>8.4499999999999993</v>
      </c>
      <c r="AU54" s="104">
        <v>1.53</v>
      </c>
      <c r="AV54" s="104">
        <v>0.18</v>
      </c>
      <c r="AW54" s="104">
        <v>0.48</v>
      </c>
      <c r="AX54" s="104">
        <v>4.93</v>
      </c>
      <c r="AY54" s="104">
        <v>2.6</v>
      </c>
      <c r="AZ54" s="104">
        <v>0</v>
      </c>
      <c r="BA54" s="104">
        <v>0</v>
      </c>
      <c r="BB54" s="104">
        <v>0</v>
      </c>
      <c r="BC54" s="101">
        <v>0.93</v>
      </c>
      <c r="BD54" s="104">
        <v>30.48903</v>
      </c>
      <c r="BE54" s="375">
        <v>8.8487299999999998</v>
      </c>
      <c r="BF54" s="376">
        <v>0</v>
      </c>
      <c r="BG54" s="104">
        <v>9.5738499999999984</v>
      </c>
      <c r="BH54" s="104">
        <v>1.73349</v>
      </c>
      <c r="BI54" s="104">
        <v>0.20393999999999998</v>
      </c>
      <c r="BJ54" s="104">
        <v>0.54383999999999999</v>
      </c>
      <c r="BK54" s="104">
        <v>5.5856899999999996</v>
      </c>
      <c r="BL54" s="104">
        <v>2.9458000000000002</v>
      </c>
      <c r="BM54" s="104">
        <v>0</v>
      </c>
      <c r="BN54" s="104">
        <v>0</v>
      </c>
      <c r="BO54" s="104">
        <v>0</v>
      </c>
      <c r="BP54" s="101">
        <v>1.05369</v>
      </c>
      <c r="BQ54" s="103">
        <v>272257.53059699998</v>
      </c>
      <c r="BR54" s="371">
        <v>79016.399627000006</v>
      </c>
      <c r="BS54" s="371">
        <v>0</v>
      </c>
      <c r="BT54" s="103">
        <v>85491.495114999998</v>
      </c>
      <c r="BU54" s="103">
        <v>15479.525151</v>
      </c>
      <c r="BV54" s="103">
        <v>1821.1206059999997</v>
      </c>
      <c r="BW54" s="103">
        <v>4856.3216160000002</v>
      </c>
      <c r="BX54" s="103">
        <v>49878.469931</v>
      </c>
      <c r="BY54" s="103">
        <v>26305.075420000001</v>
      </c>
      <c r="BZ54" s="103">
        <v>0</v>
      </c>
      <c r="CA54" s="103">
        <v>0</v>
      </c>
      <c r="CB54" s="103">
        <v>0</v>
      </c>
      <c r="CC54" s="103">
        <v>9409.1231309999985</v>
      </c>
      <c r="CD54" s="1">
        <v>1</v>
      </c>
      <c r="CF54" s="277">
        <f>SUMIF(Оборот!$A:$A,$B:$B,Оборот!H:H)</f>
        <v>205807.76</v>
      </c>
      <c r="CG54" s="277">
        <f>SUMIF(Оборот!$A:$A,$B:$B,Оборот!I:I)</f>
        <v>209379.92</v>
      </c>
      <c r="CH54" s="277">
        <f t="shared" si="0"/>
        <v>326264.2447130605</v>
      </c>
      <c r="CI54" s="239">
        <f t="shared" si="5"/>
        <v>6675.5712042536297</v>
      </c>
      <c r="CJ54" s="276">
        <f>SUMIF('20Ф'!$H:$H,$B:$B,'20Ф'!M:M)*1.2</f>
        <v>0</v>
      </c>
      <c r="CK54" s="276">
        <f>SUMIF('20Ф'!$H:$H,$B:$B,'20Ф'!O:O)*1.2</f>
        <v>0</v>
      </c>
      <c r="CL54" s="276">
        <f>SUMIF('20Ф'!$H:$H,$B:$B,'20Ф'!Q:Q)*1.2</f>
        <v>0</v>
      </c>
      <c r="CM54" s="276">
        <f>SUMIF('20Ф'!$H:$H,$B:$B,'20Ф'!R:R)*1.2</f>
        <v>0</v>
      </c>
      <c r="CN54" s="276">
        <f>SUMIF('20Ф'!$H:$H,$B:$B,'20Ф'!S:S)*1.2</f>
        <v>0</v>
      </c>
      <c r="CO54" s="276">
        <f>SUMIF('20Ф'!$H:$H,$B:$B,'20Ф'!W:W)*1.2</f>
        <v>0</v>
      </c>
      <c r="CP54" s="276">
        <f>SUMIF('20Ф'!$H:$H,$B:$B,'20Ф'!P:P)*1.2</f>
        <v>0</v>
      </c>
      <c r="CQ54" s="276">
        <f>SUMIF('20Ф'!$H:$H,$B:$B,'20Ф'!Y:Y)*1.2</f>
        <v>0</v>
      </c>
      <c r="CR54" s="276">
        <f>SUMIF('20Ф'!$H:$H,$B:$B,'20Ф'!Z:Z)*1.2</f>
        <v>0</v>
      </c>
      <c r="CS54" s="276">
        <f>SUMIF('20Ф'!$H:$H,$B:$B,'20Ф'!AB:AB)*1.2</f>
        <v>0</v>
      </c>
      <c r="CT54" s="276">
        <f>SUMIF('20Ф'!$H:$H,$B:$B,'20Ф'!AC:AC)*1.2</f>
        <v>0</v>
      </c>
      <c r="CU54" s="276">
        <f>SUMIF('20Ф'!$H:$H,$B:$B,'20Ф'!AD:AD)*1.2</f>
        <v>0</v>
      </c>
      <c r="CV54" s="276">
        <f>SUMIF('20Ф'!$H:$H,$B:$B,'20Ф'!AE:AE)*1.2</f>
        <v>0</v>
      </c>
      <c r="CW54" s="276">
        <f>SUMIF('20Ф'!$H:$H,$B:$B,'20Ф'!AF:AF)*1.2</f>
        <v>0</v>
      </c>
      <c r="CX54" s="276">
        <f>SUMIF('20Ф'!$H:$H,$B:$B,'20Ф'!AG:AG)*1.2</f>
        <v>0</v>
      </c>
      <c r="CY54" s="276">
        <f>SUMIF('20Ф'!$H:$H,$B:$B,'20Ф'!AH:AH)*1.2</f>
        <v>0</v>
      </c>
      <c r="CZ54" s="276">
        <f>SUMIF('20Ф'!$H:$H,$B:$B,'20Ф'!AI:AI)*1.2</f>
        <v>0</v>
      </c>
      <c r="DA54" s="276">
        <f>SUMIF('20Ф'!$H:$H,$B:$B,'20Ф'!AJ:AJ)*1.2</f>
        <v>0</v>
      </c>
      <c r="DB54" s="276">
        <f>SUMIF('20Ф'!$H:$H,$B:$B,'20Ф'!AK:AK)*1.2</f>
        <v>0</v>
      </c>
      <c r="DC54" s="276">
        <f>SUMIF('20Ф'!$H:$H,$B:$B,'20Ф'!AL:AL)*1.2</f>
        <v>0</v>
      </c>
      <c r="DD54" s="276">
        <f>SUMIF('20Ф'!$H:$H,$B:$B,'20Ф'!AM:AM)*1.2</f>
        <v>0</v>
      </c>
      <c r="DE54" s="276">
        <f>SUMIF('20Ф'!$H:$H,$B:$B,'20Ф'!AN:AN)*1.2</f>
        <v>0</v>
      </c>
      <c r="DF54" s="276">
        <f>SUMIF('20Ф'!$H:$H,$B:$B,'20Ф'!AO:AO)*1.2</f>
        <v>0</v>
      </c>
      <c r="DG54" s="276">
        <f>SUMIF('20Ф'!$H:$H,$B:$B,'20Ф'!AP:AP)*1.2</f>
        <v>0</v>
      </c>
      <c r="DH54" s="276">
        <f>SUMIF('20Ф'!$H:$H,$B:$B,'20Ф'!AQ:AQ)*1.2</f>
        <v>0</v>
      </c>
      <c r="DI54" s="276">
        <f>SUMIF('20Ф'!$H:$H,$B:$B,'20Ф'!BA:BA)*1.2</f>
        <v>0</v>
      </c>
      <c r="DJ54" s="276">
        <f>SUMIF('20Ф'!$H:$H,$B:$B,'20Ф'!BB:BB)*1.2</f>
        <v>0</v>
      </c>
      <c r="DK54" s="276">
        <f>SUMIF('20Ф'!$H:$H,$B:$B,'20Ф'!BC:BC)*1.2</f>
        <v>0</v>
      </c>
      <c r="DL54" s="276">
        <f>$D54/$D$281*'20Ф'!$H$218</f>
        <v>6675.5712042536297</v>
      </c>
      <c r="DM54" s="240">
        <f t="shared" si="1"/>
        <v>144747.46135494532</v>
      </c>
      <c r="DN54" s="276">
        <f>SUMIF('20Ф'!$H:$H,$B:$B,'20Ф'!AV:AV)*1.2</f>
        <v>0</v>
      </c>
      <c r="DO54" s="276">
        <f>SUMIF('20Ф'!$H:$H,$B:$B,'20Ф'!AW:AW)*1.2+$D54/$D$281*'26Ф'!$D$42</f>
        <v>3552.393439784621</v>
      </c>
      <c r="DP54" s="276">
        <f>SUMIF('20Ф'!$H:$H,$B:$B,'20Ф'!AX:AX)*1.2</f>
        <v>0</v>
      </c>
      <c r="DQ54" s="276">
        <f>SUMIF('20Ф'!$H:$H,$B:$B,'20Ф'!AY:AY)*1.2</f>
        <v>7227</v>
      </c>
      <c r="DR54" s="276">
        <f>SUMIF('20Ф'!$H:$H,$B:$B,'20Ф'!AU:AU)*1.2</f>
        <v>0</v>
      </c>
      <c r="DS54" s="276">
        <f>SUMIF('20Ф'!$H:$H,$B:$B,'20Ф'!AS:AS)*1.2</f>
        <v>0</v>
      </c>
      <c r="DT54" s="276">
        <f>SUMIF('20Ф'!$H:$H,$B:$B,'20Ф'!AR:AR)*1.2</f>
        <v>31773.815999999999</v>
      </c>
      <c r="DU54" s="276">
        <f>SUMIF('20Ф'!$H:$H,$B:$B,'20Ф'!X:X)*1.2</f>
        <v>39530.603999999999</v>
      </c>
      <c r="DV54" s="276">
        <f>SUMIF('20Ф'!$H:$H,$B:$B,'20Ф'!AA:AA)*1.2</f>
        <v>0</v>
      </c>
      <c r="DW54" s="276">
        <f>SUMIF('20Ф'!$H:$H,$B:$B,'20Ф'!N:N)*1.2</f>
        <v>0</v>
      </c>
      <c r="DX54" s="276">
        <f>$D54/$D$281*('25Ф'!$D$37)</f>
        <v>59711.289595341805</v>
      </c>
      <c r="DY54" s="276">
        <f>$D54/$D$281*'25Ф'!$D$30</f>
        <v>1905.7969194548875</v>
      </c>
      <c r="DZ54" s="276">
        <f>$D54/$D$281*'25Ф'!$D$31</f>
        <v>1046.5614003640167</v>
      </c>
      <c r="EA54" s="276"/>
      <c r="EB54" s="276">
        <f t="shared" si="2"/>
        <v>37619.049617262768</v>
      </c>
      <c r="EC54" s="276">
        <f>$D54/$D$281*'26Ф'!$D$36</f>
        <v>19581.92683830022</v>
      </c>
      <c r="ED54" s="276">
        <f>$D54/$D$281*'26Ф'!$D$37</f>
        <v>2352.7475957161992</v>
      </c>
      <c r="EE54" s="276">
        <f>$D54/$D$281*'26Ф'!$D$38</f>
        <v>2376.8773374461321</v>
      </c>
      <c r="EF54" s="276">
        <f>$D54/$D$281*'26Ф'!$D$39</f>
        <v>1667.3772828986314</v>
      </c>
      <c r="EG54" s="276">
        <f>$D54/$D$281*'91Ф'!$D$10</f>
        <v>514.38519832131249</v>
      </c>
      <c r="EH54" s="276">
        <f>$D54/$D$281*('20Ф'!$I$509+'26Ф'!$D$41+'20Ф'!$I$507)</f>
        <v>3639.1058990950578</v>
      </c>
      <c r="EI54" s="276">
        <f>$D54/$D$281*'91Ф'!$D$31</f>
        <v>6671.0156238267455</v>
      </c>
      <c r="EJ54" s="276">
        <f>$D54/$D$281*'20Ф'!$I$1316</f>
        <v>815.61384165846687</v>
      </c>
      <c r="EK54" s="276">
        <f>$D54/$D$281*('20Ф'!$I$1105+'20Ф'!$I$1282+'91Ф'!$D$17+'91Ф'!$D$41)</f>
        <v>26785.667235565808</v>
      </c>
      <c r="EL54" s="276">
        <f>$D54/$D$281*отчёт!BX$294</f>
        <v>44777.466626932597</v>
      </c>
      <c r="EM54" s="276">
        <f>$D54/$D$281*отчёт!BY$294</f>
        <v>39379.378331750806</v>
      </c>
      <c r="EN54" s="276">
        <f>SUMIF(отчёт!$B:$B,$B:$B,отчёт!BZ:BZ)/отчёт!BZ$281*('60Ф'!$O$151+'60Ф'!$P$151)*отчёт!BZ$293</f>
        <v>0</v>
      </c>
      <c r="EO54" s="240">
        <f t="shared" si="3"/>
        <v>0</v>
      </c>
      <c r="EP54" s="276">
        <f>SUMIF('20Ф'!$H:$H,$B:$B,'20Ф'!T:T)*1.2</f>
        <v>0</v>
      </c>
      <c r="EQ54" s="276">
        <f>SUMIF('20Ф'!$H:$H,$B:$B,'20Ф'!U:U)*1.2</f>
        <v>0</v>
      </c>
      <c r="ER54" s="236"/>
      <c r="ES54" s="239">
        <f t="shared" si="6"/>
        <v>14987.035134258795</v>
      </c>
      <c r="ET54" s="276">
        <f>$D54/$D$282*'20Ф'!$I$381</f>
        <v>1145.4734547319333</v>
      </c>
      <c r="EU54" s="276">
        <f>$D54/$D$282*('20Ф'!$I$75+'20Ф'!$I$1098)*1.2</f>
        <v>13230.726909214762</v>
      </c>
      <c r="EV54" s="276">
        <f>$D54/$D$282*('20Ф'!$I$1286)</f>
        <v>610.83477031209986</v>
      </c>
      <c r="EW54" s="276">
        <f>SUMIF('91.1Ф'!$N:$N,$B:$B,'91.1Ф'!$F:$F)+$D54/$D$281*('91Ф'!$D$12+'91Ф'!$D$11+'91Ф'!$D$19+'91Ф'!$D$20)</f>
        <v>3530.2200185023785</v>
      </c>
      <c r="EX54" s="276">
        <f t="shared" si="4"/>
        <v>7762.3951895884102</v>
      </c>
      <c r="EY54" s="276">
        <f>SUMIF('20Ф'!$H:$H,$B:$B,'20Ф'!$AY:$AY)*1.2</f>
        <v>7227</v>
      </c>
      <c r="EZ54" s="295">
        <f>D54/$D$286*'20Ф'!$I$1163</f>
        <v>535.39518958841029</v>
      </c>
      <c r="FA54" s="277">
        <f>SUMIF(отчёт!$B:$B,$B:$B,отчёт!$CU:$CU)/отчёт!$CU$281*'20Ф'!$I$1341</f>
        <v>0</v>
      </c>
      <c r="FB54" s="276">
        <f>SUMIF(Сальдо!$A:$A,$B:$B,Сальдо!$H:$H)-SUMIF(Сальдо!$A:$A,$B:$B,Сальдо!$I:$I)</f>
        <v>22582.28</v>
      </c>
    </row>
    <row r="55" spans="1:158" ht="12" customHeight="1" x14ac:dyDescent="0.2">
      <c r="A55" s="3">
        <f t="shared" si="7"/>
        <v>51</v>
      </c>
      <c r="B55" s="17" t="s">
        <v>99</v>
      </c>
      <c r="C55" s="17" t="s">
        <v>99</v>
      </c>
      <c r="D55" s="5">
        <v>5789.9398064828247</v>
      </c>
      <c r="E55" s="6">
        <v>5758.6998064828249</v>
      </c>
      <c r="F55" s="6">
        <v>31.24</v>
      </c>
      <c r="G55" s="6">
        <v>1030.1199999999999</v>
      </c>
      <c r="H55" s="5">
        <v>3</v>
      </c>
      <c r="I55" s="5">
        <f>SUMIF(отчёт!$B:$B,$B:$B,отчёт!J:J)</f>
        <v>0</v>
      </c>
      <c r="J55" s="3" t="s">
        <v>70</v>
      </c>
      <c r="K55" s="105">
        <v>3</v>
      </c>
      <c r="L55" s="105" t="s">
        <v>52</v>
      </c>
      <c r="M55" s="7">
        <v>45.06</v>
      </c>
      <c r="N55" s="8">
        <v>5.0999999999999996</v>
      </c>
      <c r="O55" s="8">
        <v>8.6300000000000008</v>
      </c>
      <c r="P55" s="8">
        <v>13.43</v>
      </c>
      <c r="Q55" s="8">
        <v>6.91</v>
      </c>
      <c r="R55" s="8">
        <v>3.15</v>
      </c>
      <c r="S55" s="8">
        <v>1.81</v>
      </c>
      <c r="T55" s="8">
        <v>5.77</v>
      </c>
      <c r="U55" s="8">
        <v>0.26</v>
      </c>
      <c r="V55" s="9">
        <v>40</v>
      </c>
      <c r="W55" s="9">
        <v>40</v>
      </c>
      <c r="X55" s="9">
        <v>2604.04</v>
      </c>
      <c r="Y55" s="8">
        <v>195.98199600000001</v>
      </c>
      <c r="Z55" s="9">
        <v>42.3</v>
      </c>
      <c r="AA55" s="9">
        <v>2604.04</v>
      </c>
      <c r="AB55" s="8">
        <v>7.85</v>
      </c>
      <c r="AC55" s="10">
        <v>0</v>
      </c>
      <c r="AD55" s="8">
        <v>6.73</v>
      </c>
      <c r="AE55" s="8">
        <v>10.67</v>
      </c>
      <c r="AF55" s="8">
        <v>14</v>
      </c>
      <c r="AG55" s="7">
        <v>1565368.1260806965</v>
      </c>
      <c r="AH55" s="8">
        <v>177172.1580783744</v>
      </c>
      <c r="AI55" s="8">
        <v>299803.08317968069</v>
      </c>
      <c r="AJ55" s="8">
        <v>466553.34960638598</v>
      </c>
      <c r="AK55" s="8">
        <v>240050.90437677794</v>
      </c>
      <c r="AL55" s="8">
        <v>109429.86234252539</v>
      </c>
      <c r="AM55" s="8">
        <v>62878.746298403479</v>
      </c>
      <c r="AN55" s="8">
        <v>200447.71610043535</v>
      </c>
      <c r="AO55" s="8">
        <v>9032.3060981132076</v>
      </c>
      <c r="AQ55" s="104">
        <v>48.44</v>
      </c>
      <c r="AR55" s="104">
        <v>18.489999999999998</v>
      </c>
      <c r="AS55" s="104"/>
      <c r="AT55" s="104">
        <v>6.67</v>
      </c>
      <c r="AU55" s="104">
        <v>1.53</v>
      </c>
      <c r="AV55" s="104">
        <v>0.32</v>
      </c>
      <c r="AW55" s="104">
        <v>0.87</v>
      </c>
      <c r="AX55" s="104">
        <v>5.01</v>
      </c>
      <c r="AY55" s="104">
        <v>4.99</v>
      </c>
      <c r="AZ55" s="104">
        <v>2.7</v>
      </c>
      <c r="BA55" s="104">
        <v>6.46</v>
      </c>
      <c r="BB55" s="104">
        <v>0.47</v>
      </c>
      <c r="BC55" s="101">
        <v>0.93</v>
      </c>
      <c r="BD55" s="104">
        <v>54.88252</v>
      </c>
      <c r="BE55" s="375">
        <v>20.949169999999999</v>
      </c>
      <c r="BF55" s="376">
        <v>0</v>
      </c>
      <c r="BG55" s="104">
        <v>7.5571100000000007</v>
      </c>
      <c r="BH55" s="104">
        <v>1.7334900000000002</v>
      </c>
      <c r="BI55" s="104">
        <v>0.36256000000000005</v>
      </c>
      <c r="BJ55" s="104">
        <v>0.98571000000000009</v>
      </c>
      <c r="BK55" s="104">
        <v>5.6763300000000001</v>
      </c>
      <c r="BL55" s="104">
        <v>5.65367</v>
      </c>
      <c r="BM55" s="104">
        <v>3.0591000000000004</v>
      </c>
      <c r="BN55" s="104">
        <v>7.3191800000000002</v>
      </c>
      <c r="BO55" s="104">
        <v>0.53250999999999993</v>
      </c>
      <c r="BP55" s="101">
        <v>1.05369</v>
      </c>
      <c r="BQ55" s="103">
        <v>3738594.2407329534</v>
      </c>
      <c r="BR55" s="371">
        <v>1427056.3070014927</v>
      </c>
      <c r="BS55" s="371">
        <v>0</v>
      </c>
      <c r="BT55" s="103">
        <v>514789.91712817509</v>
      </c>
      <c r="BU55" s="103">
        <v>118085.24335923656</v>
      </c>
      <c r="BV55" s="103">
        <v>24697.567238533138</v>
      </c>
      <c r="BW55" s="103">
        <v>67146.510929761978</v>
      </c>
      <c r="BX55" s="103">
        <v>386671.28707828443</v>
      </c>
      <c r="BY55" s="103">
        <v>385127.68912587612</v>
      </c>
      <c r="BZ55" s="103">
        <v>208385.72357512338</v>
      </c>
      <c r="CA55" s="103">
        <v>498582.1386278877</v>
      </c>
      <c r="CB55" s="103">
        <v>36274.551881595537</v>
      </c>
      <c r="CC55" s="103">
        <v>71777.304786986919</v>
      </c>
      <c r="CD55" s="1">
        <v>1</v>
      </c>
      <c r="CF55" s="277">
        <f>SUMIF(Оборот!$A:$A,$B:$B,Оборот!H:H)</f>
        <v>836897.90999999992</v>
      </c>
      <c r="CG55" s="277">
        <f>SUMIF(Оборот!$A:$A,$B:$B,Оборот!I:I)</f>
        <v>939651.07000000007</v>
      </c>
      <c r="CH55" s="277">
        <f t="shared" si="0"/>
        <v>2580538.2994835679</v>
      </c>
      <c r="CI55" s="239">
        <f t="shared" si="5"/>
        <v>399424.27140858059</v>
      </c>
      <c r="CJ55" s="276">
        <f>SUMIF('20Ф'!$H:$H,$B:$B,'20Ф'!M:M)*1.2</f>
        <v>0</v>
      </c>
      <c r="CK55" s="276">
        <f>SUMIF('20Ф'!$H:$H,$B:$B,'20Ф'!O:O)*1.2</f>
        <v>176420.22</v>
      </c>
      <c r="CL55" s="276">
        <f>SUMIF('20Ф'!$H:$H,$B:$B,'20Ф'!Q:Q)*1.2</f>
        <v>0</v>
      </c>
      <c r="CM55" s="276">
        <f>SUMIF('20Ф'!$H:$H,$B:$B,'20Ф'!R:R)*1.2</f>
        <v>0</v>
      </c>
      <c r="CN55" s="276">
        <f>SUMIF('20Ф'!$H:$H,$B:$B,'20Ф'!S:S)*1.2</f>
        <v>0</v>
      </c>
      <c r="CO55" s="276">
        <f>SUMIF('20Ф'!$H:$H,$B:$B,'20Ф'!W:W)*1.2</f>
        <v>0</v>
      </c>
      <c r="CP55" s="276">
        <f>SUMIF('20Ф'!$H:$H,$B:$B,'20Ф'!P:P)*1.2</f>
        <v>0</v>
      </c>
      <c r="CQ55" s="276">
        <f>SUMIF('20Ф'!$H:$H,$B:$B,'20Ф'!Y:Y)*1.2</f>
        <v>0</v>
      </c>
      <c r="CR55" s="276">
        <f>SUMIF('20Ф'!$H:$H,$B:$B,'20Ф'!Z:Z)*1.2</f>
        <v>0</v>
      </c>
      <c r="CS55" s="276">
        <f>SUMIF('20Ф'!$H:$H,$B:$B,'20Ф'!AB:AB)*1.2</f>
        <v>0</v>
      </c>
      <c r="CT55" s="276">
        <f>SUMIF('20Ф'!$H:$H,$B:$B,'20Ф'!AC:AC)*1.2</f>
        <v>0</v>
      </c>
      <c r="CU55" s="276">
        <f>SUMIF('20Ф'!$H:$H,$B:$B,'20Ф'!AD:AD)*1.2</f>
        <v>0</v>
      </c>
      <c r="CV55" s="276">
        <f>SUMIF('20Ф'!$H:$H,$B:$B,'20Ф'!AE:AE)*1.2</f>
        <v>0</v>
      </c>
      <c r="CW55" s="276">
        <f>SUMIF('20Ф'!$H:$H,$B:$B,'20Ф'!AF:AF)*1.2</f>
        <v>0</v>
      </c>
      <c r="CX55" s="276">
        <f>SUMIF('20Ф'!$H:$H,$B:$B,'20Ф'!AG:AG)*1.2</f>
        <v>0</v>
      </c>
      <c r="CY55" s="276">
        <f>SUMIF('20Ф'!$H:$H,$B:$B,'20Ф'!AH:AH)*1.2</f>
        <v>0</v>
      </c>
      <c r="CZ55" s="276">
        <f>SUMIF('20Ф'!$H:$H,$B:$B,'20Ф'!AI:AI)*1.2</f>
        <v>0</v>
      </c>
      <c r="DA55" s="276">
        <f>SUMIF('20Ф'!$H:$H,$B:$B,'20Ф'!AJ:AJ)*1.2</f>
        <v>0</v>
      </c>
      <c r="DB55" s="276">
        <f>SUMIF('20Ф'!$H:$H,$B:$B,'20Ф'!AK:AK)*1.2</f>
        <v>0</v>
      </c>
      <c r="DC55" s="276">
        <f>SUMIF('20Ф'!$H:$H,$B:$B,'20Ф'!AL:AL)*1.2</f>
        <v>0</v>
      </c>
      <c r="DD55" s="276">
        <f>SUMIF('20Ф'!$H:$H,$B:$B,'20Ф'!AM:AM)*1.2</f>
        <v>0</v>
      </c>
      <c r="DE55" s="276">
        <f>SUMIF('20Ф'!$H:$H,$B:$B,'20Ф'!AN:AN)*1.2</f>
        <v>0</v>
      </c>
      <c r="DF55" s="276">
        <f>SUMIF('20Ф'!$H:$H,$B:$B,'20Ф'!AO:AO)*1.2</f>
        <v>0</v>
      </c>
      <c r="DG55" s="276">
        <f>SUMIF('20Ф'!$H:$H,$B:$B,'20Ф'!AP:AP)*1.2</f>
        <v>172079.592</v>
      </c>
      <c r="DH55" s="276">
        <f>SUMIF('20Ф'!$H:$H,$B:$B,'20Ф'!AQ:AQ)*1.2</f>
        <v>0</v>
      </c>
      <c r="DI55" s="276">
        <f>SUMIF('20Ф'!$H:$H,$B:$B,'20Ф'!BA:BA)*1.2</f>
        <v>0</v>
      </c>
      <c r="DJ55" s="276">
        <f>SUMIF('20Ф'!$H:$H,$B:$B,'20Ф'!BB:BB)*1.2</f>
        <v>0</v>
      </c>
      <c r="DK55" s="276">
        <f>SUMIF('20Ф'!$H:$H,$B:$B,'20Ф'!BC:BC)*1.2</f>
        <v>0</v>
      </c>
      <c r="DL55" s="276">
        <f>$D55/$D$281*'20Ф'!$H$218</f>
        <v>50924.45940858058</v>
      </c>
      <c r="DM55" s="240">
        <f t="shared" si="1"/>
        <v>627888.87920155842</v>
      </c>
      <c r="DN55" s="276">
        <f>SUMIF('20Ф'!$H:$H,$B:$B,'20Ф'!AV:AV)*1.2</f>
        <v>0</v>
      </c>
      <c r="DO55" s="276">
        <f>SUMIF('20Ф'!$H:$H,$B:$B,'20Ф'!AW:AW)*1.2+$D55/$D$281*'26Ф'!$D$42</f>
        <v>27099.3612370353</v>
      </c>
      <c r="DP55" s="276">
        <f>SUMIF('20Ф'!$H:$H,$B:$B,'20Ф'!AX:AX)*1.2</f>
        <v>0</v>
      </c>
      <c r="DQ55" s="276">
        <f>SUMIF('20Ф'!$H:$H,$B:$B,'20Ф'!AY:AY)*1.2</f>
        <v>0</v>
      </c>
      <c r="DR55" s="276">
        <f>SUMIF('20Ф'!$H:$H,$B:$B,'20Ф'!AU:AU)*1.2</f>
        <v>0</v>
      </c>
      <c r="DS55" s="276">
        <f>SUMIF('20Ф'!$H:$H,$B:$B,'20Ф'!AS:AS)*1.2</f>
        <v>122761.152</v>
      </c>
      <c r="DT55" s="276">
        <f>SUMIF('20Ф'!$H:$H,$B:$B,'20Ф'!AR:AR)*1.2</f>
        <v>0</v>
      </c>
      <c r="DU55" s="276">
        <f>SUMIF('20Ф'!$H:$H,$B:$B,'20Ф'!X:X)*1.2</f>
        <v>0</v>
      </c>
      <c r="DV55" s="276">
        <f>SUMIF('20Ф'!$H:$H,$B:$B,'20Ф'!AA:AA)*1.2</f>
        <v>0</v>
      </c>
      <c r="DW55" s="276">
        <f>SUMIF('20Ф'!$H:$H,$B:$B,'20Ф'!N:N)*1.2</f>
        <v>0</v>
      </c>
      <c r="DX55" s="276">
        <f>$D55/$D$281*('25Ф'!$D$37)</f>
        <v>455506.36045862682</v>
      </c>
      <c r="DY55" s="276">
        <f>$D55/$D$281*'25Ф'!$D$30</f>
        <v>14538.333109822519</v>
      </c>
      <c r="DZ55" s="276">
        <f>$D55/$D$281*'25Ф'!$D$31</f>
        <v>7983.6723960737672</v>
      </c>
      <c r="EA55" s="276"/>
      <c r="EB55" s="276">
        <f t="shared" si="2"/>
        <v>286976.15628801717</v>
      </c>
      <c r="EC55" s="276">
        <f>$D55/$D$281*'26Ф'!$D$36</f>
        <v>149380.33134653789</v>
      </c>
      <c r="ED55" s="276">
        <f>$D55/$D$281*'26Ф'!$D$37</f>
        <v>17947.88726998245</v>
      </c>
      <c r="EE55" s="276">
        <f>$D55/$D$281*'26Ф'!$D$38</f>
        <v>18131.960514903054</v>
      </c>
      <c r="EF55" s="276">
        <f>$D55/$D$281*'26Ф'!$D$39</f>
        <v>12719.553752592206</v>
      </c>
      <c r="EG55" s="276">
        <f>$D55/$D$281*'91Ф'!$D$10</f>
        <v>3923.9770426832092</v>
      </c>
      <c r="EH55" s="276">
        <f>$D55/$D$281*('20Ф'!$I$509+'26Ф'!$D$41+'20Ф'!$I$507)</f>
        <v>27760.845472505491</v>
      </c>
      <c r="EI55" s="276">
        <f>$D55/$D$281*'91Ф'!$D$31</f>
        <v>50889.707255778492</v>
      </c>
      <c r="EJ55" s="276">
        <f>$D55/$D$281*'20Ф'!$I$1316</f>
        <v>6221.893633034344</v>
      </c>
      <c r="EK55" s="276">
        <f>$D55/$D$281*('20Ф'!$I$1105+'20Ф'!$I$1282+'91Ф'!$D$17+'91Ф'!$D$41)</f>
        <v>204333.91872146566</v>
      </c>
      <c r="EL55" s="276">
        <f>$D55/$D$281*отчёт!BX$294</f>
        <v>341583.99512079632</v>
      </c>
      <c r="EM55" s="276">
        <f>$D55/$D$281*отчёт!BY$294</f>
        <v>300404.78814945015</v>
      </c>
      <c r="EN55" s="276">
        <f>SUMIF(отчёт!$B:$B,$B:$B,отчёт!BZ:BZ)/отчёт!BZ$281*('60Ф'!$O$151+'60Ф'!$P$151)*отчёт!BZ$293</f>
        <v>0</v>
      </c>
      <c r="EO55" s="240">
        <f t="shared" ref="EO55:EO80" si="11">SUBTOTAL(9,EP55:ER55)</f>
        <v>274583.53425149701</v>
      </c>
      <c r="EP55" s="276">
        <f>SUMIF('20Ф'!$H:$H,$B:$B,'20Ф'!T:T)*1.2</f>
        <v>7788.42</v>
      </c>
      <c r="EQ55" s="276">
        <f>SUM(H55:I55)/SUM($H$284:$I$284)*SUM('60Ф'!$O$155:$P$155)</f>
        <v>258765.39263473055</v>
      </c>
      <c r="ER55" s="276">
        <f>SUM($H55:$I55)/SUM($H$284:$I$284)*SUM('60Ф'!$P$227)</f>
        <v>8029.7216167664674</v>
      </c>
      <c r="ES55" s="239">
        <f t="shared" si="6"/>
        <v>114328.29326473561</v>
      </c>
      <c r="ET55" s="276">
        <f>$D55/$D$282*'20Ф'!$I$381</f>
        <v>8738.2209947717656</v>
      </c>
      <c r="EU55" s="276">
        <f>$D55/$D$282*('20Ф'!$I$75+'20Ф'!$I$1098)*1.2</f>
        <v>100930.33162540486</v>
      </c>
      <c r="EV55" s="276">
        <f>$D55/$D$282*('20Ф'!$I$1286)</f>
        <v>4659.7406445589804</v>
      </c>
      <c r="EW55" s="276">
        <f>SUMIF('91.1Ф'!$N:$N,$B:$B,'91.1Ф'!$F:$F)+$D55/$D$281*('91Ф'!$D$12+'91Ф'!$D$11+'91Ф'!$D$19+'91Ф'!$D$20)</f>
        <v>26930.211742933971</v>
      </c>
      <c r="EX55" s="276">
        <f t="shared" si="4"/>
        <v>4084.2513345332027</v>
      </c>
      <c r="EY55" s="276">
        <f>SUMIF('20Ф'!$H:$H,$B:$B,'20Ф'!$AY:$AY)*1.2</f>
        <v>0</v>
      </c>
      <c r="EZ55" s="295">
        <f>D55/$D$286*'20Ф'!$I$1163</f>
        <v>4084.2513345332027</v>
      </c>
      <c r="FA55" s="277">
        <f>SUMIF(отчёт!$B:$B,$B:$B,отчёт!$CU:$CU)/отчёт!$CU$281*'20Ф'!$I$1341</f>
        <v>0</v>
      </c>
      <c r="FB55" s="276">
        <f>SUMIF(Сальдо!$A:$A,$B:$B,Сальдо!$H:$H)-SUMIF(Сальдо!$A:$A,$B:$B,Сальдо!$I:$I)</f>
        <v>802082.61</v>
      </c>
    </row>
    <row r="56" spans="1:158" ht="12" customHeight="1" x14ac:dyDescent="0.2">
      <c r="A56" s="3">
        <f t="shared" si="7"/>
        <v>52</v>
      </c>
      <c r="B56" s="17" t="s">
        <v>100</v>
      </c>
      <c r="C56" s="17" t="s">
        <v>100</v>
      </c>
      <c r="D56" s="5">
        <v>5804.9</v>
      </c>
      <c r="E56" s="6">
        <v>5804.9</v>
      </c>
      <c r="F56" s="6">
        <v>0</v>
      </c>
      <c r="G56" s="6">
        <v>1032.78</v>
      </c>
      <c r="H56" s="5">
        <v>3</v>
      </c>
      <c r="I56" s="5">
        <f>SUMIF(отчёт!$B:$B,$B:$B,отчёт!J:J)</f>
        <v>0</v>
      </c>
      <c r="J56" s="3" t="s">
        <v>70</v>
      </c>
      <c r="K56" s="105">
        <v>3</v>
      </c>
      <c r="L56" s="105" t="s">
        <v>52</v>
      </c>
      <c r="M56" s="7">
        <v>45.06</v>
      </c>
      <c r="N56" s="8">
        <v>5.0999999999999996</v>
      </c>
      <c r="O56" s="8">
        <v>8.6300000000000008</v>
      </c>
      <c r="P56" s="8">
        <v>13.43</v>
      </c>
      <c r="Q56" s="8">
        <v>6.91</v>
      </c>
      <c r="R56" s="8">
        <v>3.15</v>
      </c>
      <c r="S56" s="8">
        <v>1.81</v>
      </c>
      <c r="T56" s="8">
        <v>5.77</v>
      </c>
      <c r="U56" s="8">
        <v>0.26</v>
      </c>
      <c r="V56" s="9">
        <v>40</v>
      </c>
      <c r="W56" s="9">
        <v>40</v>
      </c>
      <c r="X56" s="9">
        <v>2604.04</v>
      </c>
      <c r="Y56" s="8">
        <v>195.98199600000001</v>
      </c>
      <c r="Z56" s="9">
        <v>42.3</v>
      </c>
      <c r="AA56" s="9">
        <v>2604.04</v>
      </c>
      <c r="AB56" s="8">
        <v>7.85</v>
      </c>
      <c r="AC56" s="10">
        <v>0</v>
      </c>
      <c r="AD56" s="8">
        <v>6.73</v>
      </c>
      <c r="AE56" s="8">
        <v>10.67</v>
      </c>
      <c r="AF56" s="8">
        <v>14</v>
      </c>
      <c r="AG56" s="7">
        <v>1569412.764</v>
      </c>
      <c r="AH56" s="8">
        <v>177629.93999999997</v>
      </c>
      <c r="AI56" s="8">
        <v>300577.72200000001</v>
      </c>
      <c r="AJ56" s="8">
        <v>467758.842</v>
      </c>
      <c r="AK56" s="8">
        <v>240671.15399999998</v>
      </c>
      <c r="AL56" s="8">
        <v>109712.60999999999</v>
      </c>
      <c r="AM56" s="8">
        <v>63041.213999999993</v>
      </c>
      <c r="AN56" s="8">
        <v>200965.63799999998</v>
      </c>
      <c r="AO56" s="8">
        <v>9055.6440000000002</v>
      </c>
      <c r="AQ56" s="104">
        <v>48.44</v>
      </c>
      <c r="AR56" s="104">
        <v>18.489999999999998</v>
      </c>
      <c r="AS56" s="104"/>
      <c r="AT56" s="104">
        <v>6.67</v>
      </c>
      <c r="AU56" s="104">
        <v>1.53</v>
      </c>
      <c r="AV56" s="104">
        <v>0.32</v>
      </c>
      <c r="AW56" s="104">
        <v>0.87</v>
      </c>
      <c r="AX56" s="104">
        <v>5.01</v>
      </c>
      <c r="AY56" s="104">
        <v>4.99</v>
      </c>
      <c r="AZ56" s="104">
        <v>2.7</v>
      </c>
      <c r="BA56" s="104">
        <v>6.46</v>
      </c>
      <c r="BB56" s="104">
        <v>0.47</v>
      </c>
      <c r="BC56" s="101">
        <v>0.93</v>
      </c>
      <c r="BD56" s="104">
        <v>54.88252</v>
      </c>
      <c r="BE56" s="375">
        <v>20.949169999999999</v>
      </c>
      <c r="BF56" s="376">
        <v>0</v>
      </c>
      <c r="BG56" s="104">
        <v>7.5571100000000007</v>
      </c>
      <c r="BH56" s="104">
        <v>1.7334900000000002</v>
      </c>
      <c r="BI56" s="104">
        <v>0.36256000000000005</v>
      </c>
      <c r="BJ56" s="104">
        <v>0.98571000000000009</v>
      </c>
      <c r="BK56" s="104">
        <v>5.6763300000000001</v>
      </c>
      <c r="BL56" s="104">
        <v>5.65367</v>
      </c>
      <c r="BM56" s="104">
        <v>3.0591000000000004</v>
      </c>
      <c r="BN56" s="104">
        <v>7.3191800000000002</v>
      </c>
      <c r="BO56" s="104">
        <v>0.53250999999999993</v>
      </c>
      <c r="BP56" s="101">
        <v>1.05369</v>
      </c>
      <c r="BQ56" s="103">
        <v>3748254.1154799997</v>
      </c>
      <c r="BR56" s="371">
        <v>1430743.5713299997</v>
      </c>
      <c r="BS56" s="371">
        <v>0</v>
      </c>
      <c r="BT56" s="103">
        <v>516120.04439</v>
      </c>
      <c r="BU56" s="103">
        <v>118390.35500999998</v>
      </c>
      <c r="BV56" s="103">
        <v>24761.381439999997</v>
      </c>
      <c r="BW56" s="103">
        <v>67320.005789999996</v>
      </c>
      <c r="BX56" s="103">
        <v>387670.37816999998</v>
      </c>
      <c r="BY56" s="103">
        <v>386122.79183</v>
      </c>
      <c r="BZ56" s="103">
        <v>208924.15590000001</v>
      </c>
      <c r="CA56" s="103">
        <v>499870.38782</v>
      </c>
      <c r="CB56" s="103">
        <v>36368.278989999992</v>
      </c>
      <c r="CC56" s="103">
        <v>71962.764809999993</v>
      </c>
      <c r="CD56" s="1">
        <v>1</v>
      </c>
      <c r="CF56" s="277">
        <f>SUMIF(Оборот!$A:$A,$B:$B,Оборот!H:H)</f>
        <v>843568.11</v>
      </c>
      <c r="CG56" s="277">
        <f>SUMIF(Оборот!$A:$A,$B:$B,Оборот!I:I)</f>
        <v>949513.77</v>
      </c>
      <c r="CH56" s="277">
        <f t="shared" si="0"/>
        <v>2330669.3079223027</v>
      </c>
      <c r="CI56" s="239">
        <f t="shared" si="5"/>
        <v>267707.48332011211</v>
      </c>
      <c r="CJ56" s="276">
        <f>SUMIF('20Ф'!$H:$H,$B:$B,'20Ф'!M:M)*1.2</f>
        <v>0</v>
      </c>
      <c r="CK56" s="276">
        <f>SUMIF('20Ф'!$H:$H,$B:$B,'20Ф'!O:O)*1.2</f>
        <v>0</v>
      </c>
      <c r="CL56" s="276">
        <f>SUMIF('20Ф'!$H:$H,$B:$B,'20Ф'!Q:Q)*1.2</f>
        <v>0</v>
      </c>
      <c r="CM56" s="276">
        <f>SUMIF('20Ф'!$H:$H,$B:$B,'20Ф'!R:R)*1.2</f>
        <v>0</v>
      </c>
      <c r="CN56" s="276">
        <f>SUMIF('20Ф'!$H:$H,$B:$B,'20Ф'!S:S)*1.2</f>
        <v>0</v>
      </c>
      <c r="CO56" s="276">
        <f>SUMIF('20Ф'!$H:$H,$B:$B,'20Ф'!W:W)*1.2</f>
        <v>0</v>
      </c>
      <c r="CP56" s="276">
        <f>SUMIF('20Ф'!$H:$H,$B:$B,'20Ф'!P:P)*1.2</f>
        <v>0</v>
      </c>
      <c r="CQ56" s="276">
        <f>SUMIF('20Ф'!$H:$H,$B:$B,'20Ф'!Y:Y)*1.2</f>
        <v>0</v>
      </c>
      <c r="CR56" s="276">
        <f>SUMIF('20Ф'!$H:$H,$B:$B,'20Ф'!Z:Z)*1.2</f>
        <v>0</v>
      </c>
      <c r="CS56" s="276">
        <f>SUMIF('20Ф'!$H:$H,$B:$B,'20Ф'!AB:AB)*1.2</f>
        <v>0</v>
      </c>
      <c r="CT56" s="276">
        <f>SUMIF('20Ф'!$H:$H,$B:$B,'20Ф'!AC:AC)*1.2</f>
        <v>0</v>
      </c>
      <c r="CU56" s="276">
        <f>SUMIF('20Ф'!$H:$H,$B:$B,'20Ф'!AD:AD)*1.2</f>
        <v>0</v>
      </c>
      <c r="CV56" s="276">
        <f>SUMIF('20Ф'!$H:$H,$B:$B,'20Ф'!AE:AE)*1.2</f>
        <v>0</v>
      </c>
      <c r="CW56" s="276">
        <f>SUMIF('20Ф'!$H:$H,$B:$B,'20Ф'!AF:AF)*1.2</f>
        <v>0</v>
      </c>
      <c r="CX56" s="276">
        <f>SUMIF('20Ф'!$H:$H,$B:$B,'20Ф'!AG:AG)*1.2</f>
        <v>0</v>
      </c>
      <c r="CY56" s="276">
        <f>SUMIF('20Ф'!$H:$H,$B:$B,'20Ф'!AH:AH)*1.2</f>
        <v>0</v>
      </c>
      <c r="CZ56" s="276">
        <f>SUMIF('20Ф'!$H:$H,$B:$B,'20Ф'!AI:AI)*1.2</f>
        <v>0</v>
      </c>
      <c r="DA56" s="276">
        <f>SUMIF('20Ф'!$H:$H,$B:$B,'20Ф'!AJ:AJ)*1.2</f>
        <v>0</v>
      </c>
      <c r="DB56" s="276">
        <f>SUMIF('20Ф'!$H:$H,$B:$B,'20Ф'!AK:AK)*1.2</f>
        <v>0</v>
      </c>
      <c r="DC56" s="276">
        <f>SUMIF('20Ф'!$H:$H,$B:$B,'20Ф'!AL:AL)*1.2</f>
        <v>216651.44399999999</v>
      </c>
      <c r="DD56" s="276">
        <f>SUMIF('20Ф'!$H:$H,$B:$B,'20Ф'!AM:AM)*1.2</f>
        <v>0</v>
      </c>
      <c r="DE56" s="276">
        <f>SUMIF('20Ф'!$H:$H,$B:$B,'20Ф'!AN:AN)*1.2</f>
        <v>0</v>
      </c>
      <c r="DF56" s="276">
        <f>SUMIF('20Ф'!$H:$H,$B:$B,'20Ф'!AO:AO)*1.2</f>
        <v>0</v>
      </c>
      <c r="DG56" s="276">
        <f>SUMIF('20Ф'!$H:$H,$B:$B,'20Ф'!AP:AP)*1.2</f>
        <v>0</v>
      </c>
      <c r="DH56" s="276">
        <f>SUMIF('20Ф'!$H:$H,$B:$B,'20Ф'!AQ:AQ)*1.2</f>
        <v>0</v>
      </c>
      <c r="DI56" s="276">
        <f>SUMIF('20Ф'!$H:$H,$B:$B,'20Ф'!BA:BA)*1.2</f>
        <v>0</v>
      </c>
      <c r="DJ56" s="276">
        <f>SUMIF('20Ф'!$H:$H,$B:$B,'20Ф'!BB:BB)*1.2</f>
        <v>0</v>
      </c>
      <c r="DK56" s="276">
        <f>SUMIF('20Ф'!$H:$H,$B:$B,'20Ф'!BC:BC)*1.2</f>
        <v>0</v>
      </c>
      <c r="DL56" s="276">
        <f>$D56/$D$281*'20Ф'!$H$218</f>
        <v>51056.039320112104</v>
      </c>
      <c r="DM56" s="240">
        <f t="shared" si="1"/>
        <v>506432.88905166351</v>
      </c>
      <c r="DN56" s="276">
        <f>SUMIF('20Ф'!$H:$H,$B:$B,'20Ф'!AV:AV)*1.2</f>
        <v>0</v>
      </c>
      <c r="DO56" s="276">
        <f>SUMIF('20Ф'!$H:$H,$B:$B,'20Ф'!AW:AW)*1.2+$D56/$D$281*'26Ф'!$D$42</f>
        <v>27169.381254833057</v>
      </c>
      <c r="DP56" s="276">
        <f>SUMIF('20Ф'!$H:$H,$B:$B,'20Ф'!AX:AX)*1.2</f>
        <v>0</v>
      </c>
      <c r="DQ56" s="276">
        <f>SUMIF('20Ф'!$H:$H,$B:$B,'20Ф'!AY:AY)*1.2</f>
        <v>0</v>
      </c>
      <c r="DR56" s="276">
        <f>SUMIF('20Ф'!$H:$H,$B:$B,'20Ф'!AU:AU)*1.2</f>
        <v>0</v>
      </c>
      <c r="DS56" s="276">
        <f>SUMIF('20Ф'!$H:$H,$B:$B,'20Ф'!AS:AS)*1.2</f>
        <v>0</v>
      </c>
      <c r="DT56" s="276">
        <f>SUMIF('20Ф'!$H:$H,$B:$B,'20Ф'!AR:AR)*1.2</f>
        <v>0</v>
      </c>
      <c r="DU56" s="276">
        <f>SUMIF('20Ф'!$H:$H,$B:$B,'20Ф'!X:X)*1.2</f>
        <v>0</v>
      </c>
      <c r="DV56" s="276">
        <f>SUMIF('20Ф'!$H:$H,$B:$B,'20Ф'!AA:AA)*1.2</f>
        <v>0</v>
      </c>
      <c r="DW56" s="276">
        <f>SUMIF('20Ф'!$H:$H,$B:$B,'20Ф'!N:N)*1.2</f>
        <v>0</v>
      </c>
      <c r="DX56" s="276">
        <f>$D56/$D$281*('25Ф'!$D$37)</f>
        <v>456683.30936112406</v>
      </c>
      <c r="DY56" s="276">
        <f>$D56/$D$281*'25Ф'!$D$30</f>
        <v>14575.897624136911</v>
      </c>
      <c r="DZ56" s="276">
        <f>$D56/$D$281*'25Ф'!$D$31</f>
        <v>8004.3008115694274</v>
      </c>
      <c r="EA56" s="276"/>
      <c r="EB56" s="276">
        <f t="shared" si="2"/>
        <v>287717.65256887249</v>
      </c>
      <c r="EC56" s="276">
        <f>$D56/$D$281*'26Ф'!$D$36</f>
        <v>149766.3040404339</v>
      </c>
      <c r="ED56" s="276">
        <f>$D56/$D$281*'26Ф'!$D$37</f>
        <v>17994.261476927182</v>
      </c>
      <c r="EE56" s="276">
        <f>$D56/$D$281*'26Ф'!$D$38</f>
        <v>18178.810334972859</v>
      </c>
      <c r="EF56" s="276">
        <f>$D56/$D$281*'26Ф'!$D$39</f>
        <v>12752.418858612449</v>
      </c>
      <c r="EG56" s="276">
        <f>$D56/$D$281*'91Ф'!$D$10</f>
        <v>3934.1159142220399</v>
      </c>
      <c r="EH56" s="276">
        <f>$D56/$D$281*('20Ф'!$I$509+'26Ф'!$D$41+'20Ф'!$I$507)</f>
        <v>27832.574650070354</v>
      </c>
      <c r="EI56" s="276">
        <f>$D56/$D$281*'91Ф'!$D$31</f>
        <v>51021.197373815019</v>
      </c>
      <c r="EJ56" s="276">
        <f>$D56/$D$281*'20Ф'!$I$1316</f>
        <v>6237.96991981875</v>
      </c>
      <c r="EK56" s="276">
        <f>$D56/$D$281*('20Ф'!$I$1105+'20Ф'!$I$1282+'91Ф'!$D$17+'91Ф'!$D$41)</f>
        <v>204861.88189005907</v>
      </c>
      <c r="EL56" s="276">
        <f>$D56/$D$281*отчёт!BX$294</f>
        <v>342466.58852248511</v>
      </c>
      <c r="EM56" s="276">
        <f>$D56/$D$281*отчёт!BY$294</f>
        <v>301180.98167035164</v>
      </c>
      <c r="EN56" s="276">
        <f>SUMIF(отчёт!$B:$B,$B:$B,отчёт!BZ:BZ)/отчёт!BZ$281*('60Ф'!$O$151+'60Ф'!$P$151)*отчёт!BZ$293</f>
        <v>0</v>
      </c>
      <c r="EO56" s="240">
        <f t="shared" si="11"/>
        <v>274583.53425149701</v>
      </c>
      <c r="EP56" s="276">
        <f>SUMIF('20Ф'!$H:$H,$B:$B,'20Ф'!T:T)*1.2</f>
        <v>7788.42</v>
      </c>
      <c r="EQ56" s="276">
        <f>SUM(H56:I56)/SUM($H$284:$I$284)*SUM('60Ф'!$O$155:$P$155)</f>
        <v>258765.39263473055</v>
      </c>
      <c r="ER56" s="276">
        <f>SUM($H56:$I56)/SUM($H$284:$I$284)*SUM('60Ф'!$P$227)</f>
        <v>8029.7216167664674</v>
      </c>
      <c r="ES56" s="239">
        <f t="shared" si="6"/>
        <v>114623.69761243081</v>
      </c>
      <c r="ET56" s="276">
        <f>$D56/$D$282*'20Ф'!$I$381</f>
        <v>8760.7990320997615</v>
      </c>
      <c r="EU56" s="276">
        <f>$D56/$D$282*('20Ф'!$I$75+'20Ф'!$I$1098)*1.2</f>
        <v>101191.11797955277</v>
      </c>
      <c r="EV56" s="276">
        <f>$D56/$D$282*('20Ф'!$I$1286)</f>
        <v>4671.780600778282</v>
      </c>
      <c r="EW56" s="276">
        <f>SUMIF('91.1Ф'!$N:$N,$B:$B,'91.1Ф'!$F:$F)+$D56/$D$281*('91Ф'!$D$12+'91Ф'!$D$11+'91Ф'!$D$19+'91Ф'!$D$20)</f>
        <v>26999.794707973033</v>
      </c>
      <c r="EX56" s="276">
        <f t="shared" si="4"/>
        <v>4094.8043268577485</v>
      </c>
      <c r="EY56" s="276">
        <f>SUMIF('20Ф'!$H:$H,$B:$B,'20Ф'!$AY:$AY)*1.2</f>
        <v>0</v>
      </c>
      <c r="EZ56" s="295">
        <f>D56/$D$286*'20Ф'!$I$1163</f>
        <v>4094.8043268577485</v>
      </c>
      <c r="FA56" s="277">
        <f>SUMIF(отчёт!$B:$B,$B:$B,отчёт!$CU:$CU)/отчёт!$CU$281*'20Ф'!$I$1341</f>
        <v>0</v>
      </c>
      <c r="FB56" s="276">
        <f>SUMIF(Сальдо!$A:$A,$B:$B,Сальдо!$H:$H)-SUMIF(Сальдо!$A:$A,$B:$B,Сальдо!$I:$I)</f>
        <v>986968.51</v>
      </c>
    </row>
    <row r="57" spans="1:158" ht="12" customHeight="1" x14ac:dyDescent="0.25">
      <c r="A57" s="3">
        <f t="shared" si="7"/>
        <v>53</v>
      </c>
      <c r="B57" s="4" t="s">
        <v>101</v>
      </c>
      <c r="C57" s="4" t="s">
        <v>101</v>
      </c>
      <c r="D57" s="5">
        <v>10302.899999999998</v>
      </c>
      <c r="E57" s="6">
        <v>9629.5999999999985</v>
      </c>
      <c r="F57" s="6">
        <v>673.3</v>
      </c>
      <c r="G57" s="6">
        <v>1358.8</v>
      </c>
      <c r="H57" s="5">
        <f>SUMIF(отчёт!$B:$B,$B:$B,отчёт!I:I)</f>
        <v>6</v>
      </c>
      <c r="I57" s="5">
        <f>SUMIF(отчёт!$B:$B,$B:$B,отчёт!J:J)</f>
        <v>0</v>
      </c>
      <c r="J57" s="3" t="s">
        <v>70</v>
      </c>
      <c r="K57" s="105">
        <v>1</v>
      </c>
      <c r="L57" s="105" t="s">
        <v>52</v>
      </c>
      <c r="M57" s="7">
        <v>44.8</v>
      </c>
      <c r="N57" s="8">
        <v>5.0999999999999996</v>
      </c>
      <c r="O57" s="8">
        <v>8.6300000000000008</v>
      </c>
      <c r="P57" s="8">
        <v>13.43</v>
      </c>
      <c r="Q57" s="8">
        <v>6.91</v>
      </c>
      <c r="R57" s="8">
        <v>3.15</v>
      </c>
      <c r="S57" s="8">
        <v>1.81</v>
      </c>
      <c r="T57" s="8">
        <v>5.77</v>
      </c>
      <c r="U57" s="8">
        <v>0</v>
      </c>
      <c r="V57" s="9">
        <v>40</v>
      </c>
      <c r="W57" s="9">
        <v>40</v>
      </c>
      <c r="X57" s="9">
        <v>2604.04</v>
      </c>
      <c r="Y57" s="8">
        <v>195.98199600000001</v>
      </c>
      <c r="Z57" s="9">
        <v>42.3</v>
      </c>
      <c r="AA57" s="9">
        <v>2604.04</v>
      </c>
      <c r="AB57" s="8">
        <v>0</v>
      </c>
      <c r="AC57" s="10">
        <v>0</v>
      </c>
      <c r="AD57" s="8">
        <v>5.05</v>
      </c>
      <c r="AE57" s="8">
        <v>10.67</v>
      </c>
      <c r="AF57" s="8">
        <v>14</v>
      </c>
      <c r="AG57" s="7">
        <v>2769419.5199999991</v>
      </c>
      <c r="AH57" s="8">
        <v>315268.73999999993</v>
      </c>
      <c r="AI57" s="8">
        <v>533484.16199999989</v>
      </c>
      <c r="AJ57" s="8">
        <v>830207.6819999998</v>
      </c>
      <c r="AK57" s="8">
        <v>427158.23399999994</v>
      </c>
      <c r="AL57" s="8">
        <v>194724.80999999994</v>
      </c>
      <c r="AM57" s="8">
        <v>111889.49399999998</v>
      </c>
      <c r="AN57" s="8">
        <v>356686.39799999993</v>
      </c>
      <c r="AO57" s="8">
        <v>0</v>
      </c>
      <c r="AQ57" s="104">
        <v>48.16</v>
      </c>
      <c r="AR57" s="375">
        <v>18.649999999999999</v>
      </c>
      <c r="AS57" s="376"/>
      <c r="AT57" s="104">
        <v>7.16</v>
      </c>
      <c r="AU57" s="104">
        <v>1.53</v>
      </c>
      <c r="AV57" s="104">
        <v>0.32</v>
      </c>
      <c r="AW57" s="104">
        <v>0.87</v>
      </c>
      <c r="AX57" s="104">
        <v>5.01</v>
      </c>
      <c r="AY57" s="104">
        <v>4.99</v>
      </c>
      <c r="AZ57" s="104">
        <v>2.7</v>
      </c>
      <c r="BA57" s="104">
        <v>6.46</v>
      </c>
      <c r="BB57" s="104">
        <v>0.47</v>
      </c>
      <c r="BC57" s="101">
        <v>0</v>
      </c>
      <c r="BD57" s="104">
        <v>54.565279999999994</v>
      </c>
      <c r="BE57" s="375">
        <v>21.130449999999996</v>
      </c>
      <c r="BF57" s="376">
        <v>0</v>
      </c>
      <c r="BG57" s="104">
        <v>8.1122800000000002</v>
      </c>
      <c r="BH57" s="104">
        <v>1.7334900000000002</v>
      </c>
      <c r="BI57" s="104">
        <v>0.36255999999999999</v>
      </c>
      <c r="BJ57" s="104">
        <v>0.98570999999999998</v>
      </c>
      <c r="BK57" s="104">
        <v>5.6763299999999992</v>
      </c>
      <c r="BL57" s="104">
        <v>5.6536700000000009</v>
      </c>
      <c r="BM57" s="104">
        <v>3.0591000000000004</v>
      </c>
      <c r="BN57" s="104">
        <v>7.3191800000000002</v>
      </c>
      <c r="BO57" s="104">
        <v>0.53250999999999993</v>
      </c>
      <c r="BP57" s="101">
        <v>0</v>
      </c>
      <c r="BQ57" s="103">
        <v>6614181.5611199969</v>
      </c>
      <c r="BR57" s="371">
        <v>2561347.3030499993</v>
      </c>
      <c r="BS57" s="371">
        <v>0</v>
      </c>
      <c r="BT57" s="103">
        <v>983337.62411999982</v>
      </c>
      <c r="BU57" s="103">
        <v>210126.61520999996</v>
      </c>
      <c r="BV57" s="103">
        <v>43948.05023999999</v>
      </c>
      <c r="BW57" s="103">
        <v>119483.76158999997</v>
      </c>
      <c r="BX57" s="103">
        <v>688061.66156999988</v>
      </c>
      <c r="BY57" s="103">
        <v>685314.90842999995</v>
      </c>
      <c r="BZ57" s="103">
        <v>370811.67389999999</v>
      </c>
      <c r="CA57" s="103">
        <v>887201.26421999978</v>
      </c>
      <c r="CB57" s="103">
        <v>64548.698789999973</v>
      </c>
      <c r="CC57" s="103">
        <v>0</v>
      </c>
      <c r="CD57" s="1">
        <v>1</v>
      </c>
      <c r="CF57" s="277">
        <f>SUMIF(Оборот!$A:$A,$B:$B,Оборот!H:H)</f>
        <v>5306294.8</v>
      </c>
      <c r="CG57" s="277">
        <f>SUMIF(Оборот!$A:$A,$B:$B,Оборот!I:I)</f>
        <v>5228313.0699999994</v>
      </c>
      <c r="CH57" s="277">
        <f t="shared" si="0"/>
        <v>4997217.9762287037</v>
      </c>
      <c r="CI57" s="239">
        <f t="shared" si="5"/>
        <v>1072781.0235136494</v>
      </c>
      <c r="CJ57" s="276">
        <f>SUMIF('20Ф'!$H:$H,$B:$B,'20Ф'!M:M)*1.2</f>
        <v>0</v>
      </c>
      <c r="CK57" s="276">
        <f>SUMIF('20Ф'!$H:$H,$B:$B,'20Ф'!O:O)*1.2</f>
        <v>68250.971999999994</v>
      </c>
      <c r="CL57" s="276">
        <f>SUMIF('20Ф'!$H:$H,$B:$B,'20Ф'!Q:Q)*1.2</f>
        <v>0</v>
      </c>
      <c r="CM57" s="276">
        <f>SUMIF('20Ф'!$H:$H,$B:$B,'20Ф'!R:R)*1.2</f>
        <v>0</v>
      </c>
      <c r="CN57" s="276">
        <f>SUMIF('20Ф'!$H:$H,$B:$B,'20Ф'!S:S)*1.2</f>
        <v>0</v>
      </c>
      <c r="CO57" s="276">
        <f>SUMIF('20Ф'!$H:$H,$B:$B,'20Ф'!W:W)*1.2</f>
        <v>0</v>
      </c>
      <c r="CP57" s="276">
        <f>SUMIF('20Ф'!$H:$H,$B:$B,'20Ф'!P:P)*1.2</f>
        <v>0</v>
      </c>
      <c r="CQ57" s="276">
        <f>SUMIF('20Ф'!$H:$H,$B:$B,'20Ф'!Y:Y)*1.2</f>
        <v>0</v>
      </c>
      <c r="CR57" s="276">
        <f>SUMIF('20Ф'!$H:$H,$B:$B,'20Ф'!Z:Z)*1.2</f>
        <v>0</v>
      </c>
      <c r="CS57" s="276">
        <f>SUMIF('20Ф'!$H:$H,$B:$B,'20Ф'!AB:AB)*1.2</f>
        <v>0</v>
      </c>
      <c r="CT57" s="276">
        <f>SUMIF('20Ф'!$H:$H,$B:$B,'20Ф'!AC:AC)*1.2</f>
        <v>0</v>
      </c>
      <c r="CU57" s="276">
        <f>SUMIF('20Ф'!$H:$H,$B:$B,'20Ф'!AD:AD)*1.2</f>
        <v>0</v>
      </c>
      <c r="CV57" s="276">
        <f>SUMIF('20Ф'!$H:$H,$B:$B,'20Ф'!AE:AE)*1.2</f>
        <v>0</v>
      </c>
      <c r="CW57" s="276">
        <f>SUMIF('20Ф'!$H:$H,$B:$B,'20Ф'!AF:AF)*1.2</f>
        <v>0</v>
      </c>
      <c r="CX57" s="276">
        <f>SUMIF('20Ф'!$H:$H,$B:$B,'20Ф'!AG:AG)*1.2</f>
        <v>0</v>
      </c>
      <c r="CY57" s="276">
        <f>SUMIF('20Ф'!$H:$H,$B:$B,'20Ф'!AH:AH)*1.2</f>
        <v>0</v>
      </c>
      <c r="CZ57" s="276">
        <f>SUMIF('20Ф'!$H:$H,$B:$B,'20Ф'!AI:AI)*1.2</f>
        <v>0</v>
      </c>
      <c r="DA57" s="276">
        <f>SUMIF('20Ф'!$H:$H,$B:$B,'20Ф'!AJ:AJ)*1.2</f>
        <v>0</v>
      </c>
      <c r="DB57" s="276">
        <f>SUMIF('20Ф'!$H:$H,$B:$B,'20Ф'!AK:AK)*1.2</f>
        <v>0</v>
      </c>
      <c r="DC57" s="276">
        <f>SUMIF('20Ф'!$H:$H,$B:$B,'20Ф'!AL:AL)*1.2</f>
        <v>0</v>
      </c>
      <c r="DD57" s="276">
        <f>SUMIF('20Ф'!$H:$H,$B:$B,'20Ф'!AM:AM)*1.2</f>
        <v>0</v>
      </c>
      <c r="DE57" s="276">
        <f>SUMIF('20Ф'!$H:$H,$B:$B,'20Ф'!AN:AN)*1.2</f>
        <v>422612.20800000004</v>
      </c>
      <c r="DF57" s="276">
        <f>SUMIF('20Ф'!$H:$H,$B:$B,'20Ф'!AO:AO)*1.2</f>
        <v>0</v>
      </c>
      <c r="DG57" s="276">
        <f>SUMIF('20Ф'!$H:$H,$B:$B,'20Ф'!AP:AP)*1.2</f>
        <v>491300.38799999998</v>
      </c>
      <c r="DH57" s="276">
        <f>SUMIF('20Ф'!$H:$H,$B:$B,'20Ф'!AQ:AQ)*1.2</f>
        <v>0</v>
      </c>
      <c r="DI57" s="276">
        <f>SUMIF('20Ф'!$H:$H,$B:$B,'20Ф'!BA:BA)*1.2</f>
        <v>0</v>
      </c>
      <c r="DJ57" s="276">
        <f>SUMIF('20Ф'!$H:$H,$B:$B,'20Ф'!BB:BB)*1.2</f>
        <v>0</v>
      </c>
      <c r="DK57" s="276">
        <f>SUMIF('20Ф'!$H:$H,$B:$B,'20Ф'!BC:BC)*1.2</f>
        <v>0</v>
      </c>
      <c r="DL57" s="276">
        <f>$D57/$D$281*'20Ф'!$H$218</f>
        <v>90617.455513649315</v>
      </c>
      <c r="DM57" s="240">
        <f t="shared" si="1"/>
        <v>1007223.1183239646</v>
      </c>
      <c r="DN57" s="276">
        <f>SUMIF('20Ф'!$H:$H,$B:$B,'20Ф'!AV:AV)*1.2</f>
        <v>0</v>
      </c>
      <c r="DO57" s="276">
        <f>SUMIF('20Ф'!$H:$H,$B:$B,'20Ф'!AW:AW)*1.2+$D57/$D$281*'26Ф'!$D$42</f>
        <v>48221.919090840405</v>
      </c>
      <c r="DP57" s="276">
        <f>SUMIF('20Ф'!$H:$H,$B:$B,'20Ф'!AX:AX)*1.2</f>
        <v>0</v>
      </c>
      <c r="DQ57" s="276">
        <f>SUMIF('20Ф'!$H:$H,$B:$B,'20Ф'!AY:AY)*1.2</f>
        <v>0</v>
      </c>
      <c r="DR57" s="276">
        <f>SUMIF('20Ф'!$H:$H,$B:$B,'20Ф'!AU:AU)*1.2</f>
        <v>0</v>
      </c>
      <c r="DS57" s="276">
        <f>SUMIF('20Ф'!$H:$H,$B:$B,'20Ф'!AS:AS)*1.2</f>
        <v>108374.31599999999</v>
      </c>
      <c r="DT57" s="276">
        <f>SUMIF('20Ф'!$H:$H,$B:$B,'20Ф'!AR:AR)*1.2</f>
        <v>0</v>
      </c>
      <c r="DU57" s="276">
        <f>SUMIF('20Ф'!$H:$H,$B:$B,'20Ф'!X:X)*1.2</f>
        <v>0</v>
      </c>
      <c r="DV57" s="276">
        <f>SUMIF('20Ф'!$H:$H,$B:$B,'20Ф'!AA:AA)*1.2</f>
        <v>0</v>
      </c>
      <c r="DW57" s="276">
        <f>SUMIF('20Ф'!$H:$H,$B:$B,'20Ф'!N:N)*1.2</f>
        <v>0</v>
      </c>
      <c r="DX57" s="276">
        <f>$D57/$D$281*('25Ф'!$D$37)</f>
        <v>810550.13316624309</v>
      </c>
      <c r="DY57" s="276">
        <f>$D57/$D$281*'25Ф'!$D$30</f>
        <v>25870.215788682002</v>
      </c>
      <c r="DZ57" s="276">
        <f>$D57/$D$281*'25Ф'!$D$31</f>
        <v>14206.534278199219</v>
      </c>
      <c r="EA57" s="276"/>
      <c r="EB57" s="276">
        <f t="shared" si="2"/>
        <v>510659.30552668212</v>
      </c>
      <c r="EC57" s="276">
        <f>$D57/$D$281*'26Ф'!$D$36</f>
        <v>265814.61418770114</v>
      </c>
      <c r="ED57" s="276">
        <f>$D57/$D$281*'26Ф'!$D$37</f>
        <v>31937.341999109896</v>
      </c>
      <c r="EE57" s="276">
        <f>$D57/$D$281*'26Ф'!$D$38</f>
        <v>32264.890868092789</v>
      </c>
      <c r="EF57" s="276">
        <f>$D57/$D$281*'26Ф'!$D$39</f>
        <v>22633.791496562939</v>
      </c>
      <c r="EG57" s="276">
        <f>$D57/$D$281*'91Ф'!$D$10</f>
        <v>6982.5152634219794</v>
      </c>
      <c r="EH57" s="276">
        <f>$D57/$D$281*('20Ф'!$I$509+'26Ф'!$D$41+'20Ф'!$I$507)</f>
        <v>49398.996255268787</v>
      </c>
      <c r="EI57" s="276">
        <f>$D57/$D$281*'91Ф'!$D$31</f>
        <v>90555.615845695662</v>
      </c>
      <c r="EJ57" s="276">
        <f>$D57/$D$281*'20Ф'!$I$1316</f>
        <v>11071.539610828886</v>
      </c>
      <c r="EK57" s="276">
        <f>$D57/$D$281*('20Ф'!$I$1105+'20Ф'!$I$1282+'91Ф'!$D$17+'91Ф'!$D$41)</f>
        <v>363601.69562354038</v>
      </c>
      <c r="EL57" s="276">
        <f>$D57/$D$281*отчёт!BX$294</f>
        <v>607831.14522012637</v>
      </c>
      <c r="EM57" s="276">
        <f>$D57/$D$281*отчёт!BY$294</f>
        <v>534554.86503668723</v>
      </c>
      <c r="EN57" s="276">
        <f>$D57/$D$283*отчёт!BZ$294</f>
        <v>95935.888404902231</v>
      </c>
      <c r="EO57" s="240">
        <f t="shared" si="11"/>
        <v>553268.69250299409</v>
      </c>
      <c r="EP57" s="276">
        <f>SUMIF('20Ф'!$H:$H,$B:$B,'20Ф'!T:T)*1.2</f>
        <v>19678.464</v>
      </c>
      <c r="EQ57" s="276">
        <f>SUM(H57:I57)/SUM($H$284:$I$284)*SUM('60Ф'!$O$155:$P$155)</f>
        <v>517530.78526946111</v>
      </c>
      <c r="ER57" s="276">
        <f>SUM($H57:$I57)/SUM($H$284:$I$284)*SUM('60Ф'!$P$227)</f>
        <v>16059.443233532935</v>
      </c>
      <c r="ES57" s="239">
        <f t="shared" si="6"/>
        <v>203441.31580752696</v>
      </c>
      <c r="ET57" s="276">
        <f>$D57/$D$282*'20Ф'!$I$381</f>
        <v>15549.214688938764</v>
      </c>
      <c r="EU57" s="276">
        <f>$D57/$D$282*('20Ф'!$I$75+'20Ф'!$I$1098)*1.2</f>
        <v>179600.33237980571</v>
      </c>
      <c r="EV57" s="276">
        <f>$D57/$D$282*('20Ф'!$I$1286)</f>
        <v>8291.7687387825044</v>
      </c>
      <c r="EW57" s="276">
        <f>SUMIF('91.1Ф'!$N:$N,$B:$B,'91.1Ф'!$F:$F)+$D57/$D$281*('91Ф'!$D$12+'91Ф'!$D$11+'91Ф'!$D$19+'91Ф'!$D$20)</f>
        <v>47920.926268630872</v>
      </c>
      <c r="EX57" s="276">
        <f t="shared" si="4"/>
        <v>0</v>
      </c>
      <c r="EY57" s="276">
        <f>SUMIF('20Ф'!$H:$H,$B:$B,'20Ф'!$AY:$AY)*1.2</f>
        <v>0</v>
      </c>
      <c r="EZ57" s="236"/>
      <c r="FA57" s="277">
        <f>SUMIF(отчёт!$B:$B,$B:$B,отчёт!$CU:$CU)/отчёт!$CU$281*'20Ф'!$I$1341</f>
        <v>2762.8915662650556</v>
      </c>
      <c r="FB57" s="276">
        <f>SUMIF(Сальдо!$A:$A,$B:$B,Сальдо!$H:$H)-SUMIF(Сальдо!$A:$A,$B:$B,Сальдо!$I:$I)</f>
        <v>837139.83</v>
      </c>
    </row>
    <row r="58" spans="1:158" ht="12" customHeight="1" x14ac:dyDescent="0.25">
      <c r="A58" s="3">
        <f t="shared" si="7"/>
        <v>54</v>
      </c>
      <c r="B58" s="4" t="s">
        <v>102</v>
      </c>
      <c r="C58" s="4" t="s">
        <v>102</v>
      </c>
      <c r="D58" s="5">
        <v>4904.3</v>
      </c>
      <c r="E58" s="6">
        <v>4904.3</v>
      </c>
      <c r="F58" s="6">
        <v>0</v>
      </c>
      <c r="G58" s="6">
        <v>536.79999999999995</v>
      </c>
      <c r="H58" s="5">
        <f>SUMIF(отчёт!$B:$B,$B:$B,отчёт!I:I)</f>
        <v>2</v>
      </c>
      <c r="I58" s="5">
        <f>SUMIF(отчёт!$B:$B,$B:$B,отчёт!J:J)</f>
        <v>0</v>
      </c>
      <c r="J58" s="3" t="s">
        <v>70</v>
      </c>
      <c r="K58" s="105">
        <v>1</v>
      </c>
      <c r="L58" s="105" t="s">
        <v>52</v>
      </c>
      <c r="M58" s="7">
        <v>44.8</v>
      </c>
      <c r="N58" s="8">
        <v>5.0999999999999996</v>
      </c>
      <c r="O58" s="8">
        <v>8.6300000000000008</v>
      </c>
      <c r="P58" s="8">
        <v>13.43</v>
      </c>
      <c r="Q58" s="8">
        <v>6.91</v>
      </c>
      <c r="R58" s="8">
        <v>3.15</v>
      </c>
      <c r="S58" s="8">
        <v>1.81</v>
      </c>
      <c r="T58" s="8">
        <v>5.77</v>
      </c>
      <c r="U58" s="8">
        <v>0</v>
      </c>
      <c r="V58" s="9">
        <v>40</v>
      </c>
      <c r="W58" s="9">
        <v>40</v>
      </c>
      <c r="X58" s="9">
        <v>2604.04</v>
      </c>
      <c r="Y58" s="8">
        <v>195.98199600000001</v>
      </c>
      <c r="Z58" s="9">
        <v>42.3</v>
      </c>
      <c r="AA58" s="9">
        <v>2604.04</v>
      </c>
      <c r="AB58" s="8">
        <v>0</v>
      </c>
      <c r="AC58" s="10">
        <v>0</v>
      </c>
      <c r="AD58" s="8">
        <v>5.05</v>
      </c>
      <c r="AE58" s="8">
        <v>10.67</v>
      </c>
      <c r="AF58" s="8">
        <v>14</v>
      </c>
      <c r="AG58" s="7">
        <v>1318275.8399999999</v>
      </c>
      <c r="AH58" s="8">
        <v>150071.58000000002</v>
      </c>
      <c r="AI58" s="8">
        <v>253944.65400000004</v>
      </c>
      <c r="AJ58" s="8">
        <v>395188.49399999995</v>
      </c>
      <c r="AK58" s="8">
        <v>203332.27800000002</v>
      </c>
      <c r="AL58" s="8">
        <v>92691.27</v>
      </c>
      <c r="AM58" s="8">
        <v>53260.698000000004</v>
      </c>
      <c r="AN58" s="8">
        <v>169786.86599999998</v>
      </c>
      <c r="AO58" s="8">
        <v>0</v>
      </c>
      <c r="AQ58" s="104">
        <v>48.16</v>
      </c>
      <c r="AR58" s="375">
        <v>18.649999999999999</v>
      </c>
      <c r="AS58" s="376"/>
      <c r="AT58" s="104">
        <v>7.16</v>
      </c>
      <c r="AU58" s="104">
        <v>1.53</v>
      </c>
      <c r="AV58" s="104">
        <v>0.32</v>
      </c>
      <c r="AW58" s="104">
        <v>0.87</v>
      </c>
      <c r="AX58" s="104">
        <v>5.01</v>
      </c>
      <c r="AY58" s="104">
        <v>4.99</v>
      </c>
      <c r="AZ58" s="104">
        <v>2.7</v>
      </c>
      <c r="BA58" s="104">
        <v>6.46</v>
      </c>
      <c r="BB58" s="104">
        <v>0.47</v>
      </c>
      <c r="BC58" s="101">
        <v>0</v>
      </c>
      <c r="BD58" s="104">
        <v>54.565279999999994</v>
      </c>
      <c r="BE58" s="375">
        <v>21.130449999999996</v>
      </c>
      <c r="BF58" s="376">
        <v>0</v>
      </c>
      <c r="BG58" s="104">
        <v>8.1122800000000002</v>
      </c>
      <c r="BH58" s="104">
        <v>1.7334900000000002</v>
      </c>
      <c r="BI58" s="104">
        <v>0.36255999999999999</v>
      </c>
      <c r="BJ58" s="104">
        <v>0.98570999999999998</v>
      </c>
      <c r="BK58" s="104">
        <v>5.6763299999999992</v>
      </c>
      <c r="BL58" s="104">
        <v>5.6536700000000009</v>
      </c>
      <c r="BM58" s="104">
        <v>3.0591000000000004</v>
      </c>
      <c r="BN58" s="104">
        <v>7.3191800000000002</v>
      </c>
      <c r="BO58" s="104">
        <v>0.53250999999999993</v>
      </c>
      <c r="BP58" s="101">
        <v>0</v>
      </c>
      <c r="BQ58" s="103">
        <v>3148427.2030400001</v>
      </c>
      <c r="BR58" s="371">
        <v>1219231.04935</v>
      </c>
      <c r="BS58" s="371">
        <v>0</v>
      </c>
      <c r="BT58" s="103">
        <v>468080.12404000002</v>
      </c>
      <c r="BU58" s="103">
        <v>100022.70807000001</v>
      </c>
      <c r="BV58" s="103">
        <v>20919.782080000001</v>
      </c>
      <c r="BW58" s="103">
        <v>56875.657529999997</v>
      </c>
      <c r="BX58" s="103">
        <v>327525.33818999998</v>
      </c>
      <c r="BY58" s="103">
        <v>326217.85181000008</v>
      </c>
      <c r="BZ58" s="103">
        <v>176510.66130000004</v>
      </c>
      <c r="CA58" s="103">
        <v>422318.10074000002</v>
      </c>
      <c r="CB58" s="103">
        <v>30725.929929999995</v>
      </c>
      <c r="CC58" s="103">
        <v>0</v>
      </c>
      <c r="CD58" s="1">
        <v>1</v>
      </c>
      <c r="CF58" s="277">
        <f>SUMIF(Оборот!$A:$A,$B:$B,Оборот!H:H)</f>
        <v>2700678.0799999991</v>
      </c>
      <c r="CG58" s="277">
        <f>SUMIF(Оборот!$A:$A,$B:$B,Оборот!I:I)</f>
        <v>2653112.7799999993</v>
      </c>
      <c r="CH58" s="277">
        <f t="shared" si="0"/>
        <v>1920438.9234513231</v>
      </c>
      <c r="CI58" s="239">
        <f t="shared" si="5"/>
        <v>138438.98474654616</v>
      </c>
      <c r="CJ58" s="276">
        <f>SUMIF('20Ф'!$H:$H,$B:$B,'20Ф'!M:M)*1.2</f>
        <v>0</v>
      </c>
      <c r="CK58" s="276">
        <f>SUMIF('20Ф'!$H:$H,$B:$B,'20Ф'!O:O)*1.2</f>
        <v>95304.024000000005</v>
      </c>
      <c r="CL58" s="276">
        <f>SUMIF('20Ф'!$H:$H,$B:$B,'20Ф'!Q:Q)*1.2</f>
        <v>0</v>
      </c>
      <c r="CM58" s="276">
        <f>SUMIF('20Ф'!$H:$H,$B:$B,'20Ф'!R:R)*1.2</f>
        <v>0</v>
      </c>
      <c r="CN58" s="276">
        <f>SUMIF('20Ф'!$H:$H,$B:$B,'20Ф'!S:S)*1.2</f>
        <v>0</v>
      </c>
      <c r="CO58" s="276">
        <f>SUMIF('20Ф'!$H:$H,$B:$B,'20Ф'!W:W)*1.2</f>
        <v>0</v>
      </c>
      <c r="CP58" s="276">
        <f>SUMIF('20Ф'!$H:$H,$B:$B,'20Ф'!P:P)*1.2</f>
        <v>0</v>
      </c>
      <c r="CQ58" s="276">
        <f>SUMIF('20Ф'!$H:$H,$B:$B,'20Ф'!Y:Y)*1.2</f>
        <v>0</v>
      </c>
      <c r="CR58" s="276">
        <f>SUMIF('20Ф'!$H:$H,$B:$B,'20Ф'!Z:Z)*1.2</f>
        <v>0</v>
      </c>
      <c r="CS58" s="276">
        <f>SUMIF('20Ф'!$H:$H,$B:$B,'20Ф'!AB:AB)*1.2</f>
        <v>0</v>
      </c>
      <c r="CT58" s="276">
        <f>SUMIF('20Ф'!$H:$H,$B:$B,'20Ф'!AC:AC)*1.2</f>
        <v>0</v>
      </c>
      <c r="CU58" s="276">
        <f>SUMIF('20Ф'!$H:$H,$B:$B,'20Ф'!AD:AD)*1.2</f>
        <v>0</v>
      </c>
      <c r="CV58" s="276">
        <f>SUMIF('20Ф'!$H:$H,$B:$B,'20Ф'!AE:AE)*1.2</f>
        <v>0</v>
      </c>
      <c r="CW58" s="276">
        <f>SUMIF('20Ф'!$H:$H,$B:$B,'20Ф'!AF:AF)*1.2</f>
        <v>0</v>
      </c>
      <c r="CX58" s="276">
        <f>SUMIF('20Ф'!$H:$H,$B:$B,'20Ф'!AG:AG)*1.2</f>
        <v>0</v>
      </c>
      <c r="CY58" s="276">
        <f>SUMIF('20Ф'!$H:$H,$B:$B,'20Ф'!AH:AH)*1.2</f>
        <v>0</v>
      </c>
      <c r="CZ58" s="276">
        <f>SUMIF('20Ф'!$H:$H,$B:$B,'20Ф'!AI:AI)*1.2</f>
        <v>0</v>
      </c>
      <c r="DA58" s="276">
        <f>SUMIF('20Ф'!$H:$H,$B:$B,'20Ф'!AJ:AJ)*1.2</f>
        <v>0</v>
      </c>
      <c r="DB58" s="276">
        <f>SUMIF('20Ф'!$H:$H,$B:$B,'20Ф'!AK:AK)*1.2</f>
        <v>0</v>
      </c>
      <c r="DC58" s="276">
        <f>SUMIF('20Ф'!$H:$H,$B:$B,'20Ф'!AL:AL)*1.2</f>
        <v>0</v>
      </c>
      <c r="DD58" s="276">
        <f>SUMIF('20Ф'!$H:$H,$B:$B,'20Ф'!AM:AM)*1.2</f>
        <v>0</v>
      </c>
      <c r="DE58" s="276">
        <f>SUMIF('20Ф'!$H:$H,$B:$B,'20Ф'!AN:AN)*1.2</f>
        <v>0</v>
      </c>
      <c r="DF58" s="276">
        <f>SUMIF('20Ф'!$H:$H,$B:$B,'20Ф'!AO:AO)*1.2</f>
        <v>0</v>
      </c>
      <c r="DG58" s="276">
        <f>SUMIF('20Ф'!$H:$H,$B:$B,'20Ф'!AP:AP)*1.2</f>
        <v>0</v>
      </c>
      <c r="DH58" s="276">
        <f>SUMIF('20Ф'!$H:$H,$B:$B,'20Ф'!AQ:AQ)*1.2</f>
        <v>0</v>
      </c>
      <c r="DI58" s="276">
        <f>SUMIF('20Ф'!$H:$H,$B:$B,'20Ф'!BA:BA)*1.2</f>
        <v>0</v>
      </c>
      <c r="DJ58" s="276">
        <f>SUMIF('20Ф'!$H:$H,$B:$B,'20Ф'!BB:BB)*1.2</f>
        <v>0</v>
      </c>
      <c r="DK58" s="276">
        <f>SUMIF('20Ф'!$H:$H,$B:$B,'20Ф'!BC:BC)*1.2</f>
        <v>0</v>
      </c>
      <c r="DL58" s="276">
        <f>$D58/$D$281*'20Ф'!$H$218</f>
        <v>43134.960746546167</v>
      </c>
      <c r="DM58" s="240">
        <f t="shared" si="1"/>
        <v>473405.48808656033</v>
      </c>
      <c r="DN58" s="276">
        <f>SUMIF('20Ф'!$H:$H,$B:$B,'20Ф'!AV:AV)*1.2</f>
        <v>0</v>
      </c>
      <c r="DO58" s="276">
        <f>SUMIF('20Ф'!$H:$H,$B:$B,'20Ф'!AW:AW)*1.2+$D58/$D$281*'26Ф'!$D$42</f>
        <v>22954.193265702732</v>
      </c>
      <c r="DP58" s="276">
        <f>SUMIF('20Ф'!$H:$H,$B:$B,'20Ф'!AX:AX)*1.2</f>
        <v>0</v>
      </c>
      <c r="DQ58" s="276">
        <f>SUMIF('20Ф'!$H:$H,$B:$B,'20Ф'!AY:AY)*1.2</f>
        <v>0</v>
      </c>
      <c r="DR58" s="276">
        <f>SUMIF('20Ф'!$H:$H,$B:$B,'20Ф'!AU:AU)*1.2</f>
        <v>0</v>
      </c>
      <c r="DS58" s="276">
        <f>SUMIF('20Ф'!$H:$H,$B:$B,'20Ф'!AS:AS)*1.2</f>
        <v>45543.023999999998</v>
      </c>
      <c r="DT58" s="276">
        <f>SUMIF('20Ф'!$H:$H,$B:$B,'20Ф'!AR:AR)*1.2</f>
        <v>0</v>
      </c>
      <c r="DU58" s="276">
        <f>SUMIF('20Ф'!$H:$H,$B:$B,'20Ф'!X:X)*1.2</f>
        <v>0</v>
      </c>
      <c r="DV58" s="276">
        <f>SUMIF('20Ф'!$H:$H,$B:$B,'20Ф'!AA:AA)*1.2</f>
        <v>0</v>
      </c>
      <c r="DW58" s="276">
        <f>SUMIF('20Ф'!$H:$H,$B:$B,'20Ф'!N:N)*1.2</f>
        <v>0</v>
      </c>
      <c r="DX58" s="276">
        <f>$D58/$D$281*('25Ф'!$D$37)</f>
        <v>385831.27256279375</v>
      </c>
      <c r="DY58" s="276">
        <f>$D58/$D$281*'25Ф'!$D$30</f>
        <v>12314.523026762678</v>
      </c>
      <c r="DZ58" s="276">
        <f>$D58/$D$281*'25Ф'!$D$31</f>
        <v>6762.4752313011331</v>
      </c>
      <c r="EA58" s="276"/>
      <c r="EB58" s="276">
        <f t="shared" si="2"/>
        <v>243079.7573590453</v>
      </c>
      <c r="EC58" s="276">
        <f>$D58/$D$281*'26Ф'!$D$36</f>
        <v>126530.84203095663</v>
      </c>
      <c r="ED58" s="276">
        <f>$D58/$D$281*'26Ф'!$D$37</f>
        <v>15202.545532445693</v>
      </c>
      <c r="EE58" s="276">
        <f>$D58/$D$281*'26Ф'!$D$38</f>
        <v>15358.462596393978</v>
      </c>
      <c r="EF58" s="276">
        <f>$D58/$D$281*'26Ф'!$D$39</f>
        <v>10773.947494064161</v>
      </c>
      <c r="EG58" s="276">
        <f>$D58/$D$281*'91Ф'!$D$10</f>
        <v>3323.7583210941025</v>
      </c>
      <c r="EH58" s="276">
        <f>$D58/$D$281*('20Ф'!$I$509+'26Ф'!$D$41+'20Ф'!$I$507)</f>
        <v>23514.495659932138</v>
      </c>
      <c r="EI58" s="276">
        <f>$D58/$D$281*'91Ф'!$D$31</f>
        <v>43105.524346741731</v>
      </c>
      <c r="EJ58" s="276">
        <f>$D58/$D$281*'20Ф'!$I$1316</f>
        <v>5270.181377416855</v>
      </c>
      <c r="EK58" s="276">
        <f>$D58/$D$281*('20Ф'!$I$1105+'20Ф'!$I$1282+'91Ф'!$D$17+'91Ф'!$D$41)</f>
        <v>173078.62794422245</v>
      </c>
      <c r="EL58" s="276">
        <f>$D58/$D$281*отчёт!BX$294</f>
        <v>289334.68106096989</v>
      </c>
      <c r="EM58" s="276">
        <f>$D58/$D$281*отчёт!BY$294</f>
        <v>254454.3210745932</v>
      </c>
      <c r="EN58" s="276">
        <f>$D58/$D$283*отчёт!BZ$294</f>
        <v>45666.596541183761</v>
      </c>
      <c r="EO58" s="240">
        <f t="shared" si="11"/>
        <v>183329.12150099798</v>
      </c>
      <c r="EP58" s="276">
        <f>SUMIF('20Ф'!$H:$H,$B:$B,'20Ф'!T:T)*1.2</f>
        <v>5465.7120000000004</v>
      </c>
      <c r="EQ58" s="276">
        <f>SUM(H58:I58)/SUM($H$284:$I$284)*SUM('60Ф'!$O$155:$P$155)</f>
        <v>172510.26175648702</v>
      </c>
      <c r="ER58" s="276">
        <f>SUM($H58:$I58)/SUM($H$284:$I$284)*SUM('60Ф'!$P$227)</f>
        <v>5353.1477445109776</v>
      </c>
      <c r="ES58" s="239">
        <f t="shared" si="6"/>
        <v>96840.427948912911</v>
      </c>
      <c r="ET58" s="276">
        <f>$D58/$D$282*'20Ф'!$I$381</f>
        <v>7401.6066931604109</v>
      </c>
      <c r="EU58" s="276">
        <f>$D58/$D$282*('20Ф'!$I$75+'20Ф'!$I$1098)*1.2</f>
        <v>85491.84308207217</v>
      </c>
      <c r="EV58" s="276">
        <f>$D58/$D$282*('20Ф'!$I$1286)</f>
        <v>3946.9781736803275</v>
      </c>
      <c r="EW58" s="276">
        <f>SUMIF('91.1Ф'!$N:$N,$B:$B,'91.1Ф'!$F:$F)+$D58/$D$281*('91Ф'!$D$12+'91Ф'!$D$11+'91Ф'!$D$19+'91Ф'!$D$20)</f>
        <v>22810.9171882913</v>
      </c>
      <c r="EX58" s="276">
        <f t="shared" si="4"/>
        <v>0</v>
      </c>
      <c r="EY58" s="276">
        <f>SUMIF('20Ф'!$H:$H,$B:$B,'20Ф'!$AY:$AY)*1.2</f>
        <v>0</v>
      </c>
      <c r="EZ58" s="236"/>
      <c r="FA58" s="277">
        <f>SUMIF(отчёт!$B:$B,$B:$B,отчёт!$CU:$CU)/отчёт!$CU$281*'20Ф'!$I$1341</f>
        <v>1841.9277108433701</v>
      </c>
      <c r="FB58" s="276">
        <f>SUMIF(Сальдо!$A:$A,$B:$B,Сальдо!$H:$H)-SUMIF(Сальдо!$A:$A,$B:$B,Сальдо!$I:$I)</f>
        <v>435357.3</v>
      </c>
    </row>
    <row r="59" spans="1:158" ht="12" customHeight="1" x14ac:dyDescent="0.25">
      <c r="A59" s="3">
        <f t="shared" si="7"/>
        <v>55</v>
      </c>
      <c r="B59" s="4" t="s">
        <v>103</v>
      </c>
      <c r="C59" s="4" t="s">
        <v>103</v>
      </c>
      <c r="D59" s="5">
        <v>3072.3</v>
      </c>
      <c r="E59" s="6">
        <v>3018.9</v>
      </c>
      <c r="F59" s="6">
        <v>53.4</v>
      </c>
      <c r="G59" s="6">
        <v>530.6</v>
      </c>
      <c r="H59" s="5">
        <f>SUMIF(отчёт!$B:$B,$B:$B,отчёт!I:I)</f>
        <v>1</v>
      </c>
      <c r="I59" s="5">
        <f>SUMIF(отчёт!$B:$B,$B:$B,отчёт!J:J)</f>
        <v>0</v>
      </c>
      <c r="J59" s="3" t="s">
        <v>74</v>
      </c>
      <c r="K59" s="105">
        <v>3</v>
      </c>
      <c r="L59" s="105" t="s">
        <v>75</v>
      </c>
      <c r="M59" s="12">
        <v>36.75</v>
      </c>
      <c r="N59" s="8">
        <v>4.0199999999999996</v>
      </c>
      <c r="O59" s="8">
        <v>7</v>
      </c>
      <c r="P59" s="8">
        <v>11</v>
      </c>
      <c r="Q59" s="8">
        <v>5.4</v>
      </c>
      <c r="R59" s="8">
        <v>2.67</v>
      </c>
      <c r="S59" s="8">
        <v>1.54</v>
      </c>
      <c r="T59" s="8">
        <v>4.9000000000000004</v>
      </c>
      <c r="U59" s="8">
        <v>0.22</v>
      </c>
      <c r="V59" s="9">
        <v>40</v>
      </c>
      <c r="W59" s="9">
        <v>40</v>
      </c>
      <c r="X59" s="9">
        <v>2604.04</v>
      </c>
      <c r="Y59" s="8">
        <v>195.98199600000001</v>
      </c>
      <c r="Z59" s="9">
        <v>42.3</v>
      </c>
      <c r="AA59" s="9">
        <v>2604.04</v>
      </c>
      <c r="AB59" s="8">
        <v>7.85</v>
      </c>
      <c r="AC59" s="10">
        <v>0</v>
      </c>
      <c r="AD59" s="8">
        <v>6.73</v>
      </c>
      <c r="AE59" s="8">
        <v>10.67</v>
      </c>
      <c r="AF59" s="8">
        <v>14</v>
      </c>
      <c r="AG59" s="7">
        <v>677442.15</v>
      </c>
      <c r="AH59" s="8">
        <v>74103.875999999989</v>
      </c>
      <c r="AI59" s="8">
        <v>129036.6</v>
      </c>
      <c r="AJ59" s="8">
        <v>202771.80000000002</v>
      </c>
      <c r="AK59" s="8">
        <v>99542.520000000019</v>
      </c>
      <c r="AL59" s="8">
        <v>49218.246000000006</v>
      </c>
      <c r="AM59" s="8">
        <v>28388.052000000003</v>
      </c>
      <c r="AN59" s="8">
        <v>90325.62000000001</v>
      </c>
      <c r="AO59" s="8">
        <v>4055.4360000000006</v>
      </c>
      <c r="AP59" s="1" t="s">
        <v>75</v>
      </c>
      <c r="AQ59" s="104">
        <v>39.51</v>
      </c>
      <c r="AR59" s="104">
        <v>4.3219102040816324</v>
      </c>
      <c r="AS59" s="104">
        <v>7.5257142857142849</v>
      </c>
      <c r="AT59" s="104">
        <v>11.826122448979591</v>
      </c>
      <c r="AU59" s="104"/>
      <c r="AV59" s="104"/>
      <c r="AW59" s="104"/>
      <c r="AX59" s="104">
        <v>5.8055510204081635</v>
      </c>
      <c r="AY59" s="104">
        <v>2.8705224489795915</v>
      </c>
      <c r="AZ59" s="104">
        <v>1.6556571428571427</v>
      </c>
      <c r="BA59" s="104">
        <v>5.2679999999999998</v>
      </c>
      <c r="BB59" s="104"/>
      <c r="BC59" s="101">
        <v>0.23652244897959185</v>
      </c>
      <c r="BD59" s="104">
        <v>39.51</v>
      </c>
      <c r="BE59" s="104">
        <v>4.3219102040816324</v>
      </c>
      <c r="BF59" s="104">
        <v>7.5257142857142849</v>
      </c>
      <c r="BG59" s="104">
        <v>11.826122448979591</v>
      </c>
      <c r="BH59" s="104">
        <v>0</v>
      </c>
      <c r="BI59" s="104">
        <v>0</v>
      </c>
      <c r="BJ59" s="104">
        <v>0</v>
      </c>
      <c r="BK59" s="104">
        <v>5.8055510204081635</v>
      </c>
      <c r="BL59" s="104">
        <v>2.8705224489795915</v>
      </c>
      <c r="BM59" s="104">
        <v>1.6556571428571427</v>
      </c>
      <c r="BN59" s="104">
        <v>5.2679999999999998</v>
      </c>
      <c r="BO59" s="104">
        <v>0</v>
      </c>
      <c r="BP59" s="101">
        <v>0.23652244897959182</v>
      </c>
      <c r="BQ59" s="103">
        <v>1456638.8760000002</v>
      </c>
      <c r="BR59" s="103">
        <v>159338.45663999999</v>
      </c>
      <c r="BS59" s="103">
        <v>277455.02400000003</v>
      </c>
      <c r="BT59" s="103">
        <v>436000.75200000004</v>
      </c>
      <c r="BU59" s="103">
        <v>0</v>
      </c>
      <c r="BV59" s="103">
        <v>0</v>
      </c>
      <c r="BW59" s="103">
        <v>0</v>
      </c>
      <c r="BX59" s="103">
        <v>214036.73280000003</v>
      </c>
      <c r="BY59" s="103">
        <v>105829.27344</v>
      </c>
      <c r="BZ59" s="103">
        <v>61040.105279999996</v>
      </c>
      <c r="CA59" s="103">
        <v>194218.51680000001</v>
      </c>
      <c r="CB59" s="103">
        <v>0</v>
      </c>
      <c r="CC59" s="103">
        <v>8720.0150400000002</v>
      </c>
      <c r="CD59" s="13">
        <v>2</v>
      </c>
      <c r="CF59" s="277">
        <f>SUMIF(Оборот!$A:$A,$B:$B,Оборот!H:H)</f>
        <v>1149498.3</v>
      </c>
      <c r="CG59" s="277">
        <f>SUMIF(Оборот!$A:$A,$B:$B,Оборот!I:I)</f>
        <v>1210818.21</v>
      </c>
      <c r="CH59" s="277">
        <f t="shared" si="0"/>
        <v>1414245.4658665732</v>
      </c>
      <c r="CI59" s="239">
        <f t="shared" si="5"/>
        <v>292533.04328577244</v>
      </c>
      <c r="CJ59" s="276">
        <f>SUMIF('20Ф'!$H:$H,$B:$B,'20Ф'!M:M)*1.2</f>
        <v>0</v>
      </c>
      <c r="CK59" s="276">
        <f>SUMIF('20Ф'!$H:$H,$B:$B,'20Ф'!O:O)*1.2</f>
        <v>0</v>
      </c>
      <c r="CL59" s="276">
        <f>SUMIF('20Ф'!$H:$H,$B:$B,'20Ф'!Q:Q)*1.2</f>
        <v>0</v>
      </c>
      <c r="CM59" s="276">
        <f>SUMIF('20Ф'!$H:$H,$B:$B,'20Ф'!R:R)*1.2</f>
        <v>0</v>
      </c>
      <c r="CN59" s="276">
        <f>SUMIF('20Ф'!$H:$H,$B:$B,'20Ф'!S:S)*1.2</f>
        <v>0</v>
      </c>
      <c r="CO59" s="276">
        <f>SUMIF('20Ф'!$H:$H,$B:$B,'20Ф'!W:W)*1.2</f>
        <v>0</v>
      </c>
      <c r="CP59" s="276">
        <f>SUMIF('20Ф'!$H:$H,$B:$B,'20Ф'!P:P)*1.2</f>
        <v>0</v>
      </c>
      <c r="CQ59" s="276">
        <f>SUMIF('20Ф'!$H:$H,$B:$B,'20Ф'!Y:Y)*1.2</f>
        <v>0</v>
      </c>
      <c r="CR59" s="276">
        <f>SUMIF('20Ф'!$H:$H,$B:$B,'20Ф'!Z:Z)*1.2</f>
        <v>0</v>
      </c>
      <c r="CS59" s="276">
        <f>SUMIF('20Ф'!$H:$H,$B:$B,'20Ф'!AB:AB)*1.2</f>
        <v>0</v>
      </c>
      <c r="CT59" s="276">
        <f>SUMIF('20Ф'!$H:$H,$B:$B,'20Ф'!AC:AC)*1.2</f>
        <v>0</v>
      </c>
      <c r="CU59" s="276">
        <f>SUMIF('20Ф'!$H:$H,$B:$B,'20Ф'!AD:AD)*1.2</f>
        <v>128464.02</v>
      </c>
      <c r="CV59" s="276">
        <f>SUMIF('20Ф'!$H:$H,$B:$B,'20Ф'!AE:AE)*1.2</f>
        <v>0</v>
      </c>
      <c r="CW59" s="276">
        <f>SUMIF('20Ф'!$H:$H,$B:$B,'20Ф'!AF:AF)*1.2</f>
        <v>0</v>
      </c>
      <c r="CX59" s="276">
        <f>SUMIF('20Ф'!$H:$H,$B:$B,'20Ф'!AG:AG)*1.2</f>
        <v>0</v>
      </c>
      <c r="CY59" s="276">
        <f>SUMIF('20Ф'!$H:$H,$B:$B,'20Ф'!AH:AH)*1.2</f>
        <v>137047.11599999998</v>
      </c>
      <c r="CZ59" s="276">
        <f>SUMIF('20Ф'!$H:$H,$B:$B,'20Ф'!AI:AI)*1.2</f>
        <v>0</v>
      </c>
      <c r="DA59" s="276">
        <f>SUMIF('20Ф'!$H:$H,$B:$B,'20Ф'!AJ:AJ)*1.2</f>
        <v>0</v>
      </c>
      <c r="DB59" s="276">
        <f>SUMIF('20Ф'!$H:$H,$B:$B,'20Ф'!AK:AK)*1.2</f>
        <v>0</v>
      </c>
      <c r="DC59" s="276">
        <f>SUMIF('20Ф'!$H:$H,$B:$B,'20Ф'!AL:AL)*1.2</f>
        <v>0</v>
      </c>
      <c r="DD59" s="276">
        <f>SUMIF('20Ф'!$H:$H,$B:$B,'20Ф'!AM:AM)*1.2</f>
        <v>0</v>
      </c>
      <c r="DE59" s="276">
        <f>SUMIF('20Ф'!$H:$H,$B:$B,'20Ф'!AN:AN)*1.2</f>
        <v>0</v>
      </c>
      <c r="DF59" s="276">
        <f>SUMIF('20Ф'!$H:$H,$B:$B,'20Ф'!AO:AO)*1.2</f>
        <v>0</v>
      </c>
      <c r="DG59" s="276">
        <f>SUMIF('20Ф'!$H:$H,$B:$B,'20Ф'!AP:AP)*1.2</f>
        <v>0</v>
      </c>
      <c r="DH59" s="276">
        <f>SUMIF('20Ф'!$H:$H,$B:$B,'20Ф'!AQ:AQ)*1.2</f>
        <v>0</v>
      </c>
      <c r="DI59" s="276">
        <f>SUMIF('20Ф'!$H:$H,$B:$B,'20Ф'!BA:BA)*1.2</f>
        <v>0</v>
      </c>
      <c r="DJ59" s="276">
        <f>SUMIF('20Ф'!$H:$H,$B:$B,'20Ф'!BB:BB)*1.2</f>
        <v>0</v>
      </c>
      <c r="DK59" s="276">
        <f>SUMIF('20Ф'!$H:$H,$B:$B,'20Ф'!BC:BC)*1.2</f>
        <v>0</v>
      </c>
      <c r="DL59" s="276">
        <f>$D59/$D$281*'20Ф'!$H$218</f>
        <v>27021.907285772442</v>
      </c>
      <c r="DM59" s="240">
        <f t="shared" si="1"/>
        <v>311598.31898854865</v>
      </c>
      <c r="DN59" s="276">
        <f>SUMIF('20Ф'!$H:$H,$B:$B,'20Ф'!AV:AV)*1.2</f>
        <v>0</v>
      </c>
      <c r="DO59" s="276">
        <f>SUMIF('20Ф'!$H:$H,$B:$B,'20Ф'!AW:AW)*1.2+$D59/$D$281*'26Ф'!$D$42</f>
        <v>14379.660292033217</v>
      </c>
      <c r="DP59" s="276">
        <f>SUMIF('20Ф'!$H:$H,$B:$B,'20Ф'!AX:AX)*1.2</f>
        <v>0</v>
      </c>
      <c r="DQ59" s="276">
        <f>SUMIF('20Ф'!$H:$H,$B:$B,'20Ф'!AY:AY)*1.2</f>
        <v>11633.003999999999</v>
      </c>
      <c r="DR59" s="276">
        <f>SUMIF('20Ф'!$H:$H,$B:$B,'20Ф'!AU:AU)*1.2</f>
        <v>0</v>
      </c>
      <c r="DS59" s="276">
        <f>SUMIF('20Ф'!$H:$H,$B:$B,'20Ф'!AS:AS)*1.2</f>
        <v>0</v>
      </c>
      <c r="DT59" s="276">
        <f>SUMIF('20Ф'!$H:$H,$B:$B,'20Ф'!AR:AR)*1.2</f>
        <v>31930.763999999999</v>
      </c>
      <c r="DU59" s="276">
        <f>SUMIF('20Ф'!$H:$H,$B:$B,'20Ф'!X:X)*1.2</f>
        <v>0</v>
      </c>
      <c r="DV59" s="276">
        <f>SUMIF('20Ф'!$H:$H,$B:$B,'20Ф'!AA:AA)*1.2</f>
        <v>0</v>
      </c>
      <c r="DW59" s="276">
        <f>SUMIF('20Ф'!$H:$H,$B:$B,'20Ф'!N:N)*1.2</f>
        <v>0</v>
      </c>
      <c r="DX59" s="276">
        <f>$D59/$D$281*('25Ф'!$D$37)</f>
        <v>241704.10021708932</v>
      </c>
      <c r="DY59" s="276">
        <f>$D59/$D$281*'25Ф'!$D$30</f>
        <v>7714.4361264855279</v>
      </c>
      <c r="DZ59" s="276">
        <f>$D59/$D$281*'25Ф'!$D$31</f>
        <v>4236.354352940577</v>
      </c>
      <c r="EA59" s="276"/>
      <c r="EB59" s="276">
        <f t="shared" si="2"/>
        <v>152277.37669681603</v>
      </c>
      <c r="EC59" s="276">
        <f>$D59/$D$281*'26Ф'!$D$36</f>
        <v>79265.2786272675</v>
      </c>
      <c r="ED59" s="276">
        <f>$D59/$D$281*'26Ф'!$D$37</f>
        <v>9523.638570098261</v>
      </c>
      <c r="EE59" s="276">
        <f>$D59/$D$281*'26Ф'!$D$38</f>
        <v>9621.3128550254296</v>
      </c>
      <c r="EF59" s="276">
        <f>$D59/$D$281*'26Ф'!$D$39</f>
        <v>6749.3421866552462</v>
      </c>
      <c r="EG59" s="276">
        <f>$D59/$D$281*'91Ф'!$D$10</f>
        <v>2082.1692575693596</v>
      </c>
      <c r="EH59" s="276">
        <f>$D59/$D$281*('20Ф'!$I$509+'26Ф'!$D$41+'20Ф'!$I$507)</f>
        <v>14730.661871420896</v>
      </c>
      <c r="EI59" s="276">
        <f>$D59/$D$281*'91Ф'!$D$31</f>
        <v>27003.466845522216</v>
      </c>
      <c r="EJ59" s="276">
        <f>$D59/$D$281*'20Ф'!$I$1316</f>
        <v>3301.506483257102</v>
      </c>
      <c r="EK59" s="276">
        <f>$D59/$D$281*('20Ф'!$I$1105+'20Ф'!$I$1282+'91Ф'!$D$17+'91Ф'!$D$41)</f>
        <v>108425.15111902506</v>
      </c>
      <c r="EL59" s="276">
        <f>$D59/$D$281*отчёт!BX$294</f>
        <v>181253.78558073888</v>
      </c>
      <c r="EM59" s="276">
        <f>$D59/$D$281*отчёт!BY$294</f>
        <v>159402.97507034085</v>
      </c>
      <c r="EN59" s="276">
        <f>$D59/$D$283*отчёт!BZ$294</f>
        <v>28607.851182325481</v>
      </c>
      <c r="EO59" s="240">
        <f t="shared" si="11"/>
        <v>91391.128750498989</v>
      </c>
      <c r="EP59" s="276">
        <f>SUMIF('20Ф'!$H:$H,$B:$B,'20Ф'!T:T)*1.2</f>
        <v>2459.424</v>
      </c>
      <c r="EQ59" s="276">
        <f>SUM(H59:I59)/SUM($H$284:$I$284)*SUM('60Ф'!$O$155:$P$155)</f>
        <v>86255.130878243508</v>
      </c>
      <c r="ER59" s="276">
        <f>SUM($H59:$I59)/SUM($H$284:$I$284)*SUM('60Ф'!$P$227)</f>
        <v>2676.5738722554888</v>
      </c>
      <c r="ES59" s="239">
        <f t="shared" si="6"/>
        <v>60665.711067317476</v>
      </c>
      <c r="ET59" s="276">
        <f>$D59/$D$282*'20Ф'!$I$381</f>
        <v>4636.7384220779168</v>
      </c>
      <c r="EU59" s="276">
        <f>$D59/$D$282*('20Ф'!$I$75+'20Ф'!$I$1098)*1.2</f>
        <v>53556.387150266157</v>
      </c>
      <c r="EV59" s="276">
        <f>$D59/$D$282*('20Ф'!$I$1286)</f>
        <v>2472.5854949734048</v>
      </c>
      <c r="EW59" s="276">
        <f>SUMIF('91.1Ф'!$N:$N,$B:$B,'91.1Ф'!$F:$F)+$D59/$D$281*('91Ф'!$D$12+'91Ф'!$D$11+'91Ф'!$D$19+'91Ф'!$D$20)</f>
        <v>14289.904956382636</v>
      </c>
      <c r="EX59" s="276">
        <f t="shared" si="4"/>
        <v>13800.219168806536</v>
      </c>
      <c r="EY59" s="276">
        <f>SUMIF('20Ф'!$H:$H,$B:$B,'20Ф'!$AY:$AY)*1.2</f>
        <v>11633.003999999999</v>
      </c>
      <c r="EZ59" s="295">
        <f>D59/$D$286*'20Ф'!$I$1163</f>
        <v>2167.2151688065364</v>
      </c>
      <c r="FA59" s="277">
        <f>SUMIF(отчёт!$B:$B,$B:$B,отчёт!$CU:$CU)/отчёт!$CU$281*'20Ф'!$I$1341</f>
        <v>0</v>
      </c>
      <c r="FB59" s="276">
        <f>SUMIF(Сальдо!$A:$A,$B:$B,Сальдо!$H:$H)-SUMIF(Сальдо!$A:$A,$B:$B,Сальдо!$I:$I)</f>
        <v>152884.20000000001</v>
      </c>
    </row>
    <row r="60" spans="1:158" ht="12" customHeight="1" x14ac:dyDescent="0.25">
      <c r="A60" s="3">
        <f t="shared" si="7"/>
        <v>56</v>
      </c>
      <c r="B60" s="4" t="s">
        <v>104</v>
      </c>
      <c r="C60" s="4" t="s">
        <v>104</v>
      </c>
      <c r="D60" s="5">
        <v>4398.8</v>
      </c>
      <c r="E60" s="6">
        <v>3854.6</v>
      </c>
      <c r="F60" s="6">
        <v>544.20000000000005</v>
      </c>
      <c r="G60" s="6">
        <v>1214.2</v>
      </c>
      <c r="H60" s="5">
        <f>SUMIF(отчёт!$B:$B,$B:$B,отчёт!I:I)</f>
        <v>1</v>
      </c>
      <c r="I60" s="5">
        <f>SUMIF(отчёт!$B:$B,$B:$B,отчёт!J:J)</f>
        <v>1</v>
      </c>
      <c r="J60" s="3" t="s">
        <v>74</v>
      </c>
      <c r="K60" s="105">
        <v>1</v>
      </c>
      <c r="L60" s="105" t="s">
        <v>75</v>
      </c>
      <c r="M60" s="12">
        <v>36.54</v>
      </c>
      <c r="N60" s="8">
        <v>4.03</v>
      </c>
      <c r="O60" s="8">
        <v>7</v>
      </c>
      <c r="P60" s="8">
        <v>11</v>
      </c>
      <c r="Q60" s="8">
        <v>5.4</v>
      </c>
      <c r="R60" s="8">
        <v>2.67</v>
      </c>
      <c r="S60" s="8">
        <v>1.54</v>
      </c>
      <c r="T60" s="8">
        <v>4.9000000000000004</v>
      </c>
      <c r="U60" s="8">
        <v>0</v>
      </c>
      <c r="V60" s="9">
        <v>40</v>
      </c>
      <c r="W60" s="9">
        <v>40</v>
      </c>
      <c r="X60" s="9">
        <v>2604.04</v>
      </c>
      <c r="Y60" s="8">
        <v>195.98199600000001</v>
      </c>
      <c r="Z60" s="9">
        <v>42.3</v>
      </c>
      <c r="AA60" s="9">
        <v>2604.04</v>
      </c>
      <c r="AB60" s="8">
        <v>0</v>
      </c>
      <c r="AC60" s="10">
        <v>0</v>
      </c>
      <c r="AD60" s="8">
        <v>5.05</v>
      </c>
      <c r="AE60" s="8">
        <v>10.67</v>
      </c>
      <c r="AF60" s="8">
        <v>14</v>
      </c>
      <c r="AG60" s="7">
        <v>964392.91200000001</v>
      </c>
      <c r="AH60" s="8">
        <v>106362.984</v>
      </c>
      <c r="AI60" s="8">
        <v>184749.6</v>
      </c>
      <c r="AJ60" s="8">
        <v>290320.80000000005</v>
      </c>
      <c r="AK60" s="8">
        <v>142521.12000000002</v>
      </c>
      <c r="AL60" s="8">
        <v>70468.775999999998</v>
      </c>
      <c r="AM60" s="8">
        <v>40644.911999999997</v>
      </c>
      <c r="AN60" s="8">
        <v>129324.72000000002</v>
      </c>
      <c r="AO60" s="8">
        <v>0</v>
      </c>
      <c r="AP60" s="1" t="s">
        <v>75</v>
      </c>
      <c r="AQ60" s="104">
        <v>39.28</v>
      </c>
      <c r="AR60" s="104">
        <v>4.3321948549534763</v>
      </c>
      <c r="AS60" s="104">
        <v>7.5249042145593874</v>
      </c>
      <c r="AT60" s="104">
        <v>11.824849480021895</v>
      </c>
      <c r="AU60" s="104"/>
      <c r="AV60" s="104"/>
      <c r="AW60" s="104"/>
      <c r="AX60" s="104">
        <v>5.8049261083743851</v>
      </c>
      <c r="AY60" s="104">
        <v>2.870213464696223</v>
      </c>
      <c r="AZ60" s="104">
        <v>1.6554789272030652</v>
      </c>
      <c r="BA60" s="104">
        <v>5.267432950191572</v>
      </c>
      <c r="BB60" s="104"/>
      <c r="BC60" s="101">
        <v>0</v>
      </c>
      <c r="BD60" s="104">
        <v>39.28</v>
      </c>
      <c r="BE60" s="104">
        <v>4.3321948549534763</v>
      </c>
      <c r="BF60" s="104">
        <v>7.5249042145593874</v>
      </c>
      <c r="BG60" s="104">
        <v>11.824849480021895</v>
      </c>
      <c r="BH60" s="104">
        <v>0</v>
      </c>
      <c r="BI60" s="104">
        <v>0</v>
      </c>
      <c r="BJ60" s="104">
        <v>0</v>
      </c>
      <c r="BK60" s="104">
        <v>5.8049261083743851</v>
      </c>
      <c r="BL60" s="104">
        <v>2.870213464696223</v>
      </c>
      <c r="BM60" s="104">
        <v>1.6554789272030652</v>
      </c>
      <c r="BN60" s="104">
        <v>5.267432950191572</v>
      </c>
      <c r="BO60" s="104">
        <v>0</v>
      </c>
      <c r="BP60" s="101">
        <v>0</v>
      </c>
      <c r="BQ60" s="103">
        <v>2073418.3680000002</v>
      </c>
      <c r="BR60" s="103">
        <v>228677.50473563228</v>
      </c>
      <c r="BS60" s="103">
        <v>397206.58390804601</v>
      </c>
      <c r="BT60" s="103">
        <v>624181.7747126437</v>
      </c>
      <c r="BU60" s="103">
        <v>0</v>
      </c>
      <c r="BV60" s="103">
        <v>0</v>
      </c>
      <c r="BW60" s="103">
        <v>0</v>
      </c>
      <c r="BX60" s="103">
        <v>306416.50758620695</v>
      </c>
      <c r="BY60" s="103">
        <v>151505.93986206895</v>
      </c>
      <c r="BZ60" s="103">
        <v>87385.448459770123</v>
      </c>
      <c r="CA60" s="103">
        <v>278044.60873563227</v>
      </c>
      <c r="CB60" s="103">
        <v>0</v>
      </c>
      <c r="CC60" s="103">
        <v>0</v>
      </c>
      <c r="CD60" s="13">
        <v>2</v>
      </c>
      <c r="CF60" s="277">
        <f>SUMIF(Оборот!$A:$A,$B:$B,Оборот!H:H)</f>
        <v>1709879.56</v>
      </c>
      <c r="CG60" s="277">
        <f>SUMIF(Оборот!$A:$A,$B:$B,Оборот!I:I)</f>
        <v>1683208.73</v>
      </c>
      <c r="CH60" s="277">
        <f t="shared" si="0"/>
        <v>2123980.2340716585</v>
      </c>
      <c r="CI60" s="239">
        <f t="shared" si="5"/>
        <v>397228.72297557397</v>
      </c>
      <c r="CJ60" s="276">
        <f>SUMIF('20Ф'!$H:$H,$B:$B,'20Ф'!M:M)*1.2</f>
        <v>0</v>
      </c>
      <c r="CK60" s="276">
        <f>SUMIF('20Ф'!$H:$H,$B:$B,'20Ф'!O:O)*1.2</f>
        <v>0</v>
      </c>
      <c r="CL60" s="276">
        <f>SUMIF('20Ф'!$H:$H,$B:$B,'20Ф'!Q:Q)*1.2</f>
        <v>0</v>
      </c>
      <c r="CM60" s="276">
        <f>SUMIF('20Ф'!$H:$H,$B:$B,'20Ф'!R:R)*1.2</f>
        <v>0</v>
      </c>
      <c r="CN60" s="276">
        <f>SUMIF('20Ф'!$H:$H,$B:$B,'20Ф'!S:S)*1.2</f>
        <v>0</v>
      </c>
      <c r="CO60" s="276">
        <f>SUMIF('20Ф'!$H:$H,$B:$B,'20Ф'!W:W)*1.2</f>
        <v>0</v>
      </c>
      <c r="CP60" s="276">
        <f>SUMIF('20Ф'!$H:$H,$B:$B,'20Ф'!P:P)*1.2</f>
        <v>0</v>
      </c>
      <c r="CQ60" s="276">
        <f>SUMIF('20Ф'!$H:$H,$B:$B,'20Ф'!Y:Y)*1.2</f>
        <v>0</v>
      </c>
      <c r="CR60" s="276">
        <f>SUMIF('20Ф'!$H:$H,$B:$B,'20Ф'!Z:Z)*1.2</f>
        <v>0</v>
      </c>
      <c r="CS60" s="276">
        <f>SUMIF('20Ф'!$H:$H,$B:$B,'20Ф'!AB:AB)*1.2</f>
        <v>18000</v>
      </c>
      <c r="CT60" s="276">
        <f>SUMIF('20Ф'!$H:$H,$B:$B,'20Ф'!AC:AC)*1.2</f>
        <v>0</v>
      </c>
      <c r="CU60" s="276">
        <f>SUMIF('20Ф'!$H:$H,$B:$B,'20Ф'!AD:AD)*1.2</f>
        <v>0</v>
      </c>
      <c r="CV60" s="276">
        <f>SUMIF('20Ф'!$H:$H,$B:$B,'20Ф'!AE:AE)*1.2</f>
        <v>0</v>
      </c>
      <c r="CW60" s="276">
        <f>SUMIF('20Ф'!$H:$H,$B:$B,'20Ф'!AF:AF)*1.2</f>
        <v>0</v>
      </c>
      <c r="CX60" s="276">
        <f>SUMIF('20Ф'!$H:$H,$B:$B,'20Ф'!AG:AG)*1.2</f>
        <v>0</v>
      </c>
      <c r="CY60" s="276">
        <f>SUMIF('20Ф'!$H:$H,$B:$B,'20Ф'!AH:AH)*1.2</f>
        <v>323285.28000000003</v>
      </c>
      <c r="CZ60" s="276">
        <f>SUMIF('20Ф'!$H:$H,$B:$B,'20Ф'!AI:AI)*1.2</f>
        <v>0</v>
      </c>
      <c r="DA60" s="276">
        <f>SUMIF('20Ф'!$H:$H,$B:$B,'20Ф'!AJ:AJ)*1.2</f>
        <v>17254.524000000001</v>
      </c>
      <c r="DB60" s="276">
        <f>SUMIF('20Ф'!$H:$H,$B:$B,'20Ф'!AK:AK)*1.2</f>
        <v>0</v>
      </c>
      <c r="DC60" s="276">
        <f>SUMIF('20Ф'!$H:$H,$B:$B,'20Ф'!AL:AL)*1.2</f>
        <v>0</v>
      </c>
      <c r="DD60" s="276">
        <f>SUMIF('20Ф'!$H:$H,$B:$B,'20Ф'!AM:AM)*1.2</f>
        <v>0</v>
      </c>
      <c r="DE60" s="276">
        <f>SUMIF('20Ф'!$H:$H,$B:$B,'20Ф'!AN:AN)*1.2</f>
        <v>0</v>
      </c>
      <c r="DF60" s="276">
        <f>SUMIF('20Ф'!$H:$H,$B:$B,'20Ф'!AO:AO)*1.2</f>
        <v>0</v>
      </c>
      <c r="DG60" s="276">
        <f>SUMIF('20Ф'!$H:$H,$B:$B,'20Ф'!AP:AP)*1.2</f>
        <v>0</v>
      </c>
      <c r="DH60" s="276">
        <f>SUMIF('20Ф'!$H:$H,$B:$B,'20Ф'!AQ:AQ)*1.2</f>
        <v>0</v>
      </c>
      <c r="DI60" s="276">
        <f>SUMIF('20Ф'!$H:$H,$B:$B,'20Ф'!BA:BA)*1.2</f>
        <v>0</v>
      </c>
      <c r="DJ60" s="276">
        <f>SUMIF('20Ф'!$H:$H,$B:$B,'20Ф'!BB:BB)*1.2</f>
        <v>0</v>
      </c>
      <c r="DK60" s="276">
        <f>SUMIF('20Ф'!$H:$H,$B:$B,'20Ф'!BC:BC)*1.2</f>
        <v>0</v>
      </c>
      <c r="DL60" s="276">
        <f>$D60/$D$281*'20Ф'!$H$218</f>
        <v>38688.918975573935</v>
      </c>
      <c r="DM60" s="240">
        <f t="shared" si="1"/>
        <v>533594.43605651392</v>
      </c>
      <c r="DN60" s="276">
        <f>SUMIF('20Ф'!$H:$H,$B:$B,'20Ф'!AV:AV)*1.2</f>
        <v>0</v>
      </c>
      <c r="DO60" s="276">
        <f>SUMIF('20Ф'!$H:$H,$B:$B,'20Ф'!AW:AW)*1.2+$D60/$D$281*'26Ф'!$D$42</f>
        <v>20588.239980664555</v>
      </c>
      <c r="DP60" s="276">
        <f>SUMIF('20Ф'!$H:$H,$B:$B,'20Ф'!AX:AX)*1.2</f>
        <v>0</v>
      </c>
      <c r="DQ60" s="276">
        <f>SUMIF('20Ф'!$H:$H,$B:$B,'20Ф'!AY:AY)*1.2</f>
        <v>0</v>
      </c>
      <c r="DR60" s="276">
        <f>SUMIF('20Ф'!$H:$H,$B:$B,'20Ф'!AU:AU)*1.2</f>
        <v>0</v>
      </c>
      <c r="DS60" s="276">
        <f>SUMIF('20Ф'!$H:$H,$B:$B,'20Ф'!AS:AS)*1.2</f>
        <v>0</v>
      </c>
      <c r="DT60" s="276">
        <f>SUMIF('20Ф'!$H:$H,$B:$B,'20Ф'!AR:AR)*1.2</f>
        <v>149832.95999999999</v>
      </c>
      <c r="DU60" s="276">
        <f>SUMIF('20Ф'!$H:$H,$B:$B,'20Ф'!X:X)*1.2</f>
        <v>0</v>
      </c>
      <c r="DV60" s="276">
        <f>SUMIF('20Ф'!$H:$H,$B:$B,'20Ф'!AA:AA)*1.2</f>
        <v>0</v>
      </c>
      <c r="DW60" s="276">
        <f>SUMIF('20Ф'!$H:$H,$B:$B,'20Ф'!N:N)*1.2</f>
        <v>0</v>
      </c>
      <c r="DX60" s="276">
        <f>$D60/$D$281*('25Ф'!$D$37)</f>
        <v>346062.55770430376</v>
      </c>
      <c r="DY60" s="276">
        <f>$D60/$D$281*'25Ф'!$D$30</f>
        <v>11045.230489595593</v>
      </c>
      <c r="DZ60" s="276">
        <f>$D60/$D$281*'25Ф'!$D$31</f>
        <v>6065.4478819500082</v>
      </c>
      <c r="EA60" s="276"/>
      <c r="EB60" s="276">
        <f t="shared" si="2"/>
        <v>218024.842825881</v>
      </c>
      <c r="EC60" s="276">
        <f>$D60/$D$281*'26Ф'!$D$36</f>
        <v>113488.95212890157</v>
      </c>
      <c r="ED60" s="276">
        <f>$D60/$D$281*'26Ф'!$D$37</f>
        <v>13635.576389723734</v>
      </c>
      <c r="EE60" s="276">
        <f>$D60/$D$281*'26Ф'!$D$38</f>
        <v>13775.422643194304</v>
      </c>
      <c r="EF60" s="276">
        <f>$D60/$D$281*'26Ф'!$D$39</f>
        <v>9663.4464116977815</v>
      </c>
      <c r="EG60" s="276">
        <f>$D60/$D$281*'91Ф'!$D$10</f>
        <v>2981.1691990352824</v>
      </c>
      <c r="EH60" s="276">
        <f>$D60/$D$281*('20Ф'!$I$509+'26Ф'!$D$41+'20Ф'!$I$507)</f>
        <v>21090.790430624038</v>
      </c>
      <c r="EI60" s="276">
        <f>$D60/$D$281*'91Ф'!$D$31</f>
        <v>38662.516668321172</v>
      </c>
      <c r="EJ60" s="276">
        <f>$D60/$D$281*'20Ф'!$I$1316</f>
        <v>4726.9689543831455</v>
      </c>
      <c r="EK60" s="276">
        <f>$D60/$D$281*('20Ф'!$I$1105+'20Ф'!$I$1282+'91Ф'!$D$17+'91Ф'!$D$41)</f>
        <v>155238.92677875451</v>
      </c>
      <c r="EL60" s="276">
        <f>$D60/$D$281*отчёт!BX$294</f>
        <v>259512.1413965284</v>
      </c>
      <c r="EM60" s="276">
        <f>$D60/$D$281*отчёт!BY$294</f>
        <v>228226.9982551884</v>
      </c>
      <c r="EN60" s="276">
        <f>$D60/$D$283*отчёт!BZ$294</f>
        <v>40959.611945712764</v>
      </c>
      <c r="EO60" s="240">
        <f t="shared" si="11"/>
        <v>183876.00950099801</v>
      </c>
      <c r="EP60" s="276">
        <f>SUMIF('20Ф'!$H:$H,$B:$B,'20Ф'!T:T)*1.2</f>
        <v>6012.5999999999995</v>
      </c>
      <c r="EQ60" s="276">
        <f>SUM(H60:I60)/SUM($H$284:$I$284)*SUM('60Ф'!$O$155:$P$155)</f>
        <v>172510.26175648702</v>
      </c>
      <c r="ER60" s="276">
        <f>SUM($H60:$I60)/SUM($H$284:$I$284)*SUM('60Ф'!$P$227)</f>
        <v>5353.1477445109776</v>
      </c>
      <c r="ES60" s="239">
        <f t="shared" si="6"/>
        <v>86858.812564826381</v>
      </c>
      <c r="ET60" s="276">
        <f>$D60/$D$282*'20Ф'!$I$381</f>
        <v>6638.7022657410871</v>
      </c>
      <c r="EU60" s="276">
        <f>$D60/$D$282*('20Ф'!$I$75+'20Ф'!$I$1098)*1.2</f>
        <v>76679.958271194468</v>
      </c>
      <c r="EV60" s="276">
        <f>$D60/$D$282*('20Ф'!$I$1286)</f>
        <v>3540.1520278908351</v>
      </c>
      <c r="EW60" s="276">
        <f>SUMIF('91.1Ф'!$N:$N,$B:$B,'91.1Ф'!$F:$F)+$D60/$D$281*('91Ф'!$D$12+'91Ф'!$D$11+'91Ф'!$D$19+'91Ф'!$D$20)</f>
        <v>20459.73177168113</v>
      </c>
      <c r="EX60" s="276">
        <f t="shared" si="4"/>
        <v>0</v>
      </c>
      <c r="EY60" s="276">
        <f>SUMIF('20Ф'!$H:$H,$B:$B,'20Ф'!$AY:$AY)*1.2</f>
        <v>0</v>
      </c>
      <c r="EZ60" s="236"/>
      <c r="FA60" s="277">
        <f>SUMIF(отчёт!$B:$B,$B:$B,отчёт!$CU:$CU)/отчёт!$CU$281*'20Ф'!$I$1341</f>
        <v>920.96385542168503</v>
      </c>
      <c r="FB60" s="276">
        <f>SUMIF(Сальдо!$A:$A,$B:$B,Сальдо!$H:$H)-SUMIF(Сальдо!$A:$A,$B:$B,Сальдо!$I:$I)</f>
        <v>204668.16999999998</v>
      </c>
    </row>
    <row r="61" spans="1:158" ht="12" customHeight="1" x14ac:dyDescent="0.25">
      <c r="A61" s="3">
        <f t="shared" si="7"/>
        <v>57</v>
      </c>
      <c r="B61" s="4" t="s">
        <v>105</v>
      </c>
      <c r="C61" s="4" t="s">
        <v>105</v>
      </c>
      <c r="D61" s="5">
        <v>7902.2</v>
      </c>
      <c r="E61" s="6">
        <v>7770.8</v>
      </c>
      <c r="F61" s="6">
        <v>131.4</v>
      </c>
      <c r="G61" s="6">
        <v>1429.18</v>
      </c>
      <c r="H61" s="5">
        <f>SUMIF(отчёт!$B:$B,$B:$B,отчёт!I:I)</f>
        <v>4</v>
      </c>
      <c r="I61" s="5">
        <f>SUMIF(отчёт!$B:$B,$B:$B,отчёт!J:J)</f>
        <v>0</v>
      </c>
      <c r="J61" s="3" t="s">
        <v>74</v>
      </c>
      <c r="K61" s="105">
        <v>3</v>
      </c>
      <c r="L61" s="105" t="s">
        <v>75</v>
      </c>
      <c r="M61" s="12">
        <v>36.75</v>
      </c>
      <c r="N61" s="8">
        <v>4.0199999999999996</v>
      </c>
      <c r="O61" s="8">
        <v>7</v>
      </c>
      <c r="P61" s="8">
        <v>11</v>
      </c>
      <c r="Q61" s="8">
        <v>5.4</v>
      </c>
      <c r="R61" s="8">
        <v>2.67</v>
      </c>
      <c r="S61" s="8">
        <v>1.54</v>
      </c>
      <c r="T61" s="8">
        <v>4.9000000000000004</v>
      </c>
      <c r="U61" s="8">
        <v>0.22</v>
      </c>
      <c r="V61" s="9">
        <v>40</v>
      </c>
      <c r="W61" s="9">
        <v>40</v>
      </c>
      <c r="X61" s="9">
        <v>2604.04</v>
      </c>
      <c r="Y61" s="8">
        <v>195.98199600000001</v>
      </c>
      <c r="Z61" s="9">
        <v>42.3</v>
      </c>
      <c r="AA61" s="9">
        <v>2604.04</v>
      </c>
      <c r="AB61" s="8">
        <v>7.85</v>
      </c>
      <c r="AC61" s="10">
        <v>0</v>
      </c>
      <c r="AD61" s="8">
        <v>6.73</v>
      </c>
      <c r="AE61" s="8">
        <v>10.67</v>
      </c>
      <c r="AF61" s="8">
        <v>14</v>
      </c>
      <c r="AG61" s="7">
        <v>1742435.0999999999</v>
      </c>
      <c r="AH61" s="8">
        <v>190601.06399999998</v>
      </c>
      <c r="AI61" s="8">
        <v>331892.40000000002</v>
      </c>
      <c r="AJ61" s="8">
        <v>521545.19999999995</v>
      </c>
      <c r="AK61" s="8">
        <v>256031.28000000003</v>
      </c>
      <c r="AL61" s="8">
        <v>126593.24400000001</v>
      </c>
      <c r="AM61" s="8">
        <v>73016.328000000009</v>
      </c>
      <c r="AN61" s="8">
        <v>232324.68</v>
      </c>
      <c r="AO61" s="8">
        <v>10430.903999999999</v>
      </c>
      <c r="AP61" s="1" t="s">
        <v>75</v>
      </c>
      <c r="AQ61" s="104">
        <v>39.51</v>
      </c>
      <c r="AR61" s="104">
        <v>4.3219102040816324</v>
      </c>
      <c r="AS61" s="104">
        <v>7.5257142857142849</v>
      </c>
      <c r="AT61" s="104">
        <v>11.826122448979591</v>
      </c>
      <c r="AU61" s="104"/>
      <c r="AV61" s="104"/>
      <c r="AW61" s="104"/>
      <c r="AX61" s="104">
        <v>5.8055510204081635</v>
      </c>
      <c r="AY61" s="104">
        <v>2.8705224489795915</v>
      </c>
      <c r="AZ61" s="104">
        <v>1.6556571428571427</v>
      </c>
      <c r="BA61" s="104">
        <v>5.2679999999999998</v>
      </c>
      <c r="BB61" s="104"/>
      <c r="BC61" s="101">
        <v>0.23652244897959185</v>
      </c>
      <c r="BD61" s="104">
        <v>39.51</v>
      </c>
      <c r="BE61" s="104">
        <v>4.3219102040816324</v>
      </c>
      <c r="BF61" s="104">
        <v>7.5257142857142849</v>
      </c>
      <c r="BG61" s="104">
        <v>11.826122448979591</v>
      </c>
      <c r="BH61" s="104">
        <v>0</v>
      </c>
      <c r="BI61" s="104">
        <v>0</v>
      </c>
      <c r="BJ61" s="104">
        <v>0</v>
      </c>
      <c r="BK61" s="104">
        <v>5.8055510204081635</v>
      </c>
      <c r="BL61" s="104">
        <v>2.8705224489795915</v>
      </c>
      <c r="BM61" s="104">
        <v>1.6556571428571427</v>
      </c>
      <c r="BN61" s="104">
        <v>5.2679999999999998</v>
      </c>
      <c r="BO61" s="104">
        <v>0</v>
      </c>
      <c r="BP61" s="101">
        <v>0.23652244897959182</v>
      </c>
      <c r="BQ61" s="103">
        <v>3746591.0640000002</v>
      </c>
      <c r="BR61" s="103">
        <v>409831.18577632651</v>
      </c>
      <c r="BS61" s="103">
        <v>713636.39314285712</v>
      </c>
      <c r="BT61" s="103">
        <v>1121428.6177959184</v>
      </c>
      <c r="BU61" s="103">
        <v>0</v>
      </c>
      <c r="BV61" s="103">
        <v>0</v>
      </c>
      <c r="BW61" s="103">
        <v>0</v>
      </c>
      <c r="BX61" s="103">
        <v>550519.50328163267</v>
      </c>
      <c r="BY61" s="103">
        <v>272201.30995591835</v>
      </c>
      <c r="BZ61" s="103">
        <v>157000.00649142856</v>
      </c>
      <c r="CA61" s="103">
        <v>499545.47519999999</v>
      </c>
      <c r="CB61" s="103">
        <v>0</v>
      </c>
      <c r="CC61" s="103">
        <v>22428.572355918364</v>
      </c>
      <c r="CD61" s="13">
        <v>2</v>
      </c>
      <c r="CF61" s="277">
        <f>SUMIF(Оборот!$A:$A,$B:$B,Оборот!H:H)</f>
        <v>2928557.88</v>
      </c>
      <c r="CG61" s="277">
        <f>SUMIF(Оборот!$A:$A,$B:$B,Оборот!I:I)</f>
        <v>3076841.27</v>
      </c>
      <c r="CH61" s="277">
        <f t="shared" si="0"/>
        <v>3541240.8669591094</v>
      </c>
      <c r="CI61" s="239">
        <f t="shared" si="5"/>
        <v>479930.76711884612</v>
      </c>
      <c r="CJ61" s="276">
        <f>SUMIF('20Ф'!$H:$H,$B:$B,'20Ф'!M:M)*1.2</f>
        <v>0</v>
      </c>
      <c r="CK61" s="276">
        <f>SUMIF('20Ф'!$H:$H,$B:$B,'20Ф'!O:O)*1.2</f>
        <v>0</v>
      </c>
      <c r="CL61" s="276">
        <f>SUMIF('20Ф'!$H:$H,$B:$B,'20Ф'!Q:Q)*1.2</f>
        <v>0</v>
      </c>
      <c r="CM61" s="276">
        <f>SUMIF('20Ф'!$H:$H,$B:$B,'20Ф'!R:R)*1.2</f>
        <v>0</v>
      </c>
      <c r="CN61" s="276">
        <f>SUMIF('20Ф'!$H:$H,$B:$B,'20Ф'!S:S)*1.2</f>
        <v>0</v>
      </c>
      <c r="CO61" s="276">
        <f>SUMIF('20Ф'!$H:$H,$B:$B,'20Ф'!W:W)*1.2</f>
        <v>0</v>
      </c>
      <c r="CP61" s="276">
        <f>SUMIF('20Ф'!$H:$H,$B:$B,'20Ф'!P:P)*1.2</f>
        <v>0</v>
      </c>
      <c r="CQ61" s="276">
        <f>SUMIF('20Ф'!$H:$H,$B:$B,'20Ф'!Y:Y)*1.2</f>
        <v>0</v>
      </c>
      <c r="CR61" s="276">
        <f>SUMIF('20Ф'!$H:$H,$B:$B,'20Ф'!Z:Z)*1.2</f>
        <v>0</v>
      </c>
      <c r="CS61" s="276">
        <f>SUMIF('20Ф'!$H:$H,$B:$B,'20Ф'!AB:AB)*1.2</f>
        <v>0</v>
      </c>
      <c r="CT61" s="276">
        <f>SUMIF('20Ф'!$H:$H,$B:$B,'20Ф'!AC:AC)*1.2</f>
        <v>0</v>
      </c>
      <c r="CU61" s="276">
        <f>SUMIF('20Ф'!$H:$H,$B:$B,'20Ф'!AD:AD)*1.2</f>
        <v>410428.272</v>
      </c>
      <c r="CV61" s="276">
        <f>SUMIF('20Ф'!$H:$H,$B:$B,'20Ф'!AE:AE)*1.2</f>
        <v>0</v>
      </c>
      <c r="CW61" s="276">
        <f>SUMIF('20Ф'!$H:$H,$B:$B,'20Ф'!AF:AF)*1.2</f>
        <v>0</v>
      </c>
      <c r="CX61" s="276">
        <f>SUMIF('20Ф'!$H:$H,$B:$B,'20Ф'!AG:AG)*1.2</f>
        <v>0</v>
      </c>
      <c r="CY61" s="276">
        <f>SUMIF('20Ф'!$H:$H,$B:$B,'20Ф'!AH:AH)*1.2</f>
        <v>0</v>
      </c>
      <c r="CZ61" s="276">
        <f>SUMIF('20Ф'!$H:$H,$B:$B,'20Ф'!AI:AI)*1.2</f>
        <v>0</v>
      </c>
      <c r="DA61" s="276">
        <f>SUMIF('20Ф'!$H:$H,$B:$B,'20Ф'!AJ:AJ)*1.2</f>
        <v>0</v>
      </c>
      <c r="DB61" s="276">
        <f>SUMIF('20Ф'!$H:$H,$B:$B,'20Ф'!AK:AK)*1.2</f>
        <v>0</v>
      </c>
      <c r="DC61" s="276">
        <f>SUMIF('20Ф'!$H:$H,$B:$B,'20Ф'!AL:AL)*1.2</f>
        <v>0</v>
      </c>
      <c r="DD61" s="276">
        <f>SUMIF('20Ф'!$H:$H,$B:$B,'20Ф'!AM:AM)*1.2</f>
        <v>0</v>
      </c>
      <c r="DE61" s="276">
        <f>SUMIF('20Ф'!$H:$H,$B:$B,'20Ф'!AN:AN)*1.2</f>
        <v>0</v>
      </c>
      <c r="DF61" s="276">
        <f>SUMIF('20Ф'!$H:$H,$B:$B,'20Ф'!AO:AO)*1.2</f>
        <v>0</v>
      </c>
      <c r="DG61" s="276">
        <f>SUMIF('20Ф'!$H:$H,$B:$B,'20Ф'!AP:AP)*1.2</f>
        <v>0</v>
      </c>
      <c r="DH61" s="276">
        <f>SUMIF('20Ф'!$H:$H,$B:$B,'20Ф'!AQ:AQ)*1.2</f>
        <v>0</v>
      </c>
      <c r="DI61" s="276">
        <f>SUMIF('20Ф'!$H:$H,$B:$B,'20Ф'!BA:BA)*1.2</f>
        <v>0</v>
      </c>
      <c r="DJ61" s="276">
        <f>SUMIF('20Ф'!$H:$H,$B:$B,'20Ф'!BB:BB)*1.2</f>
        <v>0</v>
      </c>
      <c r="DK61" s="276">
        <f>SUMIF('20Ф'!$H:$H,$B:$B,'20Ф'!BC:BC)*1.2</f>
        <v>0</v>
      </c>
      <c r="DL61" s="276">
        <f>$D61/$D$281*'20Ф'!$H$218</f>
        <v>69502.495118846127</v>
      </c>
      <c r="DM61" s="240">
        <f t="shared" si="1"/>
        <v>829798.06316326815</v>
      </c>
      <c r="DN61" s="276">
        <f>SUMIF('20Ф'!$H:$H,$B:$B,'20Ф'!AV:AV)*1.2</f>
        <v>0</v>
      </c>
      <c r="DO61" s="276">
        <f>SUMIF('20Ф'!$H:$H,$B:$B,'20Ф'!AW:AW)*1.2+$D61/$D$281*'26Ф'!$D$42</f>
        <v>36985.630166228846</v>
      </c>
      <c r="DP61" s="276">
        <f>SUMIF('20Ф'!$H:$H,$B:$B,'20Ф'!AX:AX)*1.2</f>
        <v>0</v>
      </c>
      <c r="DQ61" s="276">
        <f>SUMIF('20Ф'!$H:$H,$B:$B,'20Ф'!AY:AY)*1.2</f>
        <v>46709.003999999994</v>
      </c>
      <c r="DR61" s="276">
        <f>SUMIF('20Ф'!$H:$H,$B:$B,'20Ф'!AU:AU)*1.2</f>
        <v>0</v>
      </c>
      <c r="DS61" s="276">
        <f>SUMIF('20Ф'!$H:$H,$B:$B,'20Ф'!AS:AS)*1.2</f>
        <v>0</v>
      </c>
      <c r="DT61" s="276">
        <f>SUMIF('20Ф'!$H:$H,$B:$B,'20Ф'!AR:AR)*1.2</f>
        <v>93682.871999999988</v>
      </c>
      <c r="DU61" s="276">
        <f>SUMIF('20Ф'!$H:$H,$B:$B,'20Ф'!X:X)*1.2</f>
        <v>0</v>
      </c>
      <c r="DV61" s="276">
        <f>SUMIF('20Ф'!$H:$H,$B:$B,'20Ф'!AA:AA)*1.2</f>
        <v>0</v>
      </c>
      <c r="DW61" s="276">
        <f>SUMIF('20Ф'!$H:$H,$B:$B,'20Ф'!N:N)*1.2</f>
        <v>0</v>
      </c>
      <c r="DX61" s="276">
        <f>$D61/$D$281*('25Ф'!$D$37)</f>
        <v>621682.17320427136</v>
      </c>
      <c r="DY61" s="276">
        <f>$D61/$D$281*'25Ф'!$D$30</f>
        <v>19842.143397036074</v>
      </c>
      <c r="DZ61" s="276">
        <f>$D61/$D$281*'25Ф'!$D$31</f>
        <v>10896.240395731869</v>
      </c>
      <c r="EA61" s="276"/>
      <c r="EB61" s="276">
        <f t="shared" si="2"/>
        <v>391669.52645691484</v>
      </c>
      <c r="EC61" s="276">
        <f>$D61/$D$281*'26Ф'!$D$36</f>
        <v>203876.60214444983</v>
      </c>
      <c r="ED61" s="276">
        <f>$D61/$D$281*'26Ф'!$D$37</f>
        <v>24495.556003199708</v>
      </c>
      <c r="EE61" s="276">
        <f>$D61/$D$281*'26Ф'!$D$38</f>
        <v>24746.782033975182</v>
      </c>
      <c r="EF61" s="276">
        <f>$D61/$D$281*'26Ф'!$D$39</f>
        <v>17359.845011029873</v>
      </c>
      <c r="EG61" s="276">
        <f>$D61/$D$281*'91Ф'!$D$10</f>
        <v>5355.5049660399673</v>
      </c>
      <c r="EH61" s="276">
        <f>$D61/$D$281*('20Ф'!$I$509+'26Ф'!$D$41+'20Ф'!$I$507)</f>
        <v>37888.434150422217</v>
      </c>
      <c r="EI61" s="276">
        <f>$D61/$D$281*'91Ф'!$D$31</f>
        <v>69455.064839594328</v>
      </c>
      <c r="EJ61" s="276">
        <f>$D61/$D$281*'20Ф'!$I$1316</f>
        <v>8491.737308203712</v>
      </c>
      <c r="EK61" s="276">
        <f>$D61/$D$281*('20Ф'!$I$1105+'20Ф'!$I$1282+'91Ф'!$D$17+'91Ф'!$D$41)</f>
        <v>278878.11384720233</v>
      </c>
      <c r="EL61" s="276">
        <f>$D61/$D$281*отчёт!BX$294</f>
        <v>466199.15516587399</v>
      </c>
      <c r="EM61" s="276">
        <f>$D61/$D$281*отчёт!BY$294</f>
        <v>409997.13231157354</v>
      </c>
      <c r="EN61" s="276">
        <f>$D61/$D$283*отчёт!BZ$294</f>
        <v>73581.668981861279</v>
      </c>
      <c r="EO61" s="240">
        <f t="shared" si="11"/>
        <v>366111.37900199601</v>
      </c>
      <c r="EP61" s="276">
        <f>SUMIF('20Ф'!$H:$H,$B:$B,'20Ф'!T:T)*1.2</f>
        <v>10384.56</v>
      </c>
      <c r="EQ61" s="276">
        <f>SUM(H61:I61)/SUM($H$284:$I$284)*SUM('60Ф'!$O$155:$P$155)</f>
        <v>345020.52351297403</v>
      </c>
      <c r="ER61" s="276">
        <f>SUM($H61:$I61)/SUM($H$284:$I$284)*SUM('60Ф'!$P$227)</f>
        <v>10706.295489021955</v>
      </c>
      <c r="ES61" s="239">
        <f t="shared" si="6"/>
        <v>156037.03479352803</v>
      </c>
      <c r="ET61" s="276">
        <f>$D61/$D$282*'20Ф'!$I$381</f>
        <v>11926.06007191489</v>
      </c>
      <c r="EU61" s="276">
        <f>$D61/$D$282*('20Ф'!$I$75+'20Ф'!$I$1098)*1.2</f>
        <v>137751.28813554446</v>
      </c>
      <c r="EV61" s="276">
        <f>$D61/$D$282*('20Ф'!$I$1286)</f>
        <v>6359.6865860686903</v>
      </c>
      <c r="EW61" s="276">
        <f>SUMIF('91.1Ф'!$N:$N,$B:$B,'91.1Ф'!$F:$F)+$D61/$D$281*('91Ф'!$D$12+'91Ф'!$D$11+'91Ф'!$D$19+'91Ф'!$D$20)</f>
        <v>36754.772302941397</v>
      </c>
      <c r="EX61" s="276">
        <f t="shared" si="4"/>
        <v>52283.253815103664</v>
      </c>
      <c r="EY61" s="276">
        <f>SUMIF('20Ф'!$H:$H,$B:$B,'20Ф'!$AY:$AY)*1.2</f>
        <v>46709.003999999994</v>
      </c>
      <c r="EZ61" s="295">
        <f>D61/$D$286*'20Ф'!$I$1163</f>
        <v>5574.2498151036716</v>
      </c>
      <c r="FA61" s="277">
        <f>SUMIF(отчёт!$B:$B,$B:$B,отчёт!$CU:$CU)/отчёт!$CU$281*'20Ф'!$I$1341</f>
        <v>3683.8554216867401</v>
      </c>
      <c r="FB61" s="276">
        <f>SUMIF(Сальдо!$A:$A,$B:$B,Сальдо!$H:$H)-SUMIF(Сальдо!$A:$A,$B:$B,Сальдо!$I:$I)</f>
        <v>285452.08999999997</v>
      </c>
    </row>
    <row r="62" spans="1:158" ht="12" customHeight="1" x14ac:dyDescent="0.25">
      <c r="A62" s="3">
        <f t="shared" si="7"/>
        <v>58</v>
      </c>
      <c r="B62" s="4" t="s">
        <v>106</v>
      </c>
      <c r="C62" s="4" t="s">
        <v>106</v>
      </c>
      <c r="D62" s="5">
        <v>6108.4400000000005</v>
      </c>
      <c r="E62" s="6">
        <v>5292.14</v>
      </c>
      <c r="F62" s="6">
        <v>816.3</v>
      </c>
      <c r="G62" s="6">
        <v>984.8</v>
      </c>
      <c r="H62" s="5">
        <f>SUMIF(отчёт!$B:$B,$B:$B,отчёт!I:I)</f>
        <v>1</v>
      </c>
      <c r="I62" s="5">
        <f>SUMIF(отчёт!$B:$B,$B:$B,отчёт!J:J)</f>
        <v>1</v>
      </c>
      <c r="J62" s="3" t="s">
        <v>74</v>
      </c>
      <c r="K62" s="105">
        <v>1</v>
      </c>
      <c r="L62" s="105" t="s">
        <v>75</v>
      </c>
      <c r="M62" s="12">
        <v>36.54</v>
      </c>
      <c r="N62" s="8">
        <v>4.03</v>
      </c>
      <c r="O62" s="8">
        <v>7</v>
      </c>
      <c r="P62" s="8">
        <v>11</v>
      </c>
      <c r="Q62" s="8">
        <v>5.4</v>
      </c>
      <c r="R62" s="8">
        <v>2.67</v>
      </c>
      <c r="S62" s="8">
        <v>1.54</v>
      </c>
      <c r="T62" s="8">
        <v>4.9000000000000004</v>
      </c>
      <c r="U62" s="8">
        <v>0</v>
      </c>
      <c r="V62" s="9">
        <v>40</v>
      </c>
      <c r="W62" s="9">
        <v>40</v>
      </c>
      <c r="X62" s="9">
        <v>2604.04</v>
      </c>
      <c r="Y62" s="8">
        <v>195.98199600000001</v>
      </c>
      <c r="Z62" s="9">
        <v>42.3</v>
      </c>
      <c r="AA62" s="9">
        <v>2604.04</v>
      </c>
      <c r="AB62" s="8">
        <v>0</v>
      </c>
      <c r="AC62" s="10">
        <v>0</v>
      </c>
      <c r="AD62" s="8">
        <v>5.05</v>
      </c>
      <c r="AE62" s="8">
        <v>10.67</v>
      </c>
      <c r="AF62" s="8">
        <v>14</v>
      </c>
      <c r="AG62" s="7">
        <v>1339214.3856000002</v>
      </c>
      <c r="AH62" s="8">
        <v>147702.07920000004</v>
      </c>
      <c r="AI62" s="8">
        <v>256554.48</v>
      </c>
      <c r="AJ62" s="8">
        <v>403157.04000000004</v>
      </c>
      <c r="AK62" s="8">
        <v>197913.45600000006</v>
      </c>
      <c r="AL62" s="8">
        <v>97857.208800000008</v>
      </c>
      <c r="AM62" s="8">
        <v>56441.9856</v>
      </c>
      <c r="AN62" s="8">
        <v>179588.13600000003</v>
      </c>
      <c r="AO62" s="8">
        <v>0</v>
      </c>
      <c r="AP62" s="1" t="s">
        <v>75</v>
      </c>
      <c r="AQ62" s="104">
        <v>39.28</v>
      </c>
      <c r="AR62" s="104">
        <v>4.3321948549534763</v>
      </c>
      <c r="AS62" s="104">
        <v>7.5249042145593874</v>
      </c>
      <c r="AT62" s="104">
        <v>11.824849480021895</v>
      </c>
      <c r="AU62" s="104"/>
      <c r="AV62" s="104"/>
      <c r="AW62" s="104"/>
      <c r="AX62" s="104">
        <v>5.8049261083743851</v>
      </c>
      <c r="AY62" s="104">
        <v>2.870213464696223</v>
      </c>
      <c r="AZ62" s="104">
        <v>1.6554789272030652</v>
      </c>
      <c r="BA62" s="104">
        <v>5.267432950191572</v>
      </c>
      <c r="BB62" s="104"/>
      <c r="BC62" s="101">
        <v>0</v>
      </c>
      <c r="BD62" s="104">
        <v>39.28</v>
      </c>
      <c r="BE62" s="104">
        <v>4.3321948549534763</v>
      </c>
      <c r="BF62" s="104">
        <v>7.5249042145593874</v>
      </c>
      <c r="BG62" s="104">
        <v>11.824849480021895</v>
      </c>
      <c r="BH62" s="104">
        <v>0</v>
      </c>
      <c r="BI62" s="104">
        <v>0</v>
      </c>
      <c r="BJ62" s="104">
        <v>0</v>
      </c>
      <c r="BK62" s="104">
        <v>5.8049261083743851</v>
      </c>
      <c r="BL62" s="104">
        <v>2.870213464696223</v>
      </c>
      <c r="BM62" s="104">
        <v>1.6554789272030652</v>
      </c>
      <c r="BN62" s="104">
        <v>5.267432950191572</v>
      </c>
      <c r="BO62" s="104">
        <v>0</v>
      </c>
      <c r="BP62" s="101">
        <v>0</v>
      </c>
      <c r="BQ62" s="103">
        <v>2879274.2784000002</v>
      </c>
      <c r="BR62" s="103">
        <v>317555.42807750421</v>
      </c>
      <c r="BS62" s="103">
        <v>551585.11080459773</v>
      </c>
      <c r="BT62" s="103">
        <v>866776.60269293934</v>
      </c>
      <c r="BU62" s="103">
        <v>0</v>
      </c>
      <c r="BV62" s="103">
        <v>0</v>
      </c>
      <c r="BW62" s="103">
        <v>0</v>
      </c>
      <c r="BX62" s="103">
        <v>425508.51404926117</v>
      </c>
      <c r="BY62" s="103">
        <v>210390.32083546798</v>
      </c>
      <c r="BZ62" s="103">
        <v>121348.72437701152</v>
      </c>
      <c r="CA62" s="103">
        <v>386109.57756321854</v>
      </c>
      <c r="CB62" s="103">
        <v>0</v>
      </c>
      <c r="CC62" s="103">
        <v>0</v>
      </c>
      <c r="CD62" s="13">
        <v>2</v>
      </c>
      <c r="CF62" s="277">
        <f>SUMIF(Оборот!$A:$A,$B:$B,Оборот!H:H)</f>
        <v>2342257.2200000002</v>
      </c>
      <c r="CG62" s="277">
        <f>SUMIF(Оборот!$A:$A,$B:$B,Оборот!I:I)</f>
        <v>2318639.6799999997</v>
      </c>
      <c r="CH62" s="277">
        <f t="shared" si="0"/>
        <v>2345164.1820906689</v>
      </c>
      <c r="CI62" s="239">
        <f t="shared" si="5"/>
        <v>131952.6352630615</v>
      </c>
      <c r="CJ62" s="276">
        <f>SUMIF('20Ф'!$H:$H,$B:$B,'20Ф'!M:M)*1.2</f>
        <v>0</v>
      </c>
      <c r="CK62" s="276">
        <f>SUMIF('20Ф'!$H:$H,$B:$B,'20Ф'!O:O)*1.2</f>
        <v>78226.86</v>
      </c>
      <c r="CL62" s="276">
        <f>SUMIF('20Ф'!$H:$H,$B:$B,'20Ф'!Q:Q)*1.2</f>
        <v>0</v>
      </c>
      <c r="CM62" s="276">
        <f>SUMIF('20Ф'!$H:$H,$B:$B,'20Ф'!R:R)*1.2</f>
        <v>0</v>
      </c>
      <c r="CN62" s="276">
        <f>SUMIF('20Ф'!$H:$H,$B:$B,'20Ф'!S:S)*1.2</f>
        <v>0</v>
      </c>
      <c r="CO62" s="276">
        <f>SUMIF('20Ф'!$H:$H,$B:$B,'20Ф'!W:W)*1.2</f>
        <v>0</v>
      </c>
      <c r="CP62" s="276">
        <f>SUMIF('20Ф'!$H:$H,$B:$B,'20Ф'!P:P)*1.2</f>
        <v>0</v>
      </c>
      <c r="CQ62" s="276">
        <f>SUMIF('20Ф'!$H:$H,$B:$B,'20Ф'!Y:Y)*1.2</f>
        <v>0</v>
      </c>
      <c r="CR62" s="276">
        <f>SUMIF('20Ф'!$H:$H,$B:$B,'20Ф'!Z:Z)*1.2</f>
        <v>0</v>
      </c>
      <c r="CS62" s="276">
        <f>SUMIF('20Ф'!$H:$H,$B:$B,'20Ф'!AB:AB)*1.2</f>
        <v>0</v>
      </c>
      <c r="CT62" s="276">
        <f>SUMIF('20Ф'!$H:$H,$B:$B,'20Ф'!AC:AC)*1.2</f>
        <v>0</v>
      </c>
      <c r="CU62" s="276">
        <f>SUMIF('20Ф'!$H:$H,$B:$B,'20Ф'!AD:AD)*1.2</f>
        <v>0</v>
      </c>
      <c r="CV62" s="276">
        <f>SUMIF('20Ф'!$H:$H,$B:$B,'20Ф'!AE:AE)*1.2</f>
        <v>0</v>
      </c>
      <c r="CW62" s="276">
        <f>SUMIF('20Ф'!$H:$H,$B:$B,'20Ф'!AF:AF)*1.2</f>
        <v>0</v>
      </c>
      <c r="CX62" s="276">
        <f>SUMIF('20Ф'!$H:$H,$B:$B,'20Ф'!AG:AG)*1.2</f>
        <v>0</v>
      </c>
      <c r="CY62" s="276">
        <f>SUMIF('20Ф'!$H:$H,$B:$B,'20Ф'!AH:AH)*1.2</f>
        <v>0</v>
      </c>
      <c r="CZ62" s="276">
        <f>SUMIF('20Ф'!$H:$H,$B:$B,'20Ф'!AI:AI)*1.2</f>
        <v>0</v>
      </c>
      <c r="DA62" s="276">
        <f>SUMIF('20Ф'!$H:$H,$B:$B,'20Ф'!AJ:AJ)*1.2</f>
        <v>0</v>
      </c>
      <c r="DB62" s="276">
        <f>SUMIF('20Ф'!$H:$H,$B:$B,'20Ф'!AK:AK)*1.2</f>
        <v>0</v>
      </c>
      <c r="DC62" s="276">
        <f>SUMIF('20Ф'!$H:$H,$B:$B,'20Ф'!AL:AL)*1.2</f>
        <v>0</v>
      </c>
      <c r="DD62" s="276">
        <f>SUMIF('20Ф'!$H:$H,$B:$B,'20Ф'!AM:AM)*1.2</f>
        <v>0</v>
      </c>
      <c r="DE62" s="276">
        <f>SUMIF('20Ф'!$H:$H,$B:$B,'20Ф'!AN:AN)*1.2</f>
        <v>0</v>
      </c>
      <c r="DF62" s="276">
        <f>SUMIF('20Ф'!$H:$H,$B:$B,'20Ф'!AO:AO)*1.2</f>
        <v>0</v>
      </c>
      <c r="DG62" s="276">
        <f>SUMIF('20Ф'!$H:$H,$B:$B,'20Ф'!AP:AP)*1.2</f>
        <v>0</v>
      </c>
      <c r="DH62" s="276">
        <f>SUMIF('20Ф'!$H:$H,$B:$B,'20Ф'!AQ:AQ)*1.2</f>
        <v>0</v>
      </c>
      <c r="DI62" s="276">
        <f>SUMIF('20Ф'!$H:$H,$B:$B,'20Ф'!BA:BA)*1.2</f>
        <v>0</v>
      </c>
      <c r="DJ62" s="276">
        <f>SUMIF('20Ф'!$H:$H,$B:$B,'20Ф'!BB:BB)*1.2</f>
        <v>0</v>
      </c>
      <c r="DK62" s="276">
        <f>SUMIF('20Ф'!$H:$H,$B:$B,'20Ф'!BC:BC)*1.2</f>
        <v>0</v>
      </c>
      <c r="DL62" s="276">
        <f>$D62/$D$281*'20Ф'!$H$218</f>
        <v>53725.775263061485</v>
      </c>
      <c r="DM62" s="240">
        <f t="shared" si="1"/>
        <v>619586.59202424565</v>
      </c>
      <c r="DN62" s="276">
        <f>SUMIF('20Ф'!$H:$H,$B:$B,'20Ф'!AV:AV)*1.2</f>
        <v>0</v>
      </c>
      <c r="DO62" s="276">
        <f>SUMIF('20Ф'!$H:$H,$B:$B,'20Ф'!AW:AW)*1.2+$D62/$D$281*'26Ф'!$D$42</f>
        <v>28590.076527118894</v>
      </c>
      <c r="DP62" s="276">
        <f>SUMIF('20Ф'!$H:$H,$B:$B,'20Ф'!AX:AX)*1.2</f>
        <v>0</v>
      </c>
      <c r="DQ62" s="276">
        <f>SUMIF('20Ф'!$H:$H,$B:$B,'20Ф'!AY:AY)*1.2</f>
        <v>0</v>
      </c>
      <c r="DR62" s="276">
        <f>SUMIF('20Ф'!$H:$H,$B:$B,'20Ф'!AU:AU)*1.2</f>
        <v>0</v>
      </c>
      <c r="DS62" s="276">
        <f>SUMIF('20Ф'!$H:$H,$B:$B,'20Ф'!AS:AS)*1.2</f>
        <v>0</v>
      </c>
      <c r="DT62" s="276">
        <f>SUMIF('20Ф'!$H:$H,$B:$B,'20Ф'!AR:AR)*1.2</f>
        <v>86672.171999999991</v>
      </c>
      <c r="DU62" s="276">
        <f>SUMIF('20Ф'!$H:$H,$B:$B,'20Ф'!X:X)*1.2</f>
        <v>0</v>
      </c>
      <c r="DV62" s="276">
        <f>SUMIF('20Ф'!$H:$H,$B:$B,'20Ф'!AA:AA)*1.2</f>
        <v>0</v>
      </c>
      <c r="DW62" s="276">
        <f>SUMIF('20Ф'!$H:$H,$B:$B,'20Ф'!N:N)*1.2</f>
        <v>0</v>
      </c>
      <c r="DX62" s="276">
        <f>$D62/$D$281*('25Ф'!$D$37)</f>
        <v>480563.4195651717</v>
      </c>
      <c r="DY62" s="276">
        <f>$D62/$D$281*'25Ф'!$D$30</f>
        <v>15338.075777908816</v>
      </c>
      <c r="DZ62" s="276">
        <f>$D62/$D$281*'25Ф'!$D$31</f>
        <v>8422.8481540462653</v>
      </c>
      <c r="EA62" s="276"/>
      <c r="EB62" s="276">
        <f t="shared" si="2"/>
        <v>302762.49679715483</v>
      </c>
      <c r="EC62" s="276">
        <f>$D62/$D$281*'26Ф'!$D$36</f>
        <v>157597.62997687267</v>
      </c>
      <c r="ED62" s="276">
        <f>$D62/$D$281*'26Ф'!$D$37</f>
        <v>18935.186924171147</v>
      </c>
      <c r="EE62" s="276">
        <f>$D62/$D$281*'26Ф'!$D$38</f>
        <v>19129.385898561839</v>
      </c>
      <c r="EF62" s="276">
        <f>$D62/$D$281*'26Ф'!$D$39</f>
        <v>13419.246748902246</v>
      </c>
      <c r="EG62" s="276">
        <f>$D62/$D$281*'91Ф'!$D$10</f>
        <v>4139.8320410464403</v>
      </c>
      <c r="EH62" s="276">
        <f>$D62/$D$281*('20Ф'!$I$509+'26Ф'!$D$41+'20Ф'!$I$507)</f>
        <v>29287.948508238864</v>
      </c>
      <c r="EI62" s="276">
        <f>$D62/$D$281*'91Ф'!$D$31</f>
        <v>53689.111420714689</v>
      </c>
      <c r="EJ62" s="276">
        <f>$D62/$D$281*'20Ф'!$I$1316</f>
        <v>6564.1552786469456</v>
      </c>
      <c r="EK62" s="276">
        <f>$D62/$D$281*('20Ф'!$I$1105+'20Ф'!$I$1282+'91Ф'!$D$17+'91Ф'!$D$41)</f>
        <v>215574.17247713357</v>
      </c>
      <c r="EL62" s="276">
        <f>$D62/$D$281*отчёт!BX$294</f>
        <v>360374.2713904269</v>
      </c>
      <c r="EM62" s="276">
        <f>$D62/$D$281*отчёт!BY$294</f>
        <v>316929.82750339253</v>
      </c>
      <c r="EN62" s="276">
        <f>$D62/$D$283*отчёт!BZ$294</f>
        <v>56878.996997742499</v>
      </c>
      <c r="EO62" s="240">
        <f t="shared" si="11"/>
        <v>192076.16150099802</v>
      </c>
      <c r="EP62" s="276">
        <f>SUMIF('20Ф'!$H:$H,$B:$B,'20Ф'!T:T)*1.2</f>
        <v>14212.751999999999</v>
      </c>
      <c r="EQ62" s="276">
        <f>SUM(H62:I62)/SUM($H$284:$I$284)*SUM('60Ф'!$O$155:$P$155)</f>
        <v>172510.26175648702</v>
      </c>
      <c r="ER62" s="276">
        <f>SUM($H62:$I62)/SUM($H$284:$I$284)*SUM('60Ф'!$P$227)</f>
        <v>5353.1477445109776</v>
      </c>
      <c r="ES62" s="239">
        <f t="shared" si="6"/>
        <v>120617.40588876243</v>
      </c>
      <c r="ET62" s="276">
        <f>$D62/$D$282*'20Ф'!$I$381</f>
        <v>9218.9038983685296</v>
      </c>
      <c r="EU62" s="276">
        <f>$D62/$D$282*('20Ф'!$I$75+'20Ф'!$I$1098)*1.2</f>
        <v>106482.43255026262</v>
      </c>
      <c r="EV62" s="276">
        <f>$D62/$D$282*('20Ф'!$I$1286)</f>
        <v>4916.0694401312849</v>
      </c>
      <c r="EW62" s="276">
        <f>SUMIF('91.1Ф'!$N:$N,$B:$B,'91.1Ф'!$F:$F)+$D62/$D$281*('91Ф'!$D$12+'91Ф'!$D$11+'91Ф'!$D$19+'91Ф'!$D$20)</f>
        <v>28411.62224775118</v>
      </c>
      <c r="EX62" s="276">
        <f t="shared" si="4"/>
        <v>0</v>
      </c>
      <c r="EY62" s="276">
        <f>SUMIF('20Ф'!$H:$H,$B:$B,'20Ф'!$AY:$AY)*1.2</f>
        <v>0</v>
      </c>
      <c r="EZ62" s="236"/>
      <c r="FA62" s="277">
        <f>SUMIF(отчёт!$B:$B,$B:$B,отчёт!$CU:$CU)/отчёт!$CU$281*'20Ф'!$I$1341</f>
        <v>920.96385542168503</v>
      </c>
      <c r="FB62" s="276">
        <f>SUMIF(Сальдо!$A:$A,$B:$B,Сальдо!$H:$H)-SUMIF(Сальдо!$A:$A,$B:$B,Сальдо!$I:$I)</f>
        <v>378052.11</v>
      </c>
    </row>
    <row r="63" spans="1:158" ht="12" customHeight="1" x14ac:dyDescent="0.25">
      <c r="A63" s="3">
        <f t="shared" si="7"/>
        <v>59</v>
      </c>
      <c r="B63" s="4" t="s">
        <v>107</v>
      </c>
      <c r="C63" s="4" t="s">
        <v>107</v>
      </c>
      <c r="D63" s="5">
        <v>5301.46</v>
      </c>
      <c r="E63" s="6">
        <v>5301.46</v>
      </c>
      <c r="F63" s="6">
        <v>0</v>
      </c>
      <c r="G63" s="6">
        <v>996.3</v>
      </c>
      <c r="H63" s="5">
        <f>SUMIF(отчёт!$B:$B,$B:$B,отчёт!I:I)</f>
        <v>1</v>
      </c>
      <c r="I63" s="5">
        <f>SUMIF(отчёт!$B:$B,$B:$B,отчёт!J:J)</f>
        <v>1</v>
      </c>
      <c r="J63" s="3" t="s">
        <v>74</v>
      </c>
      <c r="K63" s="105">
        <v>1</v>
      </c>
      <c r="L63" s="105" t="s">
        <v>75</v>
      </c>
      <c r="M63" s="12">
        <v>36.54</v>
      </c>
      <c r="N63" s="8">
        <v>4.03</v>
      </c>
      <c r="O63" s="8">
        <v>7</v>
      </c>
      <c r="P63" s="8">
        <v>11</v>
      </c>
      <c r="Q63" s="8">
        <v>5.4</v>
      </c>
      <c r="R63" s="8">
        <v>2.67</v>
      </c>
      <c r="S63" s="8">
        <v>1.54</v>
      </c>
      <c r="T63" s="8">
        <v>4.9000000000000004</v>
      </c>
      <c r="U63" s="8">
        <v>0</v>
      </c>
      <c r="V63" s="9">
        <v>40</v>
      </c>
      <c r="W63" s="9">
        <v>40</v>
      </c>
      <c r="X63" s="9">
        <v>2604.04</v>
      </c>
      <c r="Y63" s="8">
        <v>195.98199600000001</v>
      </c>
      <c r="Z63" s="9">
        <v>42.3</v>
      </c>
      <c r="AA63" s="9">
        <v>2604.04</v>
      </c>
      <c r="AB63" s="8">
        <v>0</v>
      </c>
      <c r="AC63" s="10">
        <v>0</v>
      </c>
      <c r="AD63" s="8">
        <v>5.05</v>
      </c>
      <c r="AE63" s="8">
        <v>10.67</v>
      </c>
      <c r="AF63" s="8">
        <v>14</v>
      </c>
      <c r="AG63" s="7">
        <v>1162292.0903999999</v>
      </c>
      <c r="AH63" s="8">
        <v>128189.30280000002</v>
      </c>
      <c r="AI63" s="8">
        <v>222661.32</v>
      </c>
      <c r="AJ63" s="8">
        <v>349896.36</v>
      </c>
      <c r="AK63" s="8">
        <v>171767.304</v>
      </c>
      <c r="AL63" s="8">
        <v>84929.389200000005</v>
      </c>
      <c r="AM63" s="8">
        <v>48985.490400000002</v>
      </c>
      <c r="AN63" s="8">
        <v>155862.924</v>
      </c>
      <c r="AO63" s="8">
        <v>0</v>
      </c>
      <c r="AP63" s="1" t="s">
        <v>75</v>
      </c>
      <c r="AQ63" s="104">
        <v>39.28</v>
      </c>
      <c r="AR63" s="104">
        <v>4.3321948549534763</v>
      </c>
      <c r="AS63" s="104">
        <v>7.5249042145593874</v>
      </c>
      <c r="AT63" s="104">
        <v>11.824849480021895</v>
      </c>
      <c r="AU63" s="104"/>
      <c r="AV63" s="104"/>
      <c r="AW63" s="104"/>
      <c r="AX63" s="104">
        <v>5.8049261083743851</v>
      </c>
      <c r="AY63" s="104">
        <v>2.870213464696223</v>
      </c>
      <c r="AZ63" s="104">
        <v>1.6554789272030652</v>
      </c>
      <c r="BA63" s="104">
        <v>5.267432950191572</v>
      </c>
      <c r="BB63" s="104"/>
      <c r="BC63" s="101">
        <v>0</v>
      </c>
      <c r="BD63" s="104">
        <v>39.28</v>
      </c>
      <c r="BE63" s="104">
        <v>4.3321948549534763</v>
      </c>
      <c r="BF63" s="104">
        <v>7.5249042145593874</v>
      </c>
      <c r="BG63" s="104">
        <v>11.824849480021895</v>
      </c>
      <c r="BH63" s="104">
        <v>0</v>
      </c>
      <c r="BI63" s="104">
        <v>0</v>
      </c>
      <c r="BJ63" s="104">
        <v>0</v>
      </c>
      <c r="BK63" s="104">
        <v>5.8049261083743851</v>
      </c>
      <c r="BL63" s="104">
        <v>2.870213464696223</v>
      </c>
      <c r="BM63" s="104">
        <v>1.6554789272030652</v>
      </c>
      <c r="BN63" s="104">
        <v>5.267432950191572</v>
      </c>
      <c r="BO63" s="104">
        <v>0</v>
      </c>
      <c r="BP63" s="101">
        <v>0</v>
      </c>
      <c r="BQ63" s="103">
        <v>2498896.1856</v>
      </c>
      <c r="BR63" s="103">
        <v>275603.49282889994</v>
      </c>
      <c r="BS63" s="103">
        <v>478715.74436781608</v>
      </c>
      <c r="BT63" s="103">
        <v>752267.59829228243</v>
      </c>
      <c r="BU63" s="103">
        <v>0</v>
      </c>
      <c r="BV63" s="103">
        <v>0</v>
      </c>
      <c r="BW63" s="103">
        <v>0</v>
      </c>
      <c r="BX63" s="103">
        <v>369295.00279802963</v>
      </c>
      <c r="BY63" s="103">
        <v>182595.86249458126</v>
      </c>
      <c r="BZ63" s="103">
        <v>105317.46376091955</v>
      </c>
      <c r="CA63" s="103">
        <v>335101.02105747134</v>
      </c>
      <c r="CB63" s="103">
        <v>0</v>
      </c>
      <c r="CC63" s="103">
        <v>0</v>
      </c>
      <c r="CD63" s="13">
        <v>2</v>
      </c>
      <c r="CF63" s="277">
        <f>SUMIF(Оборот!$A:$A,$B:$B,Оборот!H:H)</f>
        <v>2346560.3300000005</v>
      </c>
      <c r="CG63" s="277">
        <f>SUMIF(Оборот!$A:$A,$B:$B,Оборот!I:I)</f>
        <v>2317803.31</v>
      </c>
      <c r="CH63" s="277">
        <f t="shared" si="0"/>
        <v>2055509.8984358287</v>
      </c>
      <c r="CI63" s="239">
        <f t="shared" si="5"/>
        <v>101057.82393894839</v>
      </c>
      <c r="CJ63" s="276">
        <f>SUMIF('20Ф'!$H:$H,$B:$B,'20Ф'!M:M)*1.2</f>
        <v>0</v>
      </c>
      <c r="CK63" s="276">
        <f>SUMIF('20Ф'!$H:$H,$B:$B,'20Ф'!O:O)*1.2</f>
        <v>54429.707999999991</v>
      </c>
      <c r="CL63" s="276">
        <f>SUMIF('20Ф'!$H:$H,$B:$B,'20Ф'!Q:Q)*1.2</f>
        <v>0</v>
      </c>
      <c r="CM63" s="276">
        <f>SUMIF('20Ф'!$H:$H,$B:$B,'20Ф'!R:R)*1.2</f>
        <v>0</v>
      </c>
      <c r="CN63" s="276">
        <f>SUMIF('20Ф'!$H:$H,$B:$B,'20Ф'!S:S)*1.2</f>
        <v>0</v>
      </c>
      <c r="CO63" s="276">
        <f>SUMIF('20Ф'!$H:$H,$B:$B,'20Ф'!W:W)*1.2</f>
        <v>0</v>
      </c>
      <c r="CP63" s="276">
        <f>SUMIF('20Ф'!$H:$H,$B:$B,'20Ф'!P:P)*1.2</f>
        <v>0</v>
      </c>
      <c r="CQ63" s="276">
        <f>SUMIF('20Ф'!$H:$H,$B:$B,'20Ф'!Y:Y)*1.2</f>
        <v>0</v>
      </c>
      <c r="CR63" s="276">
        <f>SUMIF('20Ф'!$H:$H,$B:$B,'20Ф'!Z:Z)*1.2</f>
        <v>0</v>
      </c>
      <c r="CS63" s="276">
        <f>SUMIF('20Ф'!$H:$H,$B:$B,'20Ф'!AB:AB)*1.2</f>
        <v>0</v>
      </c>
      <c r="CT63" s="276">
        <f>SUMIF('20Ф'!$H:$H,$B:$B,'20Ф'!AC:AC)*1.2</f>
        <v>0</v>
      </c>
      <c r="CU63" s="276">
        <f>SUMIF('20Ф'!$H:$H,$B:$B,'20Ф'!AD:AD)*1.2</f>
        <v>0</v>
      </c>
      <c r="CV63" s="276">
        <f>SUMIF('20Ф'!$H:$H,$B:$B,'20Ф'!AE:AE)*1.2</f>
        <v>0</v>
      </c>
      <c r="CW63" s="276">
        <f>SUMIF('20Ф'!$H:$H,$B:$B,'20Ф'!AF:AF)*1.2</f>
        <v>0</v>
      </c>
      <c r="CX63" s="276">
        <f>SUMIF('20Ф'!$H:$H,$B:$B,'20Ф'!AG:AG)*1.2</f>
        <v>0</v>
      </c>
      <c r="CY63" s="276">
        <f>SUMIF('20Ф'!$H:$H,$B:$B,'20Ф'!AH:AH)*1.2</f>
        <v>0</v>
      </c>
      <c r="CZ63" s="276">
        <f>SUMIF('20Ф'!$H:$H,$B:$B,'20Ф'!AI:AI)*1.2</f>
        <v>0</v>
      </c>
      <c r="DA63" s="276">
        <f>SUMIF('20Ф'!$H:$H,$B:$B,'20Ф'!AJ:AJ)*1.2</f>
        <v>0</v>
      </c>
      <c r="DB63" s="276">
        <f>SUMIF('20Ф'!$H:$H,$B:$B,'20Ф'!AK:AK)*1.2</f>
        <v>0</v>
      </c>
      <c r="DC63" s="276">
        <f>SUMIF('20Ф'!$H:$H,$B:$B,'20Ф'!AL:AL)*1.2</f>
        <v>0</v>
      </c>
      <c r="DD63" s="276">
        <f>SUMIF('20Ф'!$H:$H,$B:$B,'20Ф'!AM:AM)*1.2</f>
        <v>0</v>
      </c>
      <c r="DE63" s="276">
        <f>SUMIF('20Ф'!$H:$H,$B:$B,'20Ф'!AN:AN)*1.2</f>
        <v>0</v>
      </c>
      <c r="DF63" s="276">
        <f>SUMIF('20Ф'!$H:$H,$B:$B,'20Ф'!AO:AO)*1.2</f>
        <v>0</v>
      </c>
      <c r="DG63" s="276">
        <f>SUMIF('20Ф'!$H:$H,$B:$B,'20Ф'!AP:AP)*1.2</f>
        <v>0</v>
      </c>
      <c r="DH63" s="276">
        <f>SUMIF('20Ф'!$H:$H,$B:$B,'20Ф'!AQ:AQ)*1.2</f>
        <v>0</v>
      </c>
      <c r="DI63" s="276">
        <f>SUMIF('20Ф'!$H:$H,$B:$B,'20Ф'!BA:BA)*1.2</f>
        <v>0</v>
      </c>
      <c r="DJ63" s="276">
        <f>SUMIF('20Ф'!$H:$H,$B:$B,'20Ф'!BB:BB)*1.2</f>
        <v>0</v>
      </c>
      <c r="DK63" s="276">
        <f>SUMIF('20Ф'!$H:$H,$B:$B,'20Ф'!BC:BC)*1.2</f>
        <v>0</v>
      </c>
      <c r="DL63" s="276">
        <f>$D63/$D$281*'20Ф'!$H$218</f>
        <v>46628.115938948395</v>
      </c>
      <c r="DM63" s="240">
        <f t="shared" si="1"/>
        <v>560197.10418154194</v>
      </c>
      <c r="DN63" s="276">
        <f>SUMIF('20Ф'!$H:$H,$B:$B,'20Ф'!AV:AV)*1.2</f>
        <v>0</v>
      </c>
      <c r="DO63" s="276">
        <f>SUMIF('20Ф'!$H:$H,$B:$B,'20Ф'!AW:AW)*1.2+$D63/$D$281*'26Ф'!$D$42</f>
        <v>24813.069638968336</v>
      </c>
      <c r="DP63" s="276">
        <f>SUMIF('20Ф'!$H:$H,$B:$B,'20Ф'!AX:AX)*1.2</f>
        <v>0</v>
      </c>
      <c r="DQ63" s="276">
        <f>SUMIF('20Ф'!$H:$H,$B:$B,'20Ф'!AY:AY)*1.2</f>
        <v>0</v>
      </c>
      <c r="DR63" s="276">
        <f>SUMIF('20Ф'!$H:$H,$B:$B,'20Ф'!AU:AU)*1.2</f>
        <v>0</v>
      </c>
      <c r="DS63" s="276">
        <f>SUMIF('20Ф'!$H:$H,$B:$B,'20Ф'!AS:AS)*1.2</f>
        <v>0</v>
      </c>
      <c r="DT63" s="276">
        <f>SUMIF('20Ф'!$H:$H,$B:$B,'20Ф'!AR:AR)*1.2</f>
        <v>97685.484000000011</v>
      </c>
      <c r="DU63" s="276">
        <f>SUMIF('20Ф'!$H:$H,$B:$B,'20Ф'!X:X)*1.2</f>
        <v>0</v>
      </c>
      <c r="DV63" s="276">
        <f>SUMIF('20Ф'!$H:$H,$B:$B,'20Ф'!AA:AA)*1.2</f>
        <v>0</v>
      </c>
      <c r="DW63" s="276">
        <f>SUMIF('20Ф'!$H:$H,$B:$B,'20Ф'!N:N)*1.2</f>
        <v>0</v>
      </c>
      <c r="DX63" s="276">
        <f>$D63/$D$281*('25Ф'!$D$37)</f>
        <v>417076.65889948583</v>
      </c>
      <c r="DY63" s="276">
        <f>$D63/$D$281*'25Ф'!$D$30</f>
        <v>13311.777673768176</v>
      </c>
      <c r="DZ63" s="276">
        <f>$D63/$D$281*'25Ф'!$D$31</f>
        <v>7310.1139693195164</v>
      </c>
      <c r="EA63" s="276"/>
      <c r="EB63" s="276">
        <f t="shared" si="2"/>
        <v>262764.84114933509</v>
      </c>
      <c r="EC63" s="276">
        <f>$D63/$D$281*'26Ф'!$D$36</f>
        <v>136777.56209722799</v>
      </c>
      <c r="ED63" s="276">
        <f>$D63/$D$281*'26Ф'!$D$37</f>
        <v>16433.678004697824</v>
      </c>
      <c r="EE63" s="276">
        <f>$D63/$D$281*'26Ф'!$D$38</f>
        <v>16602.221543600273</v>
      </c>
      <c r="EF63" s="276">
        <f>$D63/$D$281*'26Ф'!$D$39</f>
        <v>11646.443260379951</v>
      </c>
      <c r="EG63" s="276">
        <f>$D63/$D$281*'91Ф'!$D$10</f>
        <v>3592.9229021363985</v>
      </c>
      <c r="EH63" s="276">
        <f>$D63/$D$281*('20Ф'!$I$509+'26Ф'!$D$41+'20Ф'!$I$507)</f>
        <v>25418.746439105238</v>
      </c>
      <c r="EI63" s="276">
        <f>$D63/$D$281*'91Ф'!$D$31</f>
        <v>46596.295720750648</v>
      </c>
      <c r="EJ63" s="276">
        <f>$D63/$D$281*'20Ф'!$I$1316</f>
        <v>5696.971181436772</v>
      </c>
      <c r="EK63" s="276">
        <f>$D63/$D$281*('20Ф'!$I$1105+'20Ф'!$I$1282+'91Ф'!$D$17+'91Ф'!$D$41)</f>
        <v>187094.88059482037</v>
      </c>
      <c r="EL63" s="276">
        <f>$D63/$D$281*отчёт!BX$294</f>
        <v>312765.58086933696</v>
      </c>
      <c r="EM63" s="276">
        <f>$D63/$D$281*отчёт!BY$294</f>
        <v>275060.53973127925</v>
      </c>
      <c r="EN63" s="276">
        <f>$D63/$D$283*отчёт!BZ$294</f>
        <v>49364.768651841048</v>
      </c>
      <c r="EO63" s="240">
        <f t="shared" si="11"/>
        <v>177863.40950099798</v>
      </c>
      <c r="EP63" s="276">
        <f>SUMIF('20Ф'!$H:$H,$B:$B,'20Ф'!T:T)*1.2</f>
        <v>0</v>
      </c>
      <c r="EQ63" s="276">
        <f>SUM(H63:I63)/SUM($H$284:$I$284)*SUM('60Ф'!$O$155:$P$155)</f>
        <v>172510.26175648702</v>
      </c>
      <c r="ER63" s="276">
        <f>SUM($H63:$I63)/SUM($H$284:$I$284)*SUM('60Ф'!$P$227)</f>
        <v>5353.1477445109776</v>
      </c>
      <c r="ES63" s="239">
        <f t="shared" si="6"/>
        <v>104682.75903881164</v>
      </c>
      <c r="ET63" s="276">
        <f>$D63/$D$282*'20Ф'!$I$381</f>
        <v>8001.0035722778357</v>
      </c>
      <c r="EU63" s="276">
        <f>$D63/$D$282*('20Ф'!$I$75+'20Ф'!$I$1098)*1.2</f>
        <v>92415.143124580951</v>
      </c>
      <c r="EV63" s="276">
        <f>$D63/$D$282*('20Ф'!$I$1286)</f>
        <v>4266.6123419528385</v>
      </c>
      <c r="EW63" s="276">
        <f>SUMIF('91.1Ф'!$N:$N,$B:$B,'91.1Ф'!$F:$F)+$D63/$D$281*('91Ф'!$D$12+'91Ф'!$D$11+'91Ф'!$D$19+'91Ф'!$D$20)</f>
        <v>24658.190778916214</v>
      </c>
      <c r="EX63" s="276">
        <f t="shared" si="4"/>
        <v>0</v>
      </c>
      <c r="EY63" s="276">
        <f>SUMIF('20Ф'!$H:$H,$B:$B,'20Ф'!$AY:$AY)*1.2</f>
        <v>0</v>
      </c>
      <c r="EZ63" s="236"/>
      <c r="FA63" s="277">
        <f>SUMIF(отчёт!$B:$B,$B:$B,отчёт!$CU:$CU)/отчёт!$CU$281*'20Ф'!$I$1341</f>
        <v>920.96385542168503</v>
      </c>
      <c r="FB63" s="276">
        <f>SUMIF(Сальдо!$A:$A,$B:$B,Сальдо!$H:$H)-SUMIF(Сальдо!$A:$A,$B:$B,Сальдо!$I:$I)</f>
        <v>398675.68</v>
      </c>
    </row>
    <row r="64" spans="1:158" ht="12" customHeight="1" x14ac:dyDescent="0.25">
      <c r="A64" s="3">
        <f t="shared" si="7"/>
        <v>60</v>
      </c>
      <c r="B64" s="4" t="s">
        <v>108</v>
      </c>
      <c r="C64" s="4" t="s">
        <v>108</v>
      </c>
      <c r="D64" s="5">
        <v>5275.3899999999967</v>
      </c>
      <c r="E64" s="6">
        <v>5275.3899999999967</v>
      </c>
      <c r="F64" s="6">
        <v>0</v>
      </c>
      <c r="G64" s="6">
        <v>932.6</v>
      </c>
      <c r="H64" s="5">
        <f>SUMIF(отчёт!$B:$B,$B:$B,отчёт!I:I)</f>
        <v>1</v>
      </c>
      <c r="I64" s="5">
        <f>SUMIF(отчёт!$B:$B,$B:$B,отчёт!J:J)</f>
        <v>1</v>
      </c>
      <c r="J64" s="3" t="s">
        <v>74</v>
      </c>
      <c r="K64" s="105">
        <v>1</v>
      </c>
      <c r="L64" s="105" t="s">
        <v>75</v>
      </c>
      <c r="M64" s="12">
        <v>36.54</v>
      </c>
      <c r="N64" s="8">
        <v>4.03</v>
      </c>
      <c r="O64" s="8">
        <v>7</v>
      </c>
      <c r="P64" s="8">
        <v>11</v>
      </c>
      <c r="Q64" s="8">
        <v>5.4</v>
      </c>
      <c r="R64" s="8">
        <v>2.67</v>
      </c>
      <c r="S64" s="8">
        <v>1.54</v>
      </c>
      <c r="T64" s="8">
        <v>4.9000000000000004</v>
      </c>
      <c r="U64" s="8">
        <v>0</v>
      </c>
      <c r="V64" s="9">
        <v>40</v>
      </c>
      <c r="W64" s="9">
        <v>40</v>
      </c>
      <c r="X64" s="9">
        <v>2604.04</v>
      </c>
      <c r="Y64" s="8">
        <v>195.98199600000001</v>
      </c>
      <c r="Z64" s="9">
        <v>42.3</v>
      </c>
      <c r="AA64" s="9">
        <v>2604.04</v>
      </c>
      <c r="AB64" s="8">
        <v>0</v>
      </c>
      <c r="AC64" s="10">
        <v>0</v>
      </c>
      <c r="AD64" s="8">
        <v>5.05</v>
      </c>
      <c r="AE64" s="8">
        <v>10.67</v>
      </c>
      <c r="AF64" s="8">
        <v>14</v>
      </c>
      <c r="AG64" s="7">
        <v>1156576.5035999992</v>
      </c>
      <c r="AH64" s="8">
        <v>127558.93019999994</v>
      </c>
      <c r="AI64" s="8">
        <v>221566.37999999983</v>
      </c>
      <c r="AJ64" s="8">
        <v>348175.73999999976</v>
      </c>
      <c r="AK64" s="8">
        <v>170922.63599999991</v>
      </c>
      <c r="AL64" s="8">
        <v>84511.747799999954</v>
      </c>
      <c r="AM64" s="8">
        <v>48744.603599999973</v>
      </c>
      <c r="AN64" s="8">
        <v>155096.4659999999</v>
      </c>
      <c r="AO64" s="8">
        <v>0</v>
      </c>
      <c r="AP64" s="1" t="s">
        <v>75</v>
      </c>
      <c r="AQ64" s="104">
        <v>39.28</v>
      </c>
      <c r="AR64" s="104">
        <v>4.3321948549534763</v>
      </c>
      <c r="AS64" s="104">
        <v>7.5249042145593874</v>
      </c>
      <c r="AT64" s="104">
        <v>11.824849480021895</v>
      </c>
      <c r="AU64" s="104"/>
      <c r="AV64" s="104"/>
      <c r="AW64" s="104"/>
      <c r="AX64" s="104">
        <v>5.8049261083743851</v>
      </c>
      <c r="AY64" s="104">
        <v>2.870213464696223</v>
      </c>
      <c r="AZ64" s="104">
        <v>1.6554789272030652</v>
      </c>
      <c r="BA64" s="104">
        <v>5.267432950191572</v>
      </c>
      <c r="BB64" s="104"/>
      <c r="BC64" s="101">
        <v>0</v>
      </c>
      <c r="BD64" s="104">
        <v>39.28</v>
      </c>
      <c r="BE64" s="104">
        <v>4.3321948549534763</v>
      </c>
      <c r="BF64" s="104">
        <v>7.5249042145593874</v>
      </c>
      <c r="BG64" s="104">
        <v>11.824849480021895</v>
      </c>
      <c r="BH64" s="104">
        <v>0</v>
      </c>
      <c r="BI64" s="104">
        <v>0</v>
      </c>
      <c r="BJ64" s="104">
        <v>0</v>
      </c>
      <c r="BK64" s="104">
        <v>5.8049261083743851</v>
      </c>
      <c r="BL64" s="104">
        <v>2.870213464696223</v>
      </c>
      <c r="BM64" s="104">
        <v>1.6554789272030652</v>
      </c>
      <c r="BN64" s="104">
        <v>5.267432950191572</v>
      </c>
      <c r="BO64" s="104">
        <v>0</v>
      </c>
      <c r="BP64" s="101">
        <v>0</v>
      </c>
      <c r="BQ64" s="103">
        <v>2486607.8303999989</v>
      </c>
      <c r="BR64" s="103">
        <v>274248.20899047609</v>
      </c>
      <c r="BS64" s="103">
        <v>476361.65333333303</v>
      </c>
      <c r="BT64" s="103">
        <v>748568.31238095195</v>
      </c>
      <c r="BU64" s="103">
        <v>0</v>
      </c>
      <c r="BV64" s="103">
        <v>0</v>
      </c>
      <c r="BW64" s="103">
        <v>0</v>
      </c>
      <c r="BX64" s="103">
        <v>367478.98971428553</v>
      </c>
      <c r="BY64" s="103">
        <v>181697.94491428559</v>
      </c>
      <c r="BZ64" s="103">
        <v>104799.56373333327</v>
      </c>
      <c r="CA64" s="103">
        <v>333453.15733333322</v>
      </c>
      <c r="CB64" s="103">
        <v>0</v>
      </c>
      <c r="CC64" s="103">
        <v>0</v>
      </c>
      <c r="CD64" s="13">
        <v>2</v>
      </c>
      <c r="CF64" s="277">
        <f>SUMIF(Оборот!$A:$A,$B:$B,Оборот!H:H)</f>
        <v>1707838.0300000003</v>
      </c>
      <c r="CG64" s="277">
        <f>SUMIF(Оборот!$A:$A,$B:$B,Оборот!I:I)</f>
        <v>1928523.4700000002</v>
      </c>
      <c r="CH64" s="277">
        <f t="shared" si="0"/>
        <v>2535436.7553529236</v>
      </c>
      <c r="CI64" s="239">
        <f t="shared" si="5"/>
        <v>457864.42155918723</v>
      </c>
      <c r="CJ64" s="276">
        <f>SUMIF('20Ф'!$H:$H,$B:$B,'20Ф'!M:M)*1.2</f>
        <v>411465.6</v>
      </c>
      <c r="CK64" s="276">
        <f>SUMIF('20Ф'!$H:$H,$B:$B,'20Ф'!O:O)*1.2</f>
        <v>0</v>
      </c>
      <c r="CL64" s="276">
        <f>SUMIF('20Ф'!$H:$H,$B:$B,'20Ф'!Q:Q)*1.2</f>
        <v>0</v>
      </c>
      <c r="CM64" s="276">
        <f>SUMIF('20Ф'!$H:$H,$B:$B,'20Ф'!R:R)*1.2</f>
        <v>0</v>
      </c>
      <c r="CN64" s="276">
        <f>SUMIF('20Ф'!$H:$H,$B:$B,'20Ф'!S:S)*1.2</f>
        <v>0</v>
      </c>
      <c r="CO64" s="276">
        <f>SUMIF('20Ф'!$H:$H,$B:$B,'20Ф'!W:W)*1.2</f>
        <v>0</v>
      </c>
      <c r="CP64" s="276">
        <f>SUMIF('20Ф'!$H:$H,$B:$B,'20Ф'!P:P)*1.2</f>
        <v>0</v>
      </c>
      <c r="CQ64" s="276">
        <f>SUMIF('20Ф'!$H:$H,$B:$B,'20Ф'!Y:Y)*1.2</f>
        <v>0</v>
      </c>
      <c r="CR64" s="276">
        <f>SUMIF('20Ф'!$H:$H,$B:$B,'20Ф'!Z:Z)*1.2</f>
        <v>0</v>
      </c>
      <c r="CS64" s="276">
        <f>SUMIF('20Ф'!$H:$H,$B:$B,'20Ф'!AB:AB)*1.2</f>
        <v>0</v>
      </c>
      <c r="CT64" s="276">
        <f>SUMIF('20Ф'!$H:$H,$B:$B,'20Ф'!AC:AC)*1.2</f>
        <v>0</v>
      </c>
      <c r="CU64" s="276">
        <f>SUMIF('20Ф'!$H:$H,$B:$B,'20Ф'!AD:AD)*1.2</f>
        <v>0</v>
      </c>
      <c r="CV64" s="276">
        <f>SUMIF('20Ф'!$H:$H,$B:$B,'20Ф'!AE:AE)*1.2</f>
        <v>0</v>
      </c>
      <c r="CW64" s="276">
        <f>SUMIF('20Ф'!$H:$H,$B:$B,'20Ф'!AF:AF)*1.2</f>
        <v>0</v>
      </c>
      <c r="CX64" s="276">
        <f>SUMIF('20Ф'!$H:$H,$B:$B,'20Ф'!AG:AG)*1.2</f>
        <v>0</v>
      </c>
      <c r="CY64" s="276">
        <f>SUMIF('20Ф'!$H:$H,$B:$B,'20Ф'!AH:AH)*1.2</f>
        <v>0</v>
      </c>
      <c r="CZ64" s="276">
        <f>SUMIF('20Ф'!$H:$H,$B:$B,'20Ф'!AI:AI)*1.2</f>
        <v>0</v>
      </c>
      <c r="DA64" s="276">
        <f>SUMIF('20Ф'!$H:$H,$B:$B,'20Ф'!AJ:AJ)*1.2</f>
        <v>0</v>
      </c>
      <c r="DB64" s="276">
        <f>SUMIF('20Ф'!$H:$H,$B:$B,'20Ф'!AK:AK)*1.2</f>
        <v>0</v>
      </c>
      <c r="DC64" s="276">
        <f>SUMIF('20Ф'!$H:$H,$B:$B,'20Ф'!AL:AL)*1.2</f>
        <v>0</v>
      </c>
      <c r="DD64" s="276">
        <f>SUMIF('20Ф'!$H:$H,$B:$B,'20Ф'!AM:AM)*1.2</f>
        <v>0</v>
      </c>
      <c r="DE64" s="276">
        <f>SUMIF('20Ф'!$H:$H,$B:$B,'20Ф'!AN:AN)*1.2</f>
        <v>0</v>
      </c>
      <c r="DF64" s="276">
        <f>SUMIF('20Ф'!$H:$H,$B:$B,'20Ф'!AO:AO)*1.2</f>
        <v>0</v>
      </c>
      <c r="DG64" s="276">
        <f>SUMIF('20Ф'!$H:$H,$B:$B,'20Ф'!AP:AP)*1.2</f>
        <v>0</v>
      </c>
      <c r="DH64" s="276">
        <f>SUMIF('20Ф'!$H:$H,$B:$B,'20Ф'!AQ:AQ)*1.2</f>
        <v>0</v>
      </c>
      <c r="DI64" s="276">
        <f>SUMIF('20Ф'!$H:$H,$B:$B,'20Ф'!BA:BA)*1.2</f>
        <v>0</v>
      </c>
      <c r="DJ64" s="276">
        <f>SUMIF('20Ф'!$H:$H,$B:$B,'20Ф'!BB:BB)*1.2</f>
        <v>0</v>
      </c>
      <c r="DK64" s="276">
        <f>SUMIF('20Ф'!$H:$H,$B:$B,'20Ф'!BC:BC)*1.2</f>
        <v>0</v>
      </c>
      <c r="DL64" s="276">
        <f>$D64/$D$281*'20Ф'!$H$218</f>
        <v>46398.82155918725</v>
      </c>
      <c r="DM64" s="240">
        <f t="shared" si="1"/>
        <v>682739.49714307813</v>
      </c>
      <c r="DN64" s="276">
        <f>SUMIF('20Ф'!$H:$H,$B:$B,'20Ф'!AV:AV)*1.2</f>
        <v>0</v>
      </c>
      <c r="DO64" s="276">
        <f>SUMIF('20Ф'!$H:$H,$B:$B,'20Ф'!AW:AW)*1.2+$D64/$D$281*'26Ф'!$D$42</f>
        <v>24691.051039282967</v>
      </c>
      <c r="DP64" s="276">
        <f>SUMIF('20Ф'!$H:$H,$B:$B,'20Ф'!AX:AX)*1.2</f>
        <v>0</v>
      </c>
      <c r="DQ64" s="276">
        <f>SUMIF('20Ф'!$H:$H,$B:$B,'20Ф'!AY:AY)*1.2</f>
        <v>0</v>
      </c>
      <c r="DR64" s="276">
        <f>SUMIF('20Ф'!$H:$H,$B:$B,'20Ф'!AU:AU)*1.2</f>
        <v>0</v>
      </c>
      <c r="DS64" s="276">
        <f>SUMIF('20Ф'!$H:$H,$B:$B,'20Ф'!AS:AS)*1.2</f>
        <v>0</v>
      </c>
      <c r="DT64" s="276">
        <f>SUMIF('20Ф'!$H:$H,$B:$B,'20Ф'!AR:AR)*1.2</f>
        <v>222502.28400000001</v>
      </c>
      <c r="DU64" s="276">
        <f>SUMIF('20Ф'!$H:$H,$B:$B,'20Ф'!X:X)*1.2</f>
        <v>0</v>
      </c>
      <c r="DV64" s="276">
        <f>SUMIF('20Ф'!$H:$H,$B:$B,'20Ф'!AA:AA)*1.2</f>
        <v>0</v>
      </c>
      <c r="DW64" s="276">
        <f>SUMIF('20Ф'!$H:$H,$B:$B,'20Ф'!N:N)*1.2</f>
        <v>0</v>
      </c>
      <c r="DX64" s="276">
        <f>$D64/$D$281*('25Ф'!$D$37)</f>
        <v>415025.67888690234</v>
      </c>
      <c r="DY64" s="276">
        <f>$D64/$D$281*'25Ф'!$D$30</f>
        <v>13246.316830159965</v>
      </c>
      <c r="DZ64" s="276">
        <f>$D64/$D$281*'25Ф'!$D$31</f>
        <v>7274.1663867327989</v>
      </c>
      <c r="EA64" s="276"/>
      <c r="EB64" s="276">
        <f t="shared" si="2"/>
        <v>261472.6915511557</v>
      </c>
      <c r="EC64" s="276">
        <f>$D64/$D$281*'26Ф'!$D$36</f>
        <v>136104.9566180062</v>
      </c>
      <c r="ED64" s="276">
        <f>$D64/$D$281*'26Ф'!$D$37</f>
        <v>16352.865174725981</v>
      </c>
      <c r="EE64" s="276">
        <f>$D64/$D$281*'26Ф'!$D$38</f>
        <v>16520.579898536136</v>
      </c>
      <c r="EF64" s="276">
        <f>$D64/$D$281*'26Ф'!$D$39</f>
        <v>11589.17172087986</v>
      </c>
      <c r="EG64" s="276">
        <f>$D64/$D$281*'91Ф'!$D$10</f>
        <v>3575.2546560195347</v>
      </c>
      <c r="EH64" s="276">
        <f>$D64/$D$281*('20Ф'!$I$509+'26Ф'!$D$41+'20Ф'!$I$507)</f>
        <v>25293.749415706483</v>
      </c>
      <c r="EI64" s="276">
        <f>$D64/$D$281*'91Ф'!$D$31</f>
        <v>46367.157817335341</v>
      </c>
      <c r="EJ64" s="276">
        <f>$D64/$D$281*'20Ф'!$I$1316</f>
        <v>5668.9562499461872</v>
      </c>
      <c r="EK64" s="276">
        <f>$D64/$D$281*('20Ф'!$I$1105+'20Ф'!$I$1282+'91Ф'!$D$17+'91Ф'!$D$41)</f>
        <v>186174.83903323024</v>
      </c>
      <c r="EL64" s="276">
        <f>$D64/$D$281*отчёт!BX$294</f>
        <v>311227.55196913501</v>
      </c>
      <c r="EM64" s="276">
        <f>$D64/$D$281*отчёт!BY$294</f>
        <v>273707.92587192816</v>
      </c>
      <c r="EN64" s="276">
        <f>$D64/$D$283*отчёт!BZ$294</f>
        <v>49122.016745997433</v>
      </c>
      <c r="EO64" s="240">
        <f t="shared" si="11"/>
        <v>184422.89750099799</v>
      </c>
      <c r="EP64" s="276">
        <f>SUMIF('20Ф'!$H:$H,$B:$B,'20Ф'!T:T)*1.2</f>
        <v>6559.4879999999994</v>
      </c>
      <c r="EQ64" s="276">
        <f>SUM(H64:I64)/SUM($H$284:$I$284)*SUM('60Ф'!$O$155:$P$155)</f>
        <v>172510.26175648702</v>
      </c>
      <c r="ER64" s="276">
        <f>SUM($H64:$I64)/SUM($H$284:$I$284)*SUM('60Ф'!$P$227)</f>
        <v>5353.1477445109776</v>
      </c>
      <c r="ES64" s="239">
        <f t="shared" si="6"/>
        <v>104167.98018013076</v>
      </c>
      <c r="ET64" s="276">
        <f>$D64/$D$282*'20Ф'!$I$381</f>
        <v>7961.658530887481</v>
      </c>
      <c r="EU64" s="276">
        <f>$D64/$D$282*('20Ф'!$I$75+'20Ф'!$I$1098)*1.2</f>
        <v>91960.690430180126</v>
      </c>
      <c r="EV64" s="276">
        <f>$D64/$D$282*('20Ф'!$I$1286)</f>
        <v>4245.6312190631588</v>
      </c>
      <c r="EW64" s="276">
        <f>SUMIF('91.1Ф'!$N:$N,$B:$B,'91.1Ф'!$F:$F)+$D64/$D$281*('91Ф'!$D$12+'91Ф'!$D$11+'91Ф'!$D$19+'91Ф'!$D$20)</f>
        <v>24536.933798083308</v>
      </c>
      <c r="EX64" s="276">
        <f t="shared" si="4"/>
        <v>0</v>
      </c>
      <c r="EY64" s="276">
        <f>SUMIF('20Ф'!$H:$H,$B:$B,'20Ф'!$AY:$AY)*1.2</f>
        <v>0</v>
      </c>
      <c r="EZ64" s="236"/>
      <c r="FA64" s="277">
        <f>SUMIF(отчёт!$B:$B,$B:$B,отчёт!$CU:$CU)/отчёт!$CU$281*'20Ф'!$I$1341</f>
        <v>920.96385542168503</v>
      </c>
      <c r="FB64" s="276">
        <f>SUMIF(Сальдо!$A:$A,$B:$B,Сальдо!$H:$H)-SUMIF(Сальдо!$A:$A,$B:$B,Сальдо!$I:$I)</f>
        <v>61502.21</v>
      </c>
    </row>
    <row r="65" spans="1:158" ht="12" customHeight="1" x14ac:dyDescent="0.25">
      <c r="A65" s="3">
        <f t="shared" si="7"/>
        <v>61</v>
      </c>
      <c r="B65" s="4" t="s">
        <v>109</v>
      </c>
      <c r="C65" s="4" t="s">
        <v>109</v>
      </c>
      <c r="D65" s="5">
        <v>4404.8</v>
      </c>
      <c r="E65" s="6">
        <v>4242.8</v>
      </c>
      <c r="F65" s="6">
        <v>162</v>
      </c>
      <c r="G65" s="6">
        <v>1118.2</v>
      </c>
      <c r="H65" s="5">
        <f>SUMIF(отчёт!$B:$B,$B:$B,отчёт!I:I)</f>
        <v>1</v>
      </c>
      <c r="I65" s="5">
        <f>SUMIF(отчёт!$B:$B,$B:$B,отчёт!J:J)</f>
        <v>1</v>
      </c>
      <c r="J65" s="3" t="s">
        <v>70</v>
      </c>
      <c r="K65" s="105">
        <v>1</v>
      </c>
      <c r="L65" s="105" t="s">
        <v>52</v>
      </c>
      <c r="M65" s="7">
        <v>44.8</v>
      </c>
      <c r="N65" s="8">
        <v>5.0999999999999996</v>
      </c>
      <c r="O65" s="8">
        <v>8.6300000000000008</v>
      </c>
      <c r="P65" s="8">
        <v>13.43</v>
      </c>
      <c r="Q65" s="8">
        <v>6.91</v>
      </c>
      <c r="R65" s="8">
        <v>3.15</v>
      </c>
      <c r="S65" s="8">
        <v>1.81</v>
      </c>
      <c r="T65" s="8">
        <v>5.77</v>
      </c>
      <c r="U65" s="8">
        <v>0</v>
      </c>
      <c r="V65" s="9">
        <v>40</v>
      </c>
      <c r="W65" s="9">
        <v>40</v>
      </c>
      <c r="X65" s="9">
        <v>2604.04</v>
      </c>
      <c r="Y65" s="8">
        <v>195.98199600000001</v>
      </c>
      <c r="Z65" s="9">
        <v>42.3</v>
      </c>
      <c r="AA65" s="9">
        <v>2604.04</v>
      </c>
      <c r="AB65" s="8">
        <v>0</v>
      </c>
      <c r="AC65" s="10">
        <v>0</v>
      </c>
      <c r="AD65" s="8">
        <v>5.05</v>
      </c>
      <c r="AE65" s="8">
        <v>10.67</v>
      </c>
      <c r="AF65" s="8">
        <v>14</v>
      </c>
      <c r="AG65" s="7">
        <v>1184010.24</v>
      </c>
      <c r="AH65" s="8">
        <v>134786.88</v>
      </c>
      <c r="AI65" s="8">
        <v>228080.54400000005</v>
      </c>
      <c r="AJ65" s="8">
        <v>354938.78399999999</v>
      </c>
      <c r="AK65" s="8">
        <v>182623.008</v>
      </c>
      <c r="AL65" s="8">
        <v>83250.720000000001</v>
      </c>
      <c r="AM65" s="8">
        <v>47836.128000000004</v>
      </c>
      <c r="AN65" s="8">
        <v>152494.17600000001</v>
      </c>
      <c r="AO65" s="8">
        <v>0</v>
      </c>
      <c r="AP65" s="1" t="s">
        <v>75</v>
      </c>
      <c r="AQ65" s="104">
        <v>44.8</v>
      </c>
      <c r="AR65" s="104">
        <v>5.0999999999999996</v>
      </c>
      <c r="AS65" s="104">
        <v>8.6300000000000008</v>
      </c>
      <c r="AT65" s="104">
        <v>13.43</v>
      </c>
      <c r="AU65" s="104"/>
      <c r="AV65" s="104"/>
      <c r="AW65" s="104"/>
      <c r="AX65" s="104">
        <v>6.91</v>
      </c>
      <c r="AY65" s="104">
        <v>3.15</v>
      </c>
      <c r="AZ65" s="104">
        <v>1.81</v>
      </c>
      <c r="BA65" s="104">
        <v>5.7699999999999987</v>
      </c>
      <c r="BB65" s="104"/>
      <c r="BC65" s="101">
        <v>0</v>
      </c>
      <c r="BD65" s="104">
        <v>44.8</v>
      </c>
      <c r="BE65" s="104">
        <v>5.0999999999999996</v>
      </c>
      <c r="BF65" s="104">
        <v>8.6300000000000008</v>
      </c>
      <c r="BG65" s="104">
        <v>13.43</v>
      </c>
      <c r="BH65" s="104">
        <v>0</v>
      </c>
      <c r="BI65" s="104">
        <v>0</v>
      </c>
      <c r="BJ65" s="104">
        <v>0</v>
      </c>
      <c r="BK65" s="104">
        <v>6.91</v>
      </c>
      <c r="BL65" s="104">
        <v>3.1499999999999995</v>
      </c>
      <c r="BM65" s="104">
        <v>1.81</v>
      </c>
      <c r="BN65" s="104">
        <v>5.7699999999999987</v>
      </c>
      <c r="BO65" s="104">
        <v>0</v>
      </c>
      <c r="BP65" s="101">
        <v>0</v>
      </c>
      <c r="BQ65" s="103">
        <v>2368020.48</v>
      </c>
      <c r="BR65" s="103">
        <v>269573.76000000001</v>
      </c>
      <c r="BS65" s="103">
        <v>456161.08800000011</v>
      </c>
      <c r="BT65" s="103">
        <v>709877.56800000009</v>
      </c>
      <c r="BU65" s="103">
        <v>0</v>
      </c>
      <c r="BV65" s="103">
        <v>0</v>
      </c>
      <c r="BW65" s="103">
        <v>0</v>
      </c>
      <c r="BX65" s="103">
        <v>365246.01599999995</v>
      </c>
      <c r="BY65" s="103">
        <v>166501.43999999997</v>
      </c>
      <c r="BZ65" s="103">
        <v>95672.256000000008</v>
      </c>
      <c r="CA65" s="103">
        <v>304988.35199999996</v>
      </c>
      <c r="CB65" s="103">
        <v>0</v>
      </c>
      <c r="CC65" s="103">
        <v>0</v>
      </c>
      <c r="CD65" s="13">
        <v>2</v>
      </c>
      <c r="CF65" s="277">
        <f>SUMIF(Оборот!$A:$A,$B:$B,Оборот!H:H)</f>
        <v>2276682.2399999998</v>
      </c>
      <c r="CG65" s="277">
        <f>SUMIF(Оборот!$A:$A,$B:$B,Оборот!I:I)</f>
        <v>2291157.61</v>
      </c>
      <c r="CH65" s="277">
        <f t="shared" si="0"/>
        <v>2146394.4477616251</v>
      </c>
      <c r="CI65" s="239">
        <f t="shared" si="5"/>
        <v>523790.7509847249</v>
      </c>
      <c r="CJ65" s="276">
        <f>SUMIF('20Ф'!$H:$H,$B:$B,'20Ф'!M:M)*1.2</f>
        <v>0</v>
      </c>
      <c r="CK65" s="276">
        <f>SUMIF('20Ф'!$H:$H,$B:$B,'20Ф'!O:O)*1.2</f>
        <v>0</v>
      </c>
      <c r="CL65" s="276">
        <f>SUMIF('20Ф'!$H:$H,$B:$B,'20Ф'!Q:Q)*1.2</f>
        <v>0</v>
      </c>
      <c r="CM65" s="276">
        <f>SUMIF('20Ф'!$H:$H,$B:$B,'20Ф'!R:R)*1.2</f>
        <v>0</v>
      </c>
      <c r="CN65" s="276">
        <f>SUMIF('20Ф'!$H:$H,$B:$B,'20Ф'!S:S)*1.2</f>
        <v>0</v>
      </c>
      <c r="CO65" s="276">
        <f>SUMIF('20Ф'!$H:$H,$B:$B,'20Ф'!W:W)*1.2</f>
        <v>0</v>
      </c>
      <c r="CP65" s="276">
        <f>SUMIF('20Ф'!$H:$H,$B:$B,'20Ф'!P:P)*1.2</f>
        <v>0</v>
      </c>
      <c r="CQ65" s="276">
        <f>SUMIF('20Ф'!$H:$H,$B:$B,'20Ф'!Y:Y)*1.2</f>
        <v>0</v>
      </c>
      <c r="CR65" s="276">
        <f>SUMIF('20Ф'!$H:$H,$B:$B,'20Ф'!Z:Z)*1.2</f>
        <v>0</v>
      </c>
      <c r="CS65" s="276">
        <f>SUMIF('20Ф'!$H:$H,$B:$B,'20Ф'!AB:AB)*1.2</f>
        <v>0</v>
      </c>
      <c r="CT65" s="276">
        <f>SUMIF('20Ф'!$H:$H,$B:$B,'20Ф'!AC:AC)*1.2</f>
        <v>0</v>
      </c>
      <c r="CU65" s="276">
        <f>SUMIF('20Ф'!$H:$H,$B:$B,'20Ф'!AD:AD)*1.2</f>
        <v>0</v>
      </c>
      <c r="CV65" s="276">
        <f>SUMIF('20Ф'!$H:$H,$B:$B,'20Ф'!AE:AE)*1.2</f>
        <v>0</v>
      </c>
      <c r="CW65" s="276">
        <f>SUMIF('20Ф'!$H:$H,$B:$B,'20Ф'!AF:AF)*1.2</f>
        <v>0</v>
      </c>
      <c r="CX65" s="276">
        <f>SUMIF('20Ф'!$H:$H,$B:$B,'20Ф'!AG:AG)*1.2</f>
        <v>0</v>
      </c>
      <c r="CY65" s="276">
        <f>SUMIF('20Ф'!$H:$H,$B:$B,'20Ф'!AH:AH)*1.2</f>
        <v>0</v>
      </c>
      <c r="CZ65" s="276">
        <f>SUMIF('20Ф'!$H:$H,$B:$B,'20Ф'!AI:AI)*1.2</f>
        <v>0</v>
      </c>
      <c r="DA65" s="276">
        <f>SUMIF('20Ф'!$H:$H,$B:$B,'20Ф'!AJ:AJ)*1.2</f>
        <v>0</v>
      </c>
      <c r="DB65" s="276">
        <f>SUMIF('20Ф'!$H:$H,$B:$B,'20Ф'!AK:AK)*1.2</f>
        <v>0</v>
      </c>
      <c r="DC65" s="276">
        <f>SUMIF('20Ф'!$H:$H,$B:$B,'20Ф'!AL:AL)*1.2</f>
        <v>378364.25999999995</v>
      </c>
      <c r="DD65" s="276">
        <f>SUMIF('20Ф'!$H:$H,$B:$B,'20Ф'!AM:AM)*1.2</f>
        <v>0</v>
      </c>
      <c r="DE65" s="276">
        <f>SUMIF('20Ф'!$H:$H,$B:$B,'20Ф'!AN:AN)*1.2</f>
        <v>0</v>
      </c>
      <c r="DF65" s="276">
        <f>SUMIF('20Ф'!$H:$H,$B:$B,'20Ф'!AO:AO)*1.2</f>
        <v>0</v>
      </c>
      <c r="DG65" s="276">
        <f>SUMIF('20Ф'!$H:$H,$B:$B,'20Ф'!AP:AP)*1.2</f>
        <v>0</v>
      </c>
      <c r="DH65" s="276">
        <f>SUMIF('20Ф'!$H:$H,$B:$B,'20Ф'!AQ:AQ)*1.2</f>
        <v>0</v>
      </c>
      <c r="DI65" s="276">
        <f>SUMIF('20Ф'!$H:$H,$B:$B,'20Ф'!BA:BA)*1.2</f>
        <v>106684.8</v>
      </c>
      <c r="DJ65" s="276">
        <f>SUMIF('20Ф'!$H:$H,$B:$B,'20Ф'!BB:BB)*1.2</f>
        <v>0</v>
      </c>
      <c r="DK65" s="276">
        <f>SUMIF('20Ф'!$H:$H,$B:$B,'20Ф'!BC:BC)*1.2</f>
        <v>0</v>
      </c>
      <c r="DL65" s="276">
        <f>$D65/$D$281*'20Ф'!$H$218</f>
        <v>38741.690984724941</v>
      </c>
      <c r="DM65" s="240">
        <f t="shared" si="1"/>
        <v>426976.17792037205</v>
      </c>
      <c r="DN65" s="276">
        <f>SUMIF('20Ф'!$H:$H,$B:$B,'20Ф'!AV:AV)*1.2</f>
        <v>0</v>
      </c>
      <c r="DO65" s="276">
        <f>SUMIF('20Ф'!$H:$H,$B:$B,'20Ф'!AW:AW)*1.2+$D65/$D$281*'26Ф'!$D$42</f>
        <v>20616.322512237708</v>
      </c>
      <c r="DP65" s="276">
        <f>SUMIF('20Ф'!$H:$H,$B:$B,'20Ф'!AX:AX)*1.2</f>
        <v>0</v>
      </c>
      <c r="DQ65" s="276">
        <f>SUMIF('20Ф'!$H:$H,$B:$B,'20Ф'!AY:AY)*1.2</f>
        <v>0</v>
      </c>
      <c r="DR65" s="276">
        <f>SUMIF('20Ф'!$H:$H,$B:$B,'20Ф'!AU:AU)*1.2</f>
        <v>0</v>
      </c>
      <c r="DS65" s="276">
        <f>SUMIF('20Ф'!$H:$H,$B:$B,'20Ф'!AS:AS)*1.2</f>
        <v>42691.248</v>
      </c>
      <c r="DT65" s="276">
        <f>SUMIF('20Ф'!$H:$H,$B:$B,'20Ф'!AR:AR)*1.2</f>
        <v>0</v>
      </c>
      <c r="DU65" s="276">
        <f>SUMIF('20Ф'!$H:$H,$B:$B,'20Ф'!X:X)*1.2</f>
        <v>0</v>
      </c>
      <c r="DV65" s="276">
        <f>SUMIF('20Ф'!$H:$H,$B:$B,'20Ф'!AA:AA)*1.2</f>
        <v>0</v>
      </c>
      <c r="DW65" s="276">
        <f>SUMIF('20Ф'!$H:$H,$B:$B,'20Ф'!N:N)*1.2</f>
        <v>0</v>
      </c>
      <c r="DX65" s="276">
        <f>$D65/$D$281*('25Ф'!$D$37)</f>
        <v>346534.58992814342</v>
      </c>
      <c r="DY65" s="276">
        <f>$D65/$D$281*'25Ф'!$D$30</f>
        <v>11060.296276386893</v>
      </c>
      <c r="DZ65" s="276">
        <f>$D65/$D$281*'25Ф'!$D$31</f>
        <v>6073.7212036040273</v>
      </c>
      <c r="EA65" s="276"/>
      <c r="EB65" s="276">
        <f t="shared" si="2"/>
        <v>218322.23053547344</v>
      </c>
      <c r="EC65" s="276">
        <f>$D65/$D$281*'26Ф'!$D$36</f>
        <v>113643.75200904465</v>
      </c>
      <c r="ED65" s="276">
        <f>$D65/$D$281*'26Ф'!$D$37</f>
        <v>13654.175429993431</v>
      </c>
      <c r="EE65" s="276">
        <f>$D65/$D$281*'26Ф'!$D$38</f>
        <v>13794.212434923678</v>
      </c>
      <c r="EF65" s="276">
        <f>$D65/$D$281*'26Ф'!$D$39</f>
        <v>9676.6274334469381</v>
      </c>
      <c r="EG65" s="276">
        <f>$D65/$D$281*'91Ф'!$D$10</f>
        <v>2985.2355387629837</v>
      </c>
      <c r="EH65" s="276">
        <f>$D65/$D$281*('20Ф'!$I$509+'26Ф'!$D$41+'20Ф'!$I$507)</f>
        <v>21119.558445215232</v>
      </c>
      <c r="EI65" s="276">
        <f>$D65/$D$281*'91Ф'!$D$31</f>
        <v>38715.252664504202</v>
      </c>
      <c r="EJ65" s="276">
        <f>$D65/$D$281*'20Ф'!$I$1316</f>
        <v>4733.4165795823592</v>
      </c>
      <c r="EK65" s="276">
        <f>$D65/$D$281*('20Ф'!$I$1105+'20Ф'!$I$1282+'91Ф'!$D$17+'91Ф'!$D$41)</f>
        <v>155450.67397359686</v>
      </c>
      <c r="EL65" s="276">
        <f>$D65/$D$281*отчёт!BX$294</f>
        <v>259866.11812845056</v>
      </c>
      <c r="EM65" s="276">
        <f>$D65/$D$281*отчёт!BY$294</f>
        <v>228538.30179013681</v>
      </c>
      <c r="EN65" s="276">
        <f>$D65/$D$283*отчёт!BZ$294</f>
        <v>41015.481199071466</v>
      </c>
      <c r="EO65" s="240">
        <f t="shared" si="11"/>
        <v>184969.78550099797</v>
      </c>
      <c r="EP65" s="276">
        <f>SUMIF('20Ф'!$H:$H,$B:$B,'20Ф'!T:T)*1.2</f>
        <v>7106.3759999999993</v>
      </c>
      <c r="EQ65" s="276">
        <f>SUM(H65:I65)/SUM($H$284:$I$284)*SUM('60Ф'!$O$155:$P$155)</f>
        <v>172510.26175648702</v>
      </c>
      <c r="ER65" s="276">
        <f>SUM($H65:$I65)/SUM($H$284:$I$284)*SUM('60Ф'!$P$227)</f>
        <v>5353.1477445109776</v>
      </c>
      <c r="ES65" s="239">
        <f t="shared" si="6"/>
        <v>86977.288711818517</v>
      </c>
      <c r="ET65" s="276">
        <f>$D65/$D$282*'20Ф'!$I$381</f>
        <v>6647.7575111703973</v>
      </c>
      <c r="EU65" s="276">
        <f>$D65/$D$282*('20Ф'!$I$75+'20Ф'!$I$1098)*1.2</f>
        <v>76784.550375774619</v>
      </c>
      <c r="EV65" s="276">
        <f>$D65/$D$282*('20Ф'!$I$1286)</f>
        <v>3544.9808248734998</v>
      </c>
      <c r="EW65" s="276">
        <f>SUMIF('91.1Ф'!$N:$N,$B:$B,'91.1Ф'!$F:$F)+$D65/$D$281*('91Ф'!$D$12+'91Ф'!$D$11+'91Ф'!$D$19+'91Ф'!$D$20)</f>
        <v>20487.639016982142</v>
      </c>
      <c r="EX65" s="276">
        <f t="shared" si="4"/>
        <v>0</v>
      </c>
      <c r="EY65" s="276">
        <f>SUMIF('20Ф'!$H:$H,$B:$B,'20Ф'!$AY:$AY)*1.2</f>
        <v>0</v>
      </c>
      <c r="EZ65" s="236"/>
      <c r="FA65" s="277">
        <f>SUMIF(отчёт!$B:$B,$B:$B,отчёт!$CU:$CU)/отчёт!$CU$281*'20Ф'!$I$1341</f>
        <v>0</v>
      </c>
      <c r="FB65" s="276">
        <f>SUMIF(Сальдо!$A:$A,$B:$B,Сальдо!$H:$H)-SUMIF(Сальдо!$A:$A,$B:$B,Сальдо!$I:$I)</f>
        <v>347556.27999999997</v>
      </c>
    </row>
    <row r="66" spans="1:158" ht="12" customHeight="1" x14ac:dyDescent="0.25">
      <c r="A66" s="3">
        <f t="shared" si="7"/>
        <v>62</v>
      </c>
      <c r="B66" s="4" t="s">
        <v>110</v>
      </c>
      <c r="C66" s="4" t="s">
        <v>110</v>
      </c>
      <c r="D66" s="5">
        <v>3066.8</v>
      </c>
      <c r="E66" s="6">
        <v>3066.8</v>
      </c>
      <c r="F66" s="6">
        <v>0</v>
      </c>
      <c r="G66" s="6">
        <v>397.54</v>
      </c>
      <c r="H66" s="5">
        <f>SUMIF(отчёт!$B:$B,$B:$B,отчёт!I:I)</f>
        <v>1</v>
      </c>
      <c r="I66" s="5">
        <f>SUMIF(отчёт!$B:$B,$B:$B,отчёт!J:J)</f>
        <v>0</v>
      </c>
      <c r="J66" s="3" t="s">
        <v>111</v>
      </c>
      <c r="K66" s="105">
        <v>3</v>
      </c>
      <c r="L66" s="105" t="s">
        <v>52</v>
      </c>
      <c r="M66" s="7">
        <v>45.06</v>
      </c>
      <c r="N66" s="8">
        <v>5.0999999999999996</v>
      </c>
      <c r="O66" s="8">
        <v>8.6300000000000008</v>
      </c>
      <c r="P66" s="8">
        <v>13.43</v>
      </c>
      <c r="Q66" s="8">
        <v>6.91</v>
      </c>
      <c r="R66" s="8">
        <v>3.15</v>
      </c>
      <c r="S66" s="8">
        <v>1.81</v>
      </c>
      <c r="T66" s="8">
        <v>5.77</v>
      </c>
      <c r="U66" s="8">
        <v>0.26</v>
      </c>
      <c r="V66" s="9">
        <v>40</v>
      </c>
      <c r="W66" s="9">
        <v>40</v>
      </c>
      <c r="X66" s="9">
        <v>2604.04</v>
      </c>
      <c r="Y66" s="8">
        <v>195.98199600000001</v>
      </c>
      <c r="Z66" s="9">
        <v>42.3</v>
      </c>
      <c r="AA66" s="9">
        <v>2604.04</v>
      </c>
      <c r="AB66" s="8">
        <v>7.85</v>
      </c>
      <c r="AC66" s="10">
        <v>0</v>
      </c>
      <c r="AD66" s="8">
        <v>6.73</v>
      </c>
      <c r="AE66" s="8">
        <v>10.67</v>
      </c>
      <c r="AF66" s="8">
        <v>14</v>
      </c>
      <c r="AG66" s="7">
        <v>829140.04799999995</v>
      </c>
      <c r="AH66" s="8">
        <v>93844.08</v>
      </c>
      <c r="AI66" s="8">
        <v>158798.90400000004</v>
      </c>
      <c r="AJ66" s="8">
        <v>247122.74400000001</v>
      </c>
      <c r="AK66" s="8">
        <v>127149.52800000002</v>
      </c>
      <c r="AL66" s="8">
        <v>57962.520000000004</v>
      </c>
      <c r="AM66" s="8">
        <v>33305.448000000004</v>
      </c>
      <c r="AN66" s="8">
        <v>106172.61600000001</v>
      </c>
      <c r="AO66" s="8">
        <v>4784.2080000000005</v>
      </c>
      <c r="AQ66" s="104">
        <v>48.44</v>
      </c>
      <c r="AR66" s="375">
        <v>18.489999999999998</v>
      </c>
      <c r="AS66" s="376"/>
      <c r="AT66" s="14">
        <v>6.67</v>
      </c>
      <c r="AU66" s="14">
        <v>1.53</v>
      </c>
      <c r="AV66" s="14">
        <v>0.32</v>
      </c>
      <c r="AW66" s="14">
        <v>0.87</v>
      </c>
      <c r="AX66" s="14">
        <v>5.01</v>
      </c>
      <c r="AY66" s="14">
        <v>4.99</v>
      </c>
      <c r="AZ66" s="14">
        <v>2.7</v>
      </c>
      <c r="BA66" s="14">
        <v>6.46</v>
      </c>
      <c r="BB66" s="14">
        <v>0.47</v>
      </c>
      <c r="BC66" s="15">
        <v>0.93</v>
      </c>
      <c r="BD66" s="104">
        <v>54.88252</v>
      </c>
      <c r="BE66" s="375">
        <v>20.949169999999999</v>
      </c>
      <c r="BF66" s="376">
        <v>0</v>
      </c>
      <c r="BG66" s="14">
        <v>7.5571100000000007</v>
      </c>
      <c r="BH66" s="14">
        <v>1.7334900000000002</v>
      </c>
      <c r="BI66" s="14">
        <v>0.36256000000000005</v>
      </c>
      <c r="BJ66" s="14">
        <v>0.98571000000000009</v>
      </c>
      <c r="BK66" s="14">
        <v>5.6763300000000001</v>
      </c>
      <c r="BL66" s="14">
        <v>5.65367</v>
      </c>
      <c r="BM66" s="14">
        <v>3.0591000000000004</v>
      </c>
      <c r="BN66" s="14">
        <v>7.3191800000000002</v>
      </c>
      <c r="BO66" s="14">
        <v>0.53250999999999993</v>
      </c>
      <c r="BP66" s="15">
        <v>1.05369</v>
      </c>
      <c r="BQ66" s="103">
        <v>1980248.7073600003</v>
      </c>
      <c r="BR66" s="371">
        <v>755879.40955999994</v>
      </c>
      <c r="BS66" s="371">
        <v>0</v>
      </c>
      <c r="BT66" s="103">
        <v>272672.56148000003</v>
      </c>
      <c r="BU66" s="103">
        <v>62547.079320000004</v>
      </c>
      <c r="BV66" s="103">
        <v>13081.742080000002</v>
      </c>
      <c r="BW66" s="103">
        <v>35565.986280000005</v>
      </c>
      <c r="BX66" s="103">
        <v>204811.02444000001</v>
      </c>
      <c r="BY66" s="103">
        <v>203993.41556000002</v>
      </c>
      <c r="BZ66" s="103">
        <v>110377.19880000003</v>
      </c>
      <c r="CA66" s="103">
        <v>264087.66824000003</v>
      </c>
      <c r="CB66" s="103">
        <v>19213.808679999998</v>
      </c>
      <c r="CC66" s="103">
        <v>38018.812919999997</v>
      </c>
      <c r="CD66" s="1">
        <v>1</v>
      </c>
      <c r="CF66" s="277">
        <f>SUMIF(Оборот!$A:$A,$B:$B,Оборот!H:H)</f>
        <v>1684232.61</v>
      </c>
      <c r="CG66" s="277">
        <f>SUMIF(Оборот!$A:$A,$B:$B,Оборот!I:I)</f>
        <v>1654709.0899999999</v>
      </c>
      <c r="CH66" s="277">
        <f t="shared" si="0"/>
        <v>1271926.933591034</v>
      </c>
      <c r="CI66" s="239">
        <f t="shared" si="5"/>
        <v>38373.53294405069</v>
      </c>
      <c r="CJ66" s="276">
        <f>SUMIF('20Ф'!$H:$H,$B:$B,'20Ф'!M:M)*1.2</f>
        <v>0</v>
      </c>
      <c r="CK66" s="276">
        <f>SUMIF('20Ф'!$H:$H,$B:$B,'20Ф'!O:O)*1.2</f>
        <v>0</v>
      </c>
      <c r="CL66" s="276">
        <f>SUMIF('20Ф'!$H:$H,$B:$B,'20Ф'!Q:Q)*1.2</f>
        <v>0</v>
      </c>
      <c r="CM66" s="276">
        <f>SUMIF('20Ф'!$H:$H,$B:$B,'20Ф'!R:R)*1.2</f>
        <v>0</v>
      </c>
      <c r="CN66" s="276">
        <f>SUMIF('20Ф'!$H:$H,$B:$B,'20Ф'!S:S)*1.2</f>
        <v>0</v>
      </c>
      <c r="CO66" s="276">
        <f>SUMIF('20Ф'!$H:$H,$B:$B,'20Ф'!W:W)*1.2</f>
        <v>11400</v>
      </c>
      <c r="CP66" s="276">
        <f>SUMIF('20Ф'!$H:$H,$B:$B,'20Ф'!P:P)*1.2</f>
        <v>0</v>
      </c>
      <c r="CQ66" s="276">
        <f>SUMIF('20Ф'!$H:$H,$B:$B,'20Ф'!Y:Y)*1.2</f>
        <v>0</v>
      </c>
      <c r="CR66" s="276">
        <f>SUMIF('20Ф'!$H:$H,$B:$B,'20Ф'!Z:Z)*1.2</f>
        <v>0</v>
      </c>
      <c r="CS66" s="276">
        <f>SUMIF('20Ф'!$H:$H,$B:$B,'20Ф'!AB:AB)*1.2</f>
        <v>0</v>
      </c>
      <c r="CT66" s="276">
        <f>SUMIF('20Ф'!$H:$H,$B:$B,'20Ф'!AC:AC)*1.2</f>
        <v>0</v>
      </c>
      <c r="CU66" s="276">
        <f>SUMIF('20Ф'!$H:$H,$B:$B,'20Ф'!AD:AD)*1.2</f>
        <v>0</v>
      </c>
      <c r="CV66" s="276">
        <f>SUMIF('20Ф'!$H:$H,$B:$B,'20Ф'!AE:AE)*1.2</f>
        <v>0</v>
      </c>
      <c r="CW66" s="276">
        <f>SUMIF('20Ф'!$H:$H,$B:$B,'20Ф'!AF:AF)*1.2</f>
        <v>0</v>
      </c>
      <c r="CX66" s="276">
        <f>SUMIF('20Ф'!$H:$H,$B:$B,'20Ф'!AG:AG)*1.2</f>
        <v>0</v>
      </c>
      <c r="CY66" s="276">
        <f>SUMIF('20Ф'!$H:$H,$B:$B,'20Ф'!AH:AH)*1.2</f>
        <v>0</v>
      </c>
      <c r="CZ66" s="276">
        <f>SUMIF('20Ф'!$H:$H,$B:$B,'20Ф'!AI:AI)*1.2</f>
        <v>0</v>
      </c>
      <c r="DA66" s="276">
        <f>SUMIF('20Ф'!$H:$H,$B:$B,'20Ф'!AJ:AJ)*1.2</f>
        <v>0</v>
      </c>
      <c r="DB66" s="276">
        <f>SUMIF('20Ф'!$H:$H,$B:$B,'20Ф'!AK:AK)*1.2</f>
        <v>0</v>
      </c>
      <c r="DC66" s="276">
        <f>SUMIF('20Ф'!$H:$H,$B:$B,'20Ф'!AL:AL)*1.2</f>
        <v>0</v>
      </c>
      <c r="DD66" s="276">
        <f>SUMIF('20Ф'!$H:$H,$B:$B,'20Ф'!AM:AM)*1.2</f>
        <v>0</v>
      </c>
      <c r="DE66" s="276">
        <f>SUMIF('20Ф'!$H:$H,$B:$B,'20Ф'!AN:AN)*1.2</f>
        <v>0</v>
      </c>
      <c r="DF66" s="276">
        <f>SUMIF('20Ф'!$H:$H,$B:$B,'20Ф'!AO:AO)*1.2</f>
        <v>0</v>
      </c>
      <c r="DG66" s="276">
        <f>SUMIF('20Ф'!$H:$H,$B:$B,'20Ф'!AP:AP)*1.2</f>
        <v>0</v>
      </c>
      <c r="DH66" s="276">
        <f>SUMIF('20Ф'!$H:$H,$B:$B,'20Ф'!AQ:AQ)*1.2</f>
        <v>0</v>
      </c>
      <c r="DI66" s="276">
        <f>SUMIF('20Ф'!$H:$H,$B:$B,'20Ф'!BA:BA)*1.2</f>
        <v>0</v>
      </c>
      <c r="DJ66" s="276">
        <f>SUMIF('20Ф'!$H:$H,$B:$B,'20Ф'!BB:BB)*1.2</f>
        <v>0</v>
      </c>
      <c r="DK66" s="276">
        <f>SUMIF('20Ф'!$H:$H,$B:$B,'20Ф'!BC:BC)*1.2</f>
        <v>0</v>
      </c>
      <c r="DL66" s="276">
        <f>$D66/$D$281*'20Ф'!$H$218</f>
        <v>26973.532944050687</v>
      </c>
      <c r="DM66" s="240">
        <f t="shared" si="1"/>
        <v>360145.92628001195</v>
      </c>
      <c r="DN66" s="276">
        <f>SUMIF('20Ф'!$H:$H,$B:$B,'20Ф'!AV:AV)*1.2</f>
        <v>0</v>
      </c>
      <c r="DO66" s="276">
        <f>SUMIF('20Ф'!$H:$H,$B:$B,'20Ф'!AW:AW)*1.2+$D66/$D$281*'26Ф'!$D$42</f>
        <v>14353.917971424493</v>
      </c>
      <c r="DP66" s="276">
        <f>SUMIF('20Ф'!$H:$H,$B:$B,'20Ф'!AX:AX)*1.2</f>
        <v>0</v>
      </c>
      <c r="DQ66" s="276">
        <f>SUMIF('20Ф'!$H:$H,$B:$B,'20Ф'!AY:AY)*1.2</f>
        <v>76192.2</v>
      </c>
      <c r="DR66" s="276">
        <f>SUMIF('20Ф'!$H:$H,$B:$B,'20Ф'!AU:AU)*1.2</f>
        <v>0</v>
      </c>
      <c r="DS66" s="276">
        <f>SUMIF('20Ф'!$H:$H,$B:$B,'20Ф'!AS:AS)*1.2</f>
        <v>16399.007999999998</v>
      </c>
      <c r="DT66" s="276">
        <f>SUMIF('20Ф'!$H:$H,$B:$B,'20Ф'!AR:AR)*1.2</f>
        <v>0</v>
      </c>
      <c r="DU66" s="276">
        <f>SUMIF('20Ф'!$H:$H,$B:$B,'20Ф'!X:X)*1.2</f>
        <v>0</v>
      </c>
      <c r="DV66" s="276">
        <f>SUMIF('20Ф'!$H:$H,$B:$B,'20Ф'!AA:AA)*1.2</f>
        <v>0</v>
      </c>
      <c r="DW66" s="276">
        <f>SUMIF('20Ф'!$H:$H,$B:$B,'20Ф'!N:N)*1.2</f>
        <v>0</v>
      </c>
      <c r="DX66" s="276">
        <f>$D66/$D$281*('25Ф'!$D$37)</f>
        <v>241271.40401190295</v>
      </c>
      <c r="DY66" s="276">
        <f>$D66/$D$281*'25Ф'!$D$30</f>
        <v>7700.6258219268348</v>
      </c>
      <c r="DZ66" s="276">
        <f>$D66/$D$281*'25Ф'!$D$31</f>
        <v>4228.7704747577263</v>
      </c>
      <c r="EA66" s="276"/>
      <c r="EB66" s="276">
        <f t="shared" si="2"/>
        <v>152004.77129635625</v>
      </c>
      <c r="EC66" s="276">
        <f>$D66/$D$281*'26Ф'!$D$36</f>
        <v>79123.378737136343</v>
      </c>
      <c r="ED66" s="276">
        <f>$D66/$D$281*'26Ф'!$D$37</f>
        <v>9506.5894498510388</v>
      </c>
      <c r="EE66" s="276">
        <f>$D66/$D$281*'26Ф'!$D$38</f>
        <v>9604.0888792735041</v>
      </c>
      <c r="EF66" s="276">
        <f>$D66/$D$281*'26Ф'!$D$39</f>
        <v>6737.2595833851865</v>
      </c>
      <c r="EG66" s="276">
        <f>$D66/$D$281*'91Ф'!$D$10</f>
        <v>2078.4417794856336</v>
      </c>
      <c r="EH66" s="276">
        <f>$D66/$D$281*('20Ф'!$I$509+'26Ф'!$D$41+'20Ф'!$I$507)</f>
        <v>14704.291191378969</v>
      </c>
      <c r="EI66" s="276">
        <f>$D66/$D$281*'91Ф'!$D$31</f>
        <v>26955.125515687771</v>
      </c>
      <c r="EJ66" s="276">
        <f>$D66/$D$281*'20Ф'!$I$1316</f>
        <v>3295.5961601578229</v>
      </c>
      <c r="EK66" s="276">
        <f>$D66/$D$281*('20Ф'!$I$1105+'20Ф'!$I$1282+'91Ф'!$D$17+'91Ф'!$D$41)</f>
        <v>108231.04952375291</v>
      </c>
      <c r="EL66" s="276">
        <f>$D66/$D$281*отчёт!BX$294</f>
        <v>180929.30690981023</v>
      </c>
      <c r="EM66" s="276">
        <f>$D66/$D$281*отчёт!BY$294</f>
        <v>159117.61349663814</v>
      </c>
      <c r="EN66" s="276">
        <f>$D66/$D$283*отчёт!BZ$294</f>
        <v>28556.637700080002</v>
      </c>
      <c r="EO66" s="240">
        <f t="shared" si="11"/>
        <v>91391.128750498989</v>
      </c>
      <c r="EP66" s="276">
        <f>SUMIF('20Ф'!$H:$H,$B:$B,'20Ф'!T:T)*1.2</f>
        <v>2459.424</v>
      </c>
      <c r="EQ66" s="276">
        <f>SUM(H66:I66)/SUM($H$284:$I$284)*SUM('60Ф'!$O$155:$P$155)</f>
        <v>86255.130878243508</v>
      </c>
      <c r="ER66" s="276">
        <f>SUM($H66:$I66)/SUM($H$284:$I$284)*SUM('60Ф'!$P$227)</f>
        <v>2676.5738722554888</v>
      </c>
      <c r="ES66" s="239">
        <f t="shared" si="6"/>
        <v>60557.107932574712</v>
      </c>
      <c r="ET66" s="276">
        <f>$D66/$D$282*'20Ф'!$I$381</f>
        <v>4628.437780434384</v>
      </c>
      <c r="EU66" s="276">
        <f>$D66/$D$282*('20Ф'!$I$75+'20Ф'!$I$1098)*1.2</f>
        <v>53460.511054401031</v>
      </c>
      <c r="EV66" s="276">
        <f>$D66/$D$282*('20Ф'!$I$1286)</f>
        <v>2468.1590977392957</v>
      </c>
      <c r="EW66" s="276">
        <f>SUMIF('91.1Ф'!$N:$N,$B:$B,'91.1Ф'!$F:$F)+$D66/$D$281*('91Ф'!$D$12+'91Ф'!$D$11+'91Ф'!$D$19+'91Ф'!$D$20)</f>
        <v>14264.323314856709</v>
      </c>
      <c r="EX66" s="276">
        <f t="shared" si="4"/>
        <v>78355.535442403372</v>
      </c>
      <c r="EY66" s="276">
        <f>SUMIF('20Ф'!$H:$H,$B:$B,'20Ф'!$AY:$AY)*1.2</f>
        <v>76192.2</v>
      </c>
      <c r="EZ66" s="295">
        <f>D66/$D$286*'20Ф'!$I$1163</f>
        <v>2163.3354424033741</v>
      </c>
      <c r="FA66" s="277">
        <f>SUMIF(отчёт!$B:$B,$B:$B,отчёт!$CU:$CU)/отчёт!$CU$281*'20Ф'!$I$1341</f>
        <v>920.96385542168503</v>
      </c>
      <c r="FB66" s="276">
        <f>SUMIF(Сальдо!$A:$A,$B:$B,Сальдо!$H:$H)-SUMIF(Сальдо!$A:$A,$B:$B,Сальдо!$I:$I)</f>
        <v>272123.31</v>
      </c>
    </row>
    <row r="67" spans="1:158" ht="12" customHeight="1" x14ac:dyDescent="0.25">
      <c r="A67" s="3">
        <f t="shared" si="7"/>
        <v>63</v>
      </c>
      <c r="B67" s="4" t="s">
        <v>112</v>
      </c>
      <c r="C67" s="4" t="s">
        <v>112</v>
      </c>
      <c r="D67" s="5">
        <v>3045.4</v>
      </c>
      <c r="E67" s="6">
        <v>2884.8</v>
      </c>
      <c r="F67" s="6">
        <v>160.6</v>
      </c>
      <c r="G67" s="6">
        <v>394.76</v>
      </c>
      <c r="H67" s="5">
        <f>SUMIF(отчёт!$B:$B,$B:$B,отчёт!I:I)</f>
        <v>1</v>
      </c>
      <c r="I67" s="5">
        <f>SUMIF(отчёт!$B:$B,$B:$B,отчёт!J:J)</f>
        <v>0</v>
      </c>
      <c r="J67" s="3" t="s">
        <v>111</v>
      </c>
      <c r="K67" s="105">
        <v>3</v>
      </c>
      <c r="L67" s="105" t="s">
        <v>52</v>
      </c>
      <c r="M67" s="7">
        <v>45.06</v>
      </c>
      <c r="N67" s="8">
        <v>5.0999999999999996</v>
      </c>
      <c r="O67" s="8">
        <v>8.6300000000000008</v>
      </c>
      <c r="P67" s="8">
        <v>13.43</v>
      </c>
      <c r="Q67" s="8">
        <v>6.91</v>
      </c>
      <c r="R67" s="8">
        <v>3.15</v>
      </c>
      <c r="S67" s="8">
        <v>1.81</v>
      </c>
      <c r="T67" s="8">
        <v>5.77</v>
      </c>
      <c r="U67" s="8">
        <v>0.26</v>
      </c>
      <c r="V67" s="9">
        <v>40</v>
      </c>
      <c r="W67" s="9">
        <v>40</v>
      </c>
      <c r="X67" s="9">
        <v>2604.04</v>
      </c>
      <c r="Y67" s="8">
        <v>195.98199600000001</v>
      </c>
      <c r="Z67" s="9">
        <v>42.3</v>
      </c>
      <c r="AA67" s="9">
        <v>2604.04</v>
      </c>
      <c r="AB67" s="8">
        <v>7.85</v>
      </c>
      <c r="AC67" s="10">
        <v>0</v>
      </c>
      <c r="AD67" s="8">
        <v>6.73</v>
      </c>
      <c r="AE67" s="8">
        <v>10.67</v>
      </c>
      <c r="AF67" s="8">
        <v>14</v>
      </c>
      <c r="AG67" s="7">
        <v>823354.34400000004</v>
      </c>
      <c r="AH67" s="8">
        <v>93189.239999999991</v>
      </c>
      <c r="AI67" s="8">
        <v>157690.81200000003</v>
      </c>
      <c r="AJ67" s="8">
        <v>245398.33199999999</v>
      </c>
      <c r="AK67" s="8">
        <v>126262.284</v>
      </c>
      <c r="AL67" s="8">
        <v>57558.06</v>
      </c>
      <c r="AM67" s="8">
        <v>33073.044000000002</v>
      </c>
      <c r="AN67" s="8">
        <v>105431.74799999999</v>
      </c>
      <c r="AO67" s="8">
        <v>4750.8240000000005</v>
      </c>
      <c r="AQ67" s="104">
        <v>48.44</v>
      </c>
      <c r="AR67" s="375">
        <v>18.489999999999998</v>
      </c>
      <c r="AS67" s="376"/>
      <c r="AT67" s="104">
        <v>6.67</v>
      </c>
      <c r="AU67" s="104">
        <v>1.53</v>
      </c>
      <c r="AV67" s="104">
        <v>0.32</v>
      </c>
      <c r="AW67" s="104">
        <v>0.87</v>
      </c>
      <c r="AX67" s="104">
        <v>5.01</v>
      </c>
      <c r="AY67" s="104">
        <v>4.99</v>
      </c>
      <c r="AZ67" s="104">
        <v>2.7</v>
      </c>
      <c r="BA67" s="104">
        <v>6.46</v>
      </c>
      <c r="BB67" s="104">
        <v>0.47</v>
      </c>
      <c r="BC67" s="101">
        <v>0.93</v>
      </c>
      <c r="BD67" s="104">
        <v>54.88252</v>
      </c>
      <c r="BE67" s="375">
        <v>20.949169999999999</v>
      </c>
      <c r="BF67" s="376">
        <v>0</v>
      </c>
      <c r="BG67" s="104">
        <v>7.5571100000000007</v>
      </c>
      <c r="BH67" s="104">
        <v>1.7334900000000002</v>
      </c>
      <c r="BI67" s="104">
        <v>0.36256000000000005</v>
      </c>
      <c r="BJ67" s="104">
        <v>0.98571000000000009</v>
      </c>
      <c r="BK67" s="104">
        <v>5.6763300000000001</v>
      </c>
      <c r="BL67" s="104">
        <v>5.65367</v>
      </c>
      <c r="BM67" s="104">
        <v>3.0591000000000004</v>
      </c>
      <c r="BN67" s="104">
        <v>7.3191800000000002</v>
      </c>
      <c r="BO67" s="104">
        <v>0.53250999999999993</v>
      </c>
      <c r="BP67" s="101">
        <v>1.05369</v>
      </c>
      <c r="BQ67" s="103">
        <v>1966430.6160799998</v>
      </c>
      <c r="BR67" s="371">
        <v>750604.91517999989</v>
      </c>
      <c r="BS67" s="371">
        <v>0</v>
      </c>
      <c r="BT67" s="103">
        <v>270769.86394000001</v>
      </c>
      <c r="BU67" s="103">
        <v>62110.62846</v>
      </c>
      <c r="BV67" s="103">
        <v>12990.45824</v>
      </c>
      <c r="BW67" s="103">
        <v>35317.808340000003</v>
      </c>
      <c r="BX67" s="103">
        <v>203381.86181999999</v>
      </c>
      <c r="BY67" s="103">
        <v>202569.95818000002</v>
      </c>
      <c r="BZ67" s="103">
        <v>109606.99140000003</v>
      </c>
      <c r="CA67" s="103">
        <v>262244.87572000001</v>
      </c>
      <c r="CB67" s="103">
        <v>19079.735539999998</v>
      </c>
      <c r="CC67" s="103">
        <v>37753.519259999994</v>
      </c>
      <c r="CD67" s="1">
        <v>1</v>
      </c>
      <c r="CF67" s="277">
        <f>SUMIF(Оборот!$A:$A,$B:$B,Оборот!H:H)</f>
        <v>1598871.68</v>
      </c>
      <c r="CG67" s="277">
        <f>SUMIF(Оборот!$A:$A,$B:$B,Оборот!I:I)</f>
        <v>1597214.0899999999</v>
      </c>
      <c r="CH67" s="277">
        <f t="shared" si="0"/>
        <v>1082303.685100755</v>
      </c>
      <c r="CI67" s="239">
        <f t="shared" si="5"/>
        <v>26785.312778078765</v>
      </c>
      <c r="CJ67" s="276">
        <f>SUMIF('20Ф'!$H:$H,$B:$B,'20Ф'!M:M)*1.2</f>
        <v>0</v>
      </c>
      <c r="CK67" s="276">
        <f>SUMIF('20Ф'!$H:$H,$B:$B,'20Ф'!O:O)*1.2</f>
        <v>0</v>
      </c>
      <c r="CL67" s="276">
        <f>SUMIF('20Ф'!$H:$H,$B:$B,'20Ф'!Q:Q)*1.2</f>
        <v>0</v>
      </c>
      <c r="CM67" s="276">
        <f>SUMIF('20Ф'!$H:$H,$B:$B,'20Ф'!R:R)*1.2</f>
        <v>0</v>
      </c>
      <c r="CN67" s="276">
        <f>SUMIF('20Ф'!$H:$H,$B:$B,'20Ф'!S:S)*1.2</f>
        <v>0</v>
      </c>
      <c r="CO67" s="276">
        <f>SUMIF('20Ф'!$H:$H,$B:$B,'20Ф'!W:W)*1.2</f>
        <v>0</v>
      </c>
      <c r="CP67" s="276">
        <f>SUMIF('20Ф'!$H:$H,$B:$B,'20Ф'!P:P)*1.2</f>
        <v>0</v>
      </c>
      <c r="CQ67" s="276">
        <f>SUMIF('20Ф'!$H:$H,$B:$B,'20Ф'!Y:Y)*1.2</f>
        <v>0</v>
      </c>
      <c r="CR67" s="276">
        <f>SUMIF('20Ф'!$H:$H,$B:$B,'20Ф'!Z:Z)*1.2</f>
        <v>0</v>
      </c>
      <c r="CS67" s="276">
        <f>SUMIF('20Ф'!$H:$H,$B:$B,'20Ф'!AB:AB)*1.2</f>
        <v>0</v>
      </c>
      <c r="CT67" s="276">
        <f>SUMIF('20Ф'!$H:$H,$B:$B,'20Ф'!AC:AC)*1.2</f>
        <v>0</v>
      </c>
      <c r="CU67" s="276">
        <f>SUMIF('20Ф'!$H:$H,$B:$B,'20Ф'!AD:AD)*1.2</f>
        <v>0</v>
      </c>
      <c r="CV67" s="276">
        <f>SUMIF('20Ф'!$H:$H,$B:$B,'20Ф'!AE:AE)*1.2</f>
        <v>0</v>
      </c>
      <c r="CW67" s="276">
        <f>SUMIF('20Ф'!$H:$H,$B:$B,'20Ф'!AF:AF)*1.2</f>
        <v>0</v>
      </c>
      <c r="CX67" s="276">
        <f>SUMIF('20Ф'!$H:$H,$B:$B,'20Ф'!AG:AG)*1.2</f>
        <v>0</v>
      </c>
      <c r="CY67" s="276">
        <f>SUMIF('20Ф'!$H:$H,$B:$B,'20Ф'!AH:AH)*1.2</f>
        <v>0</v>
      </c>
      <c r="CZ67" s="276">
        <f>SUMIF('20Ф'!$H:$H,$B:$B,'20Ф'!AI:AI)*1.2</f>
        <v>0</v>
      </c>
      <c r="DA67" s="276">
        <f>SUMIF('20Ф'!$H:$H,$B:$B,'20Ф'!AJ:AJ)*1.2</f>
        <v>0</v>
      </c>
      <c r="DB67" s="276">
        <f>SUMIF('20Ф'!$H:$H,$B:$B,'20Ф'!AK:AK)*1.2</f>
        <v>0</v>
      </c>
      <c r="DC67" s="276">
        <f>SUMIF('20Ф'!$H:$H,$B:$B,'20Ф'!AL:AL)*1.2</f>
        <v>0</v>
      </c>
      <c r="DD67" s="276">
        <f>SUMIF('20Ф'!$H:$H,$B:$B,'20Ф'!AM:AM)*1.2</f>
        <v>0</v>
      </c>
      <c r="DE67" s="276">
        <f>SUMIF('20Ф'!$H:$H,$B:$B,'20Ф'!AN:AN)*1.2</f>
        <v>0</v>
      </c>
      <c r="DF67" s="276">
        <f>SUMIF('20Ф'!$H:$H,$B:$B,'20Ф'!AO:AO)*1.2</f>
        <v>0</v>
      </c>
      <c r="DG67" s="276">
        <f>SUMIF('20Ф'!$H:$H,$B:$B,'20Ф'!AP:AP)*1.2</f>
        <v>0</v>
      </c>
      <c r="DH67" s="276">
        <f>SUMIF('20Ф'!$H:$H,$B:$B,'20Ф'!AQ:AQ)*1.2</f>
        <v>0</v>
      </c>
      <c r="DI67" s="276">
        <f>SUMIF('20Ф'!$H:$H,$B:$B,'20Ф'!BA:BA)*1.2</f>
        <v>0</v>
      </c>
      <c r="DJ67" s="276">
        <f>SUMIF('20Ф'!$H:$H,$B:$B,'20Ф'!BB:BB)*1.2</f>
        <v>0</v>
      </c>
      <c r="DK67" s="276">
        <f>SUMIF('20Ф'!$H:$H,$B:$B,'20Ф'!BC:BC)*1.2</f>
        <v>0</v>
      </c>
      <c r="DL67" s="276">
        <f>$D67/$D$281*'20Ф'!$H$218</f>
        <v>26785.312778078765</v>
      </c>
      <c r="DM67" s="240">
        <f t="shared" si="1"/>
        <v>265687.73283225147</v>
      </c>
      <c r="DN67" s="276">
        <f>SUMIF('20Ф'!$H:$H,$B:$B,'20Ф'!AV:AV)*1.2</f>
        <v>0</v>
      </c>
      <c r="DO67" s="276">
        <f>SUMIF('20Ф'!$H:$H,$B:$B,'20Ф'!AW:AW)*1.2+$D67/$D$281*'26Ф'!$D$42</f>
        <v>14253.756942146912</v>
      </c>
      <c r="DP67" s="276">
        <f>SUMIF('20Ф'!$H:$H,$B:$B,'20Ф'!AX:AX)*1.2</f>
        <v>0</v>
      </c>
      <c r="DQ67" s="276">
        <f>SUMIF('20Ф'!$H:$H,$B:$B,'20Ф'!AY:AY)*1.2</f>
        <v>0</v>
      </c>
      <c r="DR67" s="276">
        <f>SUMIF('20Ф'!$H:$H,$B:$B,'20Ф'!AU:AU)*1.2</f>
        <v>0</v>
      </c>
      <c r="DS67" s="276">
        <f>SUMIF('20Ф'!$H:$H,$B:$B,'20Ф'!AS:AS)*1.2</f>
        <v>0</v>
      </c>
      <c r="DT67" s="276">
        <f>SUMIF('20Ф'!$H:$H,$B:$B,'20Ф'!AR:AR)*1.2</f>
        <v>0</v>
      </c>
      <c r="DU67" s="276">
        <f>SUMIF('20Ф'!$H:$H,$B:$B,'20Ф'!X:X)*1.2</f>
        <v>0</v>
      </c>
      <c r="DV67" s="276">
        <f>SUMIF('20Ф'!$H:$H,$B:$B,'20Ф'!AA:AA)*1.2</f>
        <v>0</v>
      </c>
      <c r="DW67" s="276">
        <f>SUMIF('20Ф'!$H:$H,$B:$B,'20Ф'!N:N)*1.2</f>
        <v>0</v>
      </c>
      <c r="DX67" s="276">
        <f>$D67/$D$281*('25Ф'!$D$37)</f>
        <v>239587.82241354158</v>
      </c>
      <c r="DY67" s="276">
        <f>$D67/$D$281*'25Ф'!$D$30</f>
        <v>7646.8911823711969</v>
      </c>
      <c r="DZ67" s="276">
        <f>$D67/$D$281*'25Ф'!$D$31</f>
        <v>4199.2622941917243</v>
      </c>
      <c r="EA67" s="276"/>
      <c r="EB67" s="276">
        <f t="shared" si="2"/>
        <v>150944.08846547653</v>
      </c>
      <c r="EC67" s="276">
        <f>$D67/$D$281*'26Ф'!$D$36</f>
        <v>78571.259164625997</v>
      </c>
      <c r="ED67" s="276">
        <f>$D67/$D$281*'26Ф'!$D$37</f>
        <v>9440.2528728891193</v>
      </c>
      <c r="EE67" s="276">
        <f>$D67/$D$281*'26Ф'!$D$38</f>
        <v>9537.0719554387415</v>
      </c>
      <c r="EF67" s="276">
        <f>$D67/$D$281*'26Ф'!$D$39</f>
        <v>6690.2472724798645</v>
      </c>
      <c r="EG67" s="276">
        <f>$D67/$D$281*'91Ф'!$D$10</f>
        <v>2063.9385011234995</v>
      </c>
      <c r="EH67" s="276">
        <f>$D67/$D$281*('20Ф'!$I$509+'26Ф'!$D$41+'20Ф'!$I$507)</f>
        <v>14601.685272670376</v>
      </c>
      <c r="EI67" s="276">
        <f>$D67/$D$281*'91Ф'!$D$31</f>
        <v>26767.033795968287</v>
      </c>
      <c r="EJ67" s="276">
        <f>$D67/$D$281*'20Ф'!$I$1316</f>
        <v>3272.5996302806298</v>
      </c>
      <c r="EK67" s="276">
        <f>$D67/$D$281*('20Ф'!$I$1105+'20Ф'!$I$1282+'91Ф'!$D$17+'91Ф'!$D$41)</f>
        <v>107475.81786214854</v>
      </c>
      <c r="EL67" s="276">
        <f>$D67/$D$281*отчёт!BX$294</f>
        <v>179666.78989928789</v>
      </c>
      <c r="EM67" s="276">
        <f>$D67/$D$281*отчёт!BY$294</f>
        <v>158007.29755532209</v>
      </c>
      <c r="EN67" s="276">
        <f>$D67/$D$283*отчёт!BZ$294</f>
        <v>28357.370696433947</v>
      </c>
      <c r="EO67" s="240">
        <f t="shared" si="11"/>
        <v>88931.70475049899</v>
      </c>
      <c r="EP67" s="276">
        <f>SUMIF('20Ф'!$H:$H,$B:$B,'20Ф'!T:T)*1.2</f>
        <v>0</v>
      </c>
      <c r="EQ67" s="276">
        <f>SUM(H67:I67)/SUM($H$284:$I$284)*SUM('60Ф'!$O$155:$P$155)</f>
        <v>86255.130878243508</v>
      </c>
      <c r="ER67" s="276">
        <f>SUM($H67:$I67)/SUM($H$284:$I$284)*SUM('60Ф'!$P$227)</f>
        <v>2676.5738722554888</v>
      </c>
      <c r="ES67" s="239">
        <f t="shared" si="6"/>
        <v>60134.54300830279</v>
      </c>
      <c r="ET67" s="276">
        <f>$D67/$D$282*'20Ф'!$I$381</f>
        <v>4596.14073840318</v>
      </c>
      <c r="EU67" s="276">
        <f>$D67/$D$282*('20Ф'!$I$75+'20Ф'!$I$1098)*1.2</f>
        <v>53087.465881398486</v>
      </c>
      <c r="EV67" s="276">
        <f>$D67/$D$282*('20Ф'!$I$1286)</f>
        <v>2450.9363885011253</v>
      </c>
      <c r="EW67" s="276">
        <f>SUMIF('91.1Ф'!$N:$N,$B:$B,'91.1Ф'!$F:$F)+$D67/$D$281*('91Ф'!$D$12+'91Ф'!$D$11+'91Ф'!$D$19+'91Ф'!$D$20)</f>
        <v>14164.787473283104</v>
      </c>
      <c r="EX67" s="276">
        <f t="shared" si="4"/>
        <v>2148.2397796710693</v>
      </c>
      <c r="EY67" s="276">
        <f>SUMIF('20Ф'!$H:$H,$B:$B,'20Ф'!$AY:$AY)*1.2</f>
        <v>0</v>
      </c>
      <c r="EZ67" s="295">
        <f>D67/$D$286*'20Ф'!$I$1163</f>
        <v>2148.2397796710693</v>
      </c>
      <c r="FA67" s="277">
        <f>SUMIF(отчёт!$B:$B,$B:$B,отчёт!$CU:$CU)/отчёт!$CU$281*'20Ф'!$I$1341</f>
        <v>920.96385542168503</v>
      </c>
      <c r="FB67" s="276">
        <f>SUMIF(Сальдо!$A:$A,$B:$B,Сальдо!$H:$H)-SUMIF(Сальдо!$A:$A,$B:$B,Сальдо!$I:$I)</f>
        <v>169729.85</v>
      </c>
    </row>
    <row r="68" spans="1:158" ht="12" customHeight="1" x14ac:dyDescent="0.25">
      <c r="A68" s="3">
        <f t="shared" si="7"/>
        <v>64</v>
      </c>
      <c r="B68" s="4" t="s">
        <v>113</v>
      </c>
      <c r="C68" s="4" t="s">
        <v>113</v>
      </c>
      <c r="D68" s="5">
        <v>2826.5</v>
      </c>
      <c r="E68" s="6">
        <v>2826.5</v>
      </c>
      <c r="F68" s="6">
        <v>0</v>
      </c>
      <c r="G68" s="6">
        <v>514.29999999999995</v>
      </c>
      <c r="H68" s="5">
        <f>SUMIF(отчёт!$B:$B,$B:$B,отчёт!I:I)</f>
        <v>1</v>
      </c>
      <c r="I68" s="5">
        <f>SUMIF(отчёт!$B:$B,$B:$B,отчёт!J:J)</f>
        <v>0</v>
      </c>
      <c r="J68" s="3" t="s">
        <v>114</v>
      </c>
      <c r="K68" s="105">
        <v>3</v>
      </c>
      <c r="L68" s="105" t="s">
        <v>52</v>
      </c>
      <c r="M68" s="7">
        <v>45.06</v>
      </c>
      <c r="N68" s="8">
        <v>5.0999999999999996</v>
      </c>
      <c r="O68" s="8">
        <v>8.6300000000000008</v>
      </c>
      <c r="P68" s="8">
        <v>13.43</v>
      </c>
      <c r="Q68" s="8">
        <v>6.91</v>
      </c>
      <c r="R68" s="8">
        <v>3.15</v>
      </c>
      <c r="S68" s="8">
        <v>1.81</v>
      </c>
      <c r="T68" s="8">
        <v>5.77</v>
      </c>
      <c r="U68" s="8">
        <v>0.26</v>
      </c>
      <c r="V68" s="9">
        <v>40</v>
      </c>
      <c r="W68" s="9">
        <v>40</v>
      </c>
      <c r="X68" s="9">
        <v>2604.04</v>
      </c>
      <c r="Y68" s="8">
        <v>195.98199600000001</v>
      </c>
      <c r="Z68" s="9">
        <v>42.3</v>
      </c>
      <c r="AA68" s="9">
        <v>2604.04</v>
      </c>
      <c r="AB68" s="8">
        <v>7.85</v>
      </c>
      <c r="AC68" s="10">
        <v>0</v>
      </c>
      <c r="AD68" s="8">
        <v>6.73</v>
      </c>
      <c r="AE68" s="8">
        <v>10.67</v>
      </c>
      <c r="AF68" s="8">
        <v>14</v>
      </c>
      <c r="AG68" s="7">
        <v>764172.54</v>
      </c>
      <c r="AH68" s="8">
        <v>86490.9</v>
      </c>
      <c r="AI68" s="8">
        <v>146356.17000000001</v>
      </c>
      <c r="AJ68" s="8">
        <v>227759.37</v>
      </c>
      <c r="AK68" s="8">
        <v>117186.69</v>
      </c>
      <c r="AL68" s="8">
        <v>53420.850000000006</v>
      </c>
      <c r="AM68" s="8">
        <v>30695.79</v>
      </c>
      <c r="AN68" s="8">
        <v>97853.43</v>
      </c>
      <c r="AO68" s="8">
        <v>4409.34</v>
      </c>
      <c r="AQ68" s="104">
        <v>48.44</v>
      </c>
      <c r="AR68" s="375">
        <v>18.489999999999998</v>
      </c>
      <c r="AS68" s="376"/>
      <c r="AT68" s="104">
        <v>6.67</v>
      </c>
      <c r="AU68" s="104">
        <v>1.53</v>
      </c>
      <c r="AV68" s="104">
        <v>0.32</v>
      </c>
      <c r="AW68" s="104">
        <v>0.87</v>
      </c>
      <c r="AX68" s="104">
        <v>5.01</v>
      </c>
      <c r="AY68" s="104">
        <v>4.99</v>
      </c>
      <c r="AZ68" s="104">
        <v>2.7</v>
      </c>
      <c r="BA68" s="104">
        <v>6.46</v>
      </c>
      <c r="BB68" s="104">
        <v>0.47</v>
      </c>
      <c r="BC68" s="101">
        <v>0.93</v>
      </c>
      <c r="BD68" s="104">
        <v>54.88252</v>
      </c>
      <c r="BE68" s="375">
        <v>20.949169999999999</v>
      </c>
      <c r="BF68" s="376">
        <v>0</v>
      </c>
      <c r="BG68" s="104">
        <v>7.5571100000000007</v>
      </c>
      <c r="BH68" s="104">
        <v>1.7334900000000002</v>
      </c>
      <c r="BI68" s="104">
        <v>0.36256000000000005</v>
      </c>
      <c r="BJ68" s="104">
        <v>0.98571000000000009</v>
      </c>
      <c r="BK68" s="104">
        <v>5.6763300000000001</v>
      </c>
      <c r="BL68" s="104">
        <v>5.65367</v>
      </c>
      <c r="BM68" s="104">
        <v>3.0591000000000004</v>
      </c>
      <c r="BN68" s="104">
        <v>7.3191800000000002</v>
      </c>
      <c r="BO68" s="104">
        <v>0.53250999999999993</v>
      </c>
      <c r="BP68" s="101">
        <v>1.05369</v>
      </c>
      <c r="BQ68" s="103">
        <v>1825085.7478</v>
      </c>
      <c r="BR68" s="371">
        <v>696652.26004999992</v>
      </c>
      <c r="BS68" s="371">
        <v>0</v>
      </c>
      <c r="BT68" s="103">
        <v>251307.22415000002</v>
      </c>
      <c r="BU68" s="103">
        <v>57646.184849999998</v>
      </c>
      <c r="BV68" s="103">
        <v>12056.7184</v>
      </c>
      <c r="BW68" s="103">
        <v>32779.203150000001</v>
      </c>
      <c r="BX68" s="103">
        <v>188762.99745</v>
      </c>
      <c r="BY68" s="103">
        <v>188009.45254999999</v>
      </c>
      <c r="BZ68" s="103">
        <v>101728.56150000003</v>
      </c>
      <c r="CA68" s="103">
        <v>243395.00270000001</v>
      </c>
      <c r="CB68" s="103">
        <v>17708.305149999997</v>
      </c>
      <c r="CC68" s="103">
        <v>35039.837849999996</v>
      </c>
      <c r="CD68" s="1">
        <v>1</v>
      </c>
      <c r="CF68" s="277">
        <f>SUMIF(Оборот!$A:$A,$B:$B,Оборот!H:H)</f>
        <v>1564925.2700000003</v>
      </c>
      <c r="CG68" s="277">
        <f>SUMIF(Оборот!$A:$A,$B:$B,Оборот!I:I)</f>
        <v>1593793.2699999998</v>
      </c>
      <c r="CH68" s="277">
        <f t="shared" si="0"/>
        <v>1332319.304534304</v>
      </c>
      <c r="CI68" s="239">
        <f t="shared" si="5"/>
        <v>24860.01397755291</v>
      </c>
      <c r="CJ68" s="276">
        <f>SUMIF('20Ф'!$H:$H,$B:$B,'20Ф'!M:M)*1.2</f>
        <v>0</v>
      </c>
      <c r="CK68" s="276">
        <f>SUMIF('20Ф'!$H:$H,$B:$B,'20Ф'!O:O)*1.2</f>
        <v>0</v>
      </c>
      <c r="CL68" s="276">
        <f>SUMIF('20Ф'!$H:$H,$B:$B,'20Ф'!Q:Q)*1.2</f>
        <v>0</v>
      </c>
      <c r="CM68" s="276">
        <f>SUMIF('20Ф'!$H:$H,$B:$B,'20Ф'!R:R)*1.2</f>
        <v>0</v>
      </c>
      <c r="CN68" s="276">
        <f>SUMIF('20Ф'!$H:$H,$B:$B,'20Ф'!S:S)*1.2</f>
        <v>0</v>
      </c>
      <c r="CO68" s="276">
        <f>SUMIF('20Ф'!$H:$H,$B:$B,'20Ф'!W:W)*1.2</f>
        <v>0</v>
      </c>
      <c r="CP68" s="276">
        <f>SUMIF('20Ф'!$H:$H,$B:$B,'20Ф'!P:P)*1.2</f>
        <v>0</v>
      </c>
      <c r="CQ68" s="276">
        <f>SUMIF('20Ф'!$H:$H,$B:$B,'20Ф'!Y:Y)*1.2</f>
        <v>0</v>
      </c>
      <c r="CR68" s="276">
        <f>SUMIF('20Ф'!$H:$H,$B:$B,'20Ф'!Z:Z)*1.2</f>
        <v>0</v>
      </c>
      <c r="CS68" s="276">
        <f>SUMIF('20Ф'!$H:$H,$B:$B,'20Ф'!AB:AB)*1.2</f>
        <v>0</v>
      </c>
      <c r="CT68" s="276">
        <f>SUMIF('20Ф'!$H:$H,$B:$B,'20Ф'!AC:AC)*1.2</f>
        <v>0</v>
      </c>
      <c r="CU68" s="276">
        <f>SUMIF('20Ф'!$H:$H,$B:$B,'20Ф'!AD:AD)*1.2</f>
        <v>0</v>
      </c>
      <c r="CV68" s="276">
        <f>SUMIF('20Ф'!$H:$H,$B:$B,'20Ф'!AE:AE)*1.2</f>
        <v>0</v>
      </c>
      <c r="CW68" s="276">
        <f>SUMIF('20Ф'!$H:$H,$B:$B,'20Ф'!AF:AF)*1.2</f>
        <v>0</v>
      </c>
      <c r="CX68" s="276">
        <f>SUMIF('20Ф'!$H:$H,$B:$B,'20Ф'!AG:AG)*1.2</f>
        <v>0</v>
      </c>
      <c r="CY68" s="276">
        <f>SUMIF('20Ф'!$H:$H,$B:$B,'20Ф'!AH:AH)*1.2</f>
        <v>0</v>
      </c>
      <c r="CZ68" s="276">
        <f>SUMIF('20Ф'!$H:$H,$B:$B,'20Ф'!AI:AI)*1.2</f>
        <v>0</v>
      </c>
      <c r="DA68" s="276">
        <f>SUMIF('20Ф'!$H:$H,$B:$B,'20Ф'!AJ:AJ)*1.2</f>
        <v>0</v>
      </c>
      <c r="DB68" s="276">
        <f>SUMIF('20Ф'!$H:$H,$B:$B,'20Ф'!AK:AK)*1.2</f>
        <v>0</v>
      </c>
      <c r="DC68" s="276">
        <f>SUMIF('20Ф'!$H:$H,$B:$B,'20Ф'!AL:AL)*1.2</f>
        <v>0</v>
      </c>
      <c r="DD68" s="276">
        <f>SUMIF('20Ф'!$H:$H,$B:$B,'20Ф'!AM:AM)*1.2</f>
        <v>0</v>
      </c>
      <c r="DE68" s="276">
        <f>SUMIF('20Ф'!$H:$H,$B:$B,'20Ф'!AN:AN)*1.2</f>
        <v>0</v>
      </c>
      <c r="DF68" s="276">
        <f>SUMIF('20Ф'!$H:$H,$B:$B,'20Ф'!AO:AO)*1.2</f>
        <v>0</v>
      </c>
      <c r="DG68" s="276">
        <f>SUMIF('20Ф'!$H:$H,$B:$B,'20Ф'!AP:AP)*1.2</f>
        <v>0</v>
      </c>
      <c r="DH68" s="276">
        <f>SUMIF('20Ф'!$H:$H,$B:$B,'20Ф'!AQ:AQ)*1.2</f>
        <v>0</v>
      </c>
      <c r="DI68" s="276">
        <f>SUMIF('20Ф'!$H:$H,$B:$B,'20Ф'!BA:BA)*1.2</f>
        <v>0</v>
      </c>
      <c r="DJ68" s="276">
        <f>SUMIF('20Ф'!$H:$H,$B:$B,'20Ф'!BB:BB)*1.2</f>
        <v>0</v>
      </c>
      <c r="DK68" s="276">
        <f>SUMIF('20Ф'!$H:$H,$B:$B,'20Ф'!BC:BC)*1.2</f>
        <v>0</v>
      </c>
      <c r="DL68" s="276">
        <f>$D68/$D$281*'20Ф'!$H$218</f>
        <v>24860.01397755291</v>
      </c>
      <c r="DM68" s="240">
        <f t="shared" si="1"/>
        <v>477405.20703249442</v>
      </c>
      <c r="DN68" s="276">
        <f>SUMIF('20Ф'!$H:$H,$B:$B,'20Ф'!AV:AV)*1.2</f>
        <v>0</v>
      </c>
      <c r="DO68" s="276">
        <f>SUMIF('20Ф'!$H:$H,$B:$B,'20Ф'!AW:AW)*1.2+$D68/$D$281*'26Ф'!$D$42</f>
        <v>13229.212581919697</v>
      </c>
      <c r="DP68" s="276">
        <f>SUMIF('20Ф'!$H:$H,$B:$B,'20Ф'!AX:AX)*1.2</f>
        <v>0</v>
      </c>
      <c r="DQ68" s="276">
        <f>SUMIF('20Ф'!$H:$H,$B:$B,'20Ф'!AY:AY)*1.2</f>
        <v>85684.439999999988</v>
      </c>
      <c r="DR68" s="276">
        <f>SUMIF('20Ф'!$H:$H,$B:$B,'20Ф'!AU:AU)*1.2</f>
        <v>0</v>
      </c>
      <c r="DS68" s="276">
        <f>SUMIF('20Ф'!$H:$H,$B:$B,'20Ф'!AS:AS)*1.2</f>
        <v>145130.37599999999</v>
      </c>
      <c r="DT68" s="276">
        <f>SUMIF('20Ф'!$H:$H,$B:$B,'20Ф'!AR:AR)*1.2</f>
        <v>0</v>
      </c>
      <c r="DU68" s="276">
        <f>SUMIF('20Ф'!$H:$H,$B:$B,'20Ф'!X:X)*1.2</f>
        <v>0</v>
      </c>
      <c r="DV68" s="276">
        <f>SUMIF('20Ф'!$H:$H,$B:$B,'20Ф'!AA:AA)*1.2</f>
        <v>0</v>
      </c>
      <c r="DW68" s="276">
        <f>SUMIF('20Ф'!$H:$H,$B:$B,'20Ф'!N:N)*1.2</f>
        <v>0</v>
      </c>
      <c r="DX68" s="276">
        <f>$D68/$D$281*('25Ф'!$D$37)</f>
        <v>222366.51344712524</v>
      </c>
      <c r="DY68" s="276">
        <f>$D68/$D$281*'25Ф'!$D$30</f>
        <v>7097.2410609352419</v>
      </c>
      <c r="DZ68" s="276">
        <f>$D68/$D$281*'25Ф'!$D$31</f>
        <v>3897.4239425142532</v>
      </c>
      <c r="EA68" s="276"/>
      <c r="EB68" s="276">
        <f t="shared" si="2"/>
        <v>140094.3935271785</v>
      </c>
      <c r="EC68" s="276">
        <f>$D68/$D$281*'26Ф'!$D$36</f>
        <v>72923.643537405718</v>
      </c>
      <c r="ED68" s="276">
        <f>$D68/$D$281*'26Ф'!$D$37</f>
        <v>8761.6978870496805</v>
      </c>
      <c r="EE68" s="276">
        <f>$D68/$D$281*'26Ф'!$D$38</f>
        <v>8851.5577205121172</v>
      </c>
      <c r="EF68" s="276">
        <f>$D68/$D$281*'26Ф'!$D$39</f>
        <v>6209.3596623314952</v>
      </c>
      <c r="EG68" s="276">
        <f>$D68/$D$281*'91Ф'!$D$10</f>
        <v>1915.5848733912035</v>
      </c>
      <c r="EH68" s="276">
        <f>$D68/$D$281*('20Ф'!$I$509+'26Ф'!$D$41+'20Ф'!$I$507)</f>
        <v>13552.132207001647</v>
      </c>
      <c r="EI68" s="276">
        <f>$D68/$D$281*'91Ф'!$D$31</f>
        <v>24843.048868557285</v>
      </c>
      <c r="EJ68" s="276">
        <f>$D68/$D$281*'20Ф'!$I$1316</f>
        <v>3037.3687709293354</v>
      </c>
      <c r="EK68" s="276">
        <f>$D68/$D$281*('20Ф'!$I$1105+'20Ф'!$I$1282+'91Ф'!$D$17+'91Ф'!$D$41)</f>
        <v>99750.574370316812</v>
      </c>
      <c r="EL68" s="276">
        <f>$D68/$D$281*отчёт!BX$294</f>
        <v>166752.53879632798</v>
      </c>
      <c r="EM68" s="276">
        <f>$D68/$D$281*отчёт!BY$294</f>
        <v>146649.90692195372</v>
      </c>
      <c r="EN68" s="276">
        <f>$D68/$D$283*отчёт!BZ$294</f>
        <v>26319.07410306382</v>
      </c>
      <c r="EO68" s="240">
        <f t="shared" si="11"/>
        <v>93850.552750498988</v>
      </c>
      <c r="EP68" s="276">
        <f>SUMIF('20Ф'!$H:$H,$B:$B,'20Ф'!T:T)*1.2</f>
        <v>4918.848</v>
      </c>
      <c r="EQ68" s="276">
        <f>SUM(H68:I68)/SUM($H$284:$I$284)*SUM('60Ф'!$O$155:$P$155)</f>
        <v>86255.130878243508</v>
      </c>
      <c r="ER68" s="276">
        <f>SUM($H68:$I68)/SUM($H$284:$I$284)*SUM('60Ф'!$P$227)</f>
        <v>2676.5738722554888</v>
      </c>
      <c r="ES68" s="239">
        <f t="shared" si="6"/>
        <v>55812.138245540104</v>
      </c>
      <c r="ET68" s="276">
        <f>$D68/$D$282*'20Ф'!$I$381</f>
        <v>4265.7752009905389</v>
      </c>
      <c r="EU68" s="276">
        <f>$D68/$D$282*('20Ф'!$I$75+'20Ф'!$I$1098)*1.2</f>
        <v>49271.597265965989</v>
      </c>
      <c r="EV68" s="276">
        <f>$D68/$D$282*('20Ф'!$I$1286)</f>
        <v>2274.7657785835786</v>
      </c>
      <c r="EW68" s="276">
        <f>SUMIF('91.1Ф'!$N:$N,$B:$B,'91.1Ф'!$F:$F)+$D68/$D$281*('91Ф'!$D$12+'91Ф'!$D$11+'91Ф'!$D$19+'91Ф'!$D$20)</f>
        <v>13146.638140551222</v>
      </c>
      <c r="EX68" s="276">
        <f t="shared" si="4"/>
        <v>87678.266668825192</v>
      </c>
      <c r="EY68" s="276">
        <f>SUMIF('20Ф'!$H:$H,$B:$B,'20Ф'!$AY:$AY)*1.2</f>
        <v>85684.439999999988</v>
      </c>
      <c r="EZ68" s="295">
        <f>D68/$D$286*'20Ф'!$I$1163</f>
        <v>1993.8266688252043</v>
      </c>
      <c r="FA68" s="277">
        <f>SUMIF(отчёт!$B:$B,$B:$B,отчёт!$CU:$CU)/отчёт!$CU$281*'20Ф'!$I$1341</f>
        <v>920.96385542168503</v>
      </c>
      <c r="FB68" s="276">
        <f>SUMIF(Сальдо!$A:$A,$B:$B,Сальдо!$H:$H)-SUMIF(Сальдо!$A:$A,$B:$B,Сальдо!$I:$I)</f>
        <v>306757.28000000003</v>
      </c>
    </row>
    <row r="69" spans="1:158" ht="12" customHeight="1" x14ac:dyDescent="0.25">
      <c r="A69" s="3">
        <f t="shared" si="7"/>
        <v>65</v>
      </c>
      <c r="B69" s="4" t="s">
        <v>115</v>
      </c>
      <c r="C69" s="4" t="s">
        <v>115</v>
      </c>
      <c r="D69" s="5">
        <v>2848.6</v>
      </c>
      <c r="E69" s="6">
        <v>2848.6</v>
      </c>
      <c r="F69" s="6">
        <v>0</v>
      </c>
      <c r="G69" s="6">
        <v>471.5</v>
      </c>
      <c r="H69" s="5">
        <f>SUMIF(отчёт!$B:$B,$B:$B,отчёт!I:I)</f>
        <v>1</v>
      </c>
      <c r="I69" s="5">
        <f>SUMIF(отчёт!$B:$B,$B:$B,отчёт!J:J)</f>
        <v>0</v>
      </c>
      <c r="J69" s="3" t="s">
        <v>114</v>
      </c>
      <c r="K69" s="105">
        <v>3</v>
      </c>
      <c r="L69" s="105" t="s">
        <v>52</v>
      </c>
      <c r="M69" s="7">
        <v>45.06</v>
      </c>
      <c r="N69" s="8">
        <v>5.0999999999999996</v>
      </c>
      <c r="O69" s="8">
        <v>8.6300000000000008</v>
      </c>
      <c r="P69" s="8">
        <v>13.43</v>
      </c>
      <c r="Q69" s="8">
        <v>6.91</v>
      </c>
      <c r="R69" s="8">
        <v>3.15</v>
      </c>
      <c r="S69" s="8">
        <v>1.81</v>
      </c>
      <c r="T69" s="8">
        <v>5.77</v>
      </c>
      <c r="U69" s="8">
        <v>0.26</v>
      </c>
      <c r="V69" s="9">
        <v>40</v>
      </c>
      <c r="W69" s="9">
        <v>40</v>
      </c>
      <c r="X69" s="9">
        <v>2604.04</v>
      </c>
      <c r="Y69" s="8">
        <v>195.98199600000001</v>
      </c>
      <c r="Z69" s="9">
        <v>42.3</v>
      </c>
      <c r="AA69" s="9">
        <v>2604.04</v>
      </c>
      <c r="AB69" s="8">
        <v>7.85</v>
      </c>
      <c r="AC69" s="10">
        <v>0</v>
      </c>
      <c r="AD69" s="8">
        <v>6.73</v>
      </c>
      <c r="AE69" s="8">
        <v>10.67</v>
      </c>
      <c r="AF69" s="8">
        <v>14</v>
      </c>
      <c r="AG69" s="7">
        <v>770147.49600000004</v>
      </c>
      <c r="AH69" s="8">
        <v>87167.159999999989</v>
      </c>
      <c r="AI69" s="8">
        <v>147500.508</v>
      </c>
      <c r="AJ69" s="8">
        <v>229540.18799999997</v>
      </c>
      <c r="AK69" s="8">
        <v>118102.95600000001</v>
      </c>
      <c r="AL69" s="8">
        <v>53838.54</v>
      </c>
      <c r="AM69" s="8">
        <v>30935.796000000002</v>
      </c>
      <c r="AN69" s="8">
        <v>98618.531999999992</v>
      </c>
      <c r="AO69" s="8">
        <v>4443.8159999999998</v>
      </c>
      <c r="AQ69" s="104">
        <v>48.44</v>
      </c>
      <c r="AR69" s="375">
        <v>18.489999999999998</v>
      </c>
      <c r="AS69" s="376"/>
      <c r="AT69" s="104">
        <v>6.67</v>
      </c>
      <c r="AU69" s="104">
        <v>1.53</v>
      </c>
      <c r="AV69" s="104">
        <v>0.32</v>
      </c>
      <c r="AW69" s="104">
        <v>0.87</v>
      </c>
      <c r="AX69" s="104">
        <v>5.01</v>
      </c>
      <c r="AY69" s="104">
        <v>4.99</v>
      </c>
      <c r="AZ69" s="104">
        <v>2.7</v>
      </c>
      <c r="BA69" s="104">
        <v>6.46</v>
      </c>
      <c r="BB69" s="104">
        <v>0.47</v>
      </c>
      <c r="BC69" s="101">
        <v>0.93</v>
      </c>
      <c r="BD69" s="104">
        <v>54.88252</v>
      </c>
      <c r="BE69" s="375">
        <v>20.949169999999999</v>
      </c>
      <c r="BF69" s="376">
        <v>0</v>
      </c>
      <c r="BG69" s="104">
        <v>7.5571100000000007</v>
      </c>
      <c r="BH69" s="104">
        <v>1.7334900000000002</v>
      </c>
      <c r="BI69" s="104">
        <v>0.36256000000000005</v>
      </c>
      <c r="BJ69" s="104">
        <v>0.98571000000000009</v>
      </c>
      <c r="BK69" s="104">
        <v>5.6763300000000001</v>
      </c>
      <c r="BL69" s="104">
        <v>5.65367</v>
      </c>
      <c r="BM69" s="104">
        <v>3.0591000000000004</v>
      </c>
      <c r="BN69" s="104">
        <v>7.3191800000000002</v>
      </c>
      <c r="BO69" s="104">
        <v>0.53250999999999993</v>
      </c>
      <c r="BP69" s="101">
        <v>1.05369</v>
      </c>
      <c r="BQ69" s="103">
        <v>1839355.8327199998</v>
      </c>
      <c r="BR69" s="371">
        <v>702099.28461999993</v>
      </c>
      <c r="BS69" s="371">
        <v>0</v>
      </c>
      <c r="BT69" s="103">
        <v>253272.15946</v>
      </c>
      <c r="BU69" s="103">
        <v>58096.91214</v>
      </c>
      <c r="BV69" s="103">
        <v>12150.988159999999</v>
      </c>
      <c r="BW69" s="103">
        <v>33035.499060000002</v>
      </c>
      <c r="BX69" s="103">
        <v>190238.90837999998</v>
      </c>
      <c r="BY69" s="103">
        <v>189479.47162</v>
      </c>
      <c r="BZ69" s="103">
        <v>102523.96260000001</v>
      </c>
      <c r="CA69" s="103">
        <v>245298.07347999999</v>
      </c>
      <c r="CB69" s="103">
        <v>17846.763859999995</v>
      </c>
      <c r="CC69" s="103">
        <v>35313.809339999993</v>
      </c>
      <c r="CD69" s="1">
        <v>1</v>
      </c>
      <c r="CF69" s="277">
        <f>SUMIF(Оборот!$A:$A,$B:$B,Оборот!H:H)</f>
        <v>1578567.4699999997</v>
      </c>
      <c r="CG69" s="277">
        <f>SUMIF(Оборот!$A:$A,$B:$B,Оборот!I:I)</f>
        <v>1582099.8299999998</v>
      </c>
      <c r="CH69" s="277">
        <f t="shared" ref="CH69:CH132" si="12">CI69+DM69+EB69+EK69+EL69+EM69+EN69+EO69+ES69+EW69+EX69</f>
        <v>1020569.3724051059</v>
      </c>
      <c r="CI69" s="239">
        <f t="shared" si="5"/>
        <v>25054.39087792578</v>
      </c>
      <c r="CJ69" s="276">
        <f>SUMIF('20Ф'!$H:$H,$B:$B,'20Ф'!M:M)*1.2</f>
        <v>0</v>
      </c>
      <c r="CK69" s="276">
        <f>SUMIF('20Ф'!$H:$H,$B:$B,'20Ф'!O:O)*1.2</f>
        <v>0</v>
      </c>
      <c r="CL69" s="276">
        <f>SUMIF('20Ф'!$H:$H,$B:$B,'20Ф'!Q:Q)*1.2</f>
        <v>0</v>
      </c>
      <c r="CM69" s="276">
        <f>SUMIF('20Ф'!$H:$H,$B:$B,'20Ф'!R:R)*1.2</f>
        <v>0</v>
      </c>
      <c r="CN69" s="276">
        <f>SUMIF('20Ф'!$H:$H,$B:$B,'20Ф'!S:S)*1.2</f>
        <v>0</v>
      </c>
      <c r="CO69" s="276">
        <f>SUMIF('20Ф'!$H:$H,$B:$B,'20Ф'!W:W)*1.2</f>
        <v>0</v>
      </c>
      <c r="CP69" s="276">
        <f>SUMIF('20Ф'!$H:$H,$B:$B,'20Ф'!P:P)*1.2</f>
        <v>0</v>
      </c>
      <c r="CQ69" s="276">
        <f>SUMIF('20Ф'!$H:$H,$B:$B,'20Ф'!Y:Y)*1.2</f>
        <v>0</v>
      </c>
      <c r="CR69" s="276">
        <f>SUMIF('20Ф'!$H:$H,$B:$B,'20Ф'!Z:Z)*1.2</f>
        <v>0</v>
      </c>
      <c r="CS69" s="276">
        <f>SUMIF('20Ф'!$H:$H,$B:$B,'20Ф'!AB:AB)*1.2</f>
        <v>0</v>
      </c>
      <c r="CT69" s="276">
        <f>SUMIF('20Ф'!$H:$H,$B:$B,'20Ф'!AC:AC)*1.2</f>
        <v>0</v>
      </c>
      <c r="CU69" s="276">
        <f>SUMIF('20Ф'!$H:$H,$B:$B,'20Ф'!AD:AD)*1.2</f>
        <v>0</v>
      </c>
      <c r="CV69" s="276">
        <f>SUMIF('20Ф'!$H:$H,$B:$B,'20Ф'!AE:AE)*1.2</f>
        <v>0</v>
      </c>
      <c r="CW69" s="276">
        <f>SUMIF('20Ф'!$H:$H,$B:$B,'20Ф'!AF:AF)*1.2</f>
        <v>0</v>
      </c>
      <c r="CX69" s="276">
        <f>SUMIF('20Ф'!$H:$H,$B:$B,'20Ф'!AG:AG)*1.2</f>
        <v>0</v>
      </c>
      <c r="CY69" s="276">
        <f>SUMIF('20Ф'!$H:$H,$B:$B,'20Ф'!AH:AH)*1.2</f>
        <v>0</v>
      </c>
      <c r="CZ69" s="276">
        <f>SUMIF('20Ф'!$H:$H,$B:$B,'20Ф'!AI:AI)*1.2</f>
        <v>0</v>
      </c>
      <c r="DA69" s="276">
        <f>SUMIF('20Ф'!$H:$H,$B:$B,'20Ф'!AJ:AJ)*1.2</f>
        <v>0</v>
      </c>
      <c r="DB69" s="276">
        <f>SUMIF('20Ф'!$H:$H,$B:$B,'20Ф'!AK:AK)*1.2</f>
        <v>0</v>
      </c>
      <c r="DC69" s="276">
        <f>SUMIF('20Ф'!$H:$H,$B:$B,'20Ф'!AL:AL)*1.2</f>
        <v>0</v>
      </c>
      <c r="DD69" s="276">
        <f>SUMIF('20Ф'!$H:$H,$B:$B,'20Ф'!AM:AM)*1.2</f>
        <v>0</v>
      </c>
      <c r="DE69" s="276">
        <f>SUMIF('20Ф'!$H:$H,$B:$B,'20Ф'!AN:AN)*1.2</f>
        <v>0</v>
      </c>
      <c r="DF69" s="276">
        <f>SUMIF('20Ф'!$H:$H,$B:$B,'20Ф'!AO:AO)*1.2</f>
        <v>0</v>
      </c>
      <c r="DG69" s="276">
        <f>SUMIF('20Ф'!$H:$H,$B:$B,'20Ф'!AP:AP)*1.2</f>
        <v>0</v>
      </c>
      <c r="DH69" s="276">
        <f>SUMIF('20Ф'!$H:$H,$B:$B,'20Ф'!AQ:AQ)*1.2</f>
        <v>0</v>
      </c>
      <c r="DI69" s="276">
        <f>SUMIF('20Ф'!$H:$H,$B:$B,'20Ф'!BA:BA)*1.2</f>
        <v>0</v>
      </c>
      <c r="DJ69" s="276">
        <f>SUMIF('20Ф'!$H:$H,$B:$B,'20Ф'!BB:BB)*1.2</f>
        <v>0</v>
      </c>
      <c r="DK69" s="276">
        <f>SUMIF('20Ф'!$H:$H,$B:$B,'20Ф'!BC:BC)*1.2</f>
        <v>0</v>
      </c>
      <c r="DL69" s="276">
        <f>$D69/$D$281*'20Ф'!$H$218</f>
        <v>25054.39087792578</v>
      </c>
      <c r="DM69" s="240">
        <f t="shared" ref="DM69:DM132" si="13">SUM(DN69:DZ69)</f>
        <v>248518.44609770519</v>
      </c>
      <c r="DN69" s="276">
        <f>SUMIF('20Ф'!$H:$H,$B:$B,'20Ф'!AV:AV)*1.2</f>
        <v>0</v>
      </c>
      <c r="DO69" s="276">
        <f>SUMIF('20Ф'!$H:$H,$B:$B,'20Ф'!AW:AW)*1.2+$D69/$D$281*'26Ф'!$D$42</f>
        <v>13332.64990654748</v>
      </c>
      <c r="DP69" s="276">
        <f>SUMIF('20Ф'!$H:$H,$B:$B,'20Ф'!AX:AX)*1.2</f>
        <v>0</v>
      </c>
      <c r="DQ69" s="276">
        <f>SUMIF('20Ф'!$H:$H,$B:$B,'20Ф'!AY:AY)*1.2</f>
        <v>0</v>
      </c>
      <c r="DR69" s="276">
        <f>SUMIF('20Ф'!$H:$H,$B:$B,'20Ф'!AU:AU)*1.2</f>
        <v>0</v>
      </c>
      <c r="DS69" s="276">
        <f>SUMIF('20Ф'!$H:$H,$B:$B,'20Ф'!AS:AS)*1.2</f>
        <v>0</v>
      </c>
      <c r="DT69" s="276">
        <f>SUMIF('20Ф'!$H:$H,$B:$B,'20Ф'!AR:AR)*1.2</f>
        <v>0</v>
      </c>
      <c r="DU69" s="276">
        <f>SUMIF('20Ф'!$H:$H,$B:$B,'20Ф'!X:X)*1.2</f>
        <v>0</v>
      </c>
      <c r="DV69" s="276">
        <f>SUMIF('20Ф'!$H:$H,$B:$B,'20Ф'!AA:AA)*1.2</f>
        <v>0</v>
      </c>
      <c r="DW69" s="276">
        <f>SUMIF('20Ф'!$H:$H,$B:$B,'20Ф'!N:N)*1.2</f>
        <v>0</v>
      </c>
      <c r="DX69" s="276">
        <f>$D69/$D$281*('25Ф'!$D$37)</f>
        <v>224105.16547160127</v>
      </c>
      <c r="DY69" s="276">
        <f>$D69/$D$281*'25Ф'!$D$30</f>
        <v>7152.7333756165326</v>
      </c>
      <c r="DZ69" s="276">
        <f>$D69/$D$281*'25Ф'!$D$31</f>
        <v>3927.897343939891</v>
      </c>
      <c r="EA69" s="276"/>
      <c r="EB69" s="276">
        <f t="shared" ref="EB69:EB132" si="14">SUM(EC69:EJ69)</f>
        <v>141189.77159084403</v>
      </c>
      <c r="EC69" s="276">
        <f>$D69/$D$281*'26Ф'!$D$36</f>
        <v>73493.823095932748</v>
      </c>
      <c r="ED69" s="276">
        <f>$D69/$D$281*'26Ф'!$D$37</f>
        <v>8830.2043520430634</v>
      </c>
      <c r="EE69" s="276">
        <f>$D69/$D$281*'26Ф'!$D$38</f>
        <v>8920.7667867153068</v>
      </c>
      <c r="EF69" s="276">
        <f>$D69/$D$281*'26Ф'!$D$39</f>
        <v>6257.9097591075524</v>
      </c>
      <c r="EG69" s="276">
        <f>$D69/$D$281*'91Ф'!$D$10</f>
        <v>1930.5625580549026</v>
      </c>
      <c r="EH69" s="276">
        <f>$D69/$D$281*('20Ф'!$I$509+'26Ф'!$D$41+'20Ф'!$I$507)</f>
        <v>13658.094394079211</v>
      </c>
      <c r="EI69" s="276">
        <f>$D69/$D$281*'91Ф'!$D$31</f>
        <v>25037.293121164792</v>
      </c>
      <c r="EJ69" s="276">
        <f>$D69/$D$281*'20Ф'!$I$1316</f>
        <v>3061.1175237464377</v>
      </c>
      <c r="EK69" s="276">
        <f>$D69/$D$281*('20Ф'!$I$1105+'20Ф'!$I$1282+'91Ф'!$D$17+'91Ф'!$D$41)</f>
        <v>100530.50987131946</v>
      </c>
      <c r="EL69" s="276">
        <f>$D69/$D$281*отчёт!BX$294</f>
        <v>168056.35309224125</v>
      </c>
      <c r="EM69" s="276">
        <f>$D69/$D$281*отчёт!BY$294</f>
        <v>147796.54160901374</v>
      </c>
      <c r="EN69" s="276">
        <f>$D69/$D$283*отчёт!BZ$294</f>
        <v>26524.859186268386</v>
      </c>
      <c r="EO69" s="240">
        <f t="shared" si="11"/>
        <v>91391.128750498989</v>
      </c>
      <c r="EP69" s="276">
        <f>SUMIF('20Ф'!$H:$H,$B:$B,'20Ф'!T:T)*1.2</f>
        <v>2459.424</v>
      </c>
      <c r="EQ69" s="276">
        <f>SUM(H69:I69)/SUM($H$284:$I$284)*SUM('60Ф'!$O$155:$P$155)</f>
        <v>86255.130878243508</v>
      </c>
      <c r="ER69" s="276">
        <f>SUM($H69:$I69)/SUM($H$284:$I$284)*SUM('60Ф'!$P$227)</f>
        <v>2676.5738722554888</v>
      </c>
      <c r="ES69" s="239">
        <f t="shared" si="6"/>
        <v>56248.52538696109</v>
      </c>
      <c r="ET69" s="276">
        <f>$D69/$D$282*'20Ф'!$I$381</f>
        <v>4299.128688321829</v>
      </c>
      <c r="EU69" s="276">
        <f>$D69/$D$282*('20Ф'!$I$75+'20Ф'!$I$1098)*1.2</f>
        <v>49656.844851169539</v>
      </c>
      <c r="EV69" s="276">
        <f>$D69/$D$282*('20Ф'!$I$1286)</f>
        <v>2292.5518474697265</v>
      </c>
      <c r="EW69" s="276">
        <f>SUMIF('91.1Ф'!$N:$N,$B:$B,'91.1Ф'!$F:$F)+$D69/$D$281*('91Ф'!$D$12+'91Ф'!$D$11+'91Ф'!$D$19+'91Ф'!$D$20)</f>
        <v>13249.429827409946</v>
      </c>
      <c r="EX69" s="276">
        <f t="shared" ref="EX69:EX132" si="15">SUM(EY69:EZ69)</f>
        <v>2009.4161149179115</v>
      </c>
      <c r="EY69" s="276">
        <f>SUMIF('20Ф'!$H:$H,$B:$B,'20Ф'!$AY:$AY)*1.2</f>
        <v>0</v>
      </c>
      <c r="EZ69" s="295">
        <f>D69/$D$286*'20Ф'!$I$1163</f>
        <v>2009.4161149179115</v>
      </c>
      <c r="FA69" s="277">
        <f>SUMIF(отчёт!$B:$B,$B:$B,отчёт!$CU:$CU)/отчёт!$CU$281*'20Ф'!$I$1341</f>
        <v>920.96385542168503</v>
      </c>
      <c r="FB69" s="276">
        <f>SUMIF(Сальдо!$A:$A,$B:$B,Сальдо!$H:$H)-SUMIF(Сальдо!$A:$A,$B:$B,Сальдо!$I:$I)</f>
        <v>260939.79</v>
      </c>
    </row>
    <row r="70" spans="1:158" ht="12" customHeight="1" x14ac:dyDescent="0.25">
      <c r="A70" s="3">
        <f t="shared" si="7"/>
        <v>66</v>
      </c>
      <c r="B70" s="4" t="s">
        <v>116</v>
      </c>
      <c r="C70" s="4" t="s">
        <v>116</v>
      </c>
      <c r="D70" s="5">
        <v>9513.2000000000044</v>
      </c>
      <c r="E70" s="6">
        <v>9513.2000000000044</v>
      </c>
      <c r="F70" s="6">
        <v>0</v>
      </c>
      <c r="G70" s="6">
        <v>2004.8</v>
      </c>
      <c r="H70" s="5">
        <f>SUMIF(отчёт!$B:$B,$B:$B,отчёт!I:I)</f>
        <v>5</v>
      </c>
      <c r="I70" s="5">
        <f>SUMIF(отчёт!$B:$B,$B:$B,отчёт!J:J)</f>
        <v>0</v>
      </c>
      <c r="J70" s="3" t="s">
        <v>114</v>
      </c>
      <c r="K70" s="105">
        <v>3</v>
      </c>
      <c r="L70" s="105" t="s">
        <v>52</v>
      </c>
      <c r="M70" s="7">
        <v>45.06</v>
      </c>
      <c r="N70" s="8">
        <v>5.0999999999999996</v>
      </c>
      <c r="O70" s="8">
        <v>8.6300000000000008</v>
      </c>
      <c r="P70" s="8">
        <v>13.43</v>
      </c>
      <c r="Q70" s="8">
        <v>6.91</v>
      </c>
      <c r="R70" s="8">
        <v>3.15</v>
      </c>
      <c r="S70" s="8">
        <v>1.81</v>
      </c>
      <c r="T70" s="8">
        <v>5.77</v>
      </c>
      <c r="U70" s="8">
        <v>0.26</v>
      </c>
      <c r="V70" s="9">
        <v>40</v>
      </c>
      <c r="W70" s="9">
        <v>40</v>
      </c>
      <c r="X70" s="9">
        <v>2604.04</v>
      </c>
      <c r="Y70" s="8">
        <v>195.98199600000001</v>
      </c>
      <c r="Z70" s="9">
        <v>42.3</v>
      </c>
      <c r="AA70" s="9">
        <v>2604.04</v>
      </c>
      <c r="AB70" s="8">
        <v>7.85</v>
      </c>
      <c r="AC70" s="10">
        <v>0</v>
      </c>
      <c r="AD70" s="8">
        <v>6.73</v>
      </c>
      <c r="AE70" s="8">
        <v>10.67</v>
      </c>
      <c r="AF70" s="8">
        <v>14</v>
      </c>
      <c r="AG70" s="7">
        <v>2571988.7520000013</v>
      </c>
      <c r="AH70" s="8">
        <v>291103.92000000016</v>
      </c>
      <c r="AI70" s="8">
        <v>492593.49600000028</v>
      </c>
      <c r="AJ70" s="8">
        <v>766573.65600000031</v>
      </c>
      <c r="AK70" s="8">
        <v>394417.27200000017</v>
      </c>
      <c r="AL70" s="8">
        <v>179799.48000000007</v>
      </c>
      <c r="AM70" s="8">
        <v>103313.35200000004</v>
      </c>
      <c r="AN70" s="8">
        <v>329346.98400000011</v>
      </c>
      <c r="AO70" s="8">
        <v>14840.592000000008</v>
      </c>
      <c r="AQ70" s="104">
        <v>48.44</v>
      </c>
      <c r="AR70" s="375">
        <v>18.489999999999998</v>
      </c>
      <c r="AS70" s="376"/>
      <c r="AT70" s="104">
        <v>6.67</v>
      </c>
      <c r="AU70" s="104">
        <v>1.53</v>
      </c>
      <c r="AV70" s="104">
        <v>0.32</v>
      </c>
      <c r="AW70" s="104">
        <v>0.87</v>
      </c>
      <c r="AX70" s="104">
        <v>5.01</v>
      </c>
      <c r="AY70" s="104">
        <v>4.99</v>
      </c>
      <c r="AZ70" s="104">
        <v>2.7</v>
      </c>
      <c r="BA70" s="104">
        <v>6.46</v>
      </c>
      <c r="BB70" s="104">
        <v>0.47</v>
      </c>
      <c r="BC70" s="101">
        <v>0.93</v>
      </c>
      <c r="BD70" s="104">
        <v>54.88252</v>
      </c>
      <c r="BE70" s="375">
        <v>20.949169999999999</v>
      </c>
      <c r="BF70" s="376">
        <v>0</v>
      </c>
      <c r="BG70" s="104">
        <v>7.5571100000000007</v>
      </c>
      <c r="BH70" s="104">
        <v>1.7334900000000002</v>
      </c>
      <c r="BI70" s="104">
        <v>0.36256000000000005</v>
      </c>
      <c r="BJ70" s="104">
        <v>0.98571000000000009</v>
      </c>
      <c r="BK70" s="104">
        <v>5.6763300000000001</v>
      </c>
      <c r="BL70" s="104">
        <v>5.65367</v>
      </c>
      <c r="BM70" s="104">
        <v>3.0591000000000004</v>
      </c>
      <c r="BN70" s="104">
        <v>7.3191800000000002</v>
      </c>
      <c r="BO70" s="104">
        <v>0.53250999999999993</v>
      </c>
      <c r="BP70" s="101">
        <v>1.05369</v>
      </c>
      <c r="BQ70" s="103">
        <v>6142722.7086400026</v>
      </c>
      <c r="BR70" s="371">
        <v>2344734.5764400009</v>
      </c>
      <c r="BS70" s="371">
        <v>0</v>
      </c>
      <c r="BT70" s="103">
        <v>845829.07652000047</v>
      </c>
      <c r="BU70" s="103">
        <v>194020.7626800001</v>
      </c>
      <c r="BV70" s="103">
        <v>40579.505920000018</v>
      </c>
      <c r="BW70" s="103">
        <v>110325.53172000006</v>
      </c>
      <c r="BX70" s="103">
        <v>635322.88956000027</v>
      </c>
      <c r="BY70" s="103">
        <v>632786.67044000025</v>
      </c>
      <c r="BZ70" s="103">
        <v>342389.58120000025</v>
      </c>
      <c r="CA70" s="103">
        <v>819198.77576000046</v>
      </c>
      <c r="CB70" s="103">
        <v>59601.149320000011</v>
      </c>
      <c r="CC70" s="103">
        <v>117934.18908000004</v>
      </c>
      <c r="CD70" s="1">
        <v>1</v>
      </c>
      <c r="CF70" s="277">
        <f>SUMIF(Оборот!$A:$A,$B:$B,Оборот!H:H)</f>
        <v>5269100.4399999995</v>
      </c>
      <c r="CG70" s="277">
        <f>SUMIF(Оборот!$A:$A,$B:$B,Оборот!I:I)</f>
        <v>5287746.1600000011</v>
      </c>
      <c r="CH70" s="277">
        <f t="shared" si="12"/>
        <v>3802050.6705992999</v>
      </c>
      <c r="CI70" s="239">
        <f t="shared" ref="CI70:CI133" si="16">SUM(CJ70:DL70)</f>
        <v>150341.41557589118</v>
      </c>
      <c r="CJ70" s="276">
        <f>SUMIF('20Ф'!$H:$H,$B:$B,'20Ф'!M:M)*1.2</f>
        <v>0</v>
      </c>
      <c r="CK70" s="276">
        <f>SUMIF('20Ф'!$H:$H,$B:$B,'20Ф'!O:O)*1.2</f>
        <v>0</v>
      </c>
      <c r="CL70" s="276">
        <f>SUMIF('20Ф'!$H:$H,$B:$B,'20Ф'!Q:Q)*1.2</f>
        <v>0</v>
      </c>
      <c r="CM70" s="276">
        <f>SUMIF('20Ф'!$H:$H,$B:$B,'20Ф'!R:R)*1.2</f>
        <v>66669.635999999999</v>
      </c>
      <c r="CN70" s="276">
        <f>SUMIF('20Ф'!$H:$H,$B:$B,'20Ф'!S:S)*1.2</f>
        <v>0</v>
      </c>
      <c r="CO70" s="276">
        <f>SUMIF('20Ф'!$H:$H,$B:$B,'20Ф'!W:W)*1.2</f>
        <v>0</v>
      </c>
      <c r="CP70" s="276">
        <f>SUMIF('20Ф'!$H:$H,$B:$B,'20Ф'!P:P)*1.2</f>
        <v>0</v>
      </c>
      <c r="CQ70" s="276">
        <f>SUMIF('20Ф'!$H:$H,$B:$B,'20Ф'!Y:Y)*1.2</f>
        <v>0</v>
      </c>
      <c r="CR70" s="276">
        <f>SUMIF('20Ф'!$H:$H,$B:$B,'20Ф'!Z:Z)*1.2</f>
        <v>0</v>
      </c>
      <c r="CS70" s="276">
        <f>SUMIF('20Ф'!$H:$H,$B:$B,'20Ф'!AB:AB)*1.2</f>
        <v>0</v>
      </c>
      <c r="CT70" s="276">
        <f>SUMIF('20Ф'!$H:$H,$B:$B,'20Ф'!AC:AC)*1.2</f>
        <v>0</v>
      </c>
      <c r="CU70" s="276">
        <f>SUMIF('20Ф'!$H:$H,$B:$B,'20Ф'!AD:AD)*1.2</f>
        <v>0</v>
      </c>
      <c r="CV70" s="276">
        <f>SUMIF('20Ф'!$H:$H,$B:$B,'20Ф'!AE:AE)*1.2</f>
        <v>0</v>
      </c>
      <c r="CW70" s="276">
        <f>SUMIF('20Ф'!$H:$H,$B:$B,'20Ф'!AF:AF)*1.2</f>
        <v>0</v>
      </c>
      <c r="CX70" s="276">
        <f>SUMIF('20Ф'!$H:$H,$B:$B,'20Ф'!AG:AG)*1.2</f>
        <v>0</v>
      </c>
      <c r="CY70" s="276">
        <f>SUMIF('20Ф'!$H:$H,$B:$B,'20Ф'!AH:AH)*1.2</f>
        <v>0</v>
      </c>
      <c r="CZ70" s="276">
        <f>SUMIF('20Ф'!$H:$H,$B:$B,'20Ф'!AI:AI)*1.2</f>
        <v>0</v>
      </c>
      <c r="DA70" s="276">
        <f>SUMIF('20Ф'!$H:$H,$B:$B,'20Ф'!AJ:AJ)*1.2</f>
        <v>0</v>
      </c>
      <c r="DB70" s="276">
        <f>SUMIF('20Ф'!$H:$H,$B:$B,'20Ф'!AK:AK)*1.2</f>
        <v>0</v>
      </c>
      <c r="DC70" s="276">
        <f>SUMIF('20Ф'!$H:$H,$B:$B,'20Ф'!AL:AL)*1.2</f>
        <v>0</v>
      </c>
      <c r="DD70" s="276">
        <f>SUMIF('20Ф'!$H:$H,$B:$B,'20Ф'!AM:AM)*1.2</f>
        <v>0</v>
      </c>
      <c r="DE70" s="276">
        <f>SUMIF('20Ф'!$H:$H,$B:$B,'20Ф'!AN:AN)*1.2</f>
        <v>0</v>
      </c>
      <c r="DF70" s="276">
        <f>SUMIF('20Ф'!$H:$H,$B:$B,'20Ф'!AO:AO)*1.2</f>
        <v>0</v>
      </c>
      <c r="DG70" s="276">
        <f>SUMIF('20Ф'!$H:$H,$B:$B,'20Ф'!AP:AP)*1.2</f>
        <v>0</v>
      </c>
      <c r="DH70" s="276">
        <f>SUMIF('20Ф'!$H:$H,$B:$B,'20Ф'!AQ:AQ)*1.2</f>
        <v>0</v>
      </c>
      <c r="DI70" s="276">
        <f>SUMIF('20Ф'!$H:$H,$B:$B,'20Ф'!BA:BA)*1.2</f>
        <v>0</v>
      </c>
      <c r="DJ70" s="276">
        <f>SUMIF('20Ф'!$H:$H,$B:$B,'20Ф'!BB:BB)*1.2</f>
        <v>0</v>
      </c>
      <c r="DK70" s="276">
        <f>SUMIF('20Ф'!$H:$H,$B:$B,'20Ф'!BC:BC)*1.2</f>
        <v>0</v>
      </c>
      <c r="DL70" s="276">
        <f>$D70/$D$281*'20Ф'!$H$218</f>
        <v>83671.779575891182</v>
      </c>
      <c r="DM70" s="240">
        <f t="shared" si="13"/>
        <v>940765.65360917302</v>
      </c>
      <c r="DN70" s="276">
        <f>SUMIF('20Ф'!$H:$H,$B:$B,'20Ф'!AV:AV)*1.2</f>
        <v>0</v>
      </c>
      <c r="DO70" s="276">
        <f>SUMIF('20Ф'!$H:$H,$B:$B,'20Ф'!AW:AW)*1.2+$D70/$D$281*'26Ф'!$D$42</f>
        <v>44525.78989362056</v>
      </c>
      <c r="DP70" s="276">
        <f>SUMIF('20Ф'!$H:$H,$B:$B,'20Ф'!AX:AX)*1.2</f>
        <v>0</v>
      </c>
      <c r="DQ70" s="276">
        <f>SUMIF('20Ф'!$H:$H,$B:$B,'20Ф'!AY:AY)*1.2</f>
        <v>63841.007999999994</v>
      </c>
      <c r="DR70" s="276">
        <f>SUMIF('20Ф'!$H:$H,$B:$B,'20Ф'!AU:AU)*1.2</f>
        <v>0</v>
      </c>
      <c r="DS70" s="276">
        <f>SUMIF('20Ф'!$H:$H,$B:$B,'20Ф'!AS:AS)*1.2</f>
        <v>46971.095999999998</v>
      </c>
      <c r="DT70" s="276">
        <f>SUMIF('20Ф'!$H:$H,$B:$B,'20Ф'!AR:AR)*1.2</f>
        <v>0</v>
      </c>
      <c r="DU70" s="276">
        <f>SUMIF('20Ф'!$H:$H,$B:$B,'20Ф'!X:X)*1.2</f>
        <v>0</v>
      </c>
      <c r="DV70" s="276">
        <f>SUMIF('20Ф'!$H:$H,$B:$B,'20Ф'!AA:AA)*1.2</f>
        <v>0</v>
      </c>
      <c r="DW70" s="276">
        <f>SUMIF('20Ф'!$H:$H,$B:$B,'20Ф'!N:N)*1.2</f>
        <v>0</v>
      </c>
      <c r="DX70" s="276">
        <f>$D70/$D$281*('25Ф'!$D$37)</f>
        <v>748422.82530521601</v>
      </c>
      <c r="DY70" s="276">
        <f>$D70/$D$281*'25Ф'!$D$30</f>
        <v>23887.307150500328</v>
      </c>
      <c r="DZ70" s="276">
        <f>$D70/$D$281*'25Ф'!$D$31</f>
        <v>13117.627259836056</v>
      </c>
      <c r="EA70" s="276"/>
      <c r="EB70" s="276">
        <f t="shared" si="14"/>
        <v>471518.12648248894</v>
      </c>
      <c r="EC70" s="276">
        <f>$D70/$D$281*'26Ф'!$D$36</f>
        <v>245440.36996286872</v>
      </c>
      <c r="ED70" s="276">
        <f>$D70/$D$281*'26Ф'!$D$37</f>
        <v>29489.398315613322</v>
      </c>
      <c r="EE70" s="276">
        <f>$D70/$D$281*'26Ф'!$D$38</f>
        <v>29791.841113311839</v>
      </c>
      <c r="EF70" s="276">
        <f>$D70/$D$281*'26Ф'!$D$39</f>
        <v>20898.949350678227</v>
      </c>
      <c r="EG70" s="276">
        <f>$D70/$D$281*'91Ф'!$D$10</f>
        <v>6447.3171829277217</v>
      </c>
      <c r="EH70" s="276">
        <f>$D70/$D$281*('20Ф'!$I$509+'26Ф'!$D$41+'20Ф'!$I$507)</f>
        <v>45612.646068157839</v>
      </c>
      <c r="EI70" s="276">
        <f>$D70/$D$281*'91Ф'!$D$31</f>
        <v>83614.679814738818</v>
      </c>
      <c r="EJ70" s="276">
        <f>$D70/$D$281*'20Ф'!$I$1316</f>
        <v>10222.924674192453</v>
      </c>
      <c r="EK70" s="276">
        <f>$D70/$D$281*('20Ф'!$I$1105+'20Ф'!$I$1282+'91Ф'!$D$17+'91Ф'!$D$41)</f>
        <v>335732.23566237336</v>
      </c>
      <c r="EL70" s="276">
        <f>$D70/$D$281*отчёт!BX$294</f>
        <v>561241.90768697252</v>
      </c>
      <c r="EM70" s="276">
        <f>$D70/$D$281*отчёт!BY$294</f>
        <v>493582.13144522579</v>
      </c>
      <c r="EN70" s="276">
        <f>$D70/$D$283*отчёт!BZ$294</f>
        <v>88582.56350867392</v>
      </c>
      <c r="EO70" s="240">
        <f t="shared" si="11"/>
        <v>457639.22375249502</v>
      </c>
      <c r="EP70" s="276">
        <f>SUMIF('20Ф'!$H:$H,$B:$B,'20Ф'!T:T)*1.2</f>
        <v>12980.699999999999</v>
      </c>
      <c r="EQ70" s="276">
        <f>SUM(H70:I70)/SUM($H$284:$I$284)*SUM('60Ф'!$O$155:$P$155)</f>
        <v>431275.65439121757</v>
      </c>
      <c r="ER70" s="276">
        <f>SUM($H70:$I70)/SUM($H$284:$I$284)*SUM('60Ф'!$P$227)</f>
        <v>13382.869361277446</v>
      </c>
      <c r="ES70" s="239">
        <f t="shared" ref="ES70:ES133" si="17">SUM(ET70:EV70)</f>
        <v>187847.8802609136</v>
      </c>
      <c r="ET70" s="276">
        <f>$D70/$D$282*'20Ф'!$I$381</f>
        <v>14357.39346968449</v>
      </c>
      <c r="EU70" s="276">
        <f>$D70/$D$282*('20Ф'!$I$75+'20Ф'!$I$1098)*1.2</f>
        <v>165834.26821531498</v>
      </c>
      <c r="EV70" s="276">
        <f>$D70/$D$282*('20Ф'!$I$1286)</f>
        <v>7656.2185759141375</v>
      </c>
      <c r="EW70" s="276">
        <f>SUMIF('91.1Ф'!$N:$N,$B:$B,'91.1Ф'!$F:$F)+$D70/$D$281*('91Ф'!$D$12+'91Ф'!$D$11+'91Ф'!$D$19+'91Ф'!$D$20)</f>
        <v>44247.86766626285</v>
      </c>
      <c r="EX70" s="276">
        <f t="shared" si="15"/>
        <v>70551.664948829974</v>
      </c>
      <c r="EY70" s="276">
        <f>SUMIF('20Ф'!$H:$H,$B:$B,'20Ф'!$AY:$AY)*1.2</f>
        <v>63841.007999999994</v>
      </c>
      <c r="EZ70" s="295">
        <f>D70/$D$286*'20Ф'!$I$1163</f>
        <v>6710.656948829981</v>
      </c>
      <c r="FA70" s="277">
        <f>SUMIF(отчёт!$B:$B,$B:$B,отчёт!$CU:$CU)/отчёт!$CU$281*'20Ф'!$I$1341</f>
        <v>4604.8192771084259</v>
      </c>
      <c r="FB70" s="276">
        <f>SUMIF(Сальдо!$A:$A,$B:$B,Сальдо!$H:$H)-SUMIF(Сальдо!$A:$A,$B:$B,Сальдо!$I:$I)</f>
        <v>1209606.56</v>
      </c>
    </row>
    <row r="71" spans="1:158" ht="12" customHeight="1" x14ac:dyDescent="0.25">
      <c r="A71" s="3">
        <f t="shared" ref="A71:A134" si="18">A70+1</f>
        <v>67</v>
      </c>
      <c r="B71" s="4" t="s">
        <v>117</v>
      </c>
      <c r="C71" s="4" t="s">
        <v>117</v>
      </c>
      <c r="D71" s="5">
        <v>2869.6</v>
      </c>
      <c r="E71" s="6">
        <v>2869.6</v>
      </c>
      <c r="F71" s="6">
        <v>0</v>
      </c>
      <c r="G71" s="6">
        <v>487.4</v>
      </c>
      <c r="H71" s="5">
        <f>SUMIF(отчёт!$B:$B,$B:$B,отчёт!I:I)</f>
        <v>1</v>
      </c>
      <c r="I71" s="5">
        <f>SUMIF(отчёт!$B:$B,$B:$B,отчёт!J:J)</f>
        <v>0</v>
      </c>
      <c r="J71" s="3" t="s">
        <v>114</v>
      </c>
      <c r="K71" s="105">
        <v>3</v>
      </c>
      <c r="L71" s="105" t="s">
        <v>52</v>
      </c>
      <c r="M71" s="7">
        <v>45.06</v>
      </c>
      <c r="N71" s="8">
        <v>5.0999999999999996</v>
      </c>
      <c r="O71" s="8">
        <v>8.6300000000000008</v>
      </c>
      <c r="P71" s="8">
        <v>13.43</v>
      </c>
      <c r="Q71" s="8">
        <v>6.91</v>
      </c>
      <c r="R71" s="8">
        <v>3.15</v>
      </c>
      <c r="S71" s="8">
        <v>1.81</v>
      </c>
      <c r="T71" s="8">
        <v>5.77</v>
      </c>
      <c r="U71" s="8">
        <v>0.26</v>
      </c>
      <c r="V71" s="9">
        <v>40</v>
      </c>
      <c r="W71" s="9">
        <v>40</v>
      </c>
      <c r="X71" s="9">
        <v>2604.04</v>
      </c>
      <c r="Y71" s="8">
        <v>195.98199600000001</v>
      </c>
      <c r="Z71" s="9">
        <v>42.3</v>
      </c>
      <c r="AA71" s="9">
        <v>2604.04</v>
      </c>
      <c r="AB71" s="8">
        <v>7.85</v>
      </c>
      <c r="AC71" s="10">
        <v>0</v>
      </c>
      <c r="AD71" s="8">
        <v>6.73</v>
      </c>
      <c r="AE71" s="8">
        <v>10.67</v>
      </c>
      <c r="AF71" s="8">
        <v>14</v>
      </c>
      <c r="AG71" s="7">
        <v>775825.0560000001</v>
      </c>
      <c r="AH71" s="8">
        <v>87809.76</v>
      </c>
      <c r="AI71" s="8">
        <v>148587.88800000001</v>
      </c>
      <c r="AJ71" s="8">
        <v>231232.36799999996</v>
      </c>
      <c r="AK71" s="8">
        <v>118973.61600000001</v>
      </c>
      <c r="AL71" s="8">
        <v>54235.44</v>
      </c>
      <c r="AM71" s="8">
        <v>31163.856</v>
      </c>
      <c r="AN71" s="8">
        <v>99345.551999999981</v>
      </c>
      <c r="AO71" s="8">
        <v>4476.576</v>
      </c>
      <c r="AQ71" s="104">
        <v>48.44</v>
      </c>
      <c r="AR71" s="375">
        <v>18.489999999999998</v>
      </c>
      <c r="AS71" s="376"/>
      <c r="AT71" s="104">
        <v>6.67</v>
      </c>
      <c r="AU71" s="104">
        <v>1.53</v>
      </c>
      <c r="AV71" s="104">
        <v>0.32</v>
      </c>
      <c r="AW71" s="104">
        <v>0.87</v>
      </c>
      <c r="AX71" s="104">
        <v>5.01</v>
      </c>
      <c r="AY71" s="104">
        <v>4.99</v>
      </c>
      <c r="AZ71" s="104">
        <v>2.7</v>
      </c>
      <c r="BA71" s="104">
        <v>6.46</v>
      </c>
      <c r="BB71" s="104">
        <v>0.47</v>
      </c>
      <c r="BC71" s="101">
        <v>0.93</v>
      </c>
      <c r="BD71" s="104">
        <v>54.88252</v>
      </c>
      <c r="BE71" s="375">
        <v>20.949169999999999</v>
      </c>
      <c r="BF71" s="376">
        <v>0</v>
      </c>
      <c r="BG71" s="104">
        <v>7.5571100000000007</v>
      </c>
      <c r="BH71" s="104">
        <v>1.7334900000000002</v>
      </c>
      <c r="BI71" s="104">
        <v>0.36256000000000005</v>
      </c>
      <c r="BJ71" s="104">
        <v>0.98571000000000009</v>
      </c>
      <c r="BK71" s="104">
        <v>5.6763300000000001</v>
      </c>
      <c r="BL71" s="104">
        <v>5.65367</v>
      </c>
      <c r="BM71" s="104">
        <v>3.0591000000000004</v>
      </c>
      <c r="BN71" s="104">
        <v>7.3191800000000002</v>
      </c>
      <c r="BO71" s="104">
        <v>0.53250999999999993</v>
      </c>
      <c r="BP71" s="101">
        <v>1.05369</v>
      </c>
      <c r="BQ71" s="103">
        <v>1852915.6419200001</v>
      </c>
      <c r="BR71" s="371">
        <v>707275.19031999994</v>
      </c>
      <c r="BS71" s="371">
        <v>0</v>
      </c>
      <c r="BT71" s="103">
        <v>255139.29256</v>
      </c>
      <c r="BU71" s="103">
        <v>58525.205040000001</v>
      </c>
      <c r="BV71" s="103">
        <v>12240.565759999999</v>
      </c>
      <c r="BW71" s="103">
        <v>33279.038160000004</v>
      </c>
      <c r="BX71" s="103">
        <v>191641.35767999999</v>
      </c>
      <c r="BY71" s="103">
        <v>190876.32232000001</v>
      </c>
      <c r="BZ71" s="103">
        <v>103279.77360000001</v>
      </c>
      <c r="CA71" s="103">
        <v>247106.42128000001</v>
      </c>
      <c r="CB71" s="103">
        <v>17978.330959999996</v>
      </c>
      <c r="CC71" s="103">
        <v>35574.144239999994</v>
      </c>
      <c r="CD71" s="1">
        <v>1</v>
      </c>
      <c r="CF71" s="277">
        <f>SUMIF(Оборот!$A:$A,$B:$B,Оборот!H:H)</f>
        <v>1590447.2099999995</v>
      </c>
      <c r="CG71" s="277">
        <f>SUMIF(Оборот!$A:$A,$B:$B,Оборот!I:I)</f>
        <v>1603037.6999999997</v>
      </c>
      <c r="CH71" s="277">
        <f t="shared" si="12"/>
        <v>1210965.1098207999</v>
      </c>
      <c r="CI71" s="239">
        <f t="shared" si="16"/>
        <v>25239.092909954295</v>
      </c>
      <c r="CJ71" s="276">
        <f>SUMIF('20Ф'!$H:$H,$B:$B,'20Ф'!M:M)*1.2</f>
        <v>0</v>
      </c>
      <c r="CK71" s="276">
        <f>SUMIF('20Ф'!$H:$H,$B:$B,'20Ф'!O:O)*1.2</f>
        <v>0</v>
      </c>
      <c r="CL71" s="276">
        <f>SUMIF('20Ф'!$H:$H,$B:$B,'20Ф'!Q:Q)*1.2</f>
        <v>0</v>
      </c>
      <c r="CM71" s="276">
        <f>SUMIF('20Ф'!$H:$H,$B:$B,'20Ф'!R:R)*1.2</f>
        <v>0</v>
      </c>
      <c r="CN71" s="276">
        <f>SUMIF('20Ф'!$H:$H,$B:$B,'20Ф'!S:S)*1.2</f>
        <v>0</v>
      </c>
      <c r="CO71" s="276">
        <f>SUMIF('20Ф'!$H:$H,$B:$B,'20Ф'!W:W)*1.2</f>
        <v>0</v>
      </c>
      <c r="CP71" s="276">
        <f>SUMIF('20Ф'!$H:$H,$B:$B,'20Ф'!P:P)*1.2</f>
        <v>0</v>
      </c>
      <c r="CQ71" s="276">
        <f>SUMIF('20Ф'!$H:$H,$B:$B,'20Ф'!Y:Y)*1.2</f>
        <v>0</v>
      </c>
      <c r="CR71" s="276">
        <f>SUMIF('20Ф'!$H:$H,$B:$B,'20Ф'!Z:Z)*1.2</f>
        <v>0</v>
      </c>
      <c r="CS71" s="276">
        <f>SUMIF('20Ф'!$H:$H,$B:$B,'20Ф'!AB:AB)*1.2</f>
        <v>0</v>
      </c>
      <c r="CT71" s="276">
        <f>SUMIF('20Ф'!$H:$H,$B:$B,'20Ф'!AC:AC)*1.2</f>
        <v>0</v>
      </c>
      <c r="CU71" s="276">
        <f>SUMIF('20Ф'!$H:$H,$B:$B,'20Ф'!AD:AD)*1.2</f>
        <v>0</v>
      </c>
      <c r="CV71" s="276">
        <f>SUMIF('20Ф'!$H:$H,$B:$B,'20Ф'!AE:AE)*1.2</f>
        <v>0</v>
      </c>
      <c r="CW71" s="276">
        <f>SUMIF('20Ф'!$H:$H,$B:$B,'20Ф'!AF:AF)*1.2</f>
        <v>0</v>
      </c>
      <c r="CX71" s="276">
        <f>SUMIF('20Ф'!$H:$H,$B:$B,'20Ф'!AG:AG)*1.2</f>
        <v>0</v>
      </c>
      <c r="CY71" s="276">
        <f>SUMIF('20Ф'!$H:$H,$B:$B,'20Ф'!AH:AH)*1.2</f>
        <v>0</v>
      </c>
      <c r="CZ71" s="276">
        <f>SUMIF('20Ф'!$H:$H,$B:$B,'20Ф'!AI:AI)*1.2</f>
        <v>0</v>
      </c>
      <c r="DA71" s="276">
        <f>SUMIF('20Ф'!$H:$H,$B:$B,'20Ф'!AJ:AJ)*1.2</f>
        <v>0</v>
      </c>
      <c r="DB71" s="276">
        <f>SUMIF('20Ф'!$H:$H,$B:$B,'20Ф'!AK:AK)*1.2</f>
        <v>0</v>
      </c>
      <c r="DC71" s="276">
        <f>SUMIF('20Ф'!$H:$H,$B:$B,'20Ф'!AL:AL)*1.2</f>
        <v>0</v>
      </c>
      <c r="DD71" s="276">
        <f>SUMIF('20Ф'!$H:$H,$B:$B,'20Ф'!AM:AM)*1.2</f>
        <v>0</v>
      </c>
      <c r="DE71" s="276">
        <f>SUMIF('20Ф'!$H:$H,$B:$B,'20Ф'!AN:AN)*1.2</f>
        <v>0</v>
      </c>
      <c r="DF71" s="276">
        <f>SUMIF('20Ф'!$H:$H,$B:$B,'20Ф'!AO:AO)*1.2</f>
        <v>0</v>
      </c>
      <c r="DG71" s="276">
        <f>SUMIF('20Ф'!$H:$H,$B:$B,'20Ф'!AP:AP)*1.2</f>
        <v>0</v>
      </c>
      <c r="DH71" s="276">
        <f>SUMIF('20Ф'!$H:$H,$B:$B,'20Ф'!AQ:AQ)*1.2</f>
        <v>0</v>
      </c>
      <c r="DI71" s="276">
        <f>SUMIF('20Ф'!$H:$H,$B:$B,'20Ф'!BA:BA)*1.2</f>
        <v>0</v>
      </c>
      <c r="DJ71" s="276">
        <f>SUMIF('20Ф'!$H:$H,$B:$B,'20Ф'!BB:BB)*1.2</f>
        <v>0</v>
      </c>
      <c r="DK71" s="276">
        <f>SUMIF('20Ф'!$H:$H,$B:$B,'20Ф'!BC:BC)*1.2</f>
        <v>0</v>
      </c>
      <c r="DL71" s="276">
        <f>$D71/$D$281*'20Ф'!$H$218</f>
        <v>25239.092909954295</v>
      </c>
      <c r="DM71" s="240">
        <f t="shared" si="13"/>
        <v>362289.65462120855</v>
      </c>
      <c r="DN71" s="276">
        <f>SUMIF('20Ф'!$H:$H,$B:$B,'20Ф'!AV:AV)*1.2</f>
        <v>0</v>
      </c>
      <c r="DO71" s="276">
        <f>SUMIF('20Ф'!$H:$H,$B:$B,'20Ф'!AW:AW)*1.2+$D71/$D$281*'26Ф'!$D$42</f>
        <v>13430.938767053514</v>
      </c>
      <c r="DP71" s="276">
        <f>SUMIF('20Ф'!$H:$H,$B:$B,'20Ф'!AX:AX)*1.2</f>
        <v>0</v>
      </c>
      <c r="DQ71" s="276">
        <f>SUMIF('20Ф'!$H:$H,$B:$B,'20Ф'!AY:AY)*1.2</f>
        <v>69147.251999999993</v>
      </c>
      <c r="DR71" s="276">
        <f>SUMIF('20Ф'!$H:$H,$B:$B,'20Ф'!AU:AU)*1.2</f>
        <v>0</v>
      </c>
      <c r="DS71" s="276">
        <f>SUMIF('20Ф'!$H:$H,$B:$B,'20Ф'!AS:AS)*1.2</f>
        <v>42791.867999999995</v>
      </c>
      <c r="DT71" s="276">
        <f>SUMIF('20Ф'!$H:$H,$B:$B,'20Ф'!AR:AR)*1.2</f>
        <v>0</v>
      </c>
      <c r="DU71" s="276">
        <f>SUMIF('20Ф'!$H:$H,$B:$B,'20Ф'!X:X)*1.2</f>
        <v>0</v>
      </c>
      <c r="DV71" s="276">
        <f>SUMIF('20Ф'!$H:$H,$B:$B,'20Ф'!AA:AA)*1.2</f>
        <v>0</v>
      </c>
      <c r="DW71" s="276">
        <f>SUMIF('20Ф'!$H:$H,$B:$B,'20Ф'!N:N)*1.2</f>
        <v>0</v>
      </c>
      <c r="DX71" s="276">
        <f>$D71/$D$281*('25Ф'!$D$37)</f>
        <v>225757.27825504</v>
      </c>
      <c r="DY71" s="276">
        <f>$D71/$D$281*'25Ф'!$D$30</f>
        <v>7205.463629386084</v>
      </c>
      <c r="DZ71" s="276">
        <f>$D71/$D$281*'25Ф'!$D$31</f>
        <v>3956.853969728958</v>
      </c>
      <c r="EA71" s="276"/>
      <c r="EB71" s="276">
        <f t="shared" si="14"/>
        <v>142230.62857441758</v>
      </c>
      <c r="EC71" s="276">
        <f>$D71/$D$281*'26Ф'!$D$36</f>
        <v>74035.622676433544</v>
      </c>
      <c r="ED71" s="276">
        <f>$D71/$D$281*'26Ф'!$D$37</f>
        <v>8895.3009929870022</v>
      </c>
      <c r="EE71" s="276">
        <f>$D71/$D$281*'26Ф'!$D$38</f>
        <v>8986.5310577681121</v>
      </c>
      <c r="EF71" s="276">
        <f>$D71/$D$281*'26Ф'!$D$39</f>
        <v>6304.0433352295968</v>
      </c>
      <c r="EG71" s="276">
        <f>$D71/$D$281*'91Ф'!$D$10</f>
        <v>1944.7947471018563</v>
      </c>
      <c r="EH71" s="276">
        <f>$D71/$D$281*('20Ф'!$I$509+'26Ф'!$D$41+'20Ф'!$I$507)</f>
        <v>13758.782445148388</v>
      </c>
      <c r="EI71" s="276">
        <f>$D71/$D$281*'91Ф'!$D$31</f>
        <v>25221.869107805403</v>
      </c>
      <c r="EJ71" s="276">
        <f>$D71/$D$281*'20Ф'!$I$1316</f>
        <v>3083.6842119436833</v>
      </c>
      <c r="EK71" s="276">
        <f>$D71/$D$281*('20Ф'!$I$1105+'20Ф'!$I$1282+'91Ф'!$D$17+'91Ф'!$D$41)</f>
        <v>101271.62505326768</v>
      </c>
      <c r="EL71" s="276">
        <f>$D71/$D$281*отчёт!BX$294</f>
        <v>169295.27165396875</v>
      </c>
      <c r="EM71" s="276">
        <f>$D71/$D$281*отчёт!BY$294</f>
        <v>148886.1039813332</v>
      </c>
      <c r="EN71" s="276">
        <f>$D71/$D$283*отчёт!BZ$294</f>
        <v>26720.401573023857</v>
      </c>
      <c r="EO71" s="240">
        <f t="shared" si="11"/>
        <v>93850.552750498988</v>
      </c>
      <c r="EP71" s="276">
        <f>SUMIF('20Ф'!$H:$H,$B:$B,'20Ф'!T:T)*1.2</f>
        <v>4918.848</v>
      </c>
      <c r="EQ71" s="276">
        <f>SUM(H71:I71)/SUM($H$284:$I$284)*SUM('60Ф'!$O$155:$P$155)</f>
        <v>86255.130878243508</v>
      </c>
      <c r="ER71" s="276">
        <f>SUM($H71:$I71)/SUM($H$284:$I$284)*SUM('60Ф'!$P$227)</f>
        <v>2676.5738722554888</v>
      </c>
      <c r="ES71" s="239">
        <f t="shared" si="17"/>
        <v>56663.191901433529</v>
      </c>
      <c r="ET71" s="276">
        <f>$D71/$D$282*'20Ф'!$I$381</f>
        <v>4330.8220473244119</v>
      </c>
      <c r="EU71" s="276">
        <f>$D71/$D$282*('20Ф'!$I$75+'20Ф'!$I$1098)*1.2</f>
        <v>50022.917217200062</v>
      </c>
      <c r="EV71" s="276">
        <f>$D71/$D$282*('20Ф'!$I$1286)</f>
        <v>2309.4526369090527</v>
      </c>
      <c r="EW71" s="276">
        <f>SUMIF('91.1Ф'!$N:$N,$B:$B,'91.1Ф'!$F:$F)+$D71/$D$281*('91Ф'!$D$12+'91Ф'!$D$11+'91Ф'!$D$19+'91Ф'!$D$20)</f>
        <v>13347.105185963483</v>
      </c>
      <c r="EX71" s="276">
        <f t="shared" si="15"/>
        <v>71171.481615729979</v>
      </c>
      <c r="EY71" s="276">
        <f>SUMIF('20Ф'!$H:$H,$B:$B,'20Ф'!$AY:$AY)*1.2</f>
        <v>69147.251999999993</v>
      </c>
      <c r="EZ71" s="295">
        <f>D71/$D$286*'20Ф'!$I$1163</f>
        <v>2024.2296157299863</v>
      </c>
      <c r="FA71" s="277">
        <f>SUMIF(отчёт!$B:$B,$B:$B,отчёт!$CU:$CU)/отчёт!$CU$281*'20Ф'!$I$1341</f>
        <v>920.96385542168503</v>
      </c>
      <c r="FB71" s="276">
        <f>SUMIF(Сальдо!$A:$A,$B:$B,Сальдо!$H:$H)-SUMIF(Сальдо!$A:$A,$B:$B,Сальдо!$I:$I)</f>
        <v>251187.58000000002</v>
      </c>
    </row>
    <row r="72" spans="1:158" ht="12" customHeight="1" x14ac:dyDescent="0.25">
      <c r="A72" s="3">
        <f t="shared" si="18"/>
        <v>68</v>
      </c>
      <c r="B72" s="4" t="s">
        <v>118</v>
      </c>
      <c r="C72" s="4" t="s">
        <v>118</v>
      </c>
      <c r="D72" s="5">
        <v>2864.7</v>
      </c>
      <c r="E72" s="6">
        <v>2864.7</v>
      </c>
      <c r="F72" s="6">
        <v>0</v>
      </c>
      <c r="G72" s="6">
        <v>487.4</v>
      </c>
      <c r="H72" s="5">
        <f>SUMIF(отчёт!$B:$B,$B:$B,отчёт!I:I)</f>
        <v>1</v>
      </c>
      <c r="I72" s="5">
        <f>SUMIF(отчёт!$B:$B,$B:$B,отчёт!J:J)</f>
        <v>0</v>
      </c>
      <c r="J72" s="3" t="s">
        <v>114</v>
      </c>
      <c r="K72" s="105">
        <v>3</v>
      </c>
      <c r="L72" s="105" t="s">
        <v>52</v>
      </c>
      <c r="M72" s="7">
        <v>45.06</v>
      </c>
      <c r="N72" s="8">
        <v>5.0999999999999996</v>
      </c>
      <c r="O72" s="8">
        <v>8.6300000000000008</v>
      </c>
      <c r="P72" s="8">
        <v>13.43</v>
      </c>
      <c r="Q72" s="8">
        <v>6.91</v>
      </c>
      <c r="R72" s="8">
        <v>3.15</v>
      </c>
      <c r="S72" s="8">
        <v>1.81</v>
      </c>
      <c r="T72" s="8">
        <v>5.77</v>
      </c>
      <c r="U72" s="8">
        <v>0.26</v>
      </c>
      <c r="V72" s="9">
        <v>40</v>
      </c>
      <c r="W72" s="9">
        <v>40</v>
      </c>
      <c r="X72" s="9">
        <v>2604.04</v>
      </c>
      <c r="Y72" s="8">
        <v>195.98199600000001</v>
      </c>
      <c r="Z72" s="9">
        <v>42.3</v>
      </c>
      <c r="AA72" s="9">
        <v>2604.04</v>
      </c>
      <c r="AB72" s="8">
        <v>7.85</v>
      </c>
      <c r="AC72" s="10">
        <v>0</v>
      </c>
      <c r="AD72" s="8">
        <v>6.73</v>
      </c>
      <c r="AE72" s="8">
        <v>10.67</v>
      </c>
      <c r="AF72" s="8">
        <v>14</v>
      </c>
      <c r="AG72" s="7">
        <v>774500.29200000002</v>
      </c>
      <c r="AH72" s="8">
        <v>87659.819999999978</v>
      </c>
      <c r="AI72" s="8">
        <v>148334.166</v>
      </c>
      <c r="AJ72" s="8">
        <v>230837.52599999995</v>
      </c>
      <c r="AK72" s="8">
        <v>118770.46199999998</v>
      </c>
      <c r="AL72" s="8">
        <v>54142.829999999987</v>
      </c>
      <c r="AM72" s="8">
        <v>31110.642</v>
      </c>
      <c r="AN72" s="8">
        <v>99175.91399999999</v>
      </c>
      <c r="AO72" s="8">
        <v>4468.9319999999998</v>
      </c>
      <c r="AQ72" s="104">
        <v>48.44</v>
      </c>
      <c r="AR72" s="375">
        <v>18.489999999999998</v>
      </c>
      <c r="AS72" s="376"/>
      <c r="AT72" s="104">
        <v>6.67</v>
      </c>
      <c r="AU72" s="104">
        <v>1.53</v>
      </c>
      <c r="AV72" s="104">
        <v>0.32</v>
      </c>
      <c r="AW72" s="104">
        <v>0.87</v>
      </c>
      <c r="AX72" s="104">
        <v>5.01</v>
      </c>
      <c r="AY72" s="104">
        <v>4.99</v>
      </c>
      <c r="AZ72" s="104">
        <v>2.7</v>
      </c>
      <c r="BA72" s="104">
        <v>6.46</v>
      </c>
      <c r="BB72" s="104">
        <v>0.47</v>
      </c>
      <c r="BC72" s="101">
        <v>0.93</v>
      </c>
      <c r="BD72" s="104">
        <v>54.88252</v>
      </c>
      <c r="BE72" s="375">
        <v>20.949169999999999</v>
      </c>
      <c r="BF72" s="376">
        <v>0</v>
      </c>
      <c r="BG72" s="104">
        <v>7.5571100000000007</v>
      </c>
      <c r="BH72" s="104">
        <v>1.7334900000000002</v>
      </c>
      <c r="BI72" s="104">
        <v>0.36256000000000005</v>
      </c>
      <c r="BJ72" s="104">
        <v>0.98571000000000009</v>
      </c>
      <c r="BK72" s="104">
        <v>5.6763300000000001</v>
      </c>
      <c r="BL72" s="104">
        <v>5.65367</v>
      </c>
      <c r="BM72" s="104">
        <v>3.0591000000000004</v>
      </c>
      <c r="BN72" s="104">
        <v>7.3191800000000002</v>
      </c>
      <c r="BO72" s="104">
        <v>0.53250999999999993</v>
      </c>
      <c r="BP72" s="101">
        <v>1.05369</v>
      </c>
      <c r="BQ72" s="103">
        <v>1849751.6864399998</v>
      </c>
      <c r="BR72" s="371">
        <v>706067.47898999986</v>
      </c>
      <c r="BS72" s="371">
        <v>0</v>
      </c>
      <c r="BT72" s="103">
        <v>254703.62817000001</v>
      </c>
      <c r="BU72" s="103">
        <v>58425.270029999992</v>
      </c>
      <c r="BV72" s="103">
        <v>12219.66432</v>
      </c>
      <c r="BW72" s="103">
        <v>33222.212370000001</v>
      </c>
      <c r="BX72" s="103">
        <v>191314.11950999999</v>
      </c>
      <c r="BY72" s="103">
        <v>190550.39048999999</v>
      </c>
      <c r="BZ72" s="103">
        <v>103103.41770000002</v>
      </c>
      <c r="CA72" s="103">
        <v>246684.47345999998</v>
      </c>
      <c r="CB72" s="103">
        <v>17947.631969999995</v>
      </c>
      <c r="CC72" s="103">
        <v>35513.39942999999</v>
      </c>
      <c r="CD72" s="1">
        <v>1</v>
      </c>
      <c r="CF72" s="277">
        <f>SUMIF(Оборот!$A:$A,$B:$B,Оборот!H:H)</f>
        <v>1587731.44</v>
      </c>
      <c r="CG72" s="277">
        <f>SUMIF(Оборот!$A:$A,$B:$B,Оборот!I:I)</f>
        <v>1544457.75</v>
      </c>
      <c r="CH72" s="277">
        <f t="shared" si="12"/>
        <v>1023361.5701571379</v>
      </c>
      <c r="CI72" s="239">
        <f t="shared" si="16"/>
        <v>25195.995769147645</v>
      </c>
      <c r="CJ72" s="276">
        <f>SUMIF('20Ф'!$H:$H,$B:$B,'20Ф'!M:M)*1.2</f>
        <v>0</v>
      </c>
      <c r="CK72" s="276">
        <f>SUMIF('20Ф'!$H:$H,$B:$B,'20Ф'!O:O)*1.2</f>
        <v>0</v>
      </c>
      <c r="CL72" s="276">
        <f>SUMIF('20Ф'!$H:$H,$B:$B,'20Ф'!Q:Q)*1.2</f>
        <v>0</v>
      </c>
      <c r="CM72" s="276">
        <f>SUMIF('20Ф'!$H:$H,$B:$B,'20Ф'!R:R)*1.2</f>
        <v>0</v>
      </c>
      <c r="CN72" s="276">
        <f>SUMIF('20Ф'!$H:$H,$B:$B,'20Ф'!S:S)*1.2</f>
        <v>0</v>
      </c>
      <c r="CO72" s="276">
        <f>SUMIF('20Ф'!$H:$H,$B:$B,'20Ф'!W:W)*1.2</f>
        <v>0</v>
      </c>
      <c r="CP72" s="276">
        <f>SUMIF('20Ф'!$H:$H,$B:$B,'20Ф'!P:P)*1.2</f>
        <v>0</v>
      </c>
      <c r="CQ72" s="276">
        <f>SUMIF('20Ф'!$H:$H,$B:$B,'20Ф'!Y:Y)*1.2</f>
        <v>0</v>
      </c>
      <c r="CR72" s="276">
        <f>SUMIF('20Ф'!$H:$H,$B:$B,'20Ф'!Z:Z)*1.2</f>
        <v>0</v>
      </c>
      <c r="CS72" s="276">
        <f>SUMIF('20Ф'!$H:$H,$B:$B,'20Ф'!AB:AB)*1.2</f>
        <v>0</v>
      </c>
      <c r="CT72" s="276">
        <f>SUMIF('20Ф'!$H:$H,$B:$B,'20Ф'!AC:AC)*1.2</f>
        <v>0</v>
      </c>
      <c r="CU72" s="276">
        <f>SUMIF('20Ф'!$H:$H,$B:$B,'20Ф'!AD:AD)*1.2</f>
        <v>0</v>
      </c>
      <c r="CV72" s="276">
        <f>SUMIF('20Ф'!$H:$H,$B:$B,'20Ф'!AE:AE)*1.2</f>
        <v>0</v>
      </c>
      <c r="CW72" s="276">
        <f>SUMIF('20Ф'!$H:$H,$B:$B,'20Ф'!AF:AF)*1.2</f>
        <v>0</v>
      </c>
      <c r="CX72" s="276">
        <f>SUMIF('20Ф'!$H:$H,$B:$B,'20Ф'!AG:AG)*1.2</f>
        <v>0</v>
      </c>
      <c r="CY72" s="276">
        <f>SUMIF('20Ф'!$H:$H,$B:$B,'20Ф'!AH:AH)*1.2</f>
        <v>0</v>
      </c>
      <c r="CZ72" s="276">
        <f>SUMIF('20Ф'!$H:$H,$B:$B,'20Ф'!AI:AI)*1.2</f>
        <v>0</v>
      </c>
      <c r="DA72" s="276">
        <f>SUMIF('20Ф'!$H:$H,$B:$B,'20Ф'!AJ:AJ)*1.2</f>
        <v>0</v>
      </c>
      <c r="DB72" s="276">
        <f>SUMIF('20Ф'!$H:$H,$B:$B,'20Ф'!AK:AK)*1.2</f>
        <v>0</v>
      </c>
      <c r="DC72" s="276">
        <f>SUMIF('20Ф'!$H:$H,$B:$B,'20Ф'!AL:AL)*1.2</f>
        <v>0</v>
      </c>
      <c r="DD72" s="276">
        <f>SUMIF('20Ф'!$H:$H,$B:$B,'20Ф'!AM:AM)*1.2</f>
        <v>0</v>
      </c>
      <c r="DE72" s="276">
        <f>SUMIF('20Ф'!$H:$H,$B:$B,'20Ф'!AN:AN)*1.2</f>
        <v>0</v>
      </c>
      <c r="DF72" s="276">
        <f>SUMIF('20Ф'!$H:$H,$B:$B,'20Ф'!AO:AO)*1.2</f>
        <v>0</v>
      </c>
      <c r="DG72" s="276">
        <f>SUMIF('20Ф'!$H:$H,$B:$B,'20Ф'!AP:AP)*1.2</f>
        <v>0</v>
      </c>
      <c r="DH72" s="276">
        <f>SUMIF('20Ф'!$H:$H,$B:$B,'20Ф'!AQ:AQ)*1.2</f>
        <v>0</v>
      </c>
      <c r="DI72" s="276">
        <f>SUMIF('20Ф'!$H:$H,$B:$B,'20Ф'!BA:BA)*1.2</f>
        <v>0</v>
      </c>
      <c r="DJ72" s="276">
        <f>SUMIF('20Ф'!$H:$H,$B:$B,'20Ф'!BB:BB)*1.2</f>
        <v>0</v>
      </c>
      <c r="DK72" s="276">
        <f>SUMIF('20Ф'!$H:$H,$B:$B,'20Ф'!BC:BC)*1.2</f>
        <v>0</v>
      </c>
      <c r="DL72" s="276">
        <f>$D72/$D$281*'20Ф'!$H$218</f>
        <v>25195.995769147645</v>
      </c>
      <c r="DM72" s="240">
        <f t="shared" si="13"/>
        <v>249923.04729905777</v>
      </c>
      <c r="DN72" s="276">
        <f>SUMIF('20Ф'!$H:$H,$B:$B,'20Ф'!AV:AV)*1.2</f>
        <v>0</v>
      </c>
      <c r="DO72" s="276">
        <f>SUMIF('20Ф'!$H:$H,$B:$B,'20Ф'!AW:AW)*1.2+$D72/$D$281*'26Ф'!$D$42</f>
        <v>13408.004699602108</v>
      </c>
      <c r="DP72" s="276">
        <f>SUMIF('20Ф'!$H:$H,$B:$B,'20Ф'!AX:AX)*1.2</f>
        <v>0</v>
      </c>
      <c r="DQ72" s="276">
        <f>SUMIF('20Ф'!$H:$H,$B:$B,'20Ф'!AY:AY)*1.2</f>
        <v>0</v>
      </c>
      <c r="DR72" s="276">
        <f>SUMIF('20Ф'!$H:$H,$B:$B,'20Ф'!AU:AU)*1.2</f>
        <v>0</v>
      </c>
      <c r="DS72" s="276">
        <f>SUMIF('20Ф'!$H:$H,$B:$B,'20Ф'!AS:AS)*1.2</f>
        <v>0</v>
      </c>
      <c r="DT72" s="276">
        <f>SUMIF('20Ф'!$H:$H,$B:$B,'20Ф'!AR:AR)*1.2</f>
        <v>0</v>
      </c>
      <c r="DU72" s="276">
        <f>SUMIF('20Ф'!$H:$H,$B:$B,'20Ф'!X:X)*1.2</f>
        <v>0</v>
      </c>
      <c r="DV72" s="276">
        <f>SUMIF('20Ф'!$H:$H,$B:$B,'20Ф'!AA:AA)*1.2</f>
        <v>0</v>
      </c>
      <c r="DW72" s="276">
        <f>SUMIF('20Ф'!$H:$H,$B:$B,'20Ф'!N:N)*1.2</f>
        <v>0</v>
      </c>
      <c r="DX72" s="276">
        <f>$D72/$D$281*('25Ф'!$D$37)</f>
        <v>225371.78527223764</v>
      </c>
      <c r="DY72" s="276">
        <f>$D72/$D$281*'25Ф'!$D$30</f>
        <v>7193.1599035065228</v>
      </c>
      <c r="DZ72" s="276">
        <f>$D72/$D$281*'25Ф'!$D$31</f>
        <v>3950.0974237115097</v>
      </c>
      <c r="EA72" s="276"/>
      <c r="EB72" s="276">
        <f t="shared" si="14"/>
        <v>141987.76194491712</v>
      </c>
      <c r="EC72" s="276">
        <f>$D72/$D$281*'26Ф'!$D$36</f>
        <v>73909.202774316713</v>
      </c>
      <c r="ED72" s="276">
        <f>$D72/$D$281*'26Ф'!$D$37</f>
        <v>8880.1117767667492</v>
      </c>
      <c r="EE72" s="276">
        <f>$D72/$D$281*'26Ф'!$D$38</f>
        <v>8971.1860611891261</v>
      </c>
      <c r="EF72" s="276">
        <f>$D72/$D$281*'26Ф'!$D$39</f>
        <v>6293.278834134454</v>
      </c>
      <c r="EG72" s="276">
        <f>$D72/$D$281*'91Ф'!$D$10</f>
        <v>1941.4739029909008</v>
      </c>
      <c r="EH72" s="276">
        <f>$D72/$D$281*('20Ф'!$I$509+'26Ф'!$D$41+'20Ф'!$I$507)</f>
        <v>13735.288566565583</v>
      </c>
      <c r="EI72" s="276">
        <f>$D72/$D$281*'91Ф'!$D$31</f>
        <v>25178.801377589265</v>
      </c>
      <c r="EJ72" s="276">
        <f>$D72/$D$281*'20Ф'!$I$1316</f>
        <v>3078.4186513643263</v>
      </c>
      <c r="EK72" s="276">
        <f>$D72/$D$281*('20Ф'!$I$1105+'20Ф'!$I$1282+'91Ф'!$D$17+'91Ф'!$D$41)</f>
        <v>101098.69817747978</v>
      </c>
      <c r="EL72" s="276">
        <f>$D72/$D$281*отчёт!BX$294</f>
        <v>169006.19065623236</v>
      </c>
      <c r="EM72" s="276">
        <f>$D72/$D$281*отчёт!BY$294</f>
        <v>148631.87276112536</v>
      </c>
      <c r="EN72" s="276">
        <f>$D72/$D$283*отчёт!BZ$294</f>
        <v>26674.775016114247</v>
      </c>
      <c r="EO72" s="240">
        <f t="shared" si="11"/>
        <v>88931.70475049899</v>
      </c>
      <c r="EP72" s="276">
        <f>SUMIF('20Ф'!$H:$H,$B:$B,'20Ф'!T:T)*1.2</f>
        <v>0</v>
      </c>
      <c r="EQ72" s="276">
        <f>SUM(H72:I72)/SUM($H$284:$I$284)*SUM('60Ф'!$O$155:$P$155)</f>
        <v>86255.130878243508</v>
      </c>
      <c r="ER72" s="276">
        <f>SUM($H72:$I72)/SUM($H$284:$I$284)*SUM('60Ф'!$P$227)</f>
        <v>2676.5738722554888</v>
      </c>
      <c r="ES72" s="239">
        <f t="shared" si="17"/>
        <v>56566.436381389969</v>
      </c>
      <c r="ET72" s="276">
        <f>$D72/$D$282*'20Ф'!$I$381</f>
        <v>4323.426930223809</v>
      </c>
      <c r="EU72" s="276">
        <f>$D72/$D$282*('20Ф'!$I$75+'20Ф'!$I$1098)*1.2</f>
        <v>49937.500331792951</v>
      </c>
      <c r="EV72" s="276">
        <f>$D72/$D$282*('20Ф'!$I$1286)</f>
        <v>2305.5091193732101</v>
      </c>
      <c r="EW72" s="276">
        <f>SUMIF('91.1Ф'!$N:$N,$B:$B,'91.1Ф'!$F:$F)+$D72/$D$281*('91Ф'!$D$12+'91Ф'!$D$11+'91Ф'!$D$19+'91Ф'!$D$20)</f>
        <v>13324.314268967659</v>
      </c>
      <c r="EX72" s="276">
        <f t="shared" si="15"/>
        <v>2020.7731322071688</v>
      </c>
      <c r="EY72" s="276">
        <f>SUMIF('20Ф'!$H:$H,$B:$B,'20Ф'!$AY:$AY)*1.2</f>
        <v>0</v>
      </c>
      <c r="EZ72" s="295">
        <f>D72/$D$286*'20Ф'!$I$1163</f>
        <v>2020.7731322071688</v>
      </c>
      <c r="FA72" s="277">
        <f>SUMIF(отчёт!$B:$B,$B:$B,отчёт!$CU:$CU)/отчёт!$CU$281*'20Ф'!$I$1341</f>
        <v>920.96385542168503</v>
      </c>
      <c r="FB72" s="276">
        <f>SUMIF(Сальдо!$A:$A,$B:$B,Сальдо!$H:$H)-SUMIF(Сальдо!$A:$A,$B:$B,Сальдо!$I:$I)</f>
        <v>191487.61</v>
      </c>
    </row>
    <row r="73" spans="1:158" ht="12" customHeight="1" x14ac:dyDescent="0.25">
      <c r="A73" s="3">
        <f t="shared" si="18"/>
        <v>69</v>
      </c>
      <c r="B73" s="4" t="s">
        <v>119</v>
      </c>
      <c r="C73" s="4" t="s">
        <v>119</v>
      </c>
      <c r="D73" s="5">
        <v>6521.800000000002</v>
      </c>
      <c r="E73" s="6">
        <v>6015.2000000000016</v>
      </c>
      <c r="F73" s="6">
        <v>506.6</v>
      </c>
      <c r="G73" s="6">
        <v>1729.2</v>
      </c>
      <c r="H73" s="5">
        <f>SUMIF(отчёт!$B:$B,$B:$B,отчёт!I:I)</f>
        <v>2</v>
      </c>
      <c r="I73" s="5">
        <f>SUMIF(отчёт!$B:$B,$B:$B,отчёт!J:J)</f>
        <v>2</v>
      </c>
      <c r="J73" s="3" t="s">
        <v>114</v>
      </c>
      <c r="K73" s="105">
        <v>1</v>
      </c>
      <c r="L73" s="105" t="s">
        <v>52</v>
      </c>
      <c r="M73" s="7">
        <v>44.8</v>
      </c>
      <c r="N73" s="8">
        <v>5.0999999999999996</v>
      </c>
      <c r="O73" s="8">
        <v>8.6300000000000008</v>
      </c>
      <c r="P73" s="8">
        <v>13.43</v>
      </c>
      <c r="Q73" s="8">
        <v>6.91</v>
      </c>
      <c r="R73" s="8">
        <v>3.15</v>
      </c>
      <c r="S73" s="8">
        <v>1.81</v>
      </c>
      <c r="T73" s="8">
        <v>5.77</v>
      </c>
      <c r="U73" s="8">
        <v>0</v>
      </c>
      <c r="V73" s="9">
        <v>40</v>
      </c>
      <c r="W73" s="9">
        <v>40</v>
      </c>
      <c r="X73" s="9">
        <v>2604.04</v>
      </c>
      <c r="Y73" s="8">
        <v>195.98199600000001</v>
      </c>
      <c r="Z73" s="9">
        <v>42.3</v>
      </c>
      <c r="AA73" s="9">
        <v>2604.04</v>
      </c>
      <c r="AB73" s="8">
        <v>0</v>
      </c>
      <c r="AC73" s="10">
        <v>0</v>
      </c>
      <c r="AD73" s="8">
        <v>5.05</v>
      </c>
      <c r="AE73" s="8">
        <v>10.67</v>
      </c>
      <c r="AF73" s="8">
        <v>14</v>
      </c>
      <c r="AG73" s="7">
        <v>1753059.8400000003</v>
      </c>
      <c r="AH73" s="8">
        <v>199567.08000000005</v>
      </c>
      <c r="AI73" s="8">
        <v>337698.80400000012</v>
      </c>
      <c r="AJ73" s="8">
        <v>525526.64400000009</v>
      </c>
      <c r="AK73" s="8">
        <v>270393.8280000001</v>
      </c>
      <c r="AL73" s="8">
        <v>123262.02000000003</v>
      </c>
      <c r="AM73" s="8">
        <v>70826.748000000021</v>
      </c>
      <c r="AN73" s="8">
        <v>225784.71600000004</v>
      </c>
      <c r="AO73" s="8">
        <v>0</v>
      </c>
      <c r="AQ73" s="104">
        <v>48.16</v>
      </c>
      <c r="AR73" s="375">
        <v>18.649999999999999</v>
      </c>
      <c r="AS73" s="376"/>
      <c r="AT73" s="104">
        <v>7.16</v>
      </c>
      <c r="AU73" s="104">
        <v>1.53</v>
      </c>
      <c r="AV73" s="104">
        <v>0.32</v>
      </c>
      <c r="AW73" s="104">
        <v>0.87</v>
      </c>
      <c r="AX73" s="104">
        <v>5.01</v>
      </c>
      <c r="AY73" s="104">
        <v>4.99</v>
      </c>
      <c r="AZ73" s="104">
        <v>2.7</v>
      </c>
      <c r="BA73" s="104">
        <v>6.46</v>
      </c>
      <c r="BB73" s="104">
        <v>0.47</v>
      </c>
      <c r="BC73" s="101">
        <v>0</v>
      </c>
      <c r="BD73" s="104">
        <v>54.565279999999994</v>
      </c>
      <c r="BE73" s="375">
        <v>21.130449999999996</v>
      </c>
      <c r="BF73" s="376">
        <v>0</v>
      </c>
      <c r="BG73" s="104">
        <v>8.1122800000000002</v>
      </c>
      <c r="BH73" s="104">
        <v>1.7334900000000002</v>
      </c>
      <c r="BI73" s="104">
        <v>0.36255999999999999</v>
      </c>
      <c r="BJ73" s="104">
        <v>0.98570999999999998</v>
      </c>
      <c r="BK73" s="104">
        <v>5.6763299999999992</v>
      </c>
      <c r="BL73" s="104">
        <v>5.6536700000000009</v>
      </c>
      <c r="BM73" s="104">
        <v>3.0591000000000004</v>
      </c>
      <c r="BN73" s="104">
        <v>7.3191800000000002</v>
      </c>
      <c r="BO73" s="104">
        <v>0.53250999999999993</v>
      </c>
      <c r="BP73" s="101">
        <v>0</v>
      </c>
      <c r="BQ73" s="103">
        <v>4186818.2070400002</v>
      </c>
      <c r="BR73" s="371">
        <v>1621348.8281000003</v>
      </c>
      <c r="BS73" s="371">
        <v>0</v>
      </c>
      <c r="BT73" s="103">
        <v>622458.85304000019</v>
      </c>
      <c r="BU73" s="103">
        <v>133011.45882000003</v>
      </c>
      <c r="BV73" s="103">
        <v>27819.390080000008</v>
      </c>
      <c r="BW73" s="103">
        <v>75633.966780000017</v>
      </c>
      <c r="BX73" s="103">
        <v>435547.32594000013</v>
      </c>
      <c r="BY73" s="103">
        <v>433808.61406000023</v>
      </c>
      <c r="BZ73" s="103">
        <v>234726.10380000013</v>
      </c>
      <c r="CA73" s="103">
        <v>561603.93724000023</v>
      </c>
      <c r="CB73" s="103">
        <v>40859.729180000002</v>
      </c>
      <c r="CC73" s="103">
        <v>0</v>
      </c>
      <c r="CD73" s="1">
        <v>1</v>
      </c>
      <c r="CF73" s="277">
        <f>SUMIF(Оборот!$A:$A,$B:$B,Оборот!H:H)</f>
        <v>3314615.92</v>
      </c>
      <c r="CG73" s="277">
        <f>SUMIF(Оборот!$A:$A,$B:$B,Оборот!I:I)</f>
        <v>3410584.1500000004</v>
      </c>
      <c r="CH73" s="277">
        <f t="shared" si="12"/>
        <v>2619295.2235390823</v>
      </c>
      <c r="CI73" s="239">
        <f t="shared" si="16"/>
        <v>78961.414880171447</v>
      </c>
      <c r="CJ73" s="276">
        <f>SUMIF('20Ф'!$H:$H,$B:$B,'20Ф'!M:M)*1.2</f>
        <v>0</v>
      </c>
      <c r="CK73" s="276">
        <f>SUMIF('20Ф'!$H:$H,$B:$B,'20Ф'!O:O)*1.2</f>
        <v>0</v>
      </c>
      <c r="CL73" s="276">
        <f>SUMIF('20Ф'!$H:$H,$B:$B,'20Ф'!Q:Q)*1.2</f>
        <v>0</v>
      </c>
      <c r="CM73" s="276">
        <f>SUMIF('20Ф'!$H:$H,$B:$B,'20Ф'!R:R)*1.2</f>
        <v>0</v>
      </c>
      <c r="CN73" s="276">
        <f>SUMIF('20Ф'!$H:$H,$B:$B,'20Ф'!S:S)*1.2</f>
        <v>0</v>
      </c>
      <c r="CO73" s="276">
        <f>SUMIF('20Ф'!$H:$H,$B:$B,'20Ф'!W:W)*1.2</f>
        <v>0</v>
      </c>
      <c r="CP73" s="276">
        <f>SUMIF('20Ф'!$H:$H,$B:$B,'20Ф'!P:P)*1.2</f>
        <v>0</v>
      </c>
      <c r="CQ73" s="276">
        <f>SUMIF('20Ф'!$H:$H,$B:$B,'20Ф'!Y:Y)*1.2</f>
        <v>0</v>
      </c>
      <c r="CR73" s="276">
        <f>SUMIF('20Ф'!$H:$H,$B:$B,'20Ф'!Z:Z)*1.2</f>
        <v>0</v>
      </c>
      <c r="CS73" s="276">
        <f>SUMIF('20Ф'!$H:$H,$B:$B,'20Ф'!AB:AB)*1.2</f>
        <v>0</v>
      </c>
      <c r="CT73" s="276">
        <f>SUMIF('20Ф'!$H:$H,$B:$B,'20Ф'!AC:AC)*1.2</f>
        <v>21600</v>
      </c>
      <c r="CU73" s="276">
        <f>SUMIF('20Ф'!$H:$H,$B:$B,'20Ф'!AD:AD)*1.2</f>
        <v>0</v>
      </c>
      <c r="CV73" s="276">
        <f>SUMIF('20Ф'!$H:$H,$B:$B,'20Ф'!AE:AE)*1.2</f>
        <v>0</v>
      </c>
      <c r="CW73" s="276">
        <f>SUMIF('20Ф'!$H:$H,$B:$B,'20Ф'!AF:AF)*1.2</f>
        <v>0</v>
      </c>
      <c r="CX73" s="276">
        <f>SUMIF('20Ф'!$H:$H,$B:$B,'20Ф'!AG:AG)*1.2</f>
        <v>0</v>
      </c>
      <c r="CY73" s="276">
        <f>SUMIF('20Ф'!$H:$H,$B:$B,'20Ф'!AH:AH)*1.2</f>
        <v>0</v>
      </c>
      <c r="CZ73" s="276">
        <f>SUMIF('20Ф'!$H:$H,$B:$B,'20Ф'!AI:AI)*1.2</f>
        <v>0</v>
      </c>
      <c r="DA73" s="276">
        <f>SUMIF('20Ф'!$H:$H,$B:$B,'20Ф'!AJ:AJ)*1.2</f>
        <v>0</v>
      </c>
      <c r="DB73" s="276">
        <f>SUMIF('20Ф'!$H:$H,$B:$B,'20Ф'!AK:AK)*1.2</f>
        <v>0</v>
      </c>
      <c r="DC73" s="276">
        <f>SUMIF('20Ф'!$H:$H,$B:$B,'20Ф'!AL:AL)*1.2</f>
        <v>0</v>
      </c>
      <c r="DD73" s="276">
        <f>SUMIF('20Ф'!$H:$H,$B:$B,'20Ф'!AM:AM)*1.2</f>
        <v>0</v>
      </c>
      <c r="DE73" s="276">
        <f>SUMIF('20Ф'!$H:$H,$B:$B,'20Ф'!AN:AN)*1.2</f>
        <v>0</v>
      </c>
      <c r="DF73" s="276">
        <f>SUMIF('20Ф'!$H:$H,$B:$B,'20Ф'!AO:AO)*1.2</f>
        <v>0</v>
      </c>
      <c r="DG73" s="276">
        <f>SUMIF('20Ф'!$H:$H,$B:$B,'20Ф'!AP:AP)*1.2</f>
        <v>0</v>
      </c>
      <c r="DH73" s="276">
        <f>SUMIF('20Ф'!$H:$H,$B:$B,'20Ф'!AQ:AQ)*1.2</f>
        <v>0</v>
      </c>
      <c r="DI73" s="276">
        <f>SUMIF('20Ф'!$H:$H,$B:$B,'20Ф'!BA:BA)*1.2</f>
        <v>0</v>
      </c>
      <c r="DJ73" s="276">
        <f>SUMIF('20Ф'!$H:$H,$B:$B,'20Ф'!BB:BB)*1.2</f>
        <v>0</v>
      </c>
      <c r="DK73" s="276">
        <f>SUMIF('20Ф'!$H:$H,$B:$B,'20Ф'!BC:BC)*1.2</f>
        <v>0</v>
      </c>
      <c r="DL73" s="276">
        <f>$D73/$D$281*'20Ф'!$H$218</f>
        <v>57361.414880171447</v>
      </c>
      <c r="DM73" s="240">
        <f t="shared" si="13"/>
        <v>675095.98555164435</v>
      </c>
      <c r="DN73" s="276">
        <f>SUMIF('20Ф'!$H:$H,$B:$B,'20Ф'!AV:AV)*1.2</f>
        <v>0</v>
      </c>
      <c r="DO73" s="276">
        <f>SUMIF('20Ф'!$H:$H,$B:$B,'20Ф'!AW:AW)*1.2+$D73/$D$281*'26Ф'!$D$42</f>
        <v>30524.775735632018</v>
      </c>
      <c r="DP73" s="276">
        <f>SUMIF('20Ф'!$H:$H,$B:$B,'20Ф'!AX:AX)*1.2</f>
        <v>0</v>
      </c>
      <c r="DQ73" s="276">
        <f>SUMIF('20Ф'!$H:$H,$B:$B,'20Ф'!AY:AY)*1.2</f>
        <v>0</v>
      </c>
      <c r="DR73" s="276">
        <f>SUMIF('20Ф'!$H:$H,$B:$B,'20Ф'!AU:AU)*1.2</f>
        <v>0</v>
      </c>
      <c r="DS73" s="276">
        <f>SUMIF('20Ф'!$H:$H,$B:$B,'20Ф'!AS:AS)*1.2</f>
        <v>106119.084</v>
      </c>
      <c r="DT73" s="276">
        <f>SUMIF('20Ф'!$H:$H,$B:$B,'20Ф'!AR:AR)*1.2</f>
        <v>0</v>
      </c>
      <c r="DU73" s="276">
        <f>SUMIF('20Ф'!$H:$H,$B:$B,'20Ф'!X:X)*1.2</f>
        <v>0</v>
      </c>
      <c r="DV73" s="276">
        <f>SUMIF('20Ф'!$H:$H,$B:$B,'20Ф'!AA:AA)*1.2</f>
        <v>0</v>
      </c>
      <c r="DW73" s="276">
        <f>SUMIF('20Ф'!$H:$H,$B:$B,'20Ф'!N:N)*1.2</f>
        <v>0</v>
      </c>
      <c r="DX73" s="276">
        <f>$D73/$D$281*('25Ф'!$D$37)</f>
        <v>513083.29290623096</v>
      </c>
      <c r="DY73" s="276">
        <f>$D73/$D$281*'25Ф'!$D$30</f>
        <v>16376.00804925083</v>
      </c>
      <c r="DZ73" s="276">
        <f>$D73/$D$281*'25Ф'!$D$31</f>
        <v>8992.8248605305016</v>
      </c>
      <c r="EA73" s="276"/>
      <c r="EB73" s="276">
        <f t="shared" si="14"/>
        <v>323250.5274033444</v>
      </c>
      <c r="EC73" s="276">
        <f>$D73/$D$281*'26Ф'!$D$36</f>
        <v>168262.30971953043</v>
      </c>
      <c r="ED73" s="276">
        <f>$D73/$D$281*'26Ф'!$D$37</f>
        <v>20216.536805151467</v>
      </c>
      <c r="EE73" s="276">
        <f>$D73/$D$281*'26Ф'!$D$38</f>
        <v>20423.877283437447</v>
      </c>
      <c r="EF73" s="276">
        <f>$D73/$D$281*'26Ф'!$D$39</f>
        <v>14327.331273940759</v>
      </c>
      <c r="EG73" s="276">
        <f>$D73/$D$281*'91Ф'!$D$10</f>
        <v>4419.975739353531</v>
      </c>
      <c r="EH73" s="276">
        <f>$D73/$D$281*('20Ф'!$I$509+'26Ф'!$D$41+'20Ф'!$I$507)</f>
        <v>31269.872926808195</v>
      </c>
      <c r="EI73" s="276">
        <f>$D73/$D$281*'91Ф'!$D$31</f>
        <v>57322.269984417813</v>
      </c>
      <c r="EJ73" s="276">
        <f>$D73/$D$281*'20Ф'!$I$1316</f>
        <v>7008.3536707047397</v>
      </c>
      <c r="EK73" s="276">
        <f>$D73/$D$281*('20Ф'!$I$1105+'20Ф'!$I$1282+'91Ф'!$D$17+'91Ф'!$D$41)</f>
        <v>230162.1425538059</v>
      </c>
      <c r="EL73" s="276">
        <f>$D73/$D$281*отчёт!BX$294</f>
        <v>384760.90837498393</v>
      </c>
      <c r="EM73" s="276">
        <f>$D73/$D$281*отчёт!BY$294</f>
        <v>338376.56570443942</v>
      </c>
      <c r="EN73" s="276">
        <f>$D73/$D$283*отчёт!BZ$294</f>
        <v>60728.016092468308</v>
      </c>
      <c r="EO73" s="240">
        <f t="shared" si="11"/>
        <v>368845.79500199598</v>
      </c>
      <c r="EP73" s="276">
        <f>SUMIF('20Ф'!$H:$H,$B:$B,'20Ф'!T:T)*1.2</f>
        <v>13118.975999999999</v>
      </c>
      <c r="EQ73" s="276">
        <f>SUM(H73:I73)/SUM($H$284:$I$284)*SUM('60Ф'!$O$155:$P$155)</f>
        <v>345020.52351297403</v>
      </c>
      <c r="ER73" s="276">
        <f>SUM($H73:$I73)/SUM($H$284:$I$284)*SUM('60Ф'!$P$227)</f>
        <v>10706.295489021955</v>
      </c>
      <c r="ES73" s="239">
        <f t="shared" si="17"/>
        <v>128779.62257553991</v>
      </c>
      <c r="ET73" s="276">
        <f>$D73/$D$282*'20Ф'!$I$381</f>
        <v>9842.7499401450932</v>
      </c>
      <c r="EU73" s="276">
        <f>$D73/$D$282*('20Ф'!$I$75+'20Ф'!$I$1098)*1.2</f>
        <v>113688.13127513783</v>
      </c>
      <c r="EV73" s="276">
        <f>$D73/$D$282*('20Ф'!$I$1286)</f>
        <v>5248.7413602569923</v>
      </c>
      <c r="EW73" s="276">
        <f>SUMIF('91.1Ф'!$N:$N,$B:$B,'91.1Ф'!$F:$F)+$D73/$D$281*('91Ф'!$D$12+'91Ф'!$D$11+'91Ф'!$D$19+'91Ф'!$D$20)</f>
        <v>30334.245400688833</v>
      </c>
      <c r="EX73" s="276">
        <f t="shared" si="15"/>
        <v>0</v>
      </c>
      <c r="EY73" s="276">
        <f>SUMIF('20Ф'!$H:$H,$B:$B,'20Ф'!$AY:$AY)*1.2</f>
        <v>0</v>
      </c>
      <c r="EZ73" s="236"/>
      <c r="FA73" s="277">
        <f>SUMIF(отчёт!$B:$B,$B:$B,отчёт!$CU:$CU)/отчёт!$CU$281*'20Ф'!$I$1341</f>
        <v>1841.9277108433701</v>
      </c>
      <c r="FB73" s="276">
        <f>SUMIF(Сальдо!$A:$A,$B:$B,Сальдо!$H:$H)-SUMIF(Сальдо!$A:$A,$B:$B,Сальдо!$I:$I)</f>
        <v>554653.68000000005</v>
      </c>
    </row>
    <row r="74" spans="1:158" ht="12" customHeight="1" x14ac:dyDescent="0.25">
      <c r="A74" s="3">
        <f t="shared" si="18"/>
        <v>70</v>
      </c>
      <c r="B74" s="4" t="s">
        <v>120</v>
      </c>
      <c r="C74" s="4" t="s">
        <v>120</v>
      </c>
      <c r="D74" s="5">
        <v>3038</v>
      </c>
      <c r="E74" s="6">
        <v>3038</v>
      </c>
      <c r="F74" s="6">
        <v>0</v>
      </c>
      <c r="G74" s="6">
        <v>359.49</v>
      </c>
      <c r="H74" s="5">
        <f>SUMIF(отчёт!$B:$B,$B:$B,отчёт!I:I)</f>
        <v>1</v>
      </c>
      <c r="I74" s="5">
        <f>SUMIF(отчёт!$B:$B,$B:$B,отчёт!J:J)</f>
        <v>0</v>
      </c>
      <c r="J74" s="3" t="s">
        <v>111</v>
      </c>
      <c r="K74" s="105">
        <v>3</v>
      </c>
      <c r="L74" s="105" t="s">
        <v>52</v>
      </c>
      <c r="M74" s="7">
        <v>45.06</v>
      </c>
      <c r="N74" s="8">
        <v>5.0999999999999996</v>
      </c>
      <c r="O74" s="8">
        <v>8.6300000000000008</v>
      </c>
      <c r="P74" s="8">
        <v>13.43</v>
      </c>
      <c r="Q74" s="8">
        <v>6.91</v>
      </c>
      <c r="R74" s="8">
        <v>3.15</v>
      </c>
      <c r="S74" s="8">
        <v>1.81</v>
      </c>
      <c r="T74" s="8">
        <v>5.77</v>
      </c>
      <c r="U74" s="8">
        <v>0.26</v>
      </c>
      <c r="V74" s="9">
        <v>40</v>
      </c>
      <c r="W74" s="9">
        <v>40</v>
      </c>
      <c r="X74" s="9">
        <v>2604.04</v>
      </c>
      <c r="Y74" s="8">
        <v>195.98199600000001</v>
      </c>
      <c r="Z74" s="9">
        <v>42.3</v>
      </c>
      <c r="AA74" s="9">
        <v>2604.04</v>
      </c>
      <c r="AB74" s="8">
        <v>7.85</v>
      </c>
      <c r="AC74" s="10">
        <v>0</v>
      </c>
      <c r="AD74" s="8">
        <v>6.73</v>
      </c>
      <c r="AE74" s="8">
        <v>10.67</v>
      </c>
      <c r="AF74" s="8">
        <v>14</v>
      </c>
      <c r="AG74" s="7">
        <v>821353.67999999993</v>
      </c>
      <c r="AH74" s="8">
        <v>92962.799999999988</v>
      </c>
      <c r="AI74" s="8">
        <v>157307.64000000001</v>
      </c>
      <c r="AJ74" s="8">
        <v>244802.03999999998</v>
      </c>
      <c r="AK74" s="8">
        <v>125955.48000000001</v>
      </c>
      <c r="AL74" s="8">
        <v>57418.2</v>
      </c>
      <c r="AM74" s="8">
        <v>32992.68</v>
      </c>
      <c r="AN74" s="8">
        <v>105175.56</v>
      </c>
      <c r="AO74" s="8">
        <v>4739.28</v>
      </c>
      <c r="AQ74" s="104">
        <v>48.44</v>
      </c>
      <c r="AR74" s="375">
        <v>18.489999999999998</v>
      </c>
      <c r="AS74" s="376"/>
      <c r="AT74" s="104">
        <v>6.67</v>
      </c>
      <c r="AU74" s="104">
        <v>1.53</v>
      </c>
      <c r="AV74" s="104">
        <v>0.32</v>
      </c>
      <c r="AW74" s="104">
        <v>0.87</v>
      </c>
      <c r="AX74" s="104">
        <v>5.01</v>
      </c>
      <c r="AY74" s="104">
        <v>4.99</v>
      </c>
      <c r="AZ74" s="104">
        <v>2.7</v>
      </c>
      <c r="BA74" s="104">
        <v>6.46</v>
      </c>
      <c r="BB74" s="104">
        <v>0.47</v>
      </c>
      <c r="BC74" s="101">
        <v>0.93</v>
      </c>
      <c r="BD74" s="104">
        <v>54.88252</v>
      </c>
      <c r="BE74" s="375">
        <v>20.949169999999999</v>
      </c>
      <c r="BF74" s="376">
        <v>0</v>
      </c>
      <c r="BG74" s="104">
        <v>7.5571100000000007</v>
      </c>
      <c r="BH74" s="104">
        <v>1.7334900000000002</v>
      </c>
      <c r="BI74" s="104">
        <v>0.36256000000000005</v>
      </c>
      <c r="BJ74" s="104">
        <v>0.98571000000000009</v>
      </c>
      <c r="BK74" s="104">
        <v>5.6763300000000001</v>
      </c>
      <c r="BL74" s="104">
        <v>5.65367</v>
      </c>
      <c r="BM74" s="104">
        <v>3.0591000000000004</v>
      </c>
      <c r="BN74" s="104">
        <v>7.3191800000000002</v>
      </c>
      <c r="BO74" s="104">
        <v>0.53250999999999993</v>
      </c>
      <c r="BP74" s="101">
        <v>1.05369</v>
      </c>
      <c r="BQ74" s="103">
        <v>1961652.3976000003</v>
      </c>
      <c r="BR74" s="371">
        <v>748781.02459999989</v>
      </c>
      <c r="BS74" s="371">
        <v>0</v>
      </c>
      <c r="BT74" s="103">
        <v>270111.92180000001</v>
      </c>
      <c r="BU74" s="103">
        <v>61959.706200000001</v>
      </c>
      <c r="BV74" s="103">
        <v>12958.8928</v>
      </c>
      <c r="BW74" s="103">
        <v>35231.989800000003</v>
      </c>
      <c r="BX74" s="103">
        <v>202887.6654</v>
      </c>
      <c r="BY74" s="103">
        <v>202077.7346</v>
      </c>
      <c r="BZ74" s="103">
        <v>109340.65800000002</v>
      </c>
      <c r="CA74" s="103">
        <v>261607.64840000001</v>
      </c>
      <c r="CB74" s="103">
        <v>19033.373799999994</v>
      </c>
      <c r="CC74" s="103">
        <v>37661.782199999994</v>
      </c>
      <c r="CD74" s="1">
        <v>1</v>
      </c>
      <c r="CF74" s="277">
        <f>SUMIF(Оборот!$A:$A,$B:$B,Оборот!H:H)</f>
        <v>1684071.6800000002</v>
      </c>
      <c r="CG74" s="277">
        <f>SUMIF(Оборот!$A:$A,$B:$B,Оборот!I:I)</f>
        <v>1618824.1099999999</v>
      </c>
      <c r="CH74" s="277">
        <f t="shared" si="12"/>
        <v>1980272.9922209389</v>
      </c>
      <c r="CI74" s="239">
        <f t="shared" si="16"/>
        <v>496257.17530012585</v>
      </c>
      <c r="CJ74" s="276">
        <f>SUMIF('20Ф'!$H:$H,$B:$B,'20Ф'!M:M)*1.2</f>
        <v>0</v>
      </c>
      <c r="CK74" s="276">
        <f>SUMIF('20Ф'!$H:$H,$B:$B,'20Ф'!O:O)*1.2</f>
        <v>0</v>
      </c>
      <c r="CL74" s="276">
        <f>SUMIF('20Ф'!$H:$H,$B:$B,'20Ф'!Q:Q)*1.2</f>
        <v>219474.99599999998</v>
      </c>
      <c r="CM74" s="276">
        <f>SUMIF('20Ф'!$H:$H,$B:$B,'20Ф'!R:R)*1.2</f>
        <v>0</v>
      </c>
      <c r="CN74" s="276">
        <f>SUMIF('20Ф'!$H:$H,$B:$B,'20Ф'!S:S)*1.2</f>
        <v>0</v>
      </c>
      <c r="CO74" s="276">
        <f>SUMIF('20Ф'!$H:$H,$B:$B,'20Ф'!W:W)*1.2</f>
        <v>0</v>
      </c>
      <c r="CP74" s="276">
        <f>SUMIF('20Ф'!$H:$H,$B:$B,'20Ф'!P:P)*1.2</f>
        <v>0</v>
      </c>
      <c r="CQ74" s="276">
        <f>SUMIF('20Ф'!$H:$H,$B:$B,'20Ф'!Y:Y)*1.2</f>
        <v>0</v>
      </c>
      <c r="CR74" s="276">
        <f>SUMIF('20Ф'!$H:$H,$B:$B,'20Ф'!Z:Z)*1.2</f>
        <v>0</v>
      </c>
      <c r="CS74" s="276">
        <f>SUMIF('20Ф'!$H:$H,$B:$B,'20Ф'!AB:AB)*1.2</f>
        <v>0</v>
      </c>
      <c r="CT74" s="276">
        <f>SUMIF('20Ф'!$H:$H,$B:$B,'20Ф'!AC:AC)*1.2</f>
        <v>0</v>
      </c>
      <c r="CU74" s="276">
        <f>SUMIF('20Ф'!$H:$H,$B:$B,'20Ф'!AD:AD)*1.2</f>
        <v>0</v>
      </c>
      <c r="CV74" s="276">
        <f>SUMIF('20Ф'!$H:$H,$B:$B,'20Ф'!AE:AE)*1.2</f>
        <v>0</v>
      </c>
      <c r="CW74" s="276">
        <f>SUMIF('20Ф'!$H:$H,$B:$B,'20Ф'!AF:AF)*1.2</f>
        <v>0</v>
      </c>
      <c r="CX74" s="276">
        <f>SUMIF('20Ф'!$H:$H,$B:$B,'20Ф'!AG:AG)*1.2</f>
        <v>0</v>
      </c>
      <c r="CY74" s="276">
        <f>SUMIF('20Ф'!$H:$H,$B:$B,'20Ф'!AH:AH)*1.2</f>
        <v>0</v>
      </c>
      <c r="CZ74" s="276">
        <f>SUMIF('20Ф'!$H:$H,$B:$B,'20Ф'!AI:AI)*1.2</f>
        <v>0</v>
      </c>
      <c r="DA74" s="276">
        <f>SUMIF('20Ф'!$H:$H,$B:$B,'20Ф'!AJ:AJ)*1.2</f>
        <v>0</v>
      </c>
      <c r="DB74" s="276">
        <f>SUMIF('20Ф'!$H:$H,$B:$B,'20Ф'!AK:AK)*1.2</f>
        <v>0</v>
      </c>
      <c r="DC74" s="276">
        <f>SUMIF('20Ф'!$H:$H,$B:$B,'20Ф'!AL:AL)*1.2</f>
        <v>250061.95199999999</v>
      </c>
      <c r="DD74" s="276">
        <f>SUMIF('20Ф'!$H:$H,$B:$B,'20Ф'!AM:AM)*1.2</f>
        <v>0</v>
      </c>
      <c r="DE74" s="276">
        <f>SUMIF('20Ф'!$H:$H,$B:$B,'20Ф'!AN:AN)*1.2</f>
        <v>0</v>
      </c>
      <c r="DF74" s="276">
        <f>SUMIF('20Ф'!$H:$H,$B:$B,'20Ф'!AO:AO)*1.2</f>
        <v>0</v>
      </c>
      <c r="DG74" s="276">
        <f>SUMIF('20Ф'!$H:$H,$B:$B,'20Ф'!AP:AP)*1.2</f>
        <v>0</v>
      </c>
      <c r="DH74" s="276">
        <f>SUMIF('20Ф'!$H:$H,$B:$B,'20Ф'!AQ:AQ)*1.2</f>
        <v>0</v>
      </c>
      <c r="DI74" s="276">
        <f>SUMIF('20Ф'!$H:$H,$B:$B,'20Ф'!BA:BA)*1.2</f>
        <v>0</v>
      </c>
      <c r="DJ74" s="276">
        <f>SUMIF('20Ф'!$H:$H,$B:$B,'20Ф'!BB:BB)*1.2</f>
        <v>0</v>
      </c>
      <c r="DK74" s="276">
        <f>SUMIF('20Ф'!$H:$H,$B:$B,'20Ф'!BC:BC)*1.2</f>
        <v>0</v>
      </c>
      <c r="DL74" s="276">
        <f>$D74/$D$281*'20Ф'!$H$218</f>
        <v>26720.227300125855</v>
      </c>
      <c r="DM74" s="240">
        <f t="shared" si="13"/>
        <v>523512.51573349303</v>
      </c>
      <c r="DN74" s="276">
        <f>SUMIF('20Ф'!$H:$H,$B:$B,'20Ф'!AV:AV)*1.2</f>
        <v>0</v>
      </c>
      <c r="DO74" s="276">
        <f>SUMIF('20Ф'!$H:$H,$B:$B,'20Ф'!AW:AW)*1.2+$D74/$D$281*'26Ф'!$D$42</f>
        <v>14219.121819873355</v>
      </c>
      <c r="DP74" s="276">
        <f>SUMIF('20Ф'!$H:$H,$B:$B,'20Ф'!AX:AX)*1.2</f>
        <v>0</v>
      </c>
      <c r="DQ74" s="276">
        <f>SUMIF('20Ф'!$H:$H,$B:$B,'20Ф'!AY:AY)*1.2</f>
        <v>39997.5</v>
      </c>
      <c r="DR74" s="276">
        <f>SUMIF('20Ф'!$H:$H,$B:$B,'20Ф'!AU:AU)*1.2</f>
        <v>0</v>
      </c>
      <c r="DS74" s="276">
        <f>SUMIF('20Ф'!$H:$H,$B:$B,'20Ф'!AS:AS)*1.2</f>
        <v>218472.87600000002</v>
      </c>
      <c r="DT74" s="276">
        <f>SUMIF('20Ф'!$H:$H,$B:$B,'20Ф'!AR:AR)*1.2</f>
        <v>0</v>
      </c>
      <c r="DU74" s="276">
        <f>SUMIF('20Ф'!$H:$H,$B:$B,'20Ф'!X:X)*1.2</f>
        <v>0</v>
      </c>
      <c r="DV74" s="276">
        <f>SUMIF('20Ф'!$H:$H,$B:$B,'20Ф'!AA:AA)*1.2</f>
        <v>0</v>
      </c>
      <c r="DW74" s="276">
        <f>SUMIF('20Ф'!$H:$H,$B:$B,'20Ф'!N:N)*1.2</f>
        <v>0</v>
      </c>
      <c r="DX74" s="276">
        <f>$D74/$D$281*('25Ф'!$D$37)</f>
        <v>239005.64933747266</v>
      </c>
      <c r="DY74" s="276">
        <f>$D74/$D$281*'25Ф'!$D$30</f>
        <v>7628.3100453285906</v>
      </c>
      <c r="DZ74" s="276">
        <f>$D74/$D$281*'25Ф'!$D$31</f>
        <v>4189.0585308184327</v>
      </c>
      <c r="EA74" s="276"/>
      <c r="EB74" s="276">
        <f t="shared" si="14"/>
        <v>150577.31029031248</v>
      </c>
      <c r="EC74" s="276">
        <f>$D74/$D$281*'26Ф'!$D$36</f>
        <v>78380.33931244952</v>
      </c>
      <c r="ED74" s="276">
        <f>$D74/$D$281*'26Ф'!$D$37</f>
        <v>9417.3140565564918</v>
      </c>
      <c r="EE74" s="276">
        <f>$D74/$D$281*'26Ф'!$D$38</f>
        <v>9513.8978789725134</v>
      </c>
      <c r="EF74" s="276">
        <f>$D74/$D$281*'26Ф'!$D$39</f>
        <v>6673.9906789892375</v>
      </c>
      <c r="EG74" s="276">
        <f>$D74/$D$281*'91Ф'!$D$10</f>
        <v>2058.9233487926681</v>
      </c>
      <c r="EH74" s="276">
        <f>$D74/$D$281*('20Ф'!$I$509+'26Ф'!$D$41+'20Ф'!$I$507)</f>
        <v>14566.204721341235</v>
      </c>
      <c r="EI74" s="276">
        <f>$D74/$D$281*'91Ф'!$D$31</f>
        <v>26701.992734009207</v>
      </c>
      <c r="EJ74" s="276">
        <f>$D74/$D$281*'20Ф'!$I$1316</f>
        <v>3264.6475592015995</v>
      </c>
      <c r="EK74" s="276">
        <f>$D74/$D$281*('20Ф'!$I$1105+'20Ф'!$I$1282+'91Ф'!$D$17+'91Ф'!$D$41)</f>
        <v>107214.66298850962</v>
      </c>
      <c r="EL74" s="276">
        <f>$D74/$D$281*отчёт!BX$294</f>
        <v>179230.21859658387</v>
      </c>
      <c r="EM74" s="276">
        <f>$D74/$D$281*отчёт!BY$294</f>
        <v>157623.35652888566</v>
      </c>
      <c r="EN74" s="276">
        <f>$D74/$D$283*отчёт!BZ$294</f>
        <v>28288.465283958212</v>
      </c>
      <c r="EO74" s="240">
        <f t="shared" si="11"/>
        <v>96309.976750498987</v>
      </c>
      <c r="EP74" s="276">
        <f>SUMIF('20Ф'!$H:$H,$B:$B,'20Ф'!T:T)*1.2</f>
        <v>7378.2719999999999</v>
      </c>
      <c r="EQ74" s="276">
        <f>SUM(H74:I74)/SUM($H$284:$I$284)*SUM('60Ф'!$O$155:$P$155)</f>
        <v>86255.130878243508</v>
      </c>
      <c r="ER74" s="276">
        <f>SUM($H74:$I74)/SUM($H$284:$I$284)*SUM('60Ф'!$P$227)</f>
        <v>2676.5738722554888</v>
      </c>
      <c r="ES74" s="239">
        <f t="shared" si="17"/>
        <v>59988.422427012505</v>
      </c>
      <c r="ET74" s="276">
        <f>$D74/$D$282*'20Ф'!$I$381</f>
        <v>4584.9726023736985</v>
      </c>
      <c r="EU74" s="276">
        <f>$D74/$D$282*('20Ф'!$I$75+'20Ф'!$I$1098)*1.2</f>
        <v>52958.468952416304</v>
      </c>
      <c r="EV74" s="276">
        <f>$D74/$D$282*('20Ф'!$I$1286)</f>
        <v>2444.9808722225057</v>
      </c>
      <c r="EW74" s="276">
        <f>SUMIF('91.1Ф'!$N:$N,$B:$B,'91.1Ф'!$F:$F)+$D74/$D$281*('91Ф'!$D$12+'91Ф'!$D$11+'91Ф'!$D$19+'91Ф'!$D$20)</f>
        <v>139130.36853741185</v>
      </c>
      <c r="EX74" s="276">
        <f t="shared" si="15"/>
        <v>42140.519784146818</v>
      </c>
      <c r="EY74" s="276">
        <f>SUMIF('20Ф'!$H:$H,$B:$B,'20Ф'!$AY:$AY)*1.2</f>
        <v>39997.5</v>
      </c>
      <c r="EZ74" s="295">
        <f>D74/$D$286*'20Ф'!$I$1163</f>
        <v>2143.0197841468143</v>
      </c>
      <c r="FA74" s="277">
        <f>SUMIF(отчёт!$B:$B,$B:$B,отчёт!$CU:$CU)/отчёт!$CU$281*'20Ф'!$I$1341</f>
        <v>920.96385542168503</v>
      </c>
      <c r="FB74" s="276">
        <f>SUMIF(Сальдо!$A:$A,$B:$B,Сальдо!$H:$H)-SUMIF(Сальдо!$A:$A,$B:$B,Сальдо!$I:$I)</f>
        <v>492835.95</v>
      </c>
    </row>
    <row r="75" spans="1:158" ht="12" customHeight="1" x14ac:dyDescent="0.25">
      <c r="A75" s="3">
        <f t="shared" si="18"/>
        <v>71</v>
      </c>
      <c r="B75" s="4" t="s">
        <v>121</v>
      </c>
      <c r="C75" s="4" t="s">
        <v>121</v>
      </c>
      <c r="D75" s="5">
        <v>3052.5</v>
      </c>
      <c r="E75" s="6">
        <v>3052.5</v>
      </c>
      <c r="F75" s="6">
        <v>0</v>
      </c>
      <c r="G75" s="6">
        <v>361.21</v>
      </c>
      <c r="H75" s="5">
        <f>SUMIF(отчёт!$B:$B,$B:$B,отчёт!I:I)</f>
        <v>1</v>
      </c>
      <c r="I75" s="5">
        <f>SUMIF(отчёт!$B:$B,$B:$B,отчёт!J:J)</f>
        <v>0</v>
      </c>
      <c r="J75" s="3" t="s">
        <v>111</v>
      </c>
      <c r="K75" s="105">
        <v>3</v>
      </c>
      <c r="L75" s="105" t="s">
        <v>52</v>
      </c>
      <c r="M75" s="7">
        <v>45.06</v>
      </c>
      <c r="N75" s="8">
        <v>5.0999999999999996</v>
      </c>
      <c r="O75" s="8">
        <v>8.6300000000000008</v>
      </c>
      <c r="P75" s="8">
        <v>13.43</v>
      </c>
      <c r="Q75" s="8">
        <v>6.91</v>
      </c>
      <c r="R75" s="8">
        <v>3.15</v>
      </c>
      <c r="S75" s="8">
        <v>1.81</v>
      </c>
      <c r="T75" s="8">
        <v>5.77</v>
      </c>
      <c r="U75" s="8">
        <v>0.26</v>
      </c>
      <c r="V75" s="9">
        <v>40</v>
      </c>
      <c r="W75" s="9">
        <v>40</v>
      </c>
      <c r="X75" s="9">
        <v>2604.04</v>
      </c>
      <c r="Y75" s="8">
        <v>195.98199600000001</v>
      </c>
      <c r="Z75" s="9">
        <v>42.3</v>
      </c>
      <c r="AA75" s="9">
        <v>2604.04</v>
      </c>
      <c r="AB75" s="8">
        <v>7.85</v>
      </c>
      <c r="AC75" s="10">
        <v>0</v>
      </c>
      <c r="AD75" s="8">
        <v>6.73</v>
      </c>
      <c r="AE75" s="8">
        <v>10.67</v>
      </c>
      <c r="AF75" s="8">
        <v>14</v>
      </c>
      <c r="AG75" s="7">
        <v>825273.89999999991</v>
      </c>
      <c r="AH75" s="8">
        <v>93406.499999999985</v>
      </c>
      <c r="AI75" s="8">
        <v>158058.45000000001</v>
      </c>
      <c r="AJ75" s="8">
        <v>245970.44999999998</v>
      </c>
      <c r="AK75" s="8">
        <v>126556.65000000001</v>
      </c>
      <c r="AL75" s="8">
        <v>57692.25</v>
      </c>
      <c r="AM75" s="8">
        <v>33150.15</v>
      </c>
      <c r="AN75" s="8">
        <v>105677.54999999999</v>
      </c>
      <c r="AO75" s="8">
        <v>4761.8999999999996</v>
      </c>
      <c r="AQ75" s="104">
        <v>48.44</v>
      </c>
      <c r="AR75" s="375">
        <v>18.489999999999998</v>
      </c>
      <c r="AS75" s="376"/>
      <c r="AT75" s="104">
        <v>6.67</v>
      </c>
      <c r="AU75" s="104">
        <v>1.53</v>
      </c>
      <c r="AV75" s="104">
        <v>0.32</v>
      </c>
      <c r="AW75" s="104">
        <v>0.87</v>
      </c>
      <c r="AX75" s="104">
        <v>5.01</v>
      </c>
      <c r="AY75" s="104">
        <v>4.99</v>
      </c>
      <c r="AZ75" s="104">
        <v>2.7</v>
      </c>
      <c r="BA75" s="104">
        <v>6.46</v>
      </c>
      <c r="BB75" s="104">
        <v>0.47</v>
      </c>
      <c r="BC75" s="101">
        <v>0.93</v>
      </c>
      <c r="BD75" s="104">
        <v>54.88252</v>
      </c>
      <c r="BE75" s="375">
        <v>20.949169999999999</v>
      </c>
      <c r="BF75" s="376">
        <v>0</v>
      </c>
      <c r="BG75" s="104">
        <v>7.5571100000000007</v>
      </c>
      <c r="BH75" s="104">
        <v>1.7334900000000002</v>
      </c>
      <c r="BI75" s="104">
        <v>0.36256000000000005</v>
      </c>
      <c r="BJ75" s="104">
        <v>0.98571000000000009</v>
      </c>
      <c r="BK75" s="104">
        <v>5.6763300000000001</v>
      </c>
      <c r="BL75" s="104">
        <v>5.65367</v>
      </c>
      <c r="BM75" s="104">
        <v>3.0591000000000004</v>
      </c>
      <c r="BN75" s="104">
        <v>7.3191800000000002</v>
      </c>
      <c r="BO75" s="104">
        <v>0.53250999999999993</v>
      </c>
      <c r="BP75" s="101">
        <v>1.05369</v>
      </c>
      <c r="BQ75" s="103">
        <v>1971015.1229999999</v>
      </c>
      <c r="BR75" s="371">
        <v>752354.86424999987</v>
      </c>
      <c r="BS75" s="371">
        <v>0</v>
      </c>
      <c r="BT75" s="103">
        <v>271401.13274999999</v>
      </c>
      <c r="BU75" s="103">
        <v>62255.432249999998</v>
      </c>
      <c r="BV75" s="103">
        <v>13020.744000000001</v>
      </c>
      <c r="BW75" s="103">
        <v>35400.147750000004</v>
      </c>
      <c r="BX75" s="103">
        <v>203856.02325</v>
      </c>
      <c r="BY75" s="103">
        <v>203042.22675</v>
      </c>
      <c r="BZ75" s="103">
        <v>109862.52750000003</v>
      </c>
      <c r="CA75" s="103">
        <v>262856.26949999999</v>
      </c>
      <c r="CB75" s="103">
        <v>19124.217749999996</v>
      </c>
      <c r="CC75" s="103">
        <v>37841.537249999994</v>
      </c>
      <c r="CD75" s="1">
        <v>1</v>
      </c>
      <c r="CF75" s="277">
        <f>SUMIF(Оборот!$A:$A,$B:$B,Оборот!H:H)</f>
        <v>1691817.48</v>
      </c>
      <c r="CG75" s="277">
        <f>SUMIF(Оборот!$A:$A,$B:$B,Оборот!I:I)</f>
        <v>1691000.87</v>
      </c>
      <c r="CH75" s="277">
        <f t="shared" si="12"/>
        <v>1134619.6176746327</v>
      </c>
      <c r="CI75" s="239">
        <f t="shared" si="16"/>
        <v>26847.759655574122</v>
      </c>
      <c r="CJ75" s="276">
        <f>SUMIF('20Ф'!$H:$H,$B:$B,'20Ф'!M:M)*1.2</f>
        <v>0</v>
      </c>
      <c r="CK75" s="276">
        <f>SUMIF('20Ф'!$H:$H,$B:$B,'20Ф'!O:O)*1.2</f>
        <v>0</v>
      </c>
      <c r="CL75" s="276">
        <f>SUMIF('20Ф'!$H:$H,$B:$B,'20Ф'!Q:Q)*1.2</f>
        <v>0</v>
      </c>
      <c r="CM75" s="276">
        <f>SUMIF('20Ф'!$H:$H,$B:$B,'20Ф'!R:R)*1.2</f>
        <v>0</v>
      </c>
      <c r="CN75" s="276">
        <f>SUMIF('20Ф'!$H:$H,$B:$B,'20Ф'!S:S)*1.2</f>
        <v>0</v>
      </c>
      <c r="CO75" s="276">
        <f>SUMIF('20Ф'!$H:$H,$B:$B,'20Ф'!W:W)*1.2</f>
        <v>0</v>
      </c>
      <c r="CP75" s="276">
        <f>SUMIF('20Ф'!$H:$H,$B:$B,'20Ф'!P:P)*1.2</f>
        <v>0</v>
      </c>
      <c r="CQ75" s="276">
        <f>SUMIF('20Ф'!$H:$H,$B:$B,'20Ф'!Y:Y)*1.2</f>
        <v>0</v>
      </c>
      <c r="CR75" s="276">
        <f>SUMIF('20Ф'!$H:$H,$B:$B,'20Ф'!Z:Z)*1.2</f>
        <v>0</v>
      </c>
      <c r="CS75" s="276">
        <f>SUMIF('20Ф'!$H:$H,$B:$B,'20Ф'!AB:AB)*1.2</f>
        <v>0</v>
      </c>
      <c r="CT75" s="276">
        <f>SUMIF('20Ф'!$H:$H,$B:$B,'20Ф'!AC:AC)*1.2</f>
        <v>0</v>
      </c>
      <c r="CU75" s="276">
        <f>SUMIF('20Ф'!$H:$H,$B:$B,'20Ф'!AD:AD)*1.2</f>
        <v>0</v>
      </c>
      <c r="CV75" s="276">
        <f>SUMIF('20Ф'!$H:$H,$B:$B,'20Ф'!AE:AE)*1.2</f>
        <v>0</v>
      </c>
      <c r="CW75" s="276">
        <f>SUMIF('20Ф'!$H:$H,$B:$B,'20Ф'!AF:AF)*1.2</f>
        <v>0</v>
      </c>
      <c r="CX75" s="276">
        <f>SUMIF('20Ф'!$H:$H,$B:$B,'20Ф'!AG:AG)*1.2</f>
        <v>0</v>
      </c>
      <c r="CY75" s="276">
        <f>SUMIF('20Ф'!$H:$H,$B:$B,'20Ф'!AH:AH)*1.2</f>
        <v>0</v>
      </c>
      <c r="CZ75" s="276">
        <f>SUMIF('20Ф'!$H:$H,$B:$B,'20Ф'!AI:AI)*1.2</f>
        <v>0</v>
      </c>
      <c r="DA75" s="276">
        <f>SUMIF('20Ф'!$H:$H,$B:$B,'20Ф'!AJ:AJ)*1.2</f>
        <v>0</v>
      </c>
      <c r="DB75" s="276">
        <f>SUMIF('20Ф'!$H:$H,$B:$B,'20Ф'!AK:AK)*1.2</f>
        <v>0</v>
      </c>
      <c r="DC75" s="276">
        <f>SUMIF('20Ф'!$H:$H,$B:$B,'20Ф'!AL:AL)*1.2</f>
        <v>0</v>
      </c>
      <c r="DD75" s="276">
        <f>SUMIF('20Ф'!$H:$H,$B:$B,'20Ф'!AM:AM)*1.2</f>
        <v>0</v>
      </c>
      <c r="DE75" s="276">
        <f>SUMIF('20Ф'!$H:$H,$B:$B,'20Ф'!AN:AN)*1.2</f>
        <v>0</v>
      </c>
      <c r="DF75" s="276">
        <f>SUMIF('20Ф'!$H:$H,$B:$B,'20Ф'!AO:AO)*1.2</f>
        <v>0</v>
      </c>
      <c r="DG75" s="276">
        <f>SUMIF('20Ф'!$H:$H,$B:$B,'20Ф'!AP:AP)*1.2</f>
        <v>0</v>
      </c>
      <c r="DH75" s="276">
        <f>SUMIF('20Ф'!$H:$H,$B:$B,'20Ф'!AQ:AQ)*1.2</f>
        <v>0</v>
      </c>
      <c r="DI75" s="276">
        <f>SUMIF('20Ф'!$H:$H,$B:$B,'20Ф'!BA:BA)*1.2</f>
        <v>0</v>
      </c>
      <c r="DJ75" s="276">
        <f>SUMIF('20Ф'!$H:$H,$B:$B,'20Ф'!BB:BB)*1.2</f>
        <v>0</v>
      </c>
      <c r="DK75" s="276">
        <f>SUMIF('20Ф'!$H:$H,$B:$B,'20Ф'!BC:BC)*1.2</f>
        <v>0</v>
      </c>
      <c r="DL75" s="276">
        <f>$D75/$D$281*'20Ф'!$H$218</f>
        <v>26847.759655574122</v>
      </c>
      <c r="DM75" s="240">
        <f t="shared" si="13"/>
        <v>266307.15323781682</v>
      </c>
      <c r="DN75" s="276">
        <f>SUMIF('20Ф'!$H:$H,$B:$B,'20Ф'!AV:AV)*1.2</f>
        <v>0</v>
      </c>
      <c r="DO75" s="276">
        <f>SUMIF('20Ф'!$H:$H,$B:$B,'20Ф'!AW:AW)*1.2+$D75/$D$281*'26Ф'!$D$42</f>
        <v>14286.98793784181</v>
      </c>
      <c r="DP75" s="276">
        <f>SUMIF('20Ф'!$H:$H,$B:$B,'20Ф'!AX:AX)*1.2</f>
        <v>0</v>
      </c>
      <c r="DQ75" s="276">
        <f>SUMIF('20Ф'!$H:$H,$B:$B,'20Ф'!AY:AY)*1.2</f>
        <v>0</v>
      </c>
      <c r="DR75" s="276">
        <f>SUMIF('20Ф'!$H:$H,$B:$B,'20Ф'!AU:AU)*1.2</f>
        <v>0</v>
      </c>
      <c r="DS75" s="276">
        <f>SUMIF('20Ф'!$H:$H,$B:$B,'20Ф'!AS:AS)*1.2</f>
        <v>0</v>
      </c>
      <c r="DT75" s="276">
        <f>SUMIF('20Ф'!$H:$H,$B:$B,'20Ф'!AR:AR)*1.2</f>
        <v>0</v>
      </c>
      <c r="DU75" s="276">
        <f>SUMIF('20Ф'!$H:$H,$B:$B,'20Ф'!X:X)*1.2</f>
        <v>0</v>
      </c>
      <c r="DV75" s="276">
        <f>SUMIF('20Ф'!$H:$H,$B:$B,'20Ф'!AA:AA)*1.2</f>
        <v>0</v>
      </c>
      <c r="DW75" s="276">
        <f>SUMIF('20Ф'!$H:$H,$B:$B,'20Ф'!N:N)*1.2</f>
        <v>0</v>
      </c>
      <c r="DX75" s="276">
        <f>$D75/$D$281*('25Ф'!$D$37)</f>
        <v>240146.39387841849</v>
      </c>
      <c r="DY75" s="276">
        <f>$D75/$D$281*'25Ф'!$D$30</f>
        <v>7664.719030074235</v>
      </c>
      <c r="DZ75" s="276">
        <f>$D75/$D$281*'25Ф'!$D$31</f>
        <v>4209.0523914823134</v>
      </c>
      <c r="EA75" s="276"/>
      <c r="EB75" s="276">
        <f t="shared" si="14"/>
        <v>151295.99725516091</v>
      </c>
      <c r="EC75" s="276">
        <f>$D75/$D$281*'26Ф'!$D$36</f>
        <v>78754.439022795312</v>
      </c>
      <c r="ED75" s="276">
        <f>$D75/$D$281*'26Ф'!$D$37</f>
        <v>9462.2617372082605</v>
      </c>
      <c r="EE75" s="276">
        <f>$D75/$D$281*'26Ф'!$D$38</f>
        <v>9559.3065423184999</v>
      </c>
      <c r="EF75" s="276">
        <f>$D75/$D$281*'26Ф'!$D$39</f>
        <v>6705.8448148830312</v>
      </c>
      <c r="EG75" s="276">
        <f>$D75/$D$281*'91Ф'!$D$10</f>
        <v>2068.750336467946</v>
      </c>
      <c r="EH75" s="276">
        <f>$D75/$D$281*('20Ф'!$I$509+'26Ф'!$D$41+'20Ф'!$I$507)</f>
        <v>14635.727423269955</v>
      </c>
      <c r="EI75" s="276">
        <f>$D75/$D$281*'91Ф'!$D$31</f>
        <v>26829.438058118209</v>
      </c>
      <c r="EJ75" s="276">
        <f>$D75/$D$281*'20Ф'!$I$1316</f>
        <v>3280.2293200996983</v>
      </c>
      <c r="EK75" s="276">
        <f>$D75/$D$281*('20Ф'!$I$1105+'20Ф'!$I$1282+'91Ф'!$D$17+'91Ф'!$D$41)</f>
        <v>107726.38537604531</v>
      </c>
      <c r="EL75" s="276">
        <f>$D75/$D$281*отчёт!BX$294</f>
        <v>180085.66236539578</v>
      </c>
      <c r="EM75" s="276">
        <f>$D75/$D$281*отчёт!BY$294</f>
        <v>158375.67340501104</v>
      </c>
      <c r="EN75" s="276">
        <f>$D75/$D$283*отчёт!BZ$294</f>
        <v>28423.482646241748</v>
      </c>
      <c r="EO75" s="240">
        <f t="shared" si="11"/>
        <v>88931.70475049899</v>
      </c>
      <c r="EP75" s="276">
        <f>SUMIF('20Ф'!$H:$H,$B:$B,'20Ф'!T:T)*1.2</f>
        <v>0</v>
      </c>
      <c r="EQ75" s="276">
        <f>SUM(H75:I75)/SUM($H$284:$I$284)*SUM('60Ф'!$O$155:$P$155)</f>
        <v>86255.130878243508</v>
      </c>
      <c r="ER75" s="276">
        <f>SUM($H75:$I75)/SUM($H$284:$I$284)*SUM('60Ф'!$P$227)</f>
        <v>2676.5738722554888</v>
      </c>
      <c r="ES75" s="239">
        <f t="shared" si="17"/>
        <v>60274.739782243472</v>
      </c>
      <c r="ET75" s="276">
        <f>$D75/$D$282*'20Ф'!$I$381</f>
        <v>4606.8561121611956</v>
      </c>
      <c r="EU75" s="276">
        <f>$D75/$D$282*('20Ф'!$I$75+'20Ф'!$I$1098)*1.2</f>
        <v>53211.233205151664</v>
      </c>
      <c r="EV75" s="276">
        <f>$D75/$D$282*('20Ф'!$I$1286)</f>
        <v>2456.6504649306116</v>
      </c>
      <c r="EW75" s="276">
        <f>SUMIF('91.1Ф'!$N:$N,$B:$B,'91.1Ф'!$F:$F)+$D75/$D$281*('91Ф'!$D$12+'91Ф'!$D$11+'91Ф'!$D$19+'91Ф'!$D$20)</f>
        <v>64197.811046889299</v>
      </c>
      <c r="EX75" s="276">
        <f t="shared" si="15"/>
        <v>2153.2481537551516</v>
      </c>
      <c r="EY75" s="276">
        <f>SUMIF('20Ф'!$H:$H,$B:$B,'20Ф'!$AY:$AY)*1.2</f>
        <v>0</v>
      </c>
      <c r="EZ75" s="295">
        <f>D75/$D$286*'20Ф'!$I$1163</f>
        <v>2153.2481537551516</v>
      </c>
      <c r="FA75" s="277">
        <f>SUMIF(отчёт!$B:$B,$B:$B,отчёт!$CU:$CU)/отчёт!$CU$281*'20Ф'!$I$1341</f>
        <v>920.96385542168503</v>
      </c>
      <c r="FB75" s="276">
        <f>SUMIF(Сальдо!$A:$A,$B:$B,Сальдо!$H:$H)-SUMIF(Сальдо!$A:$A,$B:$B,Сальдо!$I:$I)</f>
        <v>239213.97</v>
      </c>
    </row>
    <row r="76" spans="1:158" ht="12" customHeight="1" x14ac:dyDescent="0.25">
      <c r="A76" s="3">
        <f t="shared" si="18"/>
        <v>72</v>
      </c>
      <c r="B76" s="4" t="s">
        <v>122</v>
      </c>
      <c r="C76" s="4" t="s">
        <v>122</v>
      </c>
      <c r="D76" s="5">
        <v>2889</v>
      </c>
      <c r="E76" s="6">
        <v>2889</v>
      </c>
      <c r="F76" s="6">
        <v>0</v>
      </c>
      <c r="G76" s="6">
        <v>457.14</v>
      </c>
      <c r="H76" s="5">
        <f>SUMIF(отчёт!$B:$B,$B:$B,отчёт!I:I)</f>
        <v>1</v>
      </c>
      <c r="I76" s="5">
        <f>SUMIF(отчёт!$B:$B,$B:$B,отчёт!J:J)</f>
        <v>0</v>
      </c>
      <c r="J76" s="3" t="s">
        <v>114</v>
      </c>
      <c r="K76" s="105">
        <v>3</v>
      </c>
      <c r="L76" s="105" t="s">
        <v>52</v>
      </c>
      <c r="M76" s="7">
        <v>45.06</v>
      </c>
      <c r="N76" s="8">
        <v>5.0999999999999996</v>
      </c>
      <c r="O76" s="8">
        <v>8.6300000000000008</v>
      </c>
      <c r="P76" s="8">
        <v>13.43</v>
      </c>
      <c r="Q76" s="8">
        <v>6.91</v>
      </c>
      <c r="R76" s="8">
        <v>3.15</v>
      </c>
      <c r="S76" s="8">
        <v>1.81</v>
      </c>
      <c r="T76" s="8">
        <v>5.77</v>
      </c>
      <c r="U76" s="8">
        <v>0.26</v>
      </c>
      <c r="V76" s="9">
        <v>40</v>
      </c>
      <c r="W76" s="9">
        <v>40</v>
      </c>
      <c r="X76" s="9">
        <v>2604.04</v>
      </c>
      <c r="Y76" s="8">
        <v>195.98199600000001</v>
      </c>
      <c r="Z76" s="9">
        <v>42.3</v>
      </c>
      <c r="AA76" s="9">
        <v>2604.04</v>
      </c>
      <c r="AB76" s="8">
        <v>7.85</v>
      </c>
      <c r="AC76" s="10">
        <v>0</v>
      </c>
      <c r="AD76" s="8">
        <v>6.73</v>
      </c>
      <c r="AE76" s="8">
        <v>10.67</v>
      </c>
      <c r="AF76" s="8">
        <v>14</v>
      </c>
      <c r="AG76" s="7">
        <v>781070.04</v>
      </c>
      <c r="AH76" s="8">
        <v>88403.4</v>
      </c>
      <c r="AI76" s="8">
        <v>149592.42000000001</v>
      </c>
      <c r="AJ76" s="8">
        <v>232795.62</v>
      </c>
      <c r="AK76" s="8">
        <v>119777.94</v>
      </c>
      <c r="AL76" s="8">
        <v>54602.100000000006</v>
      </c>
      <c r="AM76" s="8">
        <v>31374.54</v>
      </c>
      <c r="AN76" s="8">
        <v>100017.18</v>
      </c>
      <c r="AO76" s="8">
        <v>4506.84</v>
      </c>
      <c r="AQ76" s="104">
        <v>48.44</v>
      </c>
      <c r="AR76" s="375">
        <v>18.489999999999998</v>
      </c>
      <c r="AS76" s="376"/>
      <c r="AT76" s="104">
        <v>6.67</v>
      </c>
      <c r="AU76" s="104">
        <v>1.53</v>
      </c>
      <c r="AV76" s="104">
        <v>0.32</v>
      </c>
      <c r="AW76" s="104">
        <v>0.87</v>
      </c>
      <c r="AX76" s="104">
        <v>5.01</v>
      </c>
      <c r="AY76" s="104">
        <v>4.99</v>
      </c>
      <c r="AZ76" s="104">
        <v>2.7</v>
      </c>
      <c r="BA76" s="104">
        <v>6.46</v>
      </c>
      <c r="BB76" s="104">
        <v>0.47</v>
      </c>
      <c r="BC76" s="101">
        <v>0.93</v>
      </c>
      <c r="BD76" s="104">
        <v>54.88252</v>
      </c>
      <c r="BE76" s="375">
        <v>20.949169999999999</v>
      </c>
      <c r="BF76" s="376">
        <v>0</v>
      </c>
      <c r="BG76" s="104">
        <v>7.5571100000000007</v>
      </c>
      <c r="BH76" s="104">
        <v>1.7334900000000002</v>
      </c>
      <c r="BI76" s="104">
        <v>0.36256000000000005</v>
      </c>
      <c r="BJ76" s="104">
        <v>0.98571000000000009</v>
      </c>
      <c r="BK76" s="104">
        <v>5.6763300000000001</v>
      </c>
      <c r="BL76" s="104">
        <v>5.65367</v>
      </c>
      <c r="BM76" s="104">
        <v>3.0591000000000004</v>
      </c>
      <c r="BN76" s="104">
        <v>7.3191800000000002</v>
      </c>
      <c r="BO76" s="104">
        <v>0.53250999999999993</v>
      </c>
      <c r="BP76" s="101">
        <v>1.05369</v>
      </c>
      <c r="BQ76" s="103">
        <v>1865442.3228</v>
      </c>
      <c r="BR76" s="371">
        <v>712056.74129999988</v>
      </c>
      <c r="BS76" s="371">
        <v>0</v>
      </c>
      <c r="BT76" s="103">
        <v>256864.1679</v>
      </c>
      <c r="BU76" s="103">
        <v>58920.866099999999</v>
      </c>
      <c r="BV76" s="103">
        <v>12323.3184</v>
      </c>
      <c r="BW76" s="103">
        <v>33504.0219</v>
      </c>
      <c r="BX76" s="103">
        <v>192936.95369999998</v>
      </c>
      <c r="BY76" s="103">
        <v>192166.7463</v>
      </c>
      <c r="BZ76" s="103">
        <v>103977.99900000003</v>
      </c>
      <c r="CA76" s="103">
        <v>248776.9902</v>
      </c>
      <c r="CB76" s="103">
        <v>18099.873899999995</v>
      </c>
      <c r="CC76" s="103">
        <v>35814.644099999998</v>
      </c>
      <c r="CD76" s="1">
        <v>1</v>
      </c>
      <c r="CF76" s="277">
        <f>SUMIF(Оборот!$A:$A,$B:$B,Оборот!H:H)</f>
        <v>1601199.4300000002</v>
      </c>
      <c r="CG76" s="277">
        <f>SUMIF(Оборот!$A:$A,$B:$B,Оборот!I:I)</f>
        <v>1621657.75</v>
      </c>
      <c r="CH76" s="277">
        <f t="shared" si="12"/>
        <v>1546094.8309381558</v>
      </c>
      <c r="CI76" s="239">
        <f t="shared" si="16"/>
        <v>284452.24640620919</v>
      </c>
      <c r="CJ76" s="276">
        <f>SUMIF('20Ф'!$H:$H,$B:$B,'20Ф'!M:M)*1.2</f>
        <v>0</v>
      </c>
      <c r="CK76" s="276">
        <f>SUMIF('20Ф'!$H:$H,$B:$B,'20Ф'!O:O)*1.2</f>
        <v>0</v>
      </c>
      <c r="CL76" s="276">
        <f>SUMIF('20Ф'!$H:$H,$B:$B,'20Ф'!Q:Q)*1.2</f>
        <v>0</v>
      </c>
      <c r="CM76" s="276">
        <f>SUMIF('20Ф'!$H:$H,$B:$B,'20Ф'!R:R)*1.2</f>
        <v>0</v>
      </c>
      <c r="CN76" s="276">
        <f>SUMIF('20Ф'!$H:$H,$B:$B,'20Ф'!S:S)*1.2</f>
        <v>0</v>
      </c>
      <c r="CO76" s="276">
        <f>SUMIF('20Ф'!$H:$H,$B:$B,'20Ф'!W:W)*1.2</f>
        <v>0</v>
      </c>
      <c r="CP76" s="276">
        <f>SUMIF('20Ф'!$H:$H,$B:$B,'20Ф'!P:P)*1.2</f>
        <v>0</v>
      </c>
      <c r="CQ76" s="276">
        <f>SUMIF('20Ф'!$H:$H,$B:$B,'20Ф'!Y:Y)*1.2</f>
        <v>0</v>
      </c>
      <c r="CR76" s="276">
        <f>SUMIF('20Ф'!$H:$H,$B:$B,'20Ф'!Z:Z)*1.2</f>
        <v>43200</v>
      </c>
      <c r="CS76" s="276">
        <f>SUMIF('20Ф'!$H:$H,$B:$B,'20Ф'!AB:AB)*1.2</f>
        <v>0</v>
      </c>
      <c r="CT76" s="276">
        <f>SUMIF('20Ф'!$H:$H,$B:$B,'20Ф'!AC:AC)*1.2</f>
        <v>0</v>
      </c>
      <c r="CU76" s="276">
        <f>SUMIF('20Ф'!$H:$H,$B:$B,'20Ф'!AD:AD)*1.2</f>
        <v>0</v>
      </c>
      <c r="CV76" s="276">
        <f>SUMIF('20Ф'!$H:$H,$B:$B,'20Ф'!AE:AE)*1.2</f>
        <v>0</v>
      </c>
      <c r="CW76" s="276">
        <f>SUMIF('20Ф'!$H:$H,$B:$B,'20Ф'!AF:AF)*1.2</f>
        <v>0</v>
      </c>
      <c r="CX76" s="276">
        <f>SUMIF('20Ф'!$H:$H,$B:$B,'20Ф'!AG:AG)*1.2</f>
        <v>0</v>
      </c>
      <c r="CY76" s="276">
        <f>SUMIF('20Ф'!$H:$H,$B:$B,'20Ф'!AH:AH)*1.2</f>
        <v>0</v>
      </c>
      <c r="CZ76" s="276">
        <f>SUMIF('20Ф'!$H:$H,$B:$B,'20Ф'!AI:AI)*1.2</f>
        <v>0</v>
      </c>
      <c r="DA76" s="276">
        <f>SUMIF('20Ф'!$H:$H,$B:$B,'20Ф'!AJ:AJ)*1.2</f>
        <v>215842.52399999998</v>
      </c>
      <c r="DB76" s="276">
        <f>SUMIF('20Ф'!$H:$H,$B:$B,'20Ф'!AK:AK)*1.2</f>
        <v>0</v>
      </c>
      <c r="DC76" s="276">
        <f>SUMIF('20Ф'!$H:$H,$B:$B,'20Ф'!AL:AL)*1.2</f>
        <v>0</v>
      </c>
      <c r="DD76" s="276">
        <f>SUMIF('20Ф'!$H:$H,$B:$B,'20Ф'!AM:AM)*1.2</f>
        <v>0</v>
      </c>
      <c r="DE76" s="276">
        <f>SUMIF('20Ф'!$H:$H,$B:$B,'20Ф'!AN:AN)*1.2</f>
        <v>0</v>
      </c>
      <c r="DF76" s="276">
        <f>SUMIF('20Ф'!$H:$H,$B:$B,'20Ф'!AO:AO)*1.2</f>
        <v>0</v>
      </c>
      <c r="DG76" s="276">
        <f>SUMIF('20Ф'!$H:$H,$B:$B,'20Ф'!AP:AP)*1.2</f>
        <v>0</v>
      </c>
      <c r="DH76" s="276">
        <f>SUMIF('20Ф'!$H:$H,$B:$B,'20Ф'!AQ:AQ)*1.2</f>
        <v>0</v>
      </c>
      <c r="DI76" s="276">
        <f>SUMIF('20Ф'!$H:$H,$B:$B,'20Ф'!BA:BA)*1.2</f>
        <v>0</v>
      </c>
      <c r="DJ76" s="276">
        <f>SUMIF('20Ф'!$H:$H,$B:$B,'20Ф'!BB:BB)*1.2</f>
        <v>0</v>
      </c>
      <c r="DK76" s="276">
        <f>SUMIF('20Ф'!$H:$H,$B:$B,'20Ф'!BC:BC)*1.2</f>
        <v>0</v>
      </c>
      <c r="DL76" s="276">
        <f>$D76/$D$281*'20Ф'!$H$218</f>
        <v>25409.722406209221</v>
      </c>
      <c r="DM76" s="240">
        <f t="shared" si="13"/>
        <v>486950.9794476832</v>
      </c>
      <c r="DN76" s="276">
        <f>SUMIF('20Ф'!$H:$H,$B:$B,'20Ф'!AV:AV)*1.2</f>
        <v>0</v>
      </c>
      <c r="DO76" s="276">
        <f>SUMIF('20Ф'!$H:$H,$B:$B,'20Ф'!AW:AW)*1.2+$D76/$D$281*'26Ф'!$D$42</f>
        <v>13521.738952473381</v>
      </c>
      <c r="DP76" s="276">
        <f>SUMIF('20Ф'!$H:$H,$B:$B,'20Ф'!AX:AX)*1.2</f>
        <v>0</v>
      </c>
      <c r="DQ76" s="276">
        <f>SUMIF('20Ф'!$H:$H,$B:$B,'20Ф'!AY:AY)*1.2</f>
        <v>18397.007999999998</v>
      </c>
      <c r="DR76" s="276">
        <f>SUMIF('20Ф'!$H:$H,$B:$B,'20Ф'!AU:AU)*1.2</f>
        <v>0</v>
      </c>
      <c r="DS76" s="276">
        <f>SUMIF('20Ф'!$H:$H,$B:$B,'20Ф'!AS:AS)*1.2</f>
        <v>216510.93599999999</v>
      </c>
      <c r="DT76" s="276">
        <f>SUMIF('20Ф'!$H:$H,$B:$B,'20Ф'!AR:AR)*1.2</f>
        <v>0</v>
      </c>
      <c r="DU76" s="276">
        <f>SUMIF('20Ф'!$H:$H,$B:$B,'20Ф'!X:X)*1.2</f>
        <v>0</v>
      </c>
      <c r="DV76" s="276">
        <f>SUMIF('20Ф'!$H:$H,$B:$B,'20Ф'!AA:AA)*1.2</f>
        <v>0</v>
      </c>
      <c r="DW76" s="276">
        <f>SUMIF('20Ф'!$H:$H,$B:$B,'20Ф'!N:N)*1.2</f>
        <v>0</v>
      </c>
      <c r="DX76" s="276">
        <f>$D76/$D$281*('25Ф'!$D$37)</f>
        <v>227283.51577878822</v>
      </c>
      <c r="DY76" s="276">
        <f>$D76/$D$281*'25Ф'!$D$30</f>
        <v>7254.1763400112914</v>
      </c>
      <c r="DZ76" s="276">
        <f>$D76/$D$281*'25Ф'!$D$31</f>
        <v>3983.6043764102878</v>
      </c>
      <c r="EA76" s="276"/>
      <c r="EB76" s="276">
        <f t="shared" si="14"/>
        <v>143192.18216876654</v>
      </c>
      <c r="EC76" s="276">
        <f>$D76/$D$281*'26Ф'!$D$36</f>
        <v>74536.142288896212</v>
      </c>
      <c r="ED76" s="276">
        <f>$D76/$D$281*'26Ф'!$D$37</f>
        <v>8955.4378898590221</v>
      </c>
      <c r="EE76" s="276">
        <f>$D76/$D$281*'26Ф'!$D$38</f>
        <v>9047.2847176930863</v>
      </c>
      <c r="EF76" s="276">
        <f>$D76/$D$281*'26Ф'!$D$39</f>
        <v>6346.6619722185351</v>
      </c>
      <c r="EG76" s="276">
        <f>$D76/$D$281*'91Ф'!$D$10</f>
        <v>1957.9425788880903</v>
      </c>
      <c r="EH76" s="276">
        <f>$D76/$D$281*('20Ф'!$I$509+'26Ф'!$D$41+'20Ф'!$I$507)</f>
        <v>13851.799025659919</v>
      </c>
      <c r="EI76" s="276">
        <f>$D76/$D$281*'91Ф'!$D$31</f>
        <v>25392.382162130551</v>
      </c>
      <c r="EJ76" s="276">
        <f>$D76/$D$281*'20Ф'!$I$1316</f>
        <v>3104.5315334211396</v>
      </c>
      <c r="EK76" s="276">
        <f>$D76/$D$281*('20Ф'!$I$1105+'20Ф'!$I$1282+'91Ф'!$D$17+'91Ф'!$D$41)</f>
        <v>101956.2743165913</v>
      </c>
      <c r="EL76" s="276">
        <f>$D76/$D$281*отчёт!BX$294</f>
        <v>170439.79642051709</v>
      </c>
      <c r="EM76" s="276">
        <f>$D76/$D$281*отчёт!BY$294</f>
        <v>149892.65207766648</v>
      </c>
      <c r="EN76" s="276">
        <f>$D76/$D$283*отчёт!BZ$294</f>
        <v>26901.04549221701</v>
      </c>
      <c r="EO76" s="240">
        <f t="shared" si="11"/>
        <v>91391.128750498989</v>
      </c>
      <c r="EP76" s="276">
        <f>SUMIF('20Ф'!$H:$H,$B:$B,'20Ф'!T:T)*1.2</f>
        <v>2459.424</v>
      </c>
      <c r="EQ76" s="276">
        <f>SUM(H76:I76)/SUM($H$284:$I$284)*SUM('60Ф'!$O$155:$P$155)</f>
        <v>86255.130878243508</v>
      </c>
      <c r="ER76" s="276">
        <f>SUM($H76:$I76)/SUM($H$284:$I$284)*SUM('60Ф'!$P$227)</f>
        <v>2676.5738722554888</v>
      </c>
      <c r="ES76" s="239">
        <f t="shared" si="17"/>
        <v>57046.264776708063</v>
      </c>
      <c r="ET76" s="276">
        <f>$D76/$D$282*'20Ф'!$I$381</f>
        <v>4360.1006742125128</v>
      </c>
      <c r="EU76" s="276">
        <f>$D76/$D$282*('20Ф'!$I$75+'20Ф'!$I$1098)*1.2</f>
        <v>50361.098355342554</v>
      </c>
      <c r="EV76" s="276">
        <f>$D76/$D$282*('20Ф'!$I$1286)</f>
        <v>2325.0657471530012</v>
      </c>
      <c r="EW76" s="276">
        <f>SUMIF('91.1Ф'!$N:$N,$B:$B,'91.1Ф'!$F:$F)+$D76/$D$281*('91Ф'!$D$12+'91Ф'!$D$11+'91Ф'!$D$19+'91Ф'!$D$20)</f>
        <v>13437.338612436753</v>
      </c>
      <c r="EX76" s="276">
        <f t="shared" si="15"/>
        <v>20434.922468861139</v>
      </c>
      <c r="EY76" s="276">
        <f>SUMIF('20Ф'!$H:$H,$B:$B,'20Ф'!$AY:$AY)*1.2</f>
        <v>18397.007999999998</v>
      </c>
      <c r="EZ76" s="295">
        <f>D76/$D$286*'20Ф'!$I$1163</f>
        <v>2037.9144688611411</v>
      </c>
      <c r="FA76" s="277">
        <f>SUMIF(отчёт!$B:$B,$B:$B,отчёт!$CU:$CU)/отчёт!$CU$281*'20Ф'!$I$1341</f>
        <v>920.96385542168503</v>
      </c>
      <c r="FB76" s="276">
        <f>SUMIF(Сальдо!$A:$A,$B:$B,Сальдо!$H:$H)-SUMIF(Сальдо!$A:$A,$B:$B,Сальдо!$I:$I)</f>
        <v>158232.39000000001</v>
      </c>
    </row>
    <row r="77" spans="1:158" ht="12" customHeight="1" x14ac:dyDescent="0.25">
      <c r="A77" s="3">
        <f t="shared" si="18"/>
        <v>73</v>
      </c>
      <c r="B77" s="4" t="s">
        <v>123</v>
      </c>
      <c r="C77" s="4" t="s">
        <v>123</v>
      </c>
      <c r="D77" s="5">
        <v>2857.2</v>
      </c>
      <c r="E77" s="6">
        <v>2857.2</v>
      </c>
      <c r="F77" s="6">
        <v>0</v>
      </c>
      <c r="G77" s="6">
        <v>452.56</v>
      </c>
      <c r="H77" s="5">
        <f>SUMIF(отчёт!$B:$B,$B:$B,отчёт!I:I)</f>
        <v>1</v>
      </c>
      <c r="I77" s="5">
        <f>SUMIF(отчёт!$B:$B,$B:$B,отчёт!J:J)</f>
        <v>0</v>
      </c>
      <c r="J77" s="3" t="s">
        <v>114</v>
      </c>
      <c r="K77" s="105">
        <v>3</v>
      </c>
      <c r="L77" s="105" t="s">
        <v>52</v>
      </c>
      <c r="M77" s="7">
        <v>45.06</v>
      </c>
      <c r="N77" s="8">
        <v>5.0999999999999996</v>
      </c>
      <c r="O77" s="8">
        <v>8.6300000000000008</v>
      </c>
      <c r="P77" s="8">
        <v>13.43</v>
      </c>
      <c r="Q77" s="8">
        <v>6.91</v>
      </c>
      <c r="R77" s="8">
        <v>3.15</v>
      </c>
      <c r="S77" s="8">
        <v>1.81</v>
      </c>
      <c r="T77" s="8">
        <v>5.77</v>
      </c>
      <c r="U77" s="8">
        <v>0.26</v>
      </c>
      <c r="V77" s="9">
        <v>40</v>
      </c>
      <c r="W77" s="9">
        <v>40</v>
      </c>
      <c r="X77" s="9">
        <v>2604.04</v>
      </c>
      <c r="Y77" s="8">
        <v>195.98199600000001</v>
      </c>
      <c r="Z77" s="9">
        <v>42.3</v>
      </c>
      <c r="AA77" s="9">
        <v>2604.04</v>
      </c>
      <c r="AB77" s="8">
        <v>7.85</v>
      </c>
      <c r="AC77" s="10">
        <v>0</v>
      </c>
      <c r="AD77" s="8">
        <v>6.73</v>
      </c>
      <c r="AE77" s="8">
        <v>10.67</v>
      </c>
      <c r="AF77" s="8">
        <v>14</v>
      </c>
      <c r="AG77" s="7">
        <v>772472.59199999995</v>
      </c>
      <c r="AH77" s="8">
        <v>87430.319999999978</v>
      </c>
      <c r="AI77" s="8">
        <v>147945.81600000002</v>
      </c>
      <c r="AJ77" s="8">
        <v>230233.17599999998</v>
      </c>
      <c r="AK77" s="8">
        <v>118459.512</v>
      </c>
      <c r="AL77" s="8">
        <v>54001.079999999987</v>
      </c>
      <c r="AM77" s="8">
        <v>31029.192000000003</v>
      </c>
      <c r="AN77" s="8">
        <v>98916.263999999996</v>
      </c>
      <c r="AO77" s="8">
        <v>4457.232</v>
      </c>
      <c r="AQ77" s="104">
        <v>48.44</v>
      </c>
      <c r="AR77" s="375">
        <v>18.489999999999998</v>
      </c>
      <c r="AS77" s="376"/>
      <c r="AT77" s="104">
        <v>6.67</v>
      </c>
      <c r="AU77" s="104">
        <v>1.53</v>
      </c>
      <c r="AV77" s="104">
        <v>0.32</v>
      </c>
      <c r="AW77" s="104">
        <v>0.87</v>
      </c>
      <c r="AX77" s="104">
        <v>5.01</v>
      </c>
      <c r="AY77" s="104">
        <v>4.99</v>
      </c>
      <c r="AZ77" s="104">
        <v>2.7</v>
      </c>
      <c r="BA77" s="104">
        <v>6.46</v>
      </c>
      <c r="BB77" s="104">
        <v>0.47</v>
      </c>
      <c r="BC77" s="101">
        <v>0.93</v>
      </c>
      <c r="BD77" s="104">
        <v>54.88252</v>
      </c>
      <c r="BE77" s="375">
        <v>20.949169999999999</v>
      </c>
      <c r="BF77" s="376">
        <v>0</v>
      </c>
      <c r="BG77" s="104">
        <v>7.5571100000000007</v>
      </c>
      <c r="BH77" s="104">
        <v>1.7334900000000002</v>
      </c>
      <c r="BI77" s="104">
        <v>0.36256000000000005</v>
      </c>
      <c r="BJ77" s="104">
        <v>0.98571000000000009</v>
      </c>
      <c r="BK77" s="104">
        <v>5.6763300000000001</v>
      </c>
      <c r="BL77" s="104">
        <v>5.65367</v>
      </c>
      <c r="BM77" s="104">
        <v>3.0591000000000004</v>
      </c>
      <c r="BN77" s="104">
        <v>7.3191800000000002</v>
      </c>
      <c r="BO77" s="104">
        <v>0.53250999999999993</v>
      </c>
      <c r="BP77" s="101">
        <v>1.05369</v>
      </c>
      <c r="BQ77" s="103">
        <v>1844908.8974399997</v>
      </c>
      <c r="BR77" s="371">
        <v>704218.94123999984</v>
      </c>
      <c r="BS77" s="371">
        <v>0</v>
      </c>
      <c r="BT77" s="103">
        <v>254036.79491999999</v>
      </c>
      <c r="BU77" s="103">
        <v>58272.308279999997</v>
      </c>
      <c r="BV77" s="103">
        <v>12187.67232</v>
      </c>
      <c r="BW77" s="103">
        <v>33135.234120000001</v>
      </c>
      <c r="BX77" s="103">
        <v>190813.24475999997</v>
      </c>
      <c r="BY77" s="103">
        <v>190051.51523999998</v>
      </c>
      <c r="BZ77" s="103">
        <v>102833.48520000001</v>
      </c>
      <c r="CA77" s="103">
        <v>246038.63496</v>
      </c>
      <c r="CB77" s="103">
        <v>17900.643719999996</v>
      </c>
      <c r="CC77" s="103">
        <v>35420.422679999996</v>
      </c>
      <c r="CD77" s="1">
        <v>1</v>
      </c>
      <c r="CF77" s="277">
        <f>SUMIF(Оборот!$A:$A,$B:$B,Оборот!H:H)</f>
        <v>1582795.5799999998</v>
      </c>
      <c r="CG77" s="277">
        <f>SUMIF(Оборот!$A:$A,$B:$B,Оборот!I:I)</f>
        <v>1531264.4199999997</v>
      </c>
      <c r="CH77" s="277">
        <f t="shared" si="12"/>
        <v>1535262.5345086756</v>
      </c>
      <c r="CI77" s="239">
        <f t="shared" si="16"/>
        <v>414635.77475770883</v>
      </c>
      <c r="CJ77" s="276">
        <f>SUMIF('20Ф'!$H:$H,$B:$B,'20Ф'!M:M)*1.2</f>
        <v>0</v>
      </c>
      <c r="CK77" s="276">
        <f>SUMIF('20Ф'!$H:$H,$B:$B,'20Ф'!O:O)*1.2</f>
        <v>0</v>
      </c>
      <c r="CL77" s="276">
        <f>SUMIF('20Ф'!$H:$H,$B:$B,'20Ф'!Q:Q)*1.2</f>
        <v>0</v>
      </c>
      <c r="CM77" s="276">
        <f>SUMIF('20Ф'!$H:$H,$B:$B,'20Ф'!R:R)*1.2</f>
        <v>0</v>
      </c>
      <c r="CN77" s="276">
        <f>SUMIF('20Ф'!$H:$H,$B:$B,'20Ф'!S:S)*1.2</f>
        <v>0</v>
      </c>
      <c r="CO77" s="276">
        <f>SUMIF('20Ф'!$H:$H,$B:$B,'20Ф'!W:W)*1.2</f>
        <v>0</v>
      </c>
      <c r="CP77" s="276">
        <f>SUMIF('20Ф'!$H:$H,$B:$B,'20Ф'!P:P)*1.2</f>
        <v>0</v>
      </c>
      <c r="CQ77" s="276">
        <f>SUMIF('20Ф'!$H:$H,$B:$B,'20Ф'!Y:Y)*1.2</f>
        <v>0</v>
      </c>
      <c r="CR77" s="276">
        <f>SUMIF('20Ф'!$H:$H,$B:$B,'20Ф'!Z:Z)*1.2</f>
        <v>0</v>
      </c>
      <c r="CS77" s="276">
        <f>SUMIF('20Ф'!$H:$H,$B:$B,'20Ф'!AB:AB)*1.2</f>
        <v>0</v>
      </c>
      <c r="CT77" s="276">
        <f>SUMIF('20Ф'!$H:$H,$B:$B,'20Ф'!AC:AC)*1.2</f>
        <v>0</v>
      </c>
      <c r="CU77" s="276">
        <f>SUMIF('20Ф'!$H:$H,$B:$B,'20Ф'!AD:AD)*1.2</f>
        <v>0</v>
      </c>
      <c r="CV77" s="276">
        <f>SUMIF('20Ф'!$H:$H,$B:$B,'20Ф'!AE:AE)*1.2</f>
        <v>0</v>
      </c>
      <c r="CW77" s="276">
        <f>SUMIF('20Ф'!$H:$H,$B:$B,'20Ф'!AF:AF)*1.2</f>
        <v>0</v>
      </c>
      <c r="CX77" s="276">
        <f>SUMIF('20Ф'!$H:$H,$B:$B,'20Ф'!AG:AG)*1.2</f>
        <v>0</v>
      </c>
      <c r="CY77" s="276">
        <f>SUMIF('20Ф'!$H:$H,$B:$B,'20Ф'!AH:AH)*1.2</f>
        <v>0</v>
      </c>
      <c r="CZ77" s="276">
        <f>SUMIF('20Ф'!$H:$H,$B:$B,'20Ф'!AI:AI)*1.2</f>
        <v>0</v>
      </c>
      <c r="DA77" s="276">
        <f>SUMIF('20Ф'!$H:$H,$B:$B,'20Ф'!AJ:AJ)*1.2</f>
        <v>40776.203999999998</v>
      </c>
      <c r="DB77" s="276">
        <f>SUMIF('20Ф'!$H:$H,$B:$B,'20Ф'!AK:AK)*1.2</f>
        <v>0</v>
      </c>
      <c r="DC77" s="276">
        <f>SUMIF('20Ф'!$H:$H,$B:$B,'20Ф'!AL:AL)*1.2</f>
        <v>348729.54</v>
      </c>
      <c r="DD77" s="276">
        <f>SUMIF('20Ф'!$H:$H,$B:$B,'20Ф'!AM:AM)*1.2</f>
        <v>0</v>
      </c>
      <c r="DE77" s="276">
        <f>SUMIF('20Ф'!$H:$H,$B:$B,'20Ф'!AN:AN)*1.2</f>
        <v>0</v>
      </c>
      <c r="DF77" s="276">
        <f>SUMIF('20Ф'!$H:$H,$B:$B,'20Ф'!AO:AO)*1.2</f>
        <v>0</v>
      </c>
      <c r="DG77" s="276">
        <f>SUMIF('20Ф'!$H:$H,$B:$B,'20Ф'!AP:AP)*1.2</f>
        <v>0</v>
      </c>
      <c r="DH77" s="276">
        <f>SUMIF('20Ф'!$H:$H,$B:$B,'20Ф'!AQ:AQ)*1.2</f>
        <v>0</v>
      </c>
      <c r="DI77" s="276">
        <f>SUMIF('20Ф'!$H:$H,$B:$B,'20Ф'!BA:BA)*1.2</f>
        <v>0</v>
      </c>
      <c r="DJ77" s="276">
        <f>SUMIF('20Ф'!$H:$H,$B:$B,'20Ф'!BB:BB)*1.2</f>
        <v>0</v>
      </c>
      <c r="DK77" s="276">
        <f>SUMIF('20Ф'!$H:$H,$B:$B,'20Ф'!BC:BC)*1.2</f>
        <v>0</v>
      </c>
      <c r="DL77" s="276">
        <f>$D77/$D$281*'20Ф'!$H$218</f>
        <v>25130.030757708886</v>
      </c>
      <c r="DM77" s="240">
        <f t="shared" si="13"/>
        <v>331030.50196923508</v>
      </c>
      <c r="DN77" s="276">
        <f>SUMIF('20Ф'!$H:$H,$B:$B,'20Ф'!AV:AV)*1.2</f>
        <v>0</v>
      </c>
      <c r="DO77" s="276">
        <f>SUMIF('20Ф'!$H:$H,$B:$B,'20Ф'!AW:AW)*1.2+$D77/$D$281*'26Ф'!$D$42</f>
        <v>13372.901535135665</v>
      </c>
      <c r="DP77" s="276">
        <f>SUMIF('20Ф'!$H:$H,$B:$B,'20Ф'!AX:AX)*1.2</f>
        <v>0</v>
      </c>
      <c r="DQ77" s="276">
        <f>SUMIF('20Ф'!$H:$H,$B:$B,'20Ф'!AY:AY)*1.2</f>
        <v>38161.008000000002</v>
      </c>
      <c r="DR77" s="276">
        <f>SUMIF('20Ф'!$H:$H,$B:$B,'20Ф'!AU:AU)*1.2</f>
        <v>0</v>
      </c>
      <c r="DS77" s="276">
        <f>SUMIF('20Ф'!$H:$H,$B:$B,'20Ф'!AS:AS)*1.2</f>
        <v>43600.764000000003</v>
      </c>
      <c r="DT77" s="276">
        <f>SUMIF('20Ф'!$H:$H,$B:$B,'20Ф'!AR:AR)*1.2</f>
        <v>0</v>
      </c>
      <c r="DU77" s="276">
        <f>SUMIF('20Ф'!$H:$H,$B:$B,'20Ф'!X:X)*1.2</f>
        <v>0</v>
      </c>
      <c r="DV77" s="276">
        <f>SUMIF('20Ф'!$H:$H,$B:$B,'20Ф'!AA:AA)*1.2</f>
        <v>0</v>
      </c>
      <c r="DW77" s="276">
        <f>SUMIF('20Ф'!$H:$H,$B:$B,'20Ф'!N:N)*1.2</f>
        <v>0</v>
      </c>
      <c r="DX77" s="276">
        <f>$D77/$D$281*('25Ф'!$D$37)</f>
        <v>224781.74499243806</v>
      </c>
      <c r="DY77" s="276">
        <f>$D77/$D$281*'25Ф'!$D$30</f>
        <v>7174.3276700173965</v>
      </c>
      <c r="DZ77" s="276">
        <f>$D77/$D$281*'25Ф'!$D$31</f>
        <v>3939.7557716439851</v>
      </c>
      <c r="EA77" s="276"/>
      <c r="EB77" s="276">
        <f t="shared" si="14"/>
        <v>141616.0273079265</v>
      </c>
      <c r="EC77" s="276">
        <f>$D77/$D$281*'26Ф'!$D$36</f>
        <v>73715.702924137833</v>
      </c>
      <c r="ED77" s="276">
        <f>$D77/$D$281*'26Ф'!$D$37</f>
        <v>8856.8629764296275</v>
      </c>
      <c r="EE77" s="276">
        <f>$D77/$D$281*'26Ф'!$D$38</f>
        <v>8947.6988215274068</v>
      </c>
      <c r="EF77" s="276">
        <f>$D77/$D$281*'26Ф'!$D$39</f>
        <v>6276.8025569480078</v>
      </c>
      <c r="EG77" s="276">
        <f>$D77/$D$281*'91Ф'!$D$10</f>
        <v>1936.390978331274</v>
      </c>
      <c r="EH77" s="276">
        <f>$D77/$D$281*('20Ф'!$I$509+'26Ф'!$D$41+'20Ф'!$I$507)</f>
        <v>13699.328548326588</v>
      </c>
      <c r="EI77" s="276">
        <f>$D77/$D$281*'91Ф'!$D$31</f>
        <v>25112.881382360469</v>
      </c>
      <c r="EJ77" s="276">
        <f>$D77/$D$281*'20Ф'!$I$1316</f>
        <v>3070.3591198653094</v>
      </c>
      <c r="EK77" s="276">
        <f>$D77/$D$281*('20Ф'!$I$1105+'20Ф'!$I$1282+'91Ф'!$D$17+'91Ф'!$D$41)</f>
        <v>100834.01418392682</v>
      </c>
      <c r="EL77" s="276">
        <f>$D77/$D$281*отчёт!BX$294</f>
        <v>168563.71974132964</v>
      </c>
      <c r="EM77" s="276">
        <f>$D77/$D$281*отчёт!BY$294</f>
        <v>148242.74334243979</v>
      </c>
      <c r="EN77" s="276">
        <f>$D77/$D$283*отчёт!BZ$294</f>
        <v>26604.938449415862</v>
      </c>
      <c r="EO77" s="240">
        <f t="shared" si="11"/>
        <v>93850.552750498988</v>
      </c>
      <c r="EP77" s="276">
        <f>SUMIF('20Ф'!$H:$H,$B:$B,'20Ф'!T:T)*1.2</f>
        <v>4918.848</v>
      </c>
      <c r="EQ77" s="276">
        <f>SUM(H77:I77)/SUM($H$284:$I$284)*SUM('60Ф'!$O$155:$P$155)</f>
        <v>86255.130878243508</v>
      </c>
      <c r="ER77" s="276">
        <f>SUM($H77:$I77)/SUM($H$284:$I$284)*SUM('60Ф'!$P$227)</f>
        <v>2676.5738722554888</v>
      </c>
      <c r="ES77" s="239">
        <f t="shared" si="17"/>
        <v>56418.341197649803</v>
      </c>
      <c r="ET77" s="276">
        <f>$D77/$D$282*'20Ф'!$I$381</f>
        <v>4312.1078734371722</v>
      </c>
      <c r="EU77" s="276">
        <f>$D77/$D$282*('20Ф'!$I$75+'20Ф'!$I$1098)*1.2</f>
        <v>49806.760201067751</v>
      </c>
      <c r="EV77" s="276">
        <f>$D77/$D$282*('20Ф'!$I$1286)</f>
        <v>2299.4731231448791</v>
      </c>
      <c r="EW77" s="276">
        <f>SUMIF('91.1Ф'!$N:$N,$B:$B,'91.1Ф'!$F:$F)+$D77/$D$281*('91Ф'!$D$12+'91Ф'!$D$11+'91Ф'!$D$19+'91Ф'!$D$20)</f>
        <v>13289.430212341393</v>
      </c>
      <c r="EX77" s="276">
        <f t="shared" si="15"/>
        <v>40176.490596202857</v>
      </c>
      <c r="EY77" s="276">
        <f>SUMIF('20Ф'!$H:$H,$B:$B,'20Ф'!$AY:$AY)*1.2</f>
        <v>38161.008000000002</v>
      </c>
      <c r="EZ77" s="295">
        <f>D77/$D$286*'20Ф'!$I$1163</f>
        <v>2015.4825962028563</v>
      </c>
      <c r="FA77" s="277">
        <f>SUMIF(отчёт!$B:$B,$B:$B,отчёт!$CU:$CU)/отчёт!$CU$281*'20Ф'!$I$1341</f>
        <v>920.96385542168503</v>
      </c>
      <c r="FB77" s="276">
        <f>SUMIF(Сальдо!$A:$A,$B:$B,Сальдо!$H:$H)-SUMIF(Сальдо!$A:$A,$B:$B,Сальдо!$I:$I)</f>
        <v>373574.81</v>
      </c>
    </row>
    <row r="78" spans="1:158" ht="12" customHeight="1" x14ac:dyDescent="0.25">
      <c r="A78" s="3">
        <f t="shared" si="18"/>
        <v>74</v>
      </c>
      <c r="B78" s="4" t="s">
        <v>124</v>
      </c>
      <c r="C78" s="4" t="s">
        <v>124</v>
      </c>
      <c r="D78" s="5">
        <v>3103.7</v>
      </c>
      <c r="E78" s="6">
        <v>3103.7</v>
      </c>
      <c r="F78" s="6">
        <v>0</v>
      </c>
      <c r="G78" s="6">
        <v>798.9</v>
      </c>
      <c r="H78" s="5">
        <f>SUMIF(отчёт!$B:$B,$B:$B,отчёт!I:I)</f>
        <v>2</v>
      </c>
      <c r="I78" s="5">
        <f>SUMIF(отчёт!$B:$B,$B:$B,отчёт!J:J)</f>
        <v>0</v>
      </c>
      <c r="J78" s="3" t="s">
        <v>114</v>
      </c>
      <c r="K78" s="105">
        <v>3</v>
      </c>
      <c r="L78" s="105" t="s">
        <v>52</v>
      </c>
      <c r="M78" s="7">
        <v>45.06</v>
      </c>
      <c r="N78" s="8">
        <v>5.0999999999999996</v>
      </c>
      <c r="O78" s="8">
        <v>8.6300000000000008</v>
      </c>
      <c r="P78" s="8">
        <v>13.43</v>
      </c>
      <c r="Q78" s="8">
        <v>6.91</v>
      </c>
      <c r="R78" s="8">
        <v>3.15</v>
      </c>
      <c r="S78" s="8">
        <v>1.81</v>
      </c>
      <c r="T78" s="8">
        <v>5.77</v>
      </c>
      <c r="U78" s="8">
        <v>0.26</v>
      </c>
      <c r="V78" s="9">
        <v>40</v>
      </c>
      <c r="W78" s="9">
        <v>40</v>
      </c>
      <c r="X78" s="9">
        <v>2604.04</v>
      </c>
      <c r="Y78" s="8">
        <v>195.98199600000001</v>
      </c>
      <c r="Z78" s="9">
        <v>42.3</v>
      </c>
      <c r="AA78" s="9">
        <v>2604.04</v>
      </c>
      <c r="AB78" s="8">
        <v>7.85</v>
      </c>
      <c r="AC78" s="10">
        <v>0</v>
      </c>
      <c r="AD78" s="8">
        <v>6.73</v>
      </c>
      <c r="AE78" s="8">
        <v>10.67</v>
      </c>
      <c r="AF78" s="8">
        <v>14</v>
      </c>
      <c r="AG78" s="7">
        <v>839116.33200000005</v>
      </c>
      <c r="AH78" s="8">
        <v>94973.219999999987</v>
      </c>
      <c r="AI78" s="8">
        <v>160709.58600000001</v>
      </c>
      <c r="AJ78" s="8">
        <v>250096.14600000001</v>
      </c>
      <c r="AK78" s="8">
        <v>128679.402</v>
      </c>
      <c r="AL78" s="8">
        <v>58659.929999999993</v>
      </c>
      <c r="AM78" s="8">
        <v>33706.182000000001</v>
      </c>
      <c r="AN78" s="8">
        <v>107450.09399999998</v>
      </c>
      <c r="AO78" s="8">
        <v>4841.7719999999999</v>
      </c>
      <c r="AQ78" s="104">
        <v>48.44</v>
      </c>
      <c r="AR78" s="375">
        <v>18.489999999999998</v>
      </c>
      <c r="AS78" s="376"/>
      <c r="AT78" s="104">
        <v>6.67</v>
      </c>
      <c r="AU78" s="104">
        <v>1.53</v>
      </c>
      <c r="AV78" s="104">
        <v>0.32</v>
      </c>
      <c r="AW78" s="104">
        <v>0.87</v>
      </c>
      <c r="AX78" s="104">
        <v>5.01</v>
      </c>
      <c r="AY78" s="104">
        <v>4.99</v>
      </c>
      <c r="AZ78" s="104">
        <v>2.7</v>
      </c>
      <c r="BA78" s="104">
        <v>6.46</v>
      </c>
      <c r="BB78" s="104">
        <v>0.47</v>
      </c>
      <c r="BC78" s="101">
        <v>0.93</v>
      </c>
      <c r="BD78" s="104">
        <v>54.88252</v>
      </c>
      <c r="BE78" s="375">
        <v>20.949169999999999</v>
      </c>
      <c r="BF78" s="376">
        <v>0</v>
      </c>
      <c r="BG78" s="104">
        <v>7.5571100000000007</v>
      </c>
      <c r="BH78" s="104">
        <v>1.7334900000000002</v>
      </c>
      <c r="BI78" s="104">
        <v>0.36256000000000005</v>
      </c>
      <c r="BJ78" s="104">
        <v>0.98571000000000009</v>
      </c>
      <c r="BK78" s="104">
        <v>5.6763300000000001</v>
      </c>
      <c r="BL78" s="104">
        <v>5.65367</v>
      </c>
      <c r="BM78" s="104">
        <v>3.0591000000000004</v>
      </c>
      <c r="BN78" s="104">
        <v>7.3191800000000002</v>
      </c>
      <c r="BO78" s="104">
        <v>0.53250999999999993</v>
      </c>
      <c r="BP78" s="101">
        <v>1.05369</v>
      </c>
      <c r="BQ78" s="103">
        <v>2004075.2292399998</v>
      </c>
      <c r="BR78" s="371">
        <v>764974.21528999985</v>
      </c>
      <c r="BS78" s="371">
        <v>0</v>
      </c>
      <c r="BT78" s="103">
        <v>275953.38107</v>
      </c>
      <c r="BU78" s="103">
        <v>63299.651129999998</v>
      </c>
      <c r="BV78" s="103">
        <v>13239.14272</v>
      </c>
      <c r="BW78" s="103">
        <v>35993.919269999999</v>
      </c>
      <c r="BX78" s="103">
        <v>207275.32820999998</v>
      </c>
      <c r="BY78" s="103">
        <v>206447.88178999998</v>
      </c>
      <c r="BZ78" s="103">
        <v>111705.26670000001</v>
      </c>
      <c r="CA78" s="103">
        <v>267265.19365999999</v>
      </c>
      <c r="CB78" s="103">
        <v>19444.990869999994</v>
      </c>
      <c r="CC78" s="103">
        <v>38476.258529999992</v>
      </c>
      <c r="CD78" s="1">
        <v>1</v>
      </c>
      <c r="CF78" s="277">
        <f>SUMIF(Оборот!$A:$A,$B:$B,Оборот!H:H)</f>
        <v>1718209.9999999998</v>
      </c>
      <c r="CG78" s="277">
        <f>SUMIF(Оборот!$A:$A,$B:$B,Оборот!I:I)</f>
        <v>1832397.96</v>
      </c>
      <c r="CH78" s="277">
        <f t="shared" si="12"/>
        <v>1316485.6039719672</v>
      </c>
      <c r="CI78" s="239">
        <f t="shared" si="16"/>
        <v>27298.080800329371</v>
      </c>
      <c r="CJ78" s="276">
        <f>SUMIF('20Ф'!$H:$H,$B:$B,'20Ф'!M:M)*1.2</f>
        <v>0</v>
      </c>
      <c r="CK78" s="276">
        <f>SUMIF('20Ф'!$H:$H,$B:$B,'20Ф'!O:O)*1.2</f>
        <v>0</v>
      </c>
      <c r="CL78" s="276">
        <f>SUMIF('20Ф'!$H:$H,$B:$B,'20Ф'!Q:Q)*1.2</f>
        <v>0</v>
      </c>
      <c r="CM78" s="276">
        <f>SUMIF('20Ф'!$H:$H,$B:$B,'20Ф'!R:R)*1.2</f>
        <v>0</v>
      </c>
      <c r="CN78" s="276">
        <f>SUMIF('20Ф'!$H:$H,$B:$B,'20Ф'!S:S)*1.2</f>
        <v>0</v>
      </c>
      <c r="CO78" s="276">
        <f>SUMIF('20Ф'!$H:$H,$B:$B,'20Ф'!W:W)*1.2</f>
        <v>0</v>
      </c>
      <c r="CP78" s="276">
        <f>SUMIF('20Ф'!$H:$H,$B:$B,'20Ф'!P:P)*1.2</f>
        <v>0</v>
      </c>
      <c r="CQ78" s="276">
        <f>SUMIF('20Ф'!$H:$H,$B:$B,'20Ф'!Y:Y)*1.2</f>
        <v>0</v>
      </c>
      <c r="CR78" s="276">
        <f>SUMIF('20Ф'!$H:$H,$B:$B,'20Ф'!Z:Z)*1.2</f>
        <v>0</v>
      </c>
      <c r="CS78" s="276">
        <f>SUMIF('20Ф'!$H:$H,$B:$B,'20Ф'!AB:AB)*1.2</f>
        <v>0</v>
      </c>
      <c r="CT78" s="276">
        <f>SUMIF('20Ф'!$H:$H,$B:$B,'20Ф'!AC:AC)*1.2</f>
        <v>0</v>
      </c>
      <c r="CU78" s="276">
        <f>SUMIF('20Ф'!$H:$H,$B:$B,'20Ф'!AD:AD)*1.2</f>
        <v>0</v>
      </c>
      <c r="CV78" s="276">
        <f>SUMIF('20Ф'!$H:$H,$B:$B,'20Ф'!AE:AE)*1.2</f>
        <v>0</v>
      </c>
      <c r="CW78" s="276">
        <f>SUMIF('20Ф'!$H:$H,$B:$B,'20Ф'!AF:AF)*1.2</f>
        <v>0</v>
      </c>
      <c r="CX78" s="276">
        <f>SUMIF('20Ф'!$H:$H,$B:$B,'20Ф'!AG:AG)*1.2</f>
        <v>0</v>
      </c>
      <c r="CY78" s="276">
        <f>SUMIF('20Ф'!$H:$H,$B:$B,'20Ф'!AH:AH)*1.2</f>
        <v>0</v>
      </c>
      <c r="CZ78" s="276">
        <f>SUMIF('20Ф'!$H:$H,$B:$B,'20Ф'!AI:AI)*1.2</f>
        <v>0</v>
      </c>
      <c r="DA78" s="276">
        <f>SUMIF('20Ф'!$H:$H,$B:$B,'20Ф'!AJ:AJ)*1.2</f>
        <v>0</v>
      </c>
      <c r="DB78" s="276">
        <f>SUMIF('20Ф'!$H:$H,$B:$B,'20Ф'!AK:AK)*1.2</f>
        <v>0</v>
      </c>
      <c r="DC78" s="276">
        <f>SUMIF('20Ф'!$H:$H,$B:$B,'20Ф'!AL:AL)*1.2</f>
        <v>0</v>
      </c>
      <c r="DD78" s="276">
        <f>SUMIF('20Ф'!$H:$H,$B:$B,'20Ф'!AM:AM)*1.2</f>
        <v>0</v>
      </c>
      <c r="DE78" s="276">
        <f>SUMIF('20Ф'!$H:$H,$B:$B,'20Ф'!AN:AN)*1.2</f>
        <v>0</v>
      </c>
      <c r="DF78" s="276">
        <f>SUMIF('20Ф'!$H:$H,$B:$B,'20Ф'!AO:AO)*1.2</f>
        <v>0</v>
      </c>
      <c r="DG78" s="276">
        <f>SUMIF('20Ф'!$H:$H,$B:$B,'20Ф'!AP:AP)*1.2</f>
        <v>0</v>
      </c>
      <c r="DH78" s="276">
        <f>SUMIF('20Ф'!$H:$H,$B:$B,'20Ф'!AQ:AQ)*1.2</f>
        <v>0</v>
      </c>
      <c r="DI78" s="276">
        <f>SUMIF('20Ф'!$H:$H,$B:$B,'20Ф'!BA:BA)*1.2</f>
        <v>0</v>
      </c>
      <c r="DJ78" s="276">
        <f>SUMIF('20Ф'!$H:$H,$B:$B,'20Ф'!BB:BB)*1.2</f>
        <v>0</v>
      </c>
      <c r="DK78" s="276">
        <f>SUMIF('20Ф'!$H:$H,$B:$B,'20Ф'!BC:BC)*1.2</f>
        <v>0</v>
      </c>
      <c r="DL78" s="276">
        <f>$D78/$D$281*'20Ф'!$H$218</f>
        <v>27298.080800329371</v>
      </c>
      <c r="DM78" s="240">
        <f t="shared" si="13"/>
        <v>372122.14354273945</v>
      </c>
      <c r="DN78" s="276">
        <f>SUMIF('20Ф'!$H:$H,$B:$B,'20Ф'!AV:AV)*1.2</f>
        <v>0</v>
      </c>
      <c r="DO78" s="276">
        <f>SUMIF('20Ф'!$H:$H,$B:$B,'20Ф'!AW:AW)*1.2+$D78/$D$281*'26Ф'!$D$42</f>
        <v>14526.625540599387</v>
      </c>
      <c r="DP78" s="276">
        <f>SUMIF('20Ф'!$H:$H,$B:$B,'20Ф'!AX:AX)*1.2</f>
        <v>0</v>
      </c>
      <c r="DQ78" s="276">
        <f>SUMIF('20Ф'!$H:$H,$B:$B,'20Ф'!AY:AY)*1.2</f>
        <v>19693.007999999998</v>
      </c>
      <c r="DR78" s="276">
        <f>SUMIF('20Ф'!$H:$H,$B:$B,'20Ф'!AU:AU)*1.2</f>
        <v>0</v>
      </c>
      <c r="DS78" s="276">
        <f>SUMIF('20Ф'!$H:$H,$B:$B,'20Ф'!AS:AS)*1.2</f>
        <v>81655.175999999992</v>
      </c>
      <c r="DT78" s="276">
        <f>SUMIF('20Ф'!$H:$H,$B:$B,'20Ф'!AR:AR)*1.2</f>
        <v>0</v>
      </c>
      <c r="DU78" s="276">
        <f>SUMIF('20Ф'!$H:$H,$B:$B,'20Ф'!X:X)*1.2</f>
        <v>0</v>
      </c>
      <c r="DV78" s="276">
        <f>SUMIF('20Ф'!$H:$H,$B:$B,'20Ф'!AA:AA)*1.2</f>
        <v>0</v>
      </c>
      <c r="DW78" s="276">
        <f>SUMIF('20Ф'!$H:$H,$B:$B,'20Ф'!N:N)*1.2</f>
        <v>0</v>
      </c>
      <c r="DX78" s="276">
        <f>$D78/$D$281*('25Ф'!$D$37)</f>
        <v>244174.40218851677</v>
      </c>
      <c r="DY78" s="276">
        <f>$D78/$D$281*'25Ф'!$D$30</f>
        <v>7793.2804106933345</v>
      </c>
      <c r="DZ78" s="276">
        <f>$D78/$D$281*'25Ф'!$D$31</f>
        <v>4279.6514029299442</v>
      </c>
      <c r="EA78" s="276"/>
      <c r="EB78" s="276">
        <f t="shared" si="14"/>
        <v>153833.7057103499</v>
      </c>
      <c r="EC78" s="276">
        <f>$D78/$D$281*'26Ф'!$D$36</f>
        <v>80075.398000016328</v>
      </c>
      <c r="ED78" s="276">
        <f>$D78/$D$281*'26Ф'!$D$37</f>
        <v>9620.9735475096732</v>
      </c>
      <c r="EE78" s="276">
        <f>$D78/$D$281*'26Ф'!$D$38</f>
        <v>9719.6460984091482</v>
      </c>
      <c r="EF78" s="276">
        <f>$D78/$D$281*'26Ф'!$D$39</f>
        <v>6818.3228671424949</v>
      </c>
      <c r="EG78" s="276">
        <f>$D78/$D$281*'91Ф'!$D$10</f>
        <v>2103.4497688109955</v>
      </c>
      <c r="EH78" s="276">
        <f>$D78/$D$281*('20Ф'!$I$509+'26Ф'!$D$41+'20Ф'!$I$507)</f>
        <v>14881.21448111481</v>
      </c>
      <c r="EI78" s="276">
        <f>$D78/$D$281*'91Ф'!$D$31</f>
        <v>27279.451892213427</v>
      </c>
      <c r="EJ78" s="276">
        <f>$D78/$D$281*'20Ф'!$I$1316</f>
        <v>3335.2490551329838</v>
      </c>
      <c r="EK78" s="276">
        <f>$D78/$D$281*('20Ф'!$I$1105+'20Ф'!$I$1282+'91Ф'!$D$17+'91Ф'!$D$41)</f>
        <v>109533.29477203336</v>
      </c>
      <c r="EL78" s="276">
        <f>$D78/$D$281*отчёт!BX$294</f>
        <v>183106.26381113147</v>
      </c>
      <c r="EM78" s="276">
        <f>$D78/$D$281*отчёт!BY$294</f>
        <v>161032.13023657093</v>
      </c>
      <c r="EN78" s="276">
        <f>$D78/$D$283*отчёт!BZ$294</f>
        <v>28900.233608236042</v>
      </c>
      <c r="EO78" s="240">
        <f t="shared" si="11"/>
        <v>183055.68950099801</v>
      </c>
      <c r="EP78" s="276">
        <f>SUMIF('20Ф'!$H:$H,$B:$B,'20Ф'!T:T)*1.2</f>
        <v>5192.28</v>
      </c>
      <c r="EQ78" s="276">
        <f>SUM(H78:I78)/SUM($H$284:$I$284)*SUM('60Ф'!$O$155:$P$155)</f>
        <v>172510.26175648702</v>
      </c>
      <c r="ER78" s="276">
        <f>SUM($H78:$I78)/SUM($H$284:$I$284)*SUM('60Ф'!$P$227)</f>
        <v>5353.1477445109776</v>
      </c>
      <c r="ES78" s="239">
        <f t="shared" si="17"/>
        <v>61285.736236576267</v>
      </c>
      <c r="ET78" s="276">
        <f>$D78/$D$282*'20Ф'!$I$381</f>
        <v>4684.1275398246362</v>
      </c>
      <c r="EU78" s="276">
        <f>$D78/$D$282*('20Ф'!$I$75+'20Ф'!$I$1098)*1.2</f>
        <v>54103.752497568945</v>
      </c>
      <c r="EV78" s="276">
        <f>$D78/$D$282*('20Ф'!$I$1286)</f>
        <v>2497.8561991826828</v>
      </c>
      <c r="EW78" s="276">
        <f>SUMIF('91.1Ф'!$N:$N,$B:$B,'91.1Ф'!$F:$F)+$D78/$D$281*('91Ф'!$D$12+'91Ф'!$D$11+'91Ф'!$D$19+'91Ф'!$D$20)</f>
        <v>14435.952873457927</v>
      </c>
      <c r="EX78" s="276">
        <f t="shared" si="15"/>
        <v>21882.37287954459</v>
      </c>
      <c r="EY78" s="276">
        <f>SUMIF('20Ф'!$H:$H,$B:$B,'20Ф'!$AY:$AY)*1.2</f>
        <v>19693.007999999998</v>
      </c>
      <c r="EZ78" s="295">
        <f>D78/$D$286*'20Ф'!$I$1163</f>
        <v>2189.3648795445906</v>
      </c>
      <c r="FA78" s="277">
        <f>SUMIF(отчёт!$B:$B,$B:$B,отчёт!$CU:$CU)/отчёт!$CU$281*'20Ф'!$I$1341</f>
        <v>1841.9277108433701</v>
      </c>
      <c r="FB78" s="276">
        <f>SUMIF(Сальдо!$A:$A,$B:$B,Сальдо!$H:$H)-SUMIF(Сальдо!$A:$A,$B:$B,Сальдо!$I:$I)</f>
        <v>709647.46</v>
      </c>
    </row>
    <row r="79" spans="1:158" ht="12" customHeight="1" x14ac:dyDescent="0.25">
      <c r="A79" s="3">
        <f t="shared" si="18"/>
        <v>75</v>
      </c>
      <c r="B79" s="4" t="s">
        <v>125</v>
      </c>
      <c r="C79" s="4" t="s">
        <v>125</v>
      </c>
      <c r="D79" s="5">
        <v>3039</v>
      </c>
      <c r="E79" s="6">
        <v>3039</v>
      </c>
      <c r="F79" s="6">
        <v>0</v>
      </c>
      <c r="G79" s="6">
        <v>338.66</v>
      </c>
      <c r="H79" s="5">
        <f>SUMIF(отчёт!$B:$B,$B:$B,отчёт!I:I)</f>
        <v>1</v>
      </c>
      <c r="I79" s="5">
        <f>SUMIF(отчёт!$B:$B,$B:$B,отчёт!J:J)</f>
        <v>0</v>
      </c>
      <c r="J79" s="3" t="s">
        <v>111</v>
      </c>
      <c r="K79" s="105">
        <v>3</v>
      </c>
      <c r="L79" s="105" t="s">
        <v>52</v>
      </c>
      <c r="M79" s="7">
        <v>45.06</v>
      </c>
      <c r="N79" s="8">
        <v>5.0999999999999996</v>
      </c>
      <c r="O79" s="8">
        <v>8.6300000000000008</v>
      </c>
      <c r="P79" s="8">
        <v>13.43</v>
      </c>
      <c r="Q79" s="8">
        <v>6.91</v>
      </c>
      <c r="R79" s="8">
        <v>3.15</v>
      </c>
      <c r="S79" s="8">
        <v>1.81</v>
      </c>
      <c r="T79" s="8">
        <v>5.77</v>
      </c>
      <c r="U79" s="8">
        <v>0.26</v>
      </c>
      <c r="V79" s="9">
        <v>40</v>
      </c>
      <c r="W79" s="9">
        <v>40</v>
      </c>
      <c r="X79" s="9">
        <v>2604.04</v>
      </c>
      <c r="Y79" s="8">
        <v>195.98199600000001</v>
      </c>
      <c r="Z79" s="9">
        <v>42.3</v>
      </c>
      <c r="AA79" s="9">
        <v>2604.04</v>
      </c>
      <c r="AB79" s="8">
        <v>7.85</v>
      </c>
      <c r="AC79" s="10">
        <v>0</v>
      </c>
      <c r="AD79" s="8">
        <v>6.73</v>
      </c>
      <c r="AE79" s="8">
        <v>10.67</v>
      </c>
      <c r="AF79" s="8">
        <v>14</v>
      </c>
      <c r="AG79" s="7">
        <v>821624.04</v>
      </c>
      <c r="AH79" s="8">
        <v>92993.4</v>
      </c>
      <c r="AI79" s="8">
        <v>157359.42000000001</v>
      </c>
      <c r="AJ79" s="8">
        <v>244882.62</v>
      </c>
      <c r="AK79" s="8">
        <v>125996.94</v>
      </c>
      <c r="AL79" s="8">
        <v>57437.100000000006</v>
      </c>
      <c r="AM79" s="8">
        <v>33003.54</v>
      </c>
      <c r="AN79" s="8">
        <v>105210.18</v>
      </c>
      <c r="AO79" s="8">
        <v>4740.84</v>
      </c>
      <c r="AQ79" s="104">
        <v>48.44</v>
      </c>
      <c r="AR79" s="375">
        <v>18.489999999999998</v>
      </c>
      <c r="AS79" s="376"/>
      <c r="AT79" s="104">
        <v>6.67</v>
      </c>
      <c r="AU79" s="104">
        <v>1.53</v>
      </c>
      <c r="AV79" s="104">
        <v>0.32</v>
      </c>
      <c r="AW79" s="104">
        <v>0.87</v>
      </c>
      <c r="AX79" s="104">
        <v>5.01</v>
      </c>
      <c r="AY79" s="104">
        <v>4.99</v>
      </c>
      <c r="AZ79" s="104">
        <v>2.7</v>
      </c>
      <c r="BA79" s="104">
        <v>6.46</v>
      </c>
      <c r="BB79" s="104">
        <v>0.47</v>
      </c>
      <c r="BC79" s="101">
        <v>0.93</v>
      </c>
      <c r="BD79" s="104">
        <v>54.88252</v>
      </c>
      <c r="BE79" s="375">
        <v>20.949169999999999</v>
      </c>
      <c r="BF79" s="376">
        <v>0</v>
      </c>
      <c r="BG79" s="104">
        <v>7.5571100000000007</v>
      </c>
      <c r="BH79" s="104">
        <v>1.7334900000000002</v>
      </c>
      <c r="BI79" s="104">
        <v>0.36256000000000005</v>
      </c>
      <c r="BJ79" s="104">
        <v>0.98571000000000009</v>
      </c>
      <c r="BK79" s="104">
        <v>5.6763300000000001</v>
      </c>
      <c r="BL79" s="104">
        <v>5.65367</v>
      </c>
      <c r="BM79" s="104">
        <v>3.0591000000000004</v>
      </c>
      <c r="BN79" s="104">
        <v>7.3191800000000002</v>
      </c>
      <c r="BO79" s="104">
        <v>0.53250999999999993</v>
      </c>
      <c r="BP79" s="101">
        <v>1.05369</v>
      </c>
      <c r="BQ79" s="103">
        <v>1962298.1028</v>
      </c>
      <c r="BR79" s="371">
        <v>749027.49629999988</v>
      </c>
      <c r="BS79" s="371">
        <v>0</v>
      </c>
      <c r="BT79" s="103">
        <v>270200.83290000004</v>
      </c>
      <c r="BU79" s="103">
        <v>61980.1011</v>
      </c>
      <c r="BV79" s="103">
        <v>12963.1584</v>
      </c>
      <c r="BW79" s="103">
        <v>35243.586900000002</v>
      </c>
      <c r="BX79" s="103">
        <v>202954.44869999998</v>
      </c>
      <c r="BY79" s="103">
        <v>202144.2513</v>
      </c>
      <c r="BZ79" s="103">
        <v>109376.64900000002</v>
      </c>
      <c r="CA79" s="103">
        <v>261693.76020000002</v>
      </c>
      <c r="CB79" s="103">
        <v>19039.638899999994</v>
      </c>
      <c r="CC79" s="103">
        <v>37674.179099999994</v>
      </c>
      <c r="CD79" s="1">
        <v>1</v>
      </c>
      <c r="CF79" s="277">
        <f>SUMIF(Оборот!$A:$A,$B:$B,Оборот!H:H)</f>
        <v>1684945.1199999994</v>
      </c>
      <c r="CG79" s="277">
        <f>SUMIF(Оборот!$A:$A,$B:$B,Оборот!I:I)</f>
        <v>1684502.39</v>
      </c>
      <c r="CH79" s="277">
        <f t="shared" si="12"/>
        <v>1195921.0679074007</v>
      </c>
      <c r="CI79" s="239">
        <f t="shared" si="16"/>
        <v>26729.022634984362</v>
      </c>
      <c r="CJ79" s="276">
        <f>SUMIF('20Ф'!$H:$H,$B:$B,'20Ф'!M:M)*1.2</f>
        <v>0</v>
      </c>
      <c r="CK79" s="276">
        <f>SUMIF('20Ф'!$H:$H,$B:$B,'20Ф'!O:O)*1.2</f>
        <v>0</v>
      </c>
      <c r="CL79" s="276">
        <f>SUMIF('20Ф'!$H:$H,$B:$B,'20Ф'!Q:Q)*1.2</f>
        <v>0</v>
      </c>
      <c r="CM79" s="276">
        <f>SUMIF('20Ф'!$H:$H,$B:$B,'20Ф'!R:R)*1.2</f>
        <v>0</v>
      </c>
      <c r="CN79" s="276">
        <f>SUMIF('20Ф'!$H:$H,$B:$B,'20Ф'!S:S)*1.2</f>
        <v>0</v>
      </c>
      <c r="CO79" s="276">
        <f>SUMIF('20Ф'!$H:$H,$B:$B,'20Ф'!W:W)*1.2</f>
        <v>0</v>
      </c>
      <c r="CP79" s="276">
        <f>SUMIF('20Ф'!$H:$H,$B:$B,'20Ф'!P:P)*1.2</f>
        <v>0</v>
      </c>
      <c r="CQ79" s="276">
        <f>SUMIF('20Ф'!$H:$H,$B:$B,'20Ф'!Y:Y)*1.2</f>
        <v>0</v>
      </c>
      <c r="CR79" s="276">
        <f>SUMIF('20Ф'!$H:$H,$B:$B,'20Ф'!Z:Z)*1.2</f>
        <v>0</v>
      </c>
      <c r="CS79" s="276">
        <f>SUMIF('20Ф'!$H:$H,$B:$B,'20Ф'!AB:AB)*1.2</f>
        <v>0</v>
      </c>
      <c r="CT79" s="276">
        <f>SUMIF('20Ф'!$H:$H,$B:$B,'20Ф'!AC:AC)*1.2</f>
        <v>0</v>
      </c>
      <c r="CU79" s="276">
        <f>SUMIF('20Ф'!$H:$H,$B:$B,'20Ф'!AD:AD)*1.2</f>
        <v>0</v>
      </c>
      <c r="CV79" s="276">
        <f>SUMIF('20Ф'!$H:$H,$B:$B,'20Ф'!AE:AE)*1.2</f>
        <v>0</v>
      </c>
      <c r="CW79" s="276">
        <f>SUMIF('20Ф'!$H:$H,$B:$B,'20Ф'!AF:AF)*1.2</f>
        <v>0</v>
      </c>
      <c r="CX79" s="276">
        <f>SUMIF('20Ф'!$H:$H,$B:$B,'20Ф'!AG:AG)*1.2</f>
        <v>0</v>
      </c>
      <c r="CY79" s="276">
        <f>SUMIF('20Ф'!$H:$H,$B:$B,'20Ф'!AH:AH)*1.2</f>
        <v>0</v>
      </c>
      <c r="CZ79" s="276">
        <f>SUMIF('20Ф'!$H:$H,$B:$B,'20Ф'!AI:AI)*1.2</f>
        <v>0</v>
      </c>
      <c r="DA79" s="276">
        <f>SUMIF('20Ф'!$H:$H,$B:$B,'20Ф'!AJ:AJ)*1.2</f>
        <v>0</v>
      </c>
      <c r="DB79" s="276">
        <f>SUMIF('20Ф'!$H:$H,$B:$B,'20Ф'!AK:AK)*1.2</f>
        <v>0</v>
      </c>
      <c r="DC79" s="276">
        <f>SUMIF('20Ф'!$H:$H,$B:$B,'20Ф'!AL:AL)*1.2</f>
        <v>0</v>
      </c>
      <c r="DD79" s="276">
        <f>SUMIF('20Ф'!$H:$H,$B:$B,'20Ф'!AM:AM)*1.2</f>
        <v>0</v>
      </c>
      <c r="DE79" s="276">
        <f>SUMIF('20Ф'!$H:$H,$B:$B,'20Ф'!AN:AN)*1.2</f>
        <v>0</v>
      </c>
      <c r="DF79" s="276">
        <f>SUMIF('20Ф'!$H:$H,$B:$B,'20Ф'!AO:AO)*1.2</f>
        <v>0</v>
      </c>
      <c r="DG79" s="276">
        <f>SUMIF('20Ф'!$H:$H,$B:$B,'20Ф'!AP:AP)*1.2</f>
        <v>0</v>
      </c>
      <c r="DH79" s="276">
        <f>SUMIF('20Ф'!$H:$H,$B:$B,'20Ф'!AQ:AQ)*1.2</f>
        <v>0</v>
      </c>
      <c r="DI79" s="276">
        <f>SUMIF('20Ф'!$H:$H,$B:$B,'20Ф'!BA:BA)*1.2</f>
        <v>0</v>
      </c>
      <c r="DJ79" s="276">
        <f>SUMIF('20Ф'!$H:$H,$B:$B,'20Ф'!BB:BB)*1.2</f>
        <v>0</v>
      </c>
      <c r="DK79" s="276">
        <f>SUMIF('20Ф'!$H:$H,$B:$B,'20Ф'!BC:BC)*1.2</f>
        <v>0</v>
      </c>
      <c r="DL79" s="276">
        <f>$D79/$D$281*'20Ф'!$H$218</f>
        <v>26729.022634984362</v>
      </c>
      <c r="DM79" s="240">
        <f t="shared" si="13"/>
        <v>324570.92604413611</v>
      </c>
      <c r="DN79" s="276">
        <f>SUMIF('20Ф'!$H:$H,$B:$B,'20Ф'!AV:AV)*1.2</f>
        <v>0</v>
      </c>
      <c r="DO79" s="276">
        <f>SUMIF('20Ф'!$H:$H,$B:$B,'20Ф'!AW:AW)*1.2+$D79/$D$281*'26Ф'!$D$42</f>
        <v>14223.802241802216</v>
      </c>
      <c r="DP79" s="276">
        <f>SUMIF('20Ф'!$H:$H,$B:$B,'20Ф'!AX:AX)*1.2</f>
        <v>0</v>
      </c>
      <c r="DQ79" s="276">
        <f>SUMIF('20Ф'!$H:$H,$B:$B,'20Ф'!AY:AY)*1.2</f>
        <v>53804.015999999996</v>
      </c>
      <c r="DR79" s="276">
        <f>SUMIF('20Ф'!$H:$H,$B:$B,'20Ф'!AU:AU)*1.2</f>
        <v>0</v>
      </c>
      <c r="DS79" s="276">
        <f>SUMIF('20Ф'!$H:$H,$B:$B,'20Ф'!AS:AS)*1.2</f>
        <v>5637.5279999999993</v>
      </c>
      <c r="DT79" s="276">
        <f>SUMIF('20Ф'!$H:$H,$B:$B,'20Ф'!AR:AR)*1.2</f>
        <v>0</v>
      </c>
      <c r="DU79" s="276">
        <f>SUMIF('20Ф'!$H:$H,$B:$B,'20Ф'!X:X)*1.2</f>
        <v>0</v>
      </c>
      <c r="DV79" s="276">
        <f>SUMIF('20Ф'!$H:$H,$B:$B,'20Ф'!AA:AA)*1.2</f>
        <v>0</v>
      </c>
      <c r="DW79" s="276">
        <f>SUMIF('20Ф'!$H:$H,$B:$B,'20Ф'!N:N)*1.2</f>
        <v>0</v>
      </c>
      <c r="DX79" s="276">
        <f>$D79/$D$281*('25Ф'!$D$37)</f>
        <v>239084.32137477931</v>
      </c>
      <c r="DY79" s="276">
        <f>$D79/$D$281*'25Ф'!$D$30</f>
        <v>7630.821009793809</v>
      </c>
      <c r="DZ79" s="276">
        <f>$D79/$D$281*'25Ф'!$D$31</f>
        <v>4190.4374177607706</v>
      </c>
      <c r="EA79" s="276"/>
      <c r="EB79" s="276">
        <f t="shared" si="14"/>
        <v>150626.87490857791</v>
      </c>
      <c r="EC79" s="276">
        <f>$D79/$D$281*'26Ф'!$D$36</f>
        <v>78406.139292473381</v>
      </c>
      <c r="ED79" s="276">
        <f>$D79/$D$281*'26Ф'!$D$37</f>
        <v>9420.4138966014434</v>
      </c>
      <c r="EE79" s="276">
        <f>$D79/$D$281*'26Ф'!$D$38</f>
        <v>9517.0295109274102</v>
      </c>
      <c r="EF79" s="276">
        <f>$D79/$D$281*'26Ф'!$D$39</f>
        <v>6676.1875159474312</v>
      </c>
      <c r="EG79" s="276">
        <f>$D79/$D$281*'91Ф'!$D$10</f>
        <v>2059.6010720806185</v>
      </c>
      <c r="EH79" s="276">
        <f>$D79/$D$281*('20Ф'!$I$509+'26Ф'!$D$41+'20Ф'!$I$507)</f>
        <v>14570.999390439769</v>
      </c>
      <c r="EI79" s="276">
        <f>$D79/$D$281*'91Ф'!$D$31</f>
        <v>26710.782066706382</v>
      </c>
      <c r="EJ79" s="276">
        <f>$D79/$D$281*'20Ф'!$I$1316</f>
        <v>3265.7221634014686</v>
      </c>
      <c r="EK79" s="276">
        <f>$D79/$D$281*('20Ф'!$I$1105+'20Ф'!$I$1282+'91Ф'!$D$17+'91Ф'!$D$41)</f>
        <v>107249.95418765003</v>
      </c>
      <c r="EL79" s="276">
        <f>$D79/$D$281*отчёт!BX$294</f>
        <v>179289.21471857093</v>
      </c>
      <c r="EM79" s="276">
        <f>$D79/$D$281*отчёт!BY$294</f>
        <v>157675.24045137709</v>
      </c>
      <c r="EN79" s="276">
        <f>$D79/$D$283*отчёт!BZ$294</f>
        <v>28297.776826184658</v>
      </c>
      <c r="EO79" s="240">
        <f t="shared" si="11"/>
        <v>91391.128750498989</v>
      </c>
      <c r="EP79" s="276">
        <f>SUMIF('20Ф'!$H:$H,$B:$B,'20Ф'!T:T)*1.2</f>
        <v>2459.424</v>
      </c>
      <c r="EQ79" s="276">
        <f>SUM(H79:I79)/SUM($H$284:$I$284)*SUM('60Ф'!$O$155:$P$155)</f>
        <v>86255.130878243508</v>
      </c>
      <c r="ER79" s="276">
        <f>SUM($H79:$I79)/SUM($H$284:$I$284)*SUM('60Ф'!$P$227)</f>
        <v>2676.5738722554888</v>
      </c>
      <c r="ES79" s="239">
        <f t="shared" si="17"/>
        <v>60008.168451511192</v>
      </c>
      <c r="ET79" s="276">
        <f>$D79/$D$282*'20Ф'!$I$381</f>
        <v>4586.4818099452496</v>
      </c>
      <c r="EU79" s="276">
        <f>$D79/$D$282*('20Ф'!$I$75+'20Ф'!$I$1098)*1.2</f>
        <v>52975.90096984632</v>
      </c>
      <c r="EV79" s="276">
        <f>$D79/$D$282*('20Ф'!$I$1286)</f>
        <v>2445.7856717196164</v>
      </c>
      <c r="EW79" s="276">
        <f>SUMIF('91.1Ф'!$N:$N,$B:$B,'91.1Ф'!$F:$F)+$D79/$D$281*('91Ф'!$D$12+'91Ф'!$D$11+'91Ф'!$D$19+'91Ф'!$D$20)</f>
        <v>14135.019744962026</v>
      </c>
      <c r="EX79" s="276">
        <f t="shared" si="15"/>
        <v>55947.741188947388</v>
      </c>
      <c r="EY79" s="276">
        <f>SUMIF('20Ф'!$H:$H,$B:$B,'20Ф'!$AY:$AY)*1.2</f>
        <v>53804.015999999996</v>
      </c>
      <c r="EZ79" s="295">
        <f>D79/$D$286*'20Ф'!$I$1163</f>
        <v>2143.7251889473891</v>
      </c>
      <c r="FA79" s="277">
        <f>SUMIF(отчёт!$B:$B,$B:$B,отчёт!$CU:$CU)/отчёт!$CU$281*'20Ф'!$I$1341</f>
        <v>920.96385542168503</v>
      </c>
      <c r="FB79" s="276">
        <f>SUMIF(Сальдо!$A:$A,$B:$B,Сальдо!$H:$H)-SUMIF(Сальдо!$A:$A,$B:$B,Сальдо!$I:$I)</f>
        <v>152688.53</v>
      </c>
    </row>
    <row r="80" spans="1:158" ht="12" customHeight="1" x14ac:dyDescent="0.25">
      <c r="A80" s="3">
        <f t="shared" si="18"/>
        <v>76</v>
      </c>
      <c r="B80" s="4" t="s">
        <v>126</v>
      </c>
      <c r="C80" s="4" t="s">
        <v>126</v>
      </c>
      <c r="D80" s="5">
        <v>3007.4</v>
      </c>
      <c r="E80" s="6">
        <v>3007.4</v>
      </c>
      <c r="F80" s="6">
        <v>0</v>
      </c>
      <c r="G80" s="6">
        <v>335.14</v>
      </c>
      <c r="H80" s="5">
        <f>SUMIF(отчёт!$B:$B,$B:$B,отчёт!I:I)</f>
        <v>1</v>
      </c>
      <c r="I80" s="5">
        <f>SUMIF(отчёт!$B:$B,$B:$B,отчёт!J:J)</f>
        <v>0</v>
      </c>
      <c r="J80" s="3" t="s">
        <v>111</v>
      </c>
      <c r="K80" s="105">
        <v>3</v>
      </c>
      <c r="L80" s="105" t="s">
        <v>52</v>
      </c>
      <c r="M80" s="7">
        <v>45.06</v>
      </c>
      <c r="N80" s="8">
        <v>5.0999999999999996</v>
      </c>
      <c r="O80" s="8">
        <v>8.6300000000000008</v>
      </c>
      <c r="P80" s="8">
        <v>13.43</v>
      </c>
      <c r="Q80" s="8">
        <v>6.91</v>
      </c>
      <c r="R80" s="8">
        <v>3.15</v>
      </c>
      <c r="S80" s="8">
        <v>1.81</v>
      </c>
      <c r="T80" s="8">
        <v>5.77</v>
      </c>
      <c r="U80" s="8">
        <v>0.26</v>
      </c>
      <c r="V80" s="9">
        <v>40</v>
      </c>
      <c r="W80" s="9">
        <v>40</v>
      </c>
      <c r="X80" s="9">
        <v>2604.04</v>
      </c>
      <c r="Y80" s="8">
        <v>195.98199600000001</v>
      </c>
      <c r="Z80" s="9">
        <v>42.3</v>
      </c>
      <c r="AA80" s="9">
        <v>2604.04</v>
      </c>
      <c r="AB80" s="8">
        <v>7.85</v>
      </c>
      <c r="AC80" s="10">
        <v>0</v>
      </c>
      <c r="AD80" s="8">
        <v>6.73</v>
      </c>
      <c r="AE80" s="8">
        <v>10.67</v>
      </c>
      <c r="AF80" s="8">
        <v>14</v>
      </c>
      <c r="AG80" s="7">
        <v>813080.66400000011</v>
      </c>
      <c r="AH80" s="8">
        <v>92026.44</v>
      </c>
      <c r="AI80" s="8">
        <v>155723.17200000002</v>
      </c>
      <c r="AJ80" s="8">
        <v>242336.29199999999</v>
      </c>
      <c r="AK80" s="8">
        <v>124686.804</v>
      </c>
      <c r="AL80" s="8">
        <v>56839.86</v>
      </c>
      <c r="AM80" s="8">
        <v>32660.364000000001</v>
      </c>
      <c r="AN80" s="8">
        <v>104116.18799999999</v>
      </c>
      <c r="AO80" s="8">
        <v>4691.5440000000008</v>
      </c>
      <c r="AQ80" s="104">
        <v>48.44</v>
      </c>
      <c r="AR80" s="375">
        <v>18.489999999999998</v>
      </c>
      <c r="AS80" s="376"/>
      <c r="AT80" s="104">
        <v>6.67</v>
      </c>
      <c r="AU80" s="104">
        <v>1.53</v>
      </c>
      <c r="AV80" s="104">
        <v>0.32</v>
      </c>
      <c r="AW80" s="104">
        <v>0.87</v>
      </c>
      <c r="AX80" s="104">
        <v>5.01</v>
      </c>
      <c r="AY80" s="104">
        <v>4.99</v>
      </c>
      <c r="AZ80" s="104">
        <v>2.7</v>
      </c>
      <c r="BA80" s="104">
        <v>6.46</v>
      </c>
      <c r="BB80" s="104">
        <v>0.47</v>
      </c>
      <c r="BC80" s="101">
        <v>0.93</v>
      </c>
      <c r="BD80" s="104">
        <v>54.88252</v>
      </c>
      <c r="BE80" s="375">
        <v>20.949169999999999</v>
      </c>
      <c r="BF80" s="376">
        <v>0</v>
      </c>
      <c r="BG80" s="104">
        <v>7.5571100000000007</v>
      </c>
      <c r="BH80" s="104">
        <v>1.7334900000000002</v>
      </c>
      <c r="BI80" s="104">
        <v>0.36256000000000005</v>
      </c>
      <c r="BJ80" s="104">
        <v>0.98571000000000009</v>
      </c>
      <c r="BK80" s="104">
        <v>5.6763300000000001</v>
      </c>
      <c r="BL80" s="104">
        <v>5.65367</v>
      </c>
      <c r="BM80" s="104">
        <v>3.0591000000000004</v>
      </c>
      <c r="BN80" s="104">
        <v>7.3191800000000002</v>
      </c>
      <c r="BO80" s="104">
        <v>0.53250999999999993</v>
      </c>
      <c r="BP80" s="101">
        <v>1.05369</v>
      </c>
      <c r="BQ80" s="103">
        <v>1941893.8184800001</v>
      </c>
      <c r="BR80" s="371">
        <v>741238.99057999998</v>
      </c>
      <c r="BS80" s="371">
        <v>0</v>
      </c>
      <c r="BT80" s="103">
        <v>267391.24214000005</v>
      </c>
      <c r="BU80" s="103">
        <v>61335.622260000004</v>
      </c>
      <c r="BV80" s="103">
        <v>12828.365440000001</v>
      </c>
      <c r="BW80" s="103">
        <v>34877.118540000003</v>
      </c>
      <c r="BX80" s="103">
        <v>200844.09641999999</v>
      </c>
      <c r="BY80" s="103">
        <v>200042.32358</v>
      </c>
      <c r="BZ80" s="103">
        <v>108239.33340000002</v>
      </c>
      <c r="CA80" s="103">
        <v>258972.62732000003</v>
      </c>
      <c r="CB80" s="103">
        <v>18841.661739999996</v>
      </c>
      <c r="CC80" s="103">
        <v>37282.437059999997</v>
      </c>
      <c r="CD80" s="1">
        <v>1</v>
      </c>
      <c r="CF80" s="277">
        <f>SUMIF(Оборот!$A:$A,$B:$B,Оборот!H:H)</f>
        <v>1643284.03</v>
      </c>
      <c r="CG80" s="277">
        <f>SUMIF(Оборот!$A:$A,$B:$B,Оборот!I:I)</f>
        <v>1664659.2300000004</v>
      </c>
      <c r="CH80" s="277">
        <f t="shared" si="12"/>
        <v>1069908.553015213</v>
      </c>
      <c r="CI80" s="239">
        <f t="shared" si="16"/>
        <v>26451.09005345573</v>
      </c>
      <c r="CJ80" s="276">
        <f>SUMIF('20Ф'!$H:$H,$B:$B,'20Ф'!M:M)*1.2</f>
        <v>0</v>
      </c>
      <c r="CK80" s="276">
        <f>SUMIF('20Ф'!$H:$H,$B:$B,'20Ф'!O:O)*1.2</f>
        <v>0</v>
      </c>
      <c r="CL80" s="276">
        <f>SUMIF('20Ф'!$H:$H,$B:$B,'20Ф'!Q:Q)*1.2</f>
        <v>0</v>
      </c>
      <c r="CM80" s="276">
        <f>SUMIF('20Ф'!$H:$H,$B:$B,'20Ф'!R:R)*1.2</f>
        <v>0</v>
      </c>
      <c r="CN80" s="276">
        <f>SUMIF('20Ф'!$H:$H,$B:$B,'20Ф'!S:S)*1.2</f>
        <v>0</v>
      </c>
      <c r="CO80" s="276">
        <f>SUMIF('20Ф'!$H:$H,$B:$B,'20Ф'!W:W)*1.2</f>
        <v>0</v>
      </c>
      <c r="CP80" s="276">
        <f>SUMIF('20Ф'!$H:$H,$B:$B,'20Ф'!P:P)*1.2</f>
        <v>0</v>
      </c>
      <c r="CQ80" s="276">
        <f>SUMIF('20Ф'!$H:$H,$B:$B,'20Ф'!Y:Y)*1.2</f>
        <v>0</v>
      </c>
      <c r="CR80" s="276">
        <f>SUMIF('20Ф'!$H:$H,$B:$B,'20Ф'!Z:Z)*1.2</f>
        <v>0</v>
      </c>
      <c r="CS80" s="276">
        <f>SUMIF('20Ф'!$H:$H,$B:$B,'20Ф'!AB:AB)*1.2</f>
        <v>0</v>
      </c>
      <c r="CT80" s="276">
        <f>SUMIF('20Ф'!$H:$H,$B:$B,'20Ф'!AC:AC)*1.2</f>
        <v>0</v>
      </c>
      <c r="CU80" s="276">
        <f>SUMIF('20Ф'!$H:$H,$B:$B,'20Ф'!AD:AD)*1.2</f>
        <v>0</v>
      </c>
      <c r="CV80" s="276">
        <f>SUMIF('20Ф'!$H:$H,$B:$B,'20Ф'!AE:AE)*1.2</f>
        <v>0</v>
      </c>
      <c r="CW80" s="276">
        <f>SUMIF('20Ф'!$H:$H,$B:$B,'20Ф'!AF:AF)*1.2</f>
        <v>0</v>
      </c>
      <c r="CX80" s="276">
        <f>SUMIF('20Ф'!$H:$H,$B:$B,'20Ф'!AG:AG)*1.2</f>
        <v>0</v>
      </c>
      <c r="CY80" s="276">
        <f>SUMIF('20Ф'!$H:$H,$B:$B,'20Ф'!AH:AH)*1.2</f>
        <v>0</v>
      </c>
      <c r="CZ80" s="276">
        <f>SUMIF('20Ф'!$H:$H,$B:$B,'20Ф'!AI:AI)*1.2</f>
        <v>0</v>
      </c>
      <c r="DA80" s="276">
        <f>SUMIF('20Ф'!$H:$H,$B:$B,'20Ф'!AJ:AJ)*1.2</f>
        <v>0</v>
      </c>
      <c r="DB80" s="276">
        <f>SUMIF('20Ф'!$H:$H,$B:$B,'20Ф'!AK:AK)*1.2</f>
        <v>0</v>
      </c>
      <c r="DC80" s="276">
        <f>SUMIF('20Ф'!$H:$H,$B:$B,'20Ф'!AL:AL)*1.2</f>
        <v>0</v>
      </c>
      <c r="DD80" s="276">
        <f>SUMIF('20Ф'!$H:$H,$B:$B,'20Ф'!AM:AM)*1.2</f>
        <v>0</v>
      </c>
      <c r="DE80" s="276">
        <f>SUMIF('20Ф'!$H:$H,$B:$B,'20Ф'!AN:AN)*1.2</f>
        <v>0</v>
      </c>
      <c r="DF80" s="276">
        <f>SUMIF('20Ф'!$H:$H,$B:$B,'20Ф'!AO:AO)*1.2</f>
        <v>0</v>
      </c>
      <c r="DG80" s="276">
        <f>SUMIF('20Ф'!$H:$H,$B:$B,'20Ф'!AP:AP)*1.2</f>
        <v>0</v>
      </c>
      <c r="DH80" s="276">
        <f>SUMIF('20Ф'!$H:$H,$B:$B,'20Ф'!AQ:AQ)*1.2</f>
        <v>0</v>
      </c>
      <c r="DI80" s="276">
        <f>SUMIF('20Ф'!$H:$H,$B:$B,'20Ф'!BA:BA)*1.2</f>
        <v>0</v>
      </c>
      <c r="DJ80" s="276">
        <f>SUMIF('20Ф'!$H:$H,$B:$B,'20Ф'!BB:BB)*1.2</f>
        <v>0</v>
      </c>
      <c r="DK80" s="276">
        <f>SUMIF('20Ф'!$H:$H,$B:$B,'20Ф'!BC:BC)*1.2</f>
        <v>0</v>
      </c>
      <c r="DL80" s="276">
        <f>$D80/$D$281*'20Ф'!$H$218</f>
        <v>26451.09005345573</v>
      </c>
      <c r="DM80" s="240">
        <f t="shared" si="13"/>
        <v>262372.52502781665</v>
      </c>
      <c r="DN80" s="276">
        <f>SUMIF('20Ф'!$H:$H,$B:$B,'20Ф'!AV:AV)*1.2</f>
        <v>0</v>
      </c>
      <c r="DO80" s="276">
        <f>SUMIF('20Ф'!$H:$H,$B:$B,'20Ф'!AW:AW)*1.2+$D80/$D$281*'26Ф'!$D$42</f>
        <v>14075.900908850273</v>
      </c>
      <c r="DP80" s="276">
        <f>SUMIF('20Ф'!$H:$H,$B:$B,'20Ф'!AX:AX)*1.2</f>
        <v>0</v>
      </c>
      <c r="DQ80" s="276">
        <f>SUMIF('20Ф'!$H:$H,$B:$B,'20Ф'!AY:AY)*1.2</f>
        <v>0</v>
      </c>
      <c r="DR80" s="276">
        <f>SUMIF('20Ф'!$H:$H,$B:$B,'20Ф'!AU:AU)*1.2</f>
        <v>0</v>
      </c>
      <c r="DS80" s="276">
        <f>SUMIF('20Ф'!$H:$H,$B:$B,'20Ф'!AS:AS)*1.2</f>
        <v>0</v>
      </c>
      <c r="DT80" s="276">
        <f>SUMIF('20Ф'!$H:$H,$B:$B,'20Ф'!AR:AR)*1.2</f>
        <v>0</v>
      </c>
      <c r="DU80" s="276">
        <f>SUMIF('20Ф'!$H:$H,$B:$B,'20Ф'!X:X)*1.2</f>
        <v>0</v>
      </c>
      <c r="DV80" s="276">
        <f>SUMIF('20Ф'!$H:$H,$B:$B,'20Ф'!AA:AA)*1.2</f>
        <v>0</v>
      </c>
      <c r="DW80" s="276">
        <f>SUMIF('20Ф'!$H:$H,$B:$B,'20Ф'!N:N)*1.2</f>
        <v>0</v>
      </c>
      <c r="DX80" s="276">
        <f>$D80/$D$281*('25Ф'!$D$37)</f>
        <v>236598.28499589048</v>
      </c>
      <c r="DY80" s="276">
        <f>$D80/$D$281*'25Ф'!$D$30</f>
        <v>7551.4745326929578</v>
      </c>
      <c r="DZ80" s="276">
        <f>$D80/$D$281*'25Ф'!$D$31</f>
        <v>4146.8645903829347</v>
      </c>
      <c r="EA80" s="276"/>
      <c r="EB80" s="276">
        <f t="shared" si="14"/>
        <v>149060.63297139097</v>
      </c>
      <c r="EC80" s="276">
        <f>$D80/$D$281*'26Ф'!$D$36</f>
        <v>77590.859923719778</v>
      </c>
      <c r="ED80" s="276">
        <f>$D80/$D$281*'26Ф'!$D$37</f>
        <v>9322.4589511810391</v>
      </c>
      <c r="EE80" s="276">
        <f>$D80/$D$281*'26Ф'!$D$38</f>
        <v>9418.0699411527112</v>
      </c>
      <c r="EF80" s="276">
        <f>$D80/$D$281*'26Ф'!$D$39</f>
        <v>6606.7674680685432</v>
      </c>
      <c r="EG80" s="276">
        <f>$D80/$D$281*'91Ф'!$D$10</f>
        <v>2038.1850161813923</v>
      </c>
      <c r="EH80" s="276">
        <f>$D80/$D$281*('20Ф'!$I$509+'26Ф'!$D$41+'20Ф'!$I$507)</f>
        <v>14419.487846926146</v>
      </c>
      <c r="EI80" s="276">
        <f>$D80/$D$281*'91Ф'!$D$31</f>
        <v>26433.03915347574</v>
      </c>
      <c r="EJ80" s="276">
        <f>$D80/$D$281*'20Ф'!$I$1316</f>
        <v>3231.7646706856126</v>
      </c>
      <c r="EK80" s="276">
        <f>$D80/$D$281*('20Ф'!$I$1105+'20Ф'!$I$1282+'91Ф'!$D$17+'91Ф'!$D$41)</f>
        <v>106134.75229481365</v>
      </c>
      <c r="EL80" s="276">
        <f>$D80/$D$281*отчёт!BX$294</f>
        <v>177424.93726378091</v>
      </c>
      <c r="EM80" s="276">
        <f>$D80/$D$281*отчёт!BY$294</f>
        <v>156035.7085006487</v>
      </c>
      <c r="EN80" s="276">
        <f>$D80/$D$283*отчёт!BZ$294</f>
        <v>28003.532091828813</v>
      </c>
      <c r="EO80" s="240">
        <f t="shared" si="11"/>
        <v>88931.70475049899</v>
      </c>
      <c r="EP80" s="276">
        <f>SUMIF('20Ф'!$H:$H,$B:$B,'20Ф'!T:T)*1.2</f>
        <v>0</v>
      </c>
      <c r="EQ80" s="276">
        <f>SUM(H80:I80)/SUM($H$284:$I$284)*SUM('60Ф'!$O$155:$P$155)</f>
        <v>86255.130878243508</v>
      </c>
      <c r="ER80" s="276">
        <f>SUM($H80:$I80)/SUM($H$284:$I$284)*SUM('60Ф'!$P$227)</f>
        <v>2676.5738722554888</v>
      </c>
      <c r="ES80" s="239">
        <f t="shared" si="17"/>
        <v>59384.194077352658</v>
      </c>
      <c r="ET80" s="276">
        <f>$D80/$D$282*'20Ф'!$I$381</f>
        <v>4538.7908506842195</v>
      </c>
      <c r="EU80" s="276">
        <f>$D80/$D$282*('20Ф'!$I$75+'20Ф'!$I$1098)*1.2</f>
        <v>52425.049219057524</v>
      </c>
      <c r="EV80" s="276">
        <f>$D80/$D$282*('20Ф'!$I$1286)</f>
        <v>2420.3540076109161</v>
      </c>
      <c r="EW80" s="276">
        <f>SUMIF('91.1Ф'!$N:$N,$B:$B,'91.1Ф'!$F:$F)+$D80/$D$281*('91Ф'!$D$12+'91Ф'!$D$11+'91Ф'!$D$19+'91Ф'!$D$20)</f>
        <v>13988.041586376701</v>
      </c>
      <c r="EX80" s="276">
        <f t="shared" si="15"/>
        <v>2121.4343972492197</v>
      </c>
      <c r="EY80" s="276">
        <f>SUMIF('20Ф'!$H:$H,$B:$B,'20Ф'!$AY:$AY)*1.2</f>
        <v>0</v>
      </c>
      <c r="EZ80" s="295">
        <f>D80/$D$286*'20Ф'!$I$1163</f>
        <v>2121.4343972492197</v>
      </c>
      <c r="FA80" s="277">
        <f>SUMIF(отчёт!$B:$B,$B:$B,отчёт!$CU:$CU)/отчёт!$CU$281*'20Ф'!$I$1341</f>
        <v>920.96385542168503</v>
      </c>
      <c r="FB80" s="276">
        <f>SUMIF(Сальдо!$A:$A,$B:$B,Сальдо!$H:$H)-SUMIF(Сальдо!$A:$A,$B:$B,Сальдо!$I:$I)</f>
        <v>178956.15000000002</v>
      </c>
    </row>
    <row r="81" spans="1:158" ht="12" customHeight="1" x14ac:dyDescent="0.25">
      <c r="A81" s="3">
        <f t="shared" si="18"/>
        <v>77</v>
      </c>
      <c r="B81" s="4" t="s">
        <v>127</v>
      </c>
      <c r="C81" s="4" t="s">
        <v>127</v>
      </c>
      <c r="D81" s="5">
        <v>6944.01</v>
      </c>
      <c r="E81" s="6">
        <v>6944.01</v>
      </c>
      <c r="F81" s="6">
        <v>0</v>
      </c>
      <c r="G81" s="6">
        <v>706.4</v>
      </c>
      <c r="H81" s="5">
        <f>SUMIF(отчёт!$B:$B,$B:$B,отчёт!I:I)</f>
        <v>0</v>
      </c>
      <c r="I81" s="5">
        <f>SUMIF(отчёт!$B:$B,$B:$B,отчёт!J:J)</f>
        <v>0</v>
      </c>
      <c r="J81" s="3" t="s">
        <v>114</v>
      </c>
      <c r="K81" s="105">
        <v>7</v>
      </c>
      <c r="L81" s="105" t="s">
        <v>52</v>
      </c>
      <c r="M81" s="7">
        <v>31</v>
      </c>
      <c r="N81" s="8">
        <v>5.0999999999999996</v>
      </c>
      <c r="O81" s="8">
        <v>6.59</v>
      </c>
      <c r="P81" s="8">
        <v>8.98</v>
      </c>
      <c r="Q81" s="8">
        <v>6.92</v>
      </c>
      <c r="R81" s="8">
        <v>3.15</v>
      </c>
      <c r="S81" s="8">
        <v>0</v>
      </c>
      <c r="T81" s="8">
        <v>0</v>
      </c>
      <c r="U81" s="8">
        <v>0.26</v>
      </c>
      <c r="V81" s="9">
        <v>40</v>
      </c>
      <c r="W81" s="9">
        <v>40</v>
      </c>
      <c r="X81" s="9">
        <v>2604.04</v>
      </c>
      <c r="Y81" s="8">
        <v>195.98199600000001</v>
      </c>
      <c r="Z81" s="9">
        <v>42.3</v>
      </c>
      <c r="AA81" s="9">
        <v>2604.04</v>
      </c>
      <c r="AB81" s="8">
        <v>7.85</v>
      </c>
      <c r="AC81" s="10">
        <v>0</v>
      </c>
      <c r="AD81" s="8">
        <v>6.73</v>
      </c>
      <c r="AE81" s="8">
        <v>10.67</v>
      </c>
      <c r="AF81" s="8">
        <v>14</v>
      </c>
      <c r="AG81" s="7">
        <v>1291585.8599999999</v>
      </c>
      <c r="AH81" s="8">
        <v>212486.70600000001</v>
      </c>
      <c r="AI81" s="8">
        <v>274566.15539999999</v>
      </c>
      <c r="AJ81" s="8">
        <v>374143.25880000001</v>
      </c>
      <c r="AK81" s="8">
        <v>288315.29519999999</v>
      </c>
      <c r="AL81" s="8">
        <v>131241.78899999999</v>
      </c>
      <c r="AM81" s="8">
        <v>0</v>
      </c>
      <c r="AN81" s="8">
        <v>0</v>
      </c>
      <c r="AO81" s="8">
        <v>10832.6556</v>
      </c>
      <c r="AQ81" s="104">
        <v>33.17</v>
      </c>
      <c r="AR81" s="375">
        <v>13.89</v>
      </c>
      <c r="AS81" s="376"/>
      <c r="AT81" s="104">
        <v>5.9</v>
      </c>
      <c r="AU81" s="104">
        <v>1.53</v>
      </c>
      <c r="AV81" s="104">
        <v>0.32</v>
      </c>
      <c r="AW81" s="104">
        <v>0.6</v>
      </c>
      <c r="AX81" s="104">
        <v>5.01</v>
      </c>
      <c r="AY81" s="104">
        <v>4.99</v>
      </c>
      <c r="AZ81" s="104">
        <v>0</v>
      </c>
      <c r="BA81" s="104">
        <v>0</v>
      </c>
      <c r="BB81" s="104">
        <v>0</v>
      </c>
      <c r="BC81" s="101">
        <v>0.93</v>
      </c>
      <c r="BD81" s="104">
        <v>37.581610000000005</v>
      </c>
      <c r="BE81" s="375">
        <v>15.737370000000004</v>
      </c>
      <c r="BF81" s="376">
        <v>0</v>
      </c>
      <c r="BG81" s="104">
        <v>6.6847000000000012</v>
      </c>
      <c r="BH81" s="104">
        <v>1.7334900000000002</v>
      </c>
      <c r="BI81" s="104">
        <v>0.36256000000000005</v>
      </c>
      <c r="BJ81" s="104">
        <v>0.67980000000000007</v>
      </c>
      <c r="BK81" s="104">
        <v>5.6763300000000001</v>
      </c>
      <c r="BL81" s="104">
        <v>5.65367</v>
      </c>
      <c r="BM81" s="104">
        <v>0</v>
      </c>
      <c r="BN81" s="104">
        <v>0</v>
      </c>
      <c r="BO81" s="104">
        <v>0</v>
      </c>
      <c r="BP81" s="101">
        <v>1.0536900000000002</v>
      </c>
      <c r="BQ81" s="103">
        <v>3070336.3799610003</v>
      </c>
      <c r="BR81" s="371">
        <v>1285709.1443370003</v>
      </c>
      <c r="BS81" s="371">
        <v>0</v>
      </c>
      <c r="BT81" s="103">
        <v>546125.55447000009</v>
      </c>
      <c r="BU81" s="103">
        <v>141622.38954900001</v>
      </c>
      <c r="BV81" s="103">
        <v>29620.369056</v>
      </c>
      <c r="BW81" s="103">
        <v>55538.191980000011</v>
      </c>
      <c r="BX81" s="103">
        <v>463743.90303300001</v>
      </c>
      <c r="BY81" s="103">
        <v>461892.62996700004</v>
      </c>
      <c r="BZ81" s="103">
        <v>0</v>
      </c>
      <c r="CA81" s="103">
        <v>0</v>
      </c>
      <c r="CB81" s="103">
        <v>0</v>
      </c>
      <c r="CC81" s="103">
        <v>86084.197569000025</v>
      </c>
      <c r="CD81" s="1">
        <v>1</v>
      </c>
      <c r="CF81" s="277">
        <f>SUMIF(Оборот!$A:$A,$B:$B,Оборот!H:H)</f>
        <v>2588127.6100000003</v>
      </c>
      <c r="CG81" s="277">
        <f>SUMIF(Оборот!$A:$A,$B:$B,Оборот!I:I)</f>
        <v>2556718.75</v>
      </c>
      <c r="CH81" s="277">
        <f t="shared" si="12"/>
        <v>2429869.082330544</v>
      </c>
      <c r="CI81" s="239">
        <f t="shared" si="16"/>
        <v>73157.381210779131</v>
      </c>
      <c r="CJ81" s="276">
        <f>SUMIF('20Ф'!$H:$H,$B:$B,'20Ф'!M:M)*1.2</f>
        <v>0</v>
      </c>
      <c r="CK81" s="276">
        <f>SUMIF('20Ф'!$H:$H,$B:$B,'20Ф'!O:O)*1.2</f>
        <v>0</v>
      </c>
      <c r="CL81" s="276">
        <f>SUMIF('20Ф'!$H:$H,$B:$B,'20Ф'!Q:Q)*1.2</f>
        <v>0</v>
      </c>
      <c r="CM81" s="276">
        <f>SUMIF('20Ф'!$H:$H,$B:$B,'20Ф'!R:R)*1.2</f>
        <v>0</v>
      </c>
      <c r="CN81" s="276">
        <f>SUMIF('20Ф'!$H:$H,$B:$B,'20Ф'!S:S)*1.2</f>
        <v>0</v>
      </c>
      <c r="CO81" s="276">
        <f>SUMIF('20Ф'!$H:$H,$B:$B,'20Ф'!W:W)*1.2</f>
        <v>0</v>
      </c>
      <c r="CP81" s="276">
        <f>SUMIF('20Ф'!$H:$H,$B:$B,'20Ф'!P:P)*1.2</f>
        <v>0</v>
      </c>
      <c r="CQ81" s="276">
        <f>SUMIF('20Ф'!$H:$H,$B:$B,'20Ф'!Y:Y)*1.2</f>
        <v>0</v>
      </c>
      <c r="CR81" s="276">
        <f>SUMIF('20Ф'!$H:$H,$B:$B,'20Ф'!Z:Z)*1.2</f>
        <v>0</v>
      </c>
      <c r="CS81" s="276">
        <f>SUMIF('20Ф'!$H:$H,$B:$B,'20Ф'!AB:AB)*1.2</f>
        <v>0</v>
      </c>
      <c r="CT81" s="276">
        <f>SUMIF('20Ф'!$H:$H,$B:$B,'20Ф'!AC:AC)*1.2</f>
        <v>0</v>
      </c>
      <c r="CU81" s="276">
        <f>SUMIF('20Ф'!$H:$H,$B:$B,'20Ф'!AD:AD)*1.2</f>
        <v>0</v>
      </c>
      <c r="CV81" s="276">
        <f>SUMIF('20Ф'!$H:$H,$B:$B,'20Ф'!AE:AE)*1.2</f>
        <v>0</v>
      </c>
      <c r="CW81" s="276">
        <f>SUMIF('20Ф'!$H:$H,$B:$B,'20Ф'!AF:AF)*1.2</f>
        <v>0</v>
      </c>
      <c r="CX81" s="276">
        <f>SUMIF('20Ф'!$H:$H,$B:$B,'20Ф'!AG:AG)*1.2</f>
        <v>12082.487999999999</v>
      </c>
      <c r="CY81" s="276">
        <f>SUMIF('20Ф'!$H:$H,$B:$B,'20Ф'!AH:AH)*1.2</f>
        <v>0</v>
      </c>
      <c r="CZ81" s="276">
        <f>SUMIF('20Ф'!$H:$H,$B:$B,'20Ф'!AI:AI)*1.2</f>
        <v>0</v>
      </c>
      <c r="DA81" s="276">
        <f>SUMIF('20Ф'!$H:$H,$B:$B,'20Ф'!AJ:AJ)*1.2</f>
        <v>0</v>
      </c>
      <c r="DB81" s="276">
        <f>SUMIF('20Ф'!$H:$H,$B:$B,'20Ф'!AK:AK)*1.2</f>
        <v>0</v>
      </c>
      <c r="DC81" s="276">
        <f>SUMIF('20Ф'!$H:$H,$B:$B,'20Ф'!AL:AL)*1.2</f>
        <v>0</v>
      </c>
      <c r="DD81" s="276">
        <f>SUMIF('20Ф'!$H:$H,$B:$B,'20Ф'!AM:AM)*1.2</f>
        <v>0</v>
      </c>
      <c r="DE81" s="276">
        <f>SUMIF('20Ф'!$H:$H,$B:$B,'20Ф'!AN:AN)*1.2</f>
        <v>0</v>
      </c>
      <c r="DF81" s="276">
        <f>SUMIF('20Ф'!$H:$H,$B:$B,'20Ф'!AO:AO)*1.2</f>
        <v>0</v>
      </c>
      <c r="DG81" s="276">
        <f>SUMIF('20Ф'!$H:$H,$B:$B,'20Ф'!AP:AP)*1.2</f>
        <v>0</v>
      </c>
      <c r="DH81" s="276">
        <f>SUMIF('20Ф'!$H:$H,$B:$B,'20Ф'!AQ:AQ)*1.2</f>
        <v>0</v>
      </c>
      <c r="DI81" s="276">
        <f>SUMIF('20Ф'!$H:$H,$B:$B,'20Ф'!BA:BA)*1.2</f>
        <v>0</v>
      </c>
      <c r="DJ81" s="276">
        <f>SUMIF('20Ф'!$H:$H,$B:$B,'20Ф'!BB:BB)*1.2</f>
        <v>0</v>
      </c>
      <c r="DK81" s="276">
        <f>SUMIF('20Ф'!$H:$H,$B:$B,'20Ф'!BC:BC)*1.2</f>
        <v>0</v>
      </c>
      <c r="DL81" s="276">
        <f>$D81/$D$281*'20Ф'!$H$218</f>
        <v>61074.893210779126</v>
      </c>
      <c r="DM81" s="240">
        <f t="shared" si="13"/>
        <v>823206.95752823341</v>
      </c>
      <c r="DN81" s="276">
        <f>SUMIF('20Ф'!$H:$H,$B:$B,'20Ф'!AV:AV)*1.2</f>
        <v>0</v>
      </c>
      <c r="DO81" s="276">
        <f>SUMIF('20Ф'!$H:$H,$B:$B,'20Ф'!AW:AW)*1.2+$D81/$D$281*'26Ф'!$D$42</f>
        <v>32500.896678215533</v>
      </c>
      <c r="DP81" s="276">
        <f>SUMIF('20Ф'!$H:$H,$B:$B,'20Ф'!AX:AX)*1.2</f>
        <v>0</v>
      </c>
      <c r="DQ81" s="276">
        <f>SUMIF('20Ф'!$H:$H,$B:$B,'20Ф'!AY:AY)*1.2</f>
        <v>0</v>
      </c>
      <c r="DR81" s="276">
        <f>SUMIF('20Ф'!$H:$H,$B:$B,'20Ф'!AU:AU)*1.2</f>
        <v>0</v>
      </c>
      <c r="DS81" s="276">
        <f>SUMIF('20Ф'!$H:$H,$B:$B,'20Ф'!AS:AS)*1.2</f>
        <v>100292.664</v>
      </c>
      <c r="DT81" s="276">
        <f>SUMIF('20Ф'!$H:$H,$B:$B,'20Ф'!AR:AR)*1.2</f>
        <v>0</v>
      </c>
      <c r="DU81" s="276">
        <f>SUMIF('20Ф'!$H:$H,$B:$B,'20Ф'!X:X)*1.2</f>
        <v>117102.81599999999</v>
      </c>
      <c r="DV81" s="276">
        <f>SUMIF('20Ф'!$H:$H,$B:$B,'20Ф'!AA:AA)*1.2</f>
        <v>0</v>
      </c>
      <c r="DW81" s="276">
        <f>SUMIF('20Ф'!$H:$H,$B:$B,'20Ф'!N:N)*1.2</f>
        <v>0</v>
      </c>
      <c r="DX81" s="276">
        <f>$D81/$D$281*('25Ф'!$D$37)</f>
        <v>546299.41377745348</v>
      </c>
      <c r="DY81" s="276">
        <f>$D81/$D$281*'25Ф'!$D$30</f>
        <v>17436.162356110006</v>
      </c>
      <c r="DZ81" s="276">
        <f>$D81/$D$281*'25Ф'!$D$31</f>
        <v>9575.0047164544139</v>
      </c>
      <c r="EA81" s="276"/>
      <c r="EB81" s="276">
        <f t="shared" si="14"/>
        <v>344177.20488118264</v>
      </c>
      <c r="EC81" s="276">
        <f>$D81/$D$281*'26Ф'!$D$36</f>
        <v>179155.31928539916</v>
      </c>
      <c r="ED81" s="276">
        <f>$D81/$D$281*'26Ф'!$D$37</f>
        <v>21525.320270529581</v>
      </c>
      <c r="EE81" s="276">
        <f>$D81/$D$281*'26Ф'!$D$38</f>
        <v>21746.083611113871</v>
      </c>
      <c r="EF81" s="276">
        <f>$D81/$D$281*'26Ф'!$D$39</f>
        <v>15254.85780605927</v>
      </c>
      <c r="EG81" s="276">
        <f>$D81/$D$281*'91Ф'!$D$10</f>
        <v>4706.1172887589782</v>
      </c>
      <c r="EH81" s="276">
        <f>$D81/$D$281*('20Ф'!$I$509+'26Ф'!$D$41+'20Ф'!$I$507)</f>
        <v>33294.230166899528</v>
      </c>
      <c r="EI81" s="276">
        <f>$D81/$D$281*'91Ф'!$D$31</f>
        <v>61033.214142490884</v>
      </c>
      <c r="EJ81" s="276">
        <f>$D81/$D$281*'20Ф'!$I$1316</f>
        <v>7462.0623099313707</v>
      </c>
      <c r="EK81" s="276">
        <f>$D81/$D$281*('20Ф'!$I$1105+'20Ф'!$I$1282+'91Ф'!$D$17+'91Ф'!$D$41)</f>
        <v>245062.43974287057</v>
      </c>
      <c r="EL81" s="276">
        <f>$D81/$D$281*отчёт!BX$294</f>
        <v>409669.66103912593</v>
      </c>
      <c r="EM81" s="276">
        <f>$D81/$D$281*отчёт!BY$294</f>
        <v>360282.47661953507</v>
      </c>
      <c r="EN81" s="276">
        <f>SUMIF(отчёт!$B:$B,$B:$B,отчёт!BZ:BZ)/отчёт!BZ$281*('60Ф'!$O$151+'60Ф'!$P$151)*отчёт!BZ$293</f>
        <v>0</v>
      </c>
      <c r="EO81" s="240">
        <f t="shared" ref="EO81:EO132" si="19">SUM(EP81:EQ81)</f>
        <v>0</v>
      </c>
      <c r="EP81" s="276">
        <f>SUMIF('20Ф'!$H:$H,$B:$B,'20Ф'!T:T)*1.2</f>
        <v>0</v>
      </c>
      <c r="EQ81" s="276">
        <f>SUMIF('20Ф'!$H:$H,$B:$B,'20Ф'!U:U)*1.2</f>
        <v>0</v>
      </c>
      <c r="ER81" s="236"/>
      <c r="ES81" s="239">
        <f t="shared" si="17"/>
        <v>137116.59157913071</v>
      </c>
      <c r="ET81" s="276">
        <f>$D81/$D$282*'20Ф'!$I$381</f>
        <v>10479.952468929883</v>
      </c>
      <c r="EU81" s="276">
        <f>$D81/$D$282*('20Ф'!$I$75+'20Ф'!$I$1098)*1.2</f>
        <v>121048.10335426871</v>
      </c>
      <c r="EV81" s="276">
        <f>$D81/$D$282*('20Ф'!$I$1286)</f>
        <v>5588.5357559321274</v>
      </c>
      <c r="EW81" s="276">
        <f>SUMIF('91.1Ф'!$N:$N,$B:$B,'91.1Ф'!$F:$F)+$D81/$D$281*('91Ф'!$D$12+'91Ф'!$D$11+'91Ф'!$D$19+'91Ф'!$D$20)</f>
        <v>32298.031740445462</v>
      </c>
      <c r="EX81" s="276">
        <f t="shared" si="15"/>
        <v>4898.3379892407238</v>
      </c>
      <c r="EY81" s="276">
        <f>SUMIF('20Ф'!$H:$H,$B:$B,'20Ф'!$AY:$AY)*1.2</f>
        <v>0</v>
      </c>
      <c r="EZ81" s="295">
        <f>D81/$D$286*'20Ф'!$I$1163</f>
        <v>4898.3379892407238</v>
      </c>
      <c r="FA81" s="277">
        <f>SUMIF(отчёт!$B:$B,$B:$B,отчёт!$CU:$CU)/отчёт!$CU$281*'20Ф'!$I$1341</f>
        <v>0</v>
      </c>
      <c r="FB81" s="276">
        <f>SUMIF(Сальдо!$A:$A,$B:$B,Сальдо!$H:$H)-SUMIF(Сальдо!$A:$A,$B:$B,Сальдо!$I:$I)</f>
        <v>712482.58000000007</v>
      </c>
    </row>
    <row r="82" spans="1:158" ht="12" customHeight="1" x14ac:dyDescent="0.25">
      <c r="A82" s="3">
        <f t="shared" si="18"/>
        <v>78</v>
      </c>
      <c r="B82" s="4" t="s">
        <v>128</v>
      </c>
      <c r="C82" s="4" t="s">
        <v>128</v>
      </c>
      <c r="D82" s="5">
        <v>6622.8</v>
      </c>
      <c r="E82" s="6">
        <v>5469.6</v>
      </c>
      <c r="F82" s="6">
        <v>1153.2</v>
      </c>
      <c r="G82" s="6">
        <v>1385.2</v>
      </c>
      <c r="H82" s="5">
        <f>SUMIF(отчёт!$B:$B,$B:$B,отчёт!I:I)</f>
        <v>1</v>
      </c>
      <c r="I82" s="5">
        <f>SUMIF(отчёт!$B:$B,$B:$B,отчёт!J:J)</f>
        <v>1</v>
      </c>
      <c r="J82" s="3" t="s">
        <v>114</v>
      </c>
      <c r="K82" s="105">
        <v>1</v>
      </c>
      <c r="L82" s="105" t="s">
        <v>75</v>
      </c>
      <c r="M82" s="12">
        <v>36.54</v>
      </c>
      <c r="N82" s="8">
        <v>4.03</v>
      </c>
      <c r="O82" s="8">
        <v>7</v>
      </c>
      <c r="P82" s="8">
        <v>11</v>
      </c>
      <c r="Q82" s="8">
        <v>5.4</v>
      </c>
      <c r="R82" s="8">
        <v>2.67</v>
      </c>
      <c r="S82" s="8">
        <v>1.54</v>
      </c>
      <c r="T82" s="8">
        <v>4.9000000000000004</v>
      </c>
      <c r="U82" s="8">
        <v>0</v>
      </c>
      <c r="V82" s="9">
        <v>40</v>
      </c>
      <c r="W82" s="9">
        <v>40</v>
      </c>
      <c r="X82" s="9">
        <v>2604.04</v>
      </c>
      <c r="Y82" s="8">
        <v>195.98199600000001</v>
      </c>
      <c r="Z82" s="9">
        <v>42.3</v>
      </c>
      <c r="AA82" s="9">
        <v>2604.04</v>
      </c>
      <c r="AB82" s="8">
        <v>0</v>
      </c>
      <c r="AC82" s="10">
        <v>0</v>
      </c>
      <c r="AD82" s="8">
        <v>5.05</v>
      </c>
      <c r="AE82" s="8">
        <v>10.67</v>
      </c>
      <c r="AF82" s="8">
        <v>14</v>
      </c>
      <c r="AG82" s="7">
        <v>1451982.672</v>
      </c>
      <c r="AH82" s="8">
        <v>160139.304</v>
      </c>
      <c r="AI82" s="8">
        <v>278157.59999999998</v>
      </c>
      <c r="AJ82" s="8">
        <v>437104.80000000005</v>
      </c>
      <c r="AK82" s="8">
        <v>214578.72000000003</v>
      </c>
      <c r="AL82" s="8">
        <v>106097.25599999999</v>
      </c>
      <c r="AM82" s="8">
        <v>61194.672000000006</v>
      </c>
      <c r="AN82" s="8">
        <v>194710.32000000004</v>
      </c>
      <c r="AO82" s="8">
        <v>0</v>
      </c>
      <c r="AQ82" s="104">
        <v>48.16</v>
      </c>
      <c r="AR82" s="375">
        <v>18.649999999999999</v>
      </c>
      <c r="AS82" s="376"/>
      <c r="AT82" s="104">
        <v>7.16</v>
      </c>
      <c r="AU82" s="104">
        <v>1.53</v>
      </c>
      <c r="AV82" s="104">
        <v>0.32</v>
      </c>
      <c r="AW82" s="104">
        <v>0.87</v>
      </c>
      <c r="AX82" s="104">
        <v>5.01</v>
      </c>
      <c r="AY82" s="104">
        <v>4.99</v>
      </c>
      <c r="AZ82" s="104">
        <v>2.7</v>
      </c>
      <c r="BA82" s="104">
        <v>6.46</v>
      </c>
      <c r="BB82" s="104">
        <v>0.47</v>
      </c>
      <c r="BC82" s="101">
        <v>0</v>
      </c>
      <c r="BD82" s="104">
        <v>54.565279999999994</v>
      </c>
      <c r="BE82" s="375">
        <v>21.130449999999996</v>
      </c>
      <c r="BF82" s="376">
        <v>0</v>
      </c>
      <c r="BG82" s="104">
        <v>8.1122800000000002</v>
      </c>
      <c r="BH82" s="104">
        <v>1.7334900000000002</v>
      </c>
      <c r="BI82" s="104">
        <v>0.36255999999999999</v>
      </c>
      <c r="BJ82" s="104">
        <v>0.98570999999999998</v>
      </c>
      <c r="BK82" s="104">
        <v>5.6763299999999992</v>
      </c>
      <c r="BL82" s="104">
        <v>5.6536700000000009</v>
      </c>
      <c r="BM82" s="104">
        <v>3.0591000000000004</v>
      </c>
      <c r="BN82" s="104">
        <v>7.3191800000000002</v>
      </c>
      <c r="BO82" s="104">
        <v>0.53250999999999993</v>
      </c>
      <c r="BP82" s="101">
        <v>0</v>
      </c>
      <c r="BQ82" s="103">
        <v>4251657.4598400006</v>
      </c>
      <c r="BR82" s="371">
        <v>1646457.8825999999</v>
      </c>
      <c r="BS82" s="371">
        <v>0</v>
      </c>
      <c r="BT82" s="103">
        <v>632098.57584000006</v>
      </c>
      <c r="BU82" s="103">
        <v>135071.34372</v>
      </c>
      <c r="BV82" s="103">
        <v>28250.215680000001</v>
      </c>
      <c r="BW82" s="103">
        <v>76805.273879999993</v>
      </c>
      <c r="BX82" s="103">
        <v>442292.43923999998</v>
      </c>
      <c r="BY82" s="103">
        <v>440526.80076000013</v>
      </c>
      <c r="BZ82" s="103">
        <v>238361.19480000006</v>
      </c>
      <c r="CA82" s="103">
        <v>570301.22904000001</v>
      </c>
      <c r="CB82" s="103">
        <v>41492.504279999994</v>
      </c>
      <c r="CC82" s="103">
        <v>0</v>
      </c>
      <c r="CD82" s="1">
        <v>1</v>
      </c>
      <c r="CF82" s="277">
        <f>SUMIF(Оборот!$A:$A,$B:$B,Оборот!H:H)</f>
        <v>2652537.16</v>
      </c>
      <c r="CG82" s="277">
        <f>SUMIF(Оборот!$A:$A,$B:$B,Оборот!I:I)</f>
        <v>2687184.02</v>
      </c>
      <c r="CH82" s="277">
        <f t="shared" si="12"/>
        <v>2702074.6204858506</v>
      </c>
      <c r="CI82" s="239">
        <f t="shared" si="16"/>
        <v>190090.63570088003</v>
      </c>
      <c r="CJ82" s="276">
        <f>SUMIF('20Ф'!$H:$H,$B:$B,'20Ф'!M:M)*1.2</f>
        <v>106287.36</v>
      </c>
      <c r="CK82" s="276">
        <f>SUMIF('20Ф'!$H:$H,$B:$B,'20Ф'!O:O)*1.2</f>
        <v>0</v>
      </c>
      <c r="CL82" s="276">
        <f>SUMIF('20Ф'!$H:$H,$B:$B,'20Ф'!Q:Q)*1.2</f>
        <v>0</v>
      </c>
      <c r="CM82" s="276">
        <f>SUMIF('20Ф'!$H:$H,$B:$B,'20Ф'!R:R)*1.2</f>
        <v>0</v>
      </c>
      <c r="CN82" s="276">
        <f>SUMIF('20Ф'!$H:$H,$B:$B,'20Ф'!S:S)*1.2</f>
        <v>0</v>
      </c>
      <c r="CO82" s="276">
        <f>SUMIF('20Ф'!$H:$H,$B:$B,'20Ф'!W:W)*1.2</f>
        <v>0</v>
      </c>
      <c r="CP82" s="276">
        <f>SUMIF('20Ф'!$H:$H,$B:$B,'20Ф'!P:P)*1.2</f>
        <v>0</v>
      </c>
      <c r="CQ82" s="276">
        <f>SUMIF('20Ф'!$H:$H,$B:$B,'20Ф'!Y:Y)*1.2</f>
        <v>0</v>
      </c>
      <c r="CR82" s="276">
        <f>SUMIF('20Ф'!$H:$H,$B:$B,'20Ф'!Z:Z)*1.2</f>
        <v>0</v>
      </c>
      <c r="CS82" s="276">
        <f>SUMIF('20Ф'!$H:$H,$B:$B,'20Ф'!AB:AB)*1.2</f>
        <v>0</v>
      </c>
      <c r="CT82" s="276">
        <f>SUMIF('20Ф'!$H:$H,$B:$B,'20Ф'!AC:AC)*1.2</f>
        <v>0</v>
      </c>
      <c r="CU82" s="276">
        <f>SUMIF('20Ф'!$H:$H,$B:$B,'20Ф'!AD:AD)*1.2</f>
        <v>0</v>
      </c>
      <c r="CV82" s="276">
        <f>SUMIF('20Ф'!$H:$H,$B:$B,'20Ф'!AE:AE)*1.2</f>
        <v>0</v>
      </c>
      <c r="CW82" s="276">
        <f>SUMIF('20Ф'!$H:$H,$B:$B,'20Ф'!AF:AF)*1.2</f>
        <v>0</v>
      </c>
      <c r="CX82" s="276">
        <f>SUMIF('20Ф'!$H:$H,$B:$B,'20Ф'!AG:AG)*1.2</f>
        <v>0</v>
      </c>
      <c r="CY82" s="276">
        <f>SUMIF('20Ф'!$H:$H,$B:$B,'20Ф'!AH:AH)*1.2</f>
        <v>0</v>
      </c>
      <c r="CZ82" s="276">
        <f>SUMIF('20Ф'!$H:$H,$B:$B,'20Ф'!AI:AI)*1.2</f>
        <v>0</v>
      </c>
      <c r="DA82" s="276">
        <f>SUMIF('20Ф'!$H:$H,$B:$B,'20Ф'!AJ:AJ)*1.2</f>
        <v>0</v>
      </c>
      <c r="DB82" s="276">
        <f>SUMIF('20Ф'!$H:$H,$B:$B,'20Ф'!AK:AK)*1.2</f>
        <v>0</v>
      </c>
      <c r="DC82" s="276">
        <f>SUMIF('20Ф'!$H:$H,$B:$B,'20Ф'!AL:AL)*1.2</f>
        <v>0</v>
      </c>
      <c r="DD82" s="276">
        <f>SUMIF('20Ф'!$H:$H,$B:$B,'20Ф'!AM:AM)*1.2</f>
        <v>0</v>
      </c>
      <c r="DE82" s="276">
        <f>SUMIF('20Ф'!$H:$H,$B:$B,'20Ф'!AN:AN)*1.2</f>
        <v>25553.531999999999</v>
      </c>
      <c r="DF82" s="276">
        <f>SUMIF('20Ф'!$H:$H,$B:$B,'20Ф'!AO:AO)*1.2</f>
        <v>0</v>
      </c>
      <c r="DG82" s="276">
        <f>SUMIF('20Ф'!$H:$H,$B:$B,'20Ф'!AP:AP)*1.2</f>
        <v>0</v>
      </c>
      <c r="DH82" s="276">
        <f>SUMIF('20Ф'!$H:$H,$B:$B,'20Ф'!AQ:AQ)*1.2</f>
        <v>0</v>
      </c>
      <c r="DI82" s="276">
        <f>SUMIF('20Ф'!$H:$H,$B:$B,'20Ф'!BA:BA)*1.2</f>
        <v>0</v>
      </c>
      <c r="DJ82" s="276">
        <f>SUMIF('20Ф'!$H:$H,$B:$B,'20Ф'!BB:BB)*1.2</f>
        <v>0</v>
      </c>
      <c r="DK82" s="276">
        <f>SUMIF('20Ф'!$H:$H,$B:$B,'20Ф'!BC:BC)*1.2</f>
        <v>0</v>
      </c>
      <c r="DL82" s="276">
        <f>$D82/$D$281*'20Ф'!$H$218</f>
        <v>58249.743700880026</v>
      </c>
      <c r="DM82" s="240">
        <f t="shared" si="13"/>
        <v>807174.83092658909</v>
      </c>
      <c r="DN82" s="276">
        <f>SUMIF('20Ф'!$H:$H,$B:$B,'20Ф'!AV:AV)*1.2</f>
        <v>0</v>
      </c>
      <c r="DO82" s="276">
        <f>SUMIF('20Ф'!$H:$H,$B:$B,'20Ф'!AW:AW)*1.2+$D82/$D$281*'26Ф'!$D$42</f>
        <v>30997.49835044676</v>
      </c>
      <c r="DP82" s="276">
        <f>SUMIF('20Ф'!$H:$H,$B:$B,'20Ф'!AX:AX)*1.2</f>
        <v>0</v>
      </c>
      <c r="DQ82" s="276">
        <f>SUMIF('20Ф'!$H:$H,$B:$B,'20Ф'!AY:AY)*1.2</f>
        <v>0</v>
      </c>
      <c r="DR82" s="276">
        <f>SUMIF('20Ф'!$H:$H,$B:$B,'20Ф'!AU:AU)*1.2</f>
        <v>0</v>
      </c>
      <c r="DS82" s="276">
        <f>SUMIF('20Ф'!$H:$H,$B:$B,'20Ф'!AS:AS)*1.2</f>
        <v>229386.45600000001</v>
      </c>
      <c r="DT82" s="276">
        <f>SUMIF('20Ф'!$H:$H,$B:$B,'20Ф'!AR:AR)*1.2</f>
        <v>0</v>
      </c>
      <c r="DU82" s="276">
        <f>SUMIF('20Ф'!$H:$H,$B:$B,'20Ф'!X:X)*1.2</f>
        <v>0</v>
      </c>
      <c r="DV82" s="276">
        <f>SUMIF('20Ф'!$H:$H,$B:$B,'20Ф'!AA:AA)*1.2</f>
        <v>0</v>
      </c>
      <c r="DW82" s="276">
        <f>SUMIF('20Ф'!$H:$H,$B:$B,'20Ф'!N:N)*1.2</f>
        <v>0</v>
      </c>
      <c r="DX82" s="276">
        <f>$D82/$D$281*('25Ф'!$D$37)</f>
        <v>521029.16867419815</v>
      </c>
      <c r="DY82" s="276">
        <f>$D82/$D$281*'25Ф'!$D$30</f>
        <v>16629.615460237721</v>
      </c>
      <c r="DZ82" s="276">
        <f>$D82/$D$281*'25Ф'!$D$31</f>
        <v>9132.0924417064907</v>
      </c>
      <c r="EA82" s="276"/>
      <c r="EB82" s="276">
        <f t="shared" si="14"/>
        <v>328256.55384815059</v>
      </c>
      <c r="EC82" s="276">
        <f>$D82/$D$281*'26Ф'!$D$36</f>
        <v>170868.10770193901</v>
      </c>
      <c r="ED82" s="276">
        <f>$D82/$D$281*'26Ф'!$D$37</f>
        <v>20529.620649691358</v>
      </c>
      <c r="EE82" s="276">
        <f>$D82/$D$281*'26Ф'!$D$38</f>
        <v>20740.172110881886</v>
      </c>
      <c r="EF82" s="276">
        <f>$D82/$D$281*'26Ф'!$D$39</f>
        <v>14549.211806718211</v>
      </c>
      <c r="EG82" s="276">
        <f>$D82/$D$281*'91Ф'!$D$10</f>
        <v>4488.425791436498</v>
      </c>
      <c r="EH82" s="276">
        <f>$D82/$D$281*('20Ф'!$I$509+'26Ф'!$D$41+'20Ф'!$I$507)</f>
        <v>31754.134505759954</v>
      </c>
      <c r="EI82" s="276">
        <f>$D82/$D$281*'91Ф'!$D$31</f>
        <v>58209.992586832188</v>
      </c>
      <c r="EJ82" s="276">
        <f>$D82/$D$281*'20Ф'!$I$1316</f>
        <v>7116.8886948914924</v>
      </c>
      <c r="EK82" s="276">
        <f>$D82/$D$281*('20Ф'!$I$1105+'20Ф'!$I$1282+'91Ф'!$D$17+'91Ф'!$D$41)</f>
        <v>233726.55366698536</v>
      </c>
      <c r="EL82" s="276">
        <f>$D82/$D$281*отчёт!BX$294</f>
        <v>390719.5166956734</v>
      </c>
      <c r="EM82" s="276">
        <f>$D82/$D$281*отчёт!BY$294</f>
        <v>343616.84187607112</v>
      </c>
      <c r="EN82" s="276">
        <f>$D82/$D$283*отчёт!BZ$294</f>
        <v>61668.481857339837</v>
      </c>
      <c r="EO82" s="240">
        <f>SUBTOTAL(9,EP82:ER82)</f>
        <v>185243.217500998</v>
      </c>
      <c r="EP82" s="276">
        <f>SUMIF('20Ф'!$H:$H,$B:$B,'20Ф'!T:T)*1.2</f>
        <v>7379.808</v>
      </c>
      <c r="EQ82" s="276">
        <f>SUM(H82:I82)/SUM($H$284:$I$284)*SUM('60Ф'!$O$155:$P$155)</f>
        <v>172510.26175648702</v>
      </c>
      <c r="ER82" s="276">
        <f>SUM($H82:$I82)/SUM($H$284:$I$284)*SUM('60Ф'!$P$227)</f>
        <v>5353.1477445109776</v>
      </c>
      <c r="ES82" s="239">
        <f t="shared" si="17"/>
        <v>130773.97104990731</v>
      </c>
      <c r="ET82" s="276">
        <f>$D82/$D$282*'20Ф'!$I$381</f>
        <v>9995.1799048718003</v>
      </c>
      <c r="EU82" s="276">
        <f>$D82/$D$282*('20Ф'!$I$75+'20Ф'!$I$1098)*1.2</f>
        <v>115448.76503557034</v>
      </c>
      <c r="EV82" s="276">
        <f>$D82/$D$282*('20Ф'!$I$1286)</f>
        <v>5330.0261094651778</v>
      </c>
      <c r="EW82" s="276">
        <f>SUMIF('91.1Ф'!$N:$N,$B:$B,'91.1Ф'!$F:$F)+$D82/$D$281*('91Ф'!$D$12+'91Ф'!$D$11+'91Ф'!$D$19+'91Ф'!$D$20)</f>
        <v>30804.01736325584</v>
      </c>
      <c r="EX82" s="276">
        <f t="shared" si="15"/>
        <v>0</v>
      </c>
      <c r="EY82" s="276">
        <f>SUMIF('20Ф'!$H:$H,$B:$B,'20Ф'!$AY:$AY)*1.2</f>
        <v>0</v>
      </c>
      <c r="EZ82" s="236"/>
      <c r="FA82" s="277">
        <f>SUMIF(отчёт!$B:$B,$B:$B,отчёт!$CU:$CU)/отчёт!$CU$281*'20Ф'!$I$1341</f>
        <v>0</v>
      </c>
      <c r="FB82" s="276">
        <f>SUMIF(Сальдо!$A:$A,$B:$B,Сальдо!$H:$H)-SUMIF(Сальдо!$A:$A,$B:$B,Сальдо!$I:$I)</f>
        <v>246108.84</v>
      </c>
    </row>
    <row r="83" spans="1:158" ht="12" customHeight="1" x14ac:dyDescent="0.25">
      <c r="A83" s="3">
        <f t="shared" si="18"/>
        <v>79</v>
      </c>
      <c r="B83" s="4" t="s">
        <v>129</v>
      </c>
      <c r="C83" s="4" t="s">
        <v>129</v>
      </c>
      <c r="D83" s="5">
        <v>3447.6</v>
      </c>
      <c r="E83" s="6">
        <v>2670.2</v>
      </c>
      <c r="F83" s="6">
        <v>777.4</v>
      </c>
      <c r="G83" s="6">
        <v>329.4</v>
      </c>
      <c r="H83" s="5">
        <f>SUMIF(отчёт!$B:$B,$B:$B,отчёт!I:I)</f>
        <v>0</v>
      </c>
      <c r="I83" s="5">
        <f>SUMIF(отчёт!$B:$B,$B:$B,отчёт!J:J)</f>
        <v>0</v>
      </c>
      <c r="J83" s="3" t="s">
        <v>111</v>
      </c>
      <c r="K83" s="105">
        <v>7</v>
      </c>
      <c r="L83" s="105" t="s">
        <v>52</v>
      </c>
      <c r="M83" s="7">
        <v>31</v>
      </c>
      <c r="N83" s="8">
        <v>5.0999999999999996</v>
      </c>
      <c r="O83" s="8">
        <v>6.59</v>
      </c>
      <c r="P83" s="8">
        <v>8.98</v>
      </c>
      <c r="Q83" s="8">
        <v>6.92</v>
      </c>
      <c r="R83" s="8">
        <v>3.15</v>
      </c>
      <c r="S83" s="8">
        <v>0</v>
      </c>
      <c r="T83" s="8">
        <v>0</v>
      </c>
      <c r="U83" s="8">
        <v>0.26</v>
      </c>
      <c r="V83" s="9">
        <v>40</v>
      </c>
      <c r="W83" s="9">
        <v>40</v>
      </c>
      <c r="X83" s="9">
        <v>2604.04</v>
      </c>
      <c r="Y83" s="8">
        <v>195.98199600000001</v>
      </c>
      <c r="Z83" s="9">
        <v>42.3</v>
      </c>
      <c r="AA83" s="9">
        <v>2604.04</v>
      </c>
      <c r="AB83" s="8">
        <v>7.85</v>
      </c>
      <c r="AC83" s="10">
        <v>0</v>
      </c>
      <c r="AD83" s="8">
        <v>6.73</v>
      </c>
      <c r="AE83" s="8">
        <v>10.67</v>
      </c>
      <c r="AF83" s="8">
        <v>14</v>
      </c>
      <c r="AG83" s="7">
        <v>641253.6</v>
      </c>
      <c r="AH83" s="8">
        <v>105496.56</v>
      </c>
      <c r="AI83" s="8">
        <v>136318.10399999999</v>
      </c>
      <c r="AJ83" s="8">
        <v>185756.68799999999</v>
      </c>
      <c r="AK83" s="8">
        <v>143144.35200000001</v>
      </c>
      <c r="AL83" s="8">
        <v>65159.639999999992</v>
      </c>
      <c r="AM83" s="8">
        <v>0</v>
      </c>
      <c r="AN83" s="8">
        <v>0</v>
      </c>
      <c r="AO83" s="8">
        <v>5378.2559999999994</v>
      </c>
      <c r="AQ83" s="104">
        <v>33.17</v>
      </c>
      <c r="AR83" s="375">
        <v>13.89</v>
      </c>
      <c r="AS83" s="376"/>
      <c r="AT83" s="104">
        <v>5.9</v>
      </c>
      <c r="AU83" s="104">
        <v>1.53</v>
      </c>
      <c r="AV83" s="104">
        <v>0.32</v>
      </c>
      <c r="AW83" s="104">
        <v>0.6</v>
      </c>
      <c r="AX83" s="104">
        <v>5.01</v>
      </c>
      <c r="AY83" s="104">
        <v>4.99</v>
      </c>
      <c r="AZ83" s="104">
        <v>0</v>
      </c>
      <c r="BA83" s="104">
        <v>0</v>
      </c>
      <c r="BB83" s="104">
        <v>0</v>
      </c>
      <c r="BC83" s="101">
        <v>0.93</v>
      </c>
      <c r="BD83" s="104">
        <v>37.581610000000005</v>
      </c>
      <c r="BE83" s="375">
        <v>15.737370000000004</v>
      </c>
      <c r="BF83" s="376">
        <v>0</v>
      </c>
      <c r="BG83" s="104">
        <v>6.6847000000000012</v>
      </c>
      <c r="BH83" s="104">
        <v>1.7334900000000002</v>
      </c>
      <c r="BI83" s="104">
        <v>0.36256000000000005</v>
      </c>
      <c r="BJ83" s="104">
        <v>0.67980000000000007</v>
      </c>
      <c r="BK83" s="104">
        <v>5.6763300000000001</v>
      </c>
      <c r="BL83" s="104">
        <v>5.65367</v>
      </c>
      <c r="BM83" s="104">
        <v>0</v>
      </c>
      <c r="BN83" s="104">
        <v>0</v>
      </c>
      <c r="BO83" s="104">
        <v>0</v>
      </c>
      <c r="BP83" s="101">
        <v>1.0536900000000002</v>
      </c>
      <c r="BQ83" s="103">
        <v>1524377.3703600001</v>
      </c>
      <c r="BR83" s="371">
        <v>638335.89612000016</v>
      </c>
      <c r="BS83" s="371">
        <v>0</v>
      </c>
      <c r="BT83" s="103">
        <v>271143.39720000001</v>
      </c>
      <c r="BU83" s="103">
        <v>70313.457240000003</v>
      </c>
      <c r="BV83" s="103">
        <v>14706.082559999999</v>
      </c>
      <c r="BW83" s="103">
        <v>27573.904800000004</v>
      </c>
      <c r="BX83" s="103">
        <v>230242.10507999998</v>
      </c>
      <c r="BY83" s="103">
        <v>229322.97492000001</v>
      </c>
      <c r="BZ83" s="103">
        <v>0</v>
      </c>
      <c r="CA83" s="103">
        <v>0</v>
      </c>
      <c r="CB83" s="103">
        <v>0</v>
      </c>
      <c r="CC83" s="103">
        <v>42739.552440000007</v>
      </c>
      <c r="CD83" s="1">
        <v>1</v>
      </c>
      <c r="CF83" s="277">
        <f>SUMIF(Оборот!$A:$A,$B:$B,Оборот!H:H)</f>
        <v>1014272.8999999999</v>
      </c>
      <c r="CG83" s="277">
        <f>SUMIF(Оборот!$A:$A,$B:$B,Оборот!I:I)</f>
        <v>968544</v>
      </c>
      <c r="CH83" s="277">
        <f t="shared" si="12"/>
        <v>1406932.2628652118</v>
      </c>
      <c r="CI83" s="239">
        <f t="shared" si="16"/>
        <v>30322.796458167843</v>
      </c>
      <c r="CJ83" s="276">
        <f>SUMIF('20Ф'!$H:$H,$B:$B,'20Ф'!M:M)*1.2</f>
        <v>0</v>
      </c>
      <c r="CK83" s="276">
        <f>SUMIF('20Ф'!$H:$H,$B:$B,'20Ф'!O:O)*1.2</f>
        <v>0</v>
      </c>
      <c r="CL83" s="276">
        <f>SUMIF('20Ф'!$H:$H,$B:$B,'20Ф'!Q:Q)*1.2</f>
        <v>0</v>
      </c>
      <c r="CM83" s="276">
        <f>SUMIF('20Ф'!$H:$H,$B:$B,'20Ф'!R:R)*1.2</f>
        <v>0</v>
      </c>
      <c r="CN83" s="276">
        <f>SUMIF('20Ф'!$H:$H,$B:$B,'20Ф'!S:S)*1.2</f>
        <v>0</v>
      </c>
      <c r="CO83" s="276">
        <f>SUMIF('20Ф'!$H:$H,$B:$B,'20Ф'!W:W)*1.2</f>
        <v>0</v>
      </c>
      <c r="CP83" s="276">
        <f>SUMIF('20Ф'!$H:$H,$B:$B,'20Ф'!P:P)*1.2</f>
        <v>0</v>
      </c>
      <c r="CQ83" s="276">
        <f>SUMIF('20Ф'!$H:$H,$B:$B,'20Ф'!Y:Y)*1.2</f>
        <v>0</v>
      </c>
      <c r="CR83" s="276">
        <f>SUMIF('20Ф'!$H:$H,$B:$B,'20Ф'!Z:Z)*1.2</f>
        <v>0</v>
      </c>
      <c r="CS83" s="276">
        <f>SUMIF('20Ф'!$H:$H,$B:$B,'20Ф'!AB:AB)*1.2</f>
        <v>0</v>
      </c>
      <c r="CT83" s="276">
        <f>SUMIF('20Ф'!$H:$H,$B:$B,'20Ф'!AC:AC)*1.2</f>
        <v>0</v>
      </c>
      <c r="CU83" s="276">
        <f>SUMIF('20Ф'!$H:$H,$B:$B,'20Ф'!AD:AD)*1.2</f>
        <v>0</v>
      </c>
      <c r="CV83" s="276">
        <f>SUMIF('20Ф'!$H:$H,$B:$B,'20Ф'!AE:AE)*1.2</f>
        <v>0</v>
      </c>
      <c r="CW83" s="276">
        <f>SUMIF('20Ф'!$H:$H,$B:$B,'20Ф'!AF:AF)*1.2</f>
        <v>0</v>
      </c>
      <c r="CX83" s="276">
        <f>SUMIF('20Ф'!$H:$H,$B:$B,'20Ф'!AG:AG)*1.2</f>
        <v>0</v>
      </c>
      <c r="CY83" s="276">
        <f>SUMIF('20Ф'!$H:$H,$B:$B,'20Ф'!AH:AH)*1.2</f>
        <v>0</v>
      </c>
      <c r="CZ83" s="276">
        <f>SUMIF('20Ф'!$H:$H,$B:$B,'20Ф'!AI:AI)*1.2</f>
        <v>0</v>
      </c>
      <c r="DA83" s="276">
        <f>SUMIF('20Ф'!$H:$H,$B:$B,'20Ф'!AJ:AJ)*1.2</f>
        <v>0</v>
      </c>
      <c r="DB83" s="276">
        <f>SUMIF('20Ф'!$H:$H,$B:$B,'20Ф'!AK:AK)*1.2</f>
        <v>0</v>
      </c>
      <c r="DC83" s="276">
        <f>SUMIF('20Ф'!$H:$H,$B:$B,'20Ф'!AL:AL)*1.2</f>
        <v>0</v>
      </c>
      <c r="DD83" s="276">
        <f>SUMIF('20Ф'!$H:$H,$B:$B,'20Ф'!AM:AM)*1.2</f>
        <v>0</v>
      </c>
      <c r="DE83" s="276">
        <f>SUMIF('20Ф'!$H:$H,$B:$B,'20Ф'!AN:AN)*1.2</f>
        <v>0</v>
      </c>
      <c r="DF83" s="276">
        <f>SUMIF('20Ф'!$H:$H,$B:$B,'20Ф'!AO:AO)*1.2</f>
        <v>0</v>
      </c>
      <c r="DG83" s="276">
        <f>SUMIF('20Ф'!$H:$H,$B:$B,'20Ф'!AP:AP)*1.2</f>
        <v>0</v>
      </c>
      <c r="DH83" s="276">
        <f>SUMIF('20Ф'!$H:$H,$B:$B,'20Ф'!AQ:AQ)*1.2</f>
        <v>0</v>
      </c>
      <c r="DI83" s="276">
        <f>SUMIF('20Ф'!$H:$H,$B:$B,'20Ф'!BA:BA)*1.2</f>
        <v>0</v>
      </c>
      <c r="DJ83" s="276">
        <f>SUMIF('20Ф'!$H:$H,$B:$B,'20Ф'!BB:BB)*1.2</f>
        <v>0</v>
      </c>
      <c r="DK83" s="276">
        <f>SUMIF('20Ф'!$H:$H,$B:$B,'20Ф'!BC:BC)*1.2</f>
        <v>0</v>
      </c>
      <c r="DL83" s="276">
        <f>$D83/$D$281*'20Ф'!$H$218</f>
        <v>30322.796458167843</v>
      </c>
      <c r="DM83" s="240">
        <f t="shared" si="13"/>
        <v>586338.65817287378</v>
      </c>
      <c r="DN83" s="276">
        <f>SUMIF('20Ф'!$H:$H,$B:$B,'20Ф'!AV:AV)*1.2</f>
        <v>0</v>
      </c>
      <c r="DO83" s="276">
        <f>SUMIF('20Ф'!$H:$H,$B:$B,'20Ф'!AW:AW)*1.2+$D83/$D$281*'26Ф'!$D$42</f>
        <v>16136.222641933962</v>
      </c>
      <c r="DP83" s="276">
        <f>SUMIF('20Ф'!$H:$H,$B:$B,'20Ф'!AX:AX)*1.2</f>
        <v>0</v>
      </c>
      <c r="DQ83" s="276">
        <f>SUMIF('20Ф'!$H:$H,$B:$B,'20Ф'!AY:AY)*1.2</f>
        <v>28908</v>
      </c>
      <c r="DR83" s="276">
        <f>SUMIF('20Ф'!$H:$H,$B:$B,'20Ф'!AU:AU)*1.2</f>
        <v>0</v>
      </c>
      <c r="DS83" s="276">
        <f>SUMIF('20Ф'!$H:$H,$B:$B,'20Ф'!AS:AS)*1.2</f>
        <v>155623.008</v>
      </c>
      <c r="DT83" s="276">
        <f>SUMIF('20Ф'!$H:$H,$B:$B,'20Ф'!AR:AR)*1.2</f>
        <v>0</v>
      </c>
      <c r="DU83" s="276">
        <f>SUMIF('20Ф'!$H:$H,$B:$B,'20Ф'!X:X)*1.2</f>
        <v>101031.06</v>
      </c>
      <c r="DV83" s="276">
        <f>SUMIF('20Ф'!$H:$H,$B:$B,'20Ф'!AA:AA)*1.2</f>
        <v>0</v>
      </c>
      <c r="DW83" s="276">
        <f>SUMIF('20Ф'!$H:$H,$B:$B,'20Ф'!N:N)*1.2</f>
        <v>0</v>
      </c>
      <c r="DX83" s="276">
        <f>$D83/$D$281*('25Ф'!$D$37)</f>
        <v>271229.71581825899</v>
      </c>
      <c r="DY83" s="276">
        <f>$D83/$D$281*'25Ф'!$D$30</f>
        <v>8656.8010902813858</v>
      </c>
      <c r="DZ83" s="276">
        <f>$D83/$D$281*'25Ф'!$D$31</f>
        <v>4753.8506223994837</v>
      </c>
      <c r="EA83" s="276"/>
      <c r="EB83" s="276">
        <f t="shared" si="14"/>
        <v>170878.97793182399</v>
      </c>
      <c r="EC83" s="276">
        <f>$D83/$D$281*'26Ф'!$D$36</f>
        <v>88948.011130217565</v>
      </c>
      <c r="ED83" s="276">
        <f>$D83/$D$281*'26Ф'!$D$37</f>
        <v>10687.008538967797</v>
      </c>
      <c r="EE83" s="276">
        <f>$D83/$D$281*'26Ф'!$D$38</f>
        <v>10796.614327697709</v>
      </c>
      <c r="EF83" s="276">
        <f>$D83/$D$281*'26Ф'!$D$39</f>
        <v>7573.8150970649431</v>
      </c>
      <c r="EG83" s="276">
        <f>$D83/$D$281*'91Ф'!$D$10</f>
        <v>2336.5188075370647</v>
      </c>
      <c r="EH83" s="276">
        <f>$D83/$D$281*('20Ф'!$I$509+'26Ф'!$D$41+'20Ф'!$I$507)</f>
        <v>16530.10118410008</v>
      </c>
      <c r="EI83" s="276">
        <f>$D83/$D$281*'91Ф'!$D$31</f>
        <v>30302.103406770952</v>
      </c>
      <c r="EJ83" s="276">
        <f>$D83/$D$281*'20Ф'!$I$1316</f>
        <v>3704.8054394678852</v>
      </c>
      <c r="EK83" s="276">
        <f>$D83/$D$281*('20Ф'!$I$1105+'20Ф'!$I$1282+'91Ф'!$D$17+'91Ф'!$D$41)</f>
        <v>121669.93815641402</v>
      </c>
      <c r="EL83" s="276">
        <f>$D83/$D$281*отчёт!BX$294</f>
        <v>203395.0301624696</v>
      </c>
      <c r="EM83" s="276">
        <f>$D83/$D$281*отчёт!BY$294</f>
        <v>178875.0111813648</v>
      </c>
      <c r="EN83" s="276">
        <f>SUMIF(отчёт!$B:$B,$B:$B,отчёт!BZ:BZ)/отчёт!BZ$281*('60Ф'!$O$151+'60Ф'!$P$151)*отчёт!BZ$293</f>
        <v>0</v>
      </c>
      <c r="EO83" s="240">
        <f t="shared" si="19"/>
        <v>0</v>
      </c>
      <c r="EP83" s="276">
        <f>SUMIF('20Ф'!$H:$H,$B:$B,'20Ф'!T:T)*1.2</f>
        <v>0</v>
      </c>
      <c r="EQ83" s="276">
        <f>SUMIF('20Ф'!$H:$H,$B:$B,'20Ф'!U:U)*1.2</f>
        <v>0</v>
      </c>
      <c r="ER83" s="236"/>
      <c r="ES83" s="239">
        <f t="shared" si="17"/>
        <v>68076.394061674888</v>
      </c>
      <c r="ET83" s="276">
        <f>$D83/$D$282*'20Ф'!$I$381</f>
        <v>5203.144023681225</v>
      </c>
      <c r="EU83" s="276">
        <f>$D83/$D$282*('20Ф'!$I$75+'20Ф'!$I$1098)*1.2</f>
        <v>60098.623291754586</v>
      </c>
      <c r="EV83" s="276">
        <f>$D83/$D$282*('20Ф'!$I$1286)</f>
        <v>2774.6267462390751</v>
      </c>
      <c r="EW83" s="276">
        <f>SUMIF('91.1Ф'!$N:$N,$B:$B,'91.1Ф'!$F:$F)+$D83/$D$281*('91Ф'!$D$12+'91Ф'!$D$11+'91Ф'!$D$19+'91Ф'!$D$20)</f>
        <v>16035.503149960867</v>
      </c>
      <c r="EX83" s="276">
        <f t="shared" si="15"/>
        <v>31339.95359046233</v>
      </c>
      <c r="EY83" s="276">
        <f>SUMIF('20Ф'!$H:$H,$B:$B,'20Ф'!$AY:$AY)*1.2</f>
        <v>28908</v>
      </c>
      <c r="EZ83" s="295">
        <f>D83/$D$286*'20Ф'!$I$1163</f>
        <v>2431.9535904623294</v>
      </c>
      <c r="FA83" s="277">
        <f>SUMIF(отчёт!$B:$B,$B:$B,отчёт!$CU:$CU)/отчёт!$CU$281*'20Ф'!$I$1341</f>
        <v>3683.8554216867401</v>
      </c>
      <c r="FB83" s="276">
        <f>SUMIF(Сальдо!$A:$A,$B:$B,Сальдо!$H:$H)-SUMIF(Сальдо!$A:$A,$B:$B,Сальдо!$I:$I)</f>
        <v>299956.42000000004</v>
      </c>
    </row>
    <row r="84" spans="1:158" ht="12" customHeight="1" x14ac:dyDescent="0.25">
      <c r="A84" s="3">
        <f t="shared" si="18"/>
        <v>80</v>
      </c>
      <c r="B84" s="4" t="s">
        <v>130</v>
      </c>
      <c r="C84" s="4" t="s">
        <v>130</v>
      </c>
      <c r="D84" s="5">
        <v>3176.2</v>
      </c>
      <c r="E84" s="6">
        <v>3176.2</v>
      </c>
      <c r="F84" s="6">
        <v>0</v>
      </c>
      <c r="G84" s="6">
        <v>326.8</v>
      </c>
      <c r="H84" s="5">
        <f>SUMIF(отчёт!$B:$B,$B:$B,отчёт!I:I)</f>
        <v>0</v>
      </c>
      <c r="I84" s="5">
        <f>SUMIF(отчёт!$B:$B,$B:$B,отчёт!J:J)</f>
        <v>0</v>
      </c>
      <c r="J84" s="3" t="s">
        <v>111</v>
      </c>
      <c r="K84" s="105">
        <v>7</v>
      </c>
      <c r="L84" s="105" t="s">
        <v>52</v>
      </c>
      <c r="M84" s="7">
        <v>31</v>
      </c>
      <c r="N84" s="8">
        <v>5.0999999999999996</v>
      </c>
      <c r="O84" s="8">
        <v>6.59</v>
      </c>
      <c r="P84" s="8">
        <v>8.98</v>
      </c>
      <c r="Q84" s="8">
        <v>6.92</v>
      </c>
      <c r="R84" s="8">
        <v>3.15</v>
      </c>
      <c r="S84" s="8">
        <v>0</v>
      </c>
      <c r="T84" s="8">
        <v>0</v>
      </c>
      <c r="U84" s="8">
        <v>0.26</v>
      </c>
      <c r="V84" s="9">
        <v>40</v>
      </c>
      <c r="W84" s="9">
        <v>40</v>
      </c>
      <c r="X84" s="9">
        <v>2604.04</v>
      </c>
      <c r="Y84" s="8">
        <v>195.98199600000001</v>
      </c>
      <c r="Z84" s="9">
        <v>42.3</v>
      </c>
      <c r="AA84" s="9">
        <v>2604.04</v>
      </c>
      <c r="AB84" s="8">
        <v>7.85</v>
      </c>
      <c r="AC84" s="10">
        <v>0</v>
      </c>
      <c r="AD84" s="8">
        <v>6.73</v>
      </c>
      <c r="AE84" s="8">
        <v>10.67</v>
      </c>
      <c r="AF84" s="8">
        <v>14</v>
      </c>
      <c r="AG84" s="7">
        <v>590773.19999999995</v>
      </c>
      <c r="AH84" s="8">
        <v>97191.719999999987</v>
      </c>
      <c r="AI84" s="8">
        <v>125586.948</v>
      </c>
      <c r="AJ84" s="8">
        <v>171133.65599999999</v>
      </c>
      <c r="AK84" s="8">
        <v>131875.82399999999</v>
      </c>
      <c r="AL84" s="8">
        <v>60030.179999999993</v>
      </c>
      <c r="AM84" s="8">
        <v>0</v>
      </c>
      <c r="AN84" s="8">
        <v>0</v>
      </c>
      <c r="AO84" s="8">
        <v>4954.8720000000003</v>
      </c>
      <c r="AQ84" s="104">
        <v>33.17</v>
      </c>
      <c r="AR84" s="375">
        <v>13.89</v>
      </c>
      <c r="AS84" s="376"/>
      <c r="AT84" s="104">
        <v>5.9</v>
      </c>
      <c r="AU84" s="104">
        <v>1.53</v>
      </c>
      <c r="AV84" s="104">
        <v>0.32</v>
      </c>
      <c r="AW84" s="104">
        <v>0.6</v>
      </c>
      <c r="AX84" s="104">
        <v>5.01</v>
      </c>
      <c r="AY84" s="104">
        <v>4.99</v>
      </c>
      <c r="AZ84" s="104">
        <v>0</v>
      </c>
      <c r="BA84" s="104">
        <v>0</v>
      </c>
      <c r="BB84" s="104">
        <v>0</v>
      </c>
      <c r="BC84" s="101">
        <v>0.93</v>
      </c>
      <c r="BD84" s="104">
        <v>37.581610000000005</v>
      </c>
      <c r="BE84" s="375">
        <v>15.737370000000004</v>
      </c>
      <c r="BF84" s="376">
        <v>0</v>
      </c>
      <c r="BG84" s="104">
        <v>6.6847000000000012</v>
      </c>
      <c r="BH84" s="104">
        <v>1.7334900000000002</v>
      </c>
      <c r="BI84" s="104">
        <v>0.36256000000000005</v>
      </c>
      <c r="BJ84" s="104">
        <v>0.67980000000000007</v>
      </c>
      <c r="BK84" s="104">
        <v>5.6763300000000001</v>
      </c>
      <c r="BL84" s="104">
        <v>5.65367</v>
      </c>
      <c r="BM84" s="104">
        <v>0</v>
      </c>
      <c r="BN84" s="104">
        <v>0</v>
      </c>
      <c r="BO84" s="104">
        <v>0</v>
      </c>
      <c r="BP84" s="101">
        <v>1.0536900000000002</v>
      </c>
      <c r="BQ84" s="103">
        <v>1404376.2048200003</v>
      </c>
      <c r="BR84" s="371">
        <v>588085.18194000016</v>
      </c>
      <c r="BS84" s="371">
        <v>0</v>
      </c>
      <c r="BT84" s="103">
        <v>249798.60140000001</v>
      </c>
      <c r="BU84" s="103">
        <v>64778.281379999993</v>
      </c>
      <c r="BV84" s="103">
        <v>13548.398719999999</v>
      </c>
      <c r="BW84" s="103">
        <v>25403.247600000002</v>
      </c>
      <c r="BX84" s="103">
        <v>212117.11745999998</v>
      </c>
      <c r="BY84" s="103">
        <v>211270.34253999998</v>
      </c>
      <c r="BZ84" s="103">
        <v>0</v>
      </c>
      <c r="CA84" s="103">
        <v>0</v>
      </c>
      <c r="CB84" s="103">
        <v>0</v>
      </c>
      <c r="CC84" s="103">
        <v>39375.033780000005</v>
      </c>
      <c r="CD84" s="1">
        <v>1</v>
      </c>
      <c r="CF84" s="277">
        <f>SUMIF(Оборот!$A:$A,$B:$B,Оборот!H:H)</f>
        <v>1209116</v>
      </c>
      <c r="CG84" s="277">
        <f>SUMIF(Оборот!$A:$A,$B:$B,Оборот!I:I)</f>
        <v>1159603.3999999999</v>
      </c>
      <c r="CH84" s="277">
        <f t="shared" si="12"/>
        <v>1560407.0293197837</v>
      </c>
      <c r="CI84" s="239">
        <f t="shared" si="16"/>
        <v>306913.35057757067</v>
      </c>
      <c r="CJ84" s="276">
        <f>SUMIF('20Ф'!$H:$H,$B:$B,'20Ф'!M:M)*1.2</f>
        <v>0</v>
      </c>
      <c r="CK84" s="276">
        <f>SUMIF('20Ф'!$H:$H,$B:$B,'20Ф'!O:O)*1.2</f>
        <v>0</v>
      </c>
      <c r="CL84" s="276">
        <f>SUMIF('20Ф'!$H:$H,$B:$B,'20Ф'!Q:Q)*1.2</f>
        <v>0</v>
      </c>
      <c r="CM84" s="276">
        <f>SUMIF('20Ф'!$H:$H,$B:$B,'20Ф'!R:R)*1.2</f>
        <v>0</v>
      </c>
      <c r="CN84" s="276">
        <f>SUMIF('20Ф'!$H:$H,$B:$B,'20Ф'!S:S)*1.2</f>
        <v>0</v>
      </c>
      <c r="CO84" s="276">
        <f>SUMIF('20Ф'!$H:$H,$B:$B,'20Ф'!W:W)*1.2</f>
        <v>0</v>
      </c>
      <c r="CP84" s="276">
        <f>SUMIF('20Ф'!$H:$H,$B:$B,'20Ф'!P:P)*1.2</f>
        <v>0</v>
      </c>
      <c r="CQ84" s="276">
        <f>SUMIF('20Ф'!$H:$H,$B:$B,'20Ф'!Y:Y)*1.2</f>
        <v>0</v>
      </c>
      <c r="CR84" s="276">
        <f>SUMIF('20Ф'!$H:$H,$B:$B,'20Ф'!Z:Z)*1.2</f>
        <v>0</v>
      </c>
      <c r="CS84" s="276">
        <f>SUMIF('20Ф'!$H:$H,$B:$B,'20Ф'!AB:AB)*1.2</f>
        <v>0</v>
      </c>
      <c r="CT84" s="276">
        <f>SUMIF('20Ф'!$H:$H,$B:$B,'20Ф'!AC:AC)*1.2</f>
        <v>0</v>
      </c>
      <c r="CU84" s="276">
        <f>SUMIF('20Ф'!$H:$H,$B:$B,'20Ф'!AD:AD)*1.2</f>
        <v>0</v>
      </c>
      <c r="CV84" s="276">
        <f>SUMIF('20Ф'!$H:$H,$B:$B,'20Ф'!AE:AE)*1.2</f>
        <v>0</v>
      </c>
      <c r="CW84" s="276">
        <f>SUMIF('20Ф'!$H:$H,$B:$B,'20Ф'!AF:AF)*1.2</f>
        <v>0</v>
      </c>
      <c r="CX84" s="276">
        <f>SUMIF('20Ф'!$H:$H,$B:$B,'20Ф'!AG:AG)*1.2</f>
        <v>0</v>
      </c>
      <c r="CY84" s="276">
        <f>SUMIF('20Ф'!$H:$H,$B:$B,'20Ф'!AH:AH)*1.2</f>
        <v>143008.008</v>
      </c>
      <c r="CZ84" s="276">
        <f>SUMIF('20Ф'!$H:$H,$B:$B,'20Ф'!AI:AI)*1.2</f>
        <v>0</v>
      </c>
      <c r="DA84" s="276">
        <f>SUMIF('20Ф'!$H:$H,$B:$B,'20Ф'!AJ:AJ)*1.2</f>
        <v>135969.60000000001</v>
      </c>
      <c r="DB84" s="276">
        <f>SUMIF('20Ф'!$H:$H,$B:$B,'20Ф'!AK:AK)*1.2</f>
        <v>0</v>
      </c>
      <c r="DC84" s="276">
        <f>SUMIF('20Ф'!$H:$H,$B:$B,'20Ф'!AL:AL)*1.2</f>
        <v>0</v>
      </c>
      <c r="DD84" s="276">
        <f>SUMIF('20Ф'!$H:$H,$B:$B,'20Ф'!AM:AM)*1.2</f>
        <v>0</v>
      </c>
      <c r="DE84" s="276">
        <f>SUMIF('20Ф'!$H:$H,$B:$B,'20Ф'!AN:AN)*1.2</f>
        <v>0</v>
      </c>
      <c r="DF84" s="276">
        <f>SUMIF('20Ф'!$H:$H,$B:$B,'20Ф'!AO:AO)*1.2</f>
        <v>0</v>
      </c>
      <c r="DG84" s="276">
        <f>SUMIF('20Ф'!$H:$H,$B:$B,'20Ф'!AP:AP)*1.2</f>
        <v>0</v>
      </c>
      <c r="DH84" s="276">
        <f>SUMIF('20Ф'!$H:$H,$B:$B,'20Ф'!AQ:AQ)*1.2</f>
        <v>0</v>
      </c>
      <c r="DI84" s="276">
        <f>SUMIF('20Ф'!$H:$H,$B:$B,'20Ф'!BA:BA)*1.2</f>
        <v>0</v>
      </c>
      <c r="DJ84" s="276">
        <f>SUMIF('20Ф'!$H:$H,$B:$B,'20Ф'!BB:BB)*1.2</f>
        <v>0</v>
      </c>
      <c r="DK84" s="276">
        <f>SUMIF('20Ф'!$H:$H,$B:$B,'20Ф'!BC:BC)*1.2</f>
        <v>0</v>
      </c>
      <c r="DL84" s="276">
        <f>$D84/$D$281*'20Ф'!$H$218</f>
        <v>27935.742577570687</v>
      </c>
      <c r="DM84" s="240">
        <f t="shared" si="13"/>
        <v>524126.43106435833</v>
      </c>
      <c r="DN84" s="276">
        <f>SUMIF('20Ф'!$H:$H,$B:$B,'20Ф'!AV:AV)*1.2</f>
        <v>0</v>
      </c>
      <c r="DO84" s="276">
        <f>SUMIF('20Ф'!$H:$H,$B:$B,'20Ф'!AW:AW)*1.2+$D84/$D$281*'26Ф'!$D$42</f>
        <v>14865.956130441657</v>
      </c>
      <c r="DP84" s="276">
        <f>SUMIF('20Ф'!$H:$H,$B:$B,'20Ф'!AX:AX)*1.2</f>
        <v>0</v>
      </c>
      <c r="DQ84" s="276">
        <f>SUMIF('20Ф'!$H:$H,$B:$B,'20Ф'!AY:AY)*1.2</f>
        <v>27940.007999999998</v>
      </c>
      <c r="DR84" s="276">
        <f>SUMIF('20Ф'!$H:$H,$B:$B,'20Ф'!AU:AU)*1.2</f>
        <v>0</v>
      </c>
      <c r="DS84" s="276">
        <f>SUMIF('20Ф'!$H:$H,$B:$B,'20Ф'!AS:AS)*1.2</f>
        <v>109184.064</v>
      </c>
      <c r="DT84" s="276">
        <f>SUMIF('20Ф'!$H:$H,$B:$B,'20Ф'!AR:AR)*1.2</f>
        <v>0</v>
      </c>
      <c r="DU84" s="276">
        <f>SUMIF('20Ф'!$H:$H,$B:$B,'20Ф'!X:X)*1.2</f>
        <v>109903.33199999999</v>
      </c>
      <c r="DV84" s="276">
        <f>SUMIF('20Ф'!$H:$H,$B:$B,'20Ф'!AA:AA)*1.2</f>
        <v>0</v>
      </c>
      <c r="DW84" s="276">
        <f>SUMIF('20Ф'!$H:$H,$B:$B,'20Ф'!N:N)*1.2</f>
        <v>0</v>
      </c>
      <c r="DX84" s="276">
        <f>$D84/$D$281*('25Ф'!$D$37)</f>
        <v>249878.12489324578</v>
      </c>
      <c r="DY84" s="276">
        <f>$D84/$D$281*'25Ф'!$D$30</f>
        <v>7975.3253344215509</v>
      </c>
      <c r="DZ84" s="276">
        <f>$D84/$D$281*'25Ф'!$D$31</f>
        <v>4379.620706249344</v>
      </c>
      <c r="EA84" s="276"/>
      <c r="EB84" s="276">
        <f t="shared" si="14"/>
        <v>157427.14053459204</v>
      </c>
      <c r="EC84" s="276">
        <f>$D84/$D$281*'26Ф'!$D$36</f>
        <v>81945.896551745289</v>
      </c>
      <c r="ED84" s="276">
        <f>$D84/$D$281*'26Ф'!$D$37</f>
        <v>9845.7119507685093</v>
      </c>
      <c r="EE84" s="276">
        <f>$D84/$D$281*'26Ф'!$D$38</f>
        <v>9946.6894151390716</v>
      </c>
      <c r="EF84" s="276">
        <f>$D84/$D$281*'26Ф'!$D$39</f>
        <v>6977.5935466114606</v>
      </c>
      <c r="EG84" s="276">
        <f>$D84/$D$281*'91Ф'!$D$10</f>
        <v>2152.5847071873841</v>
      </c>
      <c r="EH84" s="276">
        <f>$D84/$D$281*('20Ф'!$I$509+'26Ф'!$D$41+'20Ф'!$I$507)</f>
        <v>15228.827990758406</v>
      </c>
      <c r="EI84" s="276">
        <f>$D84/$D$281*'91Ф'!$D$31</f>
        <v>27916.678512758412</v>
      </c>
      <c r="EJ84" s="276">
        <f>$D84/$D$281*'20Ф'!$I$1316</f>
        <v>3413.1578596234763</v>
      </c>
      <c r="EK84" s="276">
        <f>$D84/$D$281*('20Ф'!$I$1105+'20Ф'!$I$1282+'91Ф'!$D$17+'91Ф'!$D$41)</f>
        <v>112091.90670971175</v>
      </c>
      <c r="EL84" s="276">
        <f>$D84/$D$281*отчёт!BX$294</f>
        <v>187383.48265519083</v>
      </c>
      <c r="EM84" s="276">
        <f>$D84/$D$281*отчёт!BY$294</f>
        <v>164793.71461719772</v>
      </c>
      <c r="EN84" s="276">
        <f>SUMIF(отчёт!$B:$B,$B:$B,отчёт!BZ:BZ)/отчёт!BZ$281*('60Ф'!$O$151+'60Ф'!$P$151)*отчёт!BZ$293</f>
        <v>0</v>
      </c>
      <c r="EO84" s="240">
        <f t="shared" si="19"/>
        <v>0</v>
      </c>
      <c r="EP84" s="276">
        <f>SUMIF('20Ф'!$H:$H,$B:$B,'20Ф'!T:T)*1.2</f>
        <v>0</v>
      </c>
      <c r="EQ84" s="276">
        <f>SUMIF('20Ф'!$H:$H,$B:$B,'20Ф'!U:U)*1.2</f>
        <v>0</v>
      </c>
      <c r="ER84" s="236"/>
      <c r="ES84" s="239">
        <f t="shared" si="17"/>
        <v>62717.323012731104</v>
      </c>
      <c r="ET84" s="276">
        <f>$D84/$D$282*'20Ф'!$I$381</f>
        <v>4793.5450887621264</v>
      </c>
      <c r="EU84" s="276">
        <f>$D84/$D$282*('20Ф'!$I$75+'20Ф'!$I$1098)*1.2</f>
        <v>55367.573761245767</v>
      </c>
      <c r="EV84" s="276">
        <f>$D84/$D$282*('20Ф'!$I$1286)</f>
        <v>2556.2041627232134</v>
      </c>
      <c r="EW84" s="276">
        <f>SUMIF('91.1Ф'!$N:$N,$B:$B,'91.1Ф'!$F:$F)+$D84/$D$281*('91Ф'!$D$12+'91Ф'!$D$11+'91Ф'!$D$19+'91Ф'!$D$20)</f>
        <v>14773.165420845142</v>
      </c>
      <c r="EX84" s="276">
        <f t="shared" si="15"/>
        <v>30180.514727586276</v>
      </c>
      <c r="EY84" s="276">
        <f>SUMIF('20Ф'!$H:$H,$B:$B,'20Ф'!$AY:$AY)*1.2</f>
        <v>27940.007999999998</v>
      </c>
      <c r="EZ84" s="295">
        <f>D84/$D$286*'20Ф'!$I$1163</f>
        <v>2240.5067275862775</v>
      </c>
      <c r="FA84" s="277">
        <f>SUMIF(отчёт!$B:$B,$B:$B,отчёт!$CU:$CU)/отчёт!$CU$281*'20Ф'!$I$1341</f>
        <v>3683.8554216867401</v>
      </c>
      <c r="FB84" s="276">
        <f>SUMIF(Сальдо!$A:$A,$B:$B,Сальдо!$H:$H)-SUMIF(Сальдо!$A:$A,$B:$B,Сальдо!$I:$I)</f>
        <v>598596.64</v>
      </c>
    </row>
    <row r="85" spans="1:158" ht="12" customHeight="1" x14ac:dyDescent="0.25">
      <c r="A85" s="3">
        <f t="shared" si="18"/>
        <v>81</v>
      </c>
      <c r="B85" s="4" t="s">
        <v>131</v>
      </c>
      <c r="C85" s="4" t="s">
        <v>131</v>
      </c>
      <c r="D85" s="5">
        <v>10284.4</v>
      </c>
      <c r="E85" s="6">
        <v>10284.4</v>
      </c>
      <c r="F85" s="6">
        <v>0</v>
      </c>
      <c r="G85" s="6">
        <v>1304.9000000000001</v>
      </c>
      <c r="H85" s="5">
        <f>SUMIF(отчёт!$B:$B,$B:$B,отчёт!I:I)</f>
        <v>5</v>
      </c>
      <c r="I85" s="5">
        <f>SUMIF(отчёт!$B:$B,$B:$B,отчёт!J:J)</f>
        <v>0</v>
      </c>
      <c r="J85" s="3" t="s">
        <v>111</v>
      </c>
      <c r="K85" s="105">
        <v>3</v>
      </c>
      <c r="L85" s="105" t="s">
        <v>52</v>
      </c>
      <c r="M85" s="7">
        <v>45.06</v>
      </c>
      <c r="N85" s="8">
        <v>5.0999999999999996</v>
      </c>
      <c r="O85" s="8">
        <v>8.6300000000000008</v>
      </c>
      <c r="P85" s="8">
        <v>13.43</v>
      </c>
      <c r="Q85" s="8">
        <v>6.91</v>
      </c>
      <c r="R85" s="8">
        <v>3.15</v>
      </c>
      <c r="S85" s="8">
        <v>1.81</v>
      </c>
      <c r="T85" s="8">
        <v>5.77</v>
      </c>
      <c r="U85" s="8">
        <v>0.26</v>
      </c>
      <c r="V85" s="9">
        <v>40</v>
      </c>
      <c r="W85" s="9">
        <v>40</v>
      </c>
      <c r="X85" s="9">
        <v>2604.04</v>
      </c>
      <c r="Y85" s="8">
        <v>195.98199600000001</v>
      </c>
      <c r="Z85" s="9">
        <v>42.3</v>
      </c>
      <c r="AA85" s="9">
        <v>2604.04</v>
      </c>
      <c r="AB85" s="8">
        <v>7.85</v>
      </c>
      <c r="AC85" s="10">
        <v>0</v>
      </c>
      <c r="AD85" s="8">
        <v>6.73</v>
      </c>
      <c r="AE85" s="8">
        <v>10.67</v>
      </c>
      <c r="AF85" s="8">
        <v>14</v>
      </c>
      <c r="AG85" s="7">
        <v>2780490.3840000001</v>
      </c>
      <c r="AH85" s="8">
        <v>314702.63999999996</v>
      </c>
      <c r="AI85" s="8">
        <v>532526.23200000008</v>
      </c>
      <c r="AJ85" s="8">
        <v>828716.95200000005</v>
      </c>
      <c r="AK85" s="8">
        <v>426391.22399999999</v>
      </c>
      <c r="AL85" s="8">
        <v>194375.15999999997</v>
      </c>
      <c r="AM85" s="8">
        <v>111688.584</v>
      </c>
      <c r="AN85" s="8">
        <v>356045.92799999996</v>
      </c>
      <c r="AO85" s="8">
        <v>16043.664000000001</v>
      </c>
      <c r="AQ85" s="104">
        <v>48.44</v>
      </c>
      <c r="AR85" s="375">
        <v>18.489999999999998</v>
      </c>
      <c r="AS85" s="376"/>
      <c r="AT85" s="104">
        <v>6.67</v>
      </c>
      <c r="AU85" s="104">
        <v>1.53</v>
      </c>
      <c r="AV85" s="104">
        <v>0.32</v>
      </c>
      <c r="AW85" s="104">
        <v>0.87</v>
      </c>
      <c r="AX85" s="104">
        <v>5.01</v>
      </c>
      <c r="AY85" s="104">
        <v>4.99</v>
      </c>
      <c r="AZ85" s="104">
        <v>2.7</v>
      </c>
      <c r="BA85" s="104">
        <v>6.46</v>
      </c>
      <c r="BB85" s="104">
        <v>0.47</v>
      </c>
      <c r="BC85" s="101">
        <v>0.93</v>
      </c>
      <c r="BD85" s="104">
        <v>54.88252</v>
      </c>
      <c r="BE85" s="375">
        <v>20.949169999999999</v>
      </c>
      <c r="BF85" s="376">
        <v>0</v>
      </c>
      <c r="BG85" s="104">
        <v>7.5571100000000007</v>
      </c>
      <c r="BH85" s="104">
        <v>1.7334900000000002</v>
      </c>
      <c r="BI85" s="104">
        <v>0.36256000000000005</v>
      </c>
      <c r="BJ85" s="104">
        <v>0.98571000000000009</v>
      </c>
      <c r="BK85" s="104">
        <v>5.6763300000000001</v>
      </c>
      <c r="BL85" s="104">
        <v>5.65367</v>
      </c>
      <c r="BM85" s="104">
        <v>3.0591000000000004</v>
      </c>
      <c r="BN85" s="104">
        <v>7.3191800000000002</v>
      </c>
      <c r="BO85" s="104">
        <v>0.53250999999999993</v>
      </c>
      <c r="BP85" s="101">
        <v>1.05369</v>
      </c>
      <c r="BQ85" s="103">
        <v>6640690.5588800004</v>
      </c>
      <c r="BR85" s="371">
        <v>2534813.5514799994</v>
      </c>
      <c r="BS85" s="371">
        <v>0</v>
      </c>
      <c r="BT85" s="103">
        <v>914397.31683999998</v>
      </c>
      <c r="BU85" s="103">
        <v>209749.30955999999</v>
      </c>
      <c r="BV85" s="103">
        <v>43869.136639999997</v>
      </c>
      <c r="BW85" s="103">
        <v>119269.21524</v>
      </c>
      <c r="BX85" s="103">
        <v>686826.17051999993</v>
      </c>
      <c r="BY85" s="103">
        <v>684084.34947999998</v>
      </c>
      <c r="BZ85" s="103">
        <v>370145.84040000004</v>
      </c>
      <c r="CA85" s="103">
        <v>885608.19591999997</v>
      </c>
      <c r="CB85" s="103">
        <v>64432.794439999983</v>
      </c>
      <c r="CC85" s="103">
        <v>127494.67835999998</v>
      </c>
      <c r="CD85" s="1">
        <v>1</v>
      </c>
      <c r="CF85" s="277">
        <f>SUMIF(Оборот!$A:$A,$B:$B,Оборот!H:H)</f>
        <v>5690436.0999999996</v>
      </c>
      <c r="CG85" s="277">
        <f>SUMIF(Оборот!$A:$A,$B:$B,Оборот!I:I)</f>
        <v>5693860.7400000002</v>
      </c>
      <c r="CH85" s="277">
        <f t="shared" si="12"/>
        <v>5179725.1823985111</v>
      </c>
      <c r="CI85" s="239">
        <f t="shared" si="16"/>
        <v>1094542.5138187672</v>
      </c>
      <c r="CJ85" s="276">
        <f>SUMIF('20Ф'!$H:$H,$B:$B,'20Ф'!M:M)*1.2</f>
        <v>0</v>
      </c>
      <c r="CK85" s="276">
        <f>SUMIF('20Ф'!$H:$H,$B:$B,'20Ф'!O:O)*1.2</f>
        <v>25405.475999999999</v>
      </c>
      <c r="CL85" s="276">
        <f>SUMIF('20Ф'!$H:$H,$B:$B,'20Ф'!Q:Q)*1.2</f>
        <v>0</v>
      </c>
      <c r="CM85" s="276">
        <f>SUMIF('20Ф'!$H:$H,$B:$B,'20Ф'!R:R)*1.2</f>
        <v>0</v>
      </c>
      <c r="CN85" s="276">
        <f>SUMIF('20Ф'!$H:$H,$B:$B,'20Ф'!S:S)*1.2</f>
        <v>0</v>
      </c>
      <c r="CO85" s="276">
        <f>SUMIF('20Ф'!$H:$H,$B:$B,'20Ф'!W:W)*1.2</f>
        <v>0</v>
      </c>
      <c r="CP85" s="276">
        <f>SUMIF('20Ф'!$H:$H,$B:$B,'20Ф'!P:P)*1.2</f>
        <v>0</v>
      </c>
      <c r="CQ85" s="276">
        <f>SUMIF('20Ф'!$H:$H,$B:$B,'20Ф'!Y:Y)*1.2</f>
        <v>0</v>
      </c>
      <c r="CR85" s="276">
        <f>SUMIF('20Ф'!$H:$H,$B:$B,'20Ф'!Z:Z)*1.2</f>
        <v>0</v>
      </c>
      <c r="CS85" s="276">
        <f>SUMIF('20Ф'!$H:$H,$B:$B,'20Ф'!AB:AB)*1.2</f>
        <v>0</v>
      </c>
      <c r="CT85" s="276">
        <f>SUMIF('20Ф'!$H:$H,$B:$B,'20Ф'!AC:AC)*1.2</f>
        <v>0</v>
      </c>
      <c r="CU85" s="276">
        <f>SUMIF('20Ф'!$H:$H,$B:$B,'20Ф'!AD:AD)*1.2</f>
        <v>0</v>
      </c>
      <c r="CV85" s="276">
        <f>SUMIF('20Ф'!$H:$H,$B:$B,'20Ф'!AE:AE)*1.2</f>
        <v>0</v>
      </c>
      <c r="CW85" s="276">
        <f>SUMIF('20Ф'!$H:$H,$B:$B,'20Ф'!AF:AF)*1.2</f>
        <v>0</v>
      </c>
      <c r="CX85" s="276">
        <f>SUMIF('20Ф'!$H:$H,$B:$B,'20Ф'!AG:AG)*1.2</f>
        <v>0</v>
      </c>
      <c r="CY85" s="276">
        <f>SUMIF('20Ф'!$H:$H,$B:$B,'20Ф'!AH:AH)*1.2</f>
        <v>0</v>
      </c>
      <c r="CZ85" s="276">
        <f>SUMIF('20Ф'!$H:$H,$B:$B,'20Ф'!AI:AI)*1.2</f>
        <v>0</v>
      </c>
      <c r="DA85" s="276">
        <f>SUMIF('20Ф'!$H:$H,$B:$B,'20Ф'!AJ:AJ)*1.2</f>
        <v>133002.29999999999</v>
      </c>
      <c r="DB85" s="276">
        <f>SUMIF('20Ф'!$H:$H,$B:$B,'20Ф'!AK:AK)*1.2</f>
        <v>0</v>
      </c>
      <c r="DC85" s="276">
        <f>SUMIF('20Ф'!$H:$H,$B:$B,'20Ф'!AL:AL)*1.2</f>
        <v>537975.99600000004</v>
      </c>
      <c r="DD85" s="276">
        <f>SUMIF('20Ф'!$H:$H,$B:$B,'20Ф'!AM:AM)*1.2</f>
        <v>0</v>
      </c>
      <c r="DE85" s="276">
        <f>SUMIF('20Ф'!$H:$H,$B:$B,'20Ф'!AN:AN)*1.2</f>
        <v>0</v>
      </c>
      <c r="DF85" s="276">
        <f>SUMIF('20Ф'!$H:$H,$B:$B,'20Ф'!AO:AO)*1.2</f>
        <v>0</v>
      </c>
      <c r="DG85" s="276">
        <f>SUMIF('20Ф'!$H:$H,$B:$B,'20Ф'!AP:AP)*1.2</f>
        <v>0</v>
      </c>
      <c r="DH85" s="276">
        <f>SUMIF('20Ф'!$H:$H,$B:$B,'20Ф'!AQ:AQ)*1.2</f>
        <v>0</v>
      </c>
      <c r="DI85" s="276">
        <f>SUMIF('20Ф'!$H:$H,$B:$B,'20Ф'!BA:BA)*1.2</f>
        <v>307704</v>
      </c>
      <c r="DJ85" s="276">
        <f>SUMIF('20Ф'!$H:$H,$B:$B,'20Ф'!BB:BB)*1.2</f>
        <v>0</v>
      </c>
      <c r="DK85" s="276">
        <f>SUMIF('20Ф'!$H:$H,$B:$B,'20Ф'!BC:BC)*1.2</f>
        <v>0</v>
      </c>
      <c r="DL85" s="276">
        <f>$D85/$D$281*'20Ф'!$H$218</f>
        <v>90454.74181876707</v>
      </c>
      <c r="DM85" s="240">
        <f t="shared" si="13"/>
        <v>1164796.1555770694</v>
      </c>
      <c r="DN85" s="276">
        <f>SUMIF('20Ф'!$H:$H,$B:$B,'20Ф'!AV:AV)*1.2</f>
        <v>0</v>
      </c>
      <c r="DO85" s="276">
        <f>SUMIF('20Ф'!$H:$H,$B:$B,'20Ф'!AW:AW)*1.2+$D85/$D$281*'26Ф'!$D$42</f>
        <v>48135.331285156528</v>
      </c>
      <c r="DP85" s="276">
        <f>SUMIF('20Ф'!$H:$H,$B:$B,'20Ф'!AX:AX)*1.2</f>
        <v>0</v>
      </c>
      <c r="DQ85" s="276">
        <f>SUMIF('20Ф'!$H:$H,$B:$B,'20Ф'!AY:AY)*1.2</f>
        <v>83767.007999999987</v>
      </c>
      <c r="DR85" s="276">
        <f>SUMIF('20Ф'!$H:$H,$B:$B,'20Ф'!AU:AU)*1.2</f>
        <v>0</v>
      </c>
      <c r="DS85" s="276">
        <f>SUMIF('20Ф'!$H:$H,$B:$B,'20Ф'!AS:AS)*1.2</f>
        <v>183794.32800000001</v>
      </c>
      <c r="DT85" s="276">
        <f>SUMIF('20Ф'!$H:$H,$B:$B,'20Ф'!AR:AR)*1.2</f>
        <v>0</v>
      </c>
      <c r="DU85" s="276">
        <f>SUMIF('20Ф'!$H:$H,$B:$B,'20Ф'!X:X)*1.2</f>
        <v>0</v>
      </c>
      <c r="DV85" s="276">
        <f>SUMIF('20Ф'!$H:$H,$B:$B,'20Ф'!AA:AA)*1.2</f>
        <v>0</v>
      </c>
      <c r="DW85" s="276">
        <f>SUMIF('20Ф'!$H:$H,$B:$B,'20Ф'!N:N)*1.2</f>
        <v>0</v>
      </c>
      <c r="DX85" s="276">
        <f>$D85/$D$281*('25Ф'!$D$37)</f>
        <v>809094.7004760711</v>
      </c>
      <c r="DY85" s="276">
        <f>$D85/$D$281*'25Ф'!$D$30</f>
        <v>25823.762946075498</v>
      </c>
      <c r="DZ85" s="276">
        <f>$D85/$D$281*'25Ф'!$D$31</f>
        <v>14181.024869765995</v>
      </c>
      <c r="EA85" s="276"/>
      <c r="EB85" s="276">
        <f t="shared" si="14"/>
        <v>509742.36008877214</v>
      </c>
      <c r="EC85" s="276">
        <f>$D85/$D$281*'26Ф'!$D$36</f>
        <v>265337.31455726002</v>
      </c>
      <c r="ED85" s="276">
        <f>$D85/$D$281*'26Ф'!$D$37</f>
        <v>31879.994958278341</v>
      </c>
      <c r="EE85" s="276">
        <f>$D85/$D$281*'26Ф'!$D$38</f>
        <v>32206.955676927231</v>
      </c>
      <c r="EF85" s="276">
        <f>$D85/$D$281*'26Ф'!$D$39</f>
        <v>22593.15001283638</v>
      </c>
      <c r="EG85" s="276">
        <f>$D85/$D$281*'91Ф'!$D$10</f>
        <v>6969.9773825949032</v>
      </c>
      <c r="EH85" s="276">
        <f>$D85/$D$281*('20Ф'!$I$509+'26Ф'!$D$41+'20Ф'!$I$507)</f>
        <v>49310.294876945954</v>
      </c>
      <c r="EI85" s="276">
        <f>$D85/$D$281*'91Ф'!$D$31</f>
        <v>90393.013190797996</v>
      </c>
      <c r="EJ85" s="276">
        <f>$D85/$D$281*'20Ф'!$I$1316</f>
        <v>11051.659433131314</v>
      </c>
      <c r="EK85" s="276">
        <f>$D85/$D$281*('20Ф'!$I$1105+'20Ф'!$I$1282+'91Ф'!$D$17+'91Ф'!$D$41)</f>
        <v>362948.80843944318</v>
      </c>
      <c r="EL85" s="276">
        <f>$D85/$D$281*отчёт!BX$294</f>
        <v>606739.71696336649</v>
      </c>
      <c r="EM85" s="276">
        <f>$D85/$D$281*отчёт!BY$294</f>
        <v>533595.01247059635</v>
      </c>
      <c r="EN85" s="276">
        <f>$D85/$D$283*отчёт!BZ$294</f>
        <v>95763.624873712906</v>
      </c>
      <c r="EO85" s="240">
        <f t="shared" ref="EO85:EO86" si="20">SUBTOTAL(9,EP85:ER85)</f>
        <v>469664.42375249503</v>
      </c>
      <c r="EP85" s="276">
        <f>SUMIF('20Ф'!$H:$H,$B:$B,'20Ф'!T:T)*1.2</f>
        <v>25005.899999999998</v>
      </c>
      <c r="EQ85" s="276">
        <f>SUM(H85:I85)/SUM($H$284:$I$284)*SUM('60Ф'!$O$155:$P$155)</f>
        <v>431275.65439121757</v>
      </c>
      <c r="ER85" s="276">
        <f>SUM($H85:$I85)/SUM($H$284:$I$284)*SUM('60Ф'!$P$227)</f>
        <v>13382.869361277446</v>
      </c>
      <c r="ES85" s="239">
        <f t="shared" si="17"/>
        <v>203076.0143543013</v>
      </c>
      <c r="ET85" s="276">
        <f>$D85/$D$282*'20Ф'!$I$381</f>
        <v>15521.294348865062</v>
      </c>
      <c r="EU85" s="276">
        <f>$D85/$D$282*('20Ф'!$I$75+'20Ф'!$I$1098)*1.2</f>
        <v>179277.84005735029</v>
      </c>
      <c r="EV85" s="276">
        <f>$D85/$D$282*('20Ф'!$I$1286)</f>
        <v>8276.8799480859561</v>
      </c>
      <c r="EW85" s="276">
        <f>SUMIF('91.1Ф'!$N:$N,$B:$B,'91.1Ф'!$F:$F)+$D85/$D$281*('91Ф'!$D$12+'91Ф'!$D$11+'91Ф'!$D$19+'91Ф'!$D$20)</f>
        <v>47834.878928952763</v>
      </c>
      <c r="EX85" s="276">
        <f t="shared" si="15"/>
        <v>91021.6731310334</v>
      </c>
      <c r="EY85" s="276">
        <f>SUMIF('20Ф'!$H:$H,$B:$B,'20Ф'!$AY:$AY)*1.2</f>
        <v>83767.007999999987</v>
      </c>
      <c r="EZ85" s="295">
        <f>D85/$D$286*'20Ф'!$I$1163</f>
        <v>7254.6651310334091</v>
      </c>
      <c r="FA85" s="277">
        <f>SUMIF(отчёт!$B:$B,$B:$B,отчёт!$CU:$CU)/отчёт!$CU$281*'20Ф'!$I$1341</f>
        <v>4604.8192771084259</v>
      </c>
      <c r="FB85" s="276">
        <f>SUMIF(Сальдо!$A:$A,$B:$B,Сальдо!$H:$H)-SUMIF(Сальдо!$A:$A,$B:$B,Сальдо!$I:$I)</f>
        <v>1403862.94</v>
      </c>
    </row>
    <row r="86" spans="1:158" ht="12" customHeight="1" x14ac:dyDescent="0.25">
      <c r="A86" s="3">
        <f t="shared" si="18"/>
        <v>82</v>
      </c>
      <c r="B86" s="4" t="s">
        <v>132</v>
      </c>
      <c r="C86" s="4" t="s">
        <v>132</v>
      </c>
      <c r="D86" s="5">
        <v>22940.107170224412</v>
      </c>
      <c r="E86" s="6">
        <v>22219.20717022441</v>
      </c>
      <c r="F86" s="6">
        <v>720.9</v>
      </c>
      <c r="G86" s="6">
        <v>5560</v>
      </c>
      <c r="H86" s="5">
        <f>SUMIF(отчёт!$B:$B,$B:$B,отчёт!I:I)</f>
        <v>4</v>
      </c>
      <c r="I86" s="5">
        <f>SUMIF(отчёт!$B:$B,$B:$B,отчёт!J:J)</f>
        <v>6</v>
      </c>
      <c r="J86" s="3" t="s">
        <v>111</v>
      </c>
      <c r="K86" s="105">
        <v>1</v>
      </c>
      <c r="L86" s="105" t="s">
        <v>75</v>
      </c>
      <c r="M86" s="18">
        <v>39.280499999999996</v>
      </c>
      <c r="N86" s="19">
        <v>4.3322500000000002</v>
      </c>
      <c r="O86" s="19">
        <v>7.5249999999999995</v>
      </c>
      <c r="P86" s="19">
        <v>11.824999999999999</v>
      </c>
      <c r="Q86" s="19">
        <v>5.8049999999999997</v>
      </c>
      <c r="R86" s="19">
        <v>2.87025</v>
      </c>
      <c r="S86" s="19">
        <v>1.6555</v>
      </c>
      <c r="T86" s="19">
        <v>5.2675000000000001</v>
      </c>
      <c r="U86" s="19">
        <v>0</v>
      </c>
      <c r="V86" s="9">
        <v>40</v>
      </c>
      <c r="W86" s="9">
        <v>40</v>
      </c>
      <c r="X86" s="9">
        <v>2604.04</v>
      </c>
      <c r="Y86" s="8">
        <v>195.98199600000001</v>
      </c>
      <c r="Z86" s="9">
        <v>42.3</v>
      </c>
      <c r="AA86" s="9">
        <v>2604.04</v>
      </c>
      <c r="AB86" s="8">
        <v>0</v>
      </c>
      <c r="AC86" s="10">
        <v>0</v>
      </c>
      <c r="AD86" s="8">
        <v>5.05</v>
      </c>
      <c r="AE86" s="8">
        <v>10.67</v>
      </c>
      <c r="AF86" s="8">
        <v>14</v>
      </c>
      <c r="AG86" s="18">
        <v>10813186.556399999</v>
      </c>
      <c r="AH86" s="19">
        <v>1192587.3514584564</v>
      </c>
      <c r="AI86" s="19">
        <v>2071491.6774712643</v>
      </c>
      <c r="AJ86" s="19">
        <v>3255201.2074548434</v>
      </c>
      <c r="AK86" s="19">
        <v>1598007.8654778325</v>
      </c>
      <c r="AL86" s="19">
        <v>790126.1112640393</v>
      </c>
      <c r="AM86" s="19">
        <v>455728.16904367815</v>
      </c>
      <c r="AN86" s="19">
        <v>1450044.174229885</v>
      </c>
      <c r="AO86" s="19">
        <v>0</v>
      </c>
      <c r="AP86" s="1" t="s">
        <v>75</v>
      </c>
      <c r="AQ86" s="104">
        <v>39.28</v>
      </c>
      <c r="AR86" s="104">
        <v>4.3321948549534763</v>
      </c>
      <c r="AS86" s="104">
        <v>7.5249042145593874</v>
      </c>
      <c r="AT86" s="104">
        <v>11.824849480021895</v>
      </c>
      <c r="AU86" s="104"/>
      <c r="AV86" s="104"/>
      <c r="AW86" s="104"/>
      <c r="AX86" s="104">
        <v>5.8049261083743851</v>
      </c>
      <c r="AY86" s="104">
        <v>2.8702134646962238</v>
      </c>
      <c r="AZ86" s="104">
        <v>1.6554789272030652</v>
      </c>
      <c r="BA86" s="104">
        <v>5.267432950191572</v>
      </c>
      <c r="BB86" s="104"/>
      <c r="BC86" s="101">
        <v>0</v>
      </c>
      <c r="BD86" s="104">
        <v>39.28</v>
      </c>
      <c r="BE86" s="104">
        <v>4.3321948549534763</v>
      </c>
      <c r="BF86" s="104">
        <v>7.5249042145593874</v>
      </c>
      <c r="BG86" s="104">
        <v>11.824849480021895</v>
      </c>
      <c r="BH86" s="104">
        <v>0</v>
      </c>
      <c r="BI86" s="104">
        <v>0</v>
      </c>
      <c r="BJ86" s="104">
        <v>0</v>
      </c>
      <c r="BK86" s="104">
        <v>5.8049261083743851</v>
      </c>
      <c r="BL86" s="104">
        <v>2.8702134646962238</v>
      </c>
      <c r="BM86" s="104">
        <v>1.6554789272030652</v>
      </c>
      <c r="BN86" s="104">
        <v>5.267432950191572</v>
      </c>
      <c r="BO86" s="104">
        <v>0</v>
      </c>
      <c r="BP86" s="101">
        <v>0</v>
      </c>
      <c r="BQ86" s="103">
        <v>10813048.91575698</v>
      </c>
      <c r="BR86" s="103">
        <v>1192572.1710591307</v>
      </c>
      <c r="BS86" s="103">
        <v>2071465.3095319883</v>
      </c>
      <c r="BT86" s="103">
        <v>3255159.7721216958</v>
      </c>
      <c r="BU86" s="103">
        <v>0</v>
      </c>
      <c r="BV86" s="103">
        <v>0</v>
      </c>
      <c r="BW86" s="103">
        <v>0</v>
      </c>
      <c r="BX86" s="103">
        <v>1597987.5244961055</v>
      </c>
      <c r="BY86" s="103">
        <v>790116.05377862987</v>
      </c>
      <c r="BZ86" s="103">
        <v>455722.36809703748</v>
      </c>
      <c r="CA86" s="103">
        <v>1450025.7166723921</v>
      </c>
      <c r="CB86" s="103">
        <v>0</v>
      </c>
      <c r="CC86" s="103">
        <v>0</v>
      </c>
      <c r="CD86" s="13">
        <v>2</v>
      </c>
      <c r="CF86" s="277">
        <f>SUMIF(Оборот!$A:$A,$B:$B,Оборот!H:H)</f>
        <v>9790346.5899999999</v>
      </c>
      <c r="CG86" s="277">
        <f>SUMIF(Оборот!$A:$A,$B:$B,Оборот!I:I)</f>
        <v>10416283.93</v>
      </c>
      <c r="CH86" s="277">
        <f t="shared" si="12"/>
        <v>10563096.866818819</v>
      </c>
      <c r="CI86" s="239">
        <f t="shared" si="16"/>
        <v>1619012.016252022</v>
      </c>
      <c r="CJ86" s="276">
        <f>SUMIF('20Ф'!$H:$H,$B:$B,'20Ф'!M:M)*1.2</f>
        <v>0</v>
      </c>
      <c r="CK86" s="276">
        <f>SUMIF('20Ф'!$H:$H,$B:$B,'20Ф'!O:O)*1.2</f>
        <v>23130.359999999997</v>
      </c>
      <c r="CL86" s="276">
        <f>SUMIF('20Ф'!$H:$H,$B:$B,'20Ф'!Q:Q)*1.2</f>
        <v>0</v>
      </c>
      <c r="CM86" s="276">
        <f>SUMIF('20Ф'!$H:$H,$B:$B,'20Ф'!R:R)*1.2</f>
        <v>0</v>
      </c>
      <c r="CN86" s="276">
        <f>SUMIF('20Ф'!$H:$H,$B:$B,'20Ф'!S:S)*1.2</f>
        <v>133163.49599999998</v>
      </c>
      <c r="CO86" s="276">
        <f>SUMIF('20Ф'!$H:$H,$B:$B,'20Ф'!W:W)*1.2</f>
        <v>0</v>
      </c>
      <c r="CP86" s="276">
        <f>SUMIF('20Ф'!$H:$H,$B:$B,'20Ф'!P:P)*1.2</f>
        <v>0</v>
      </c>
      <c r="CQ86" s="276">
        <f>SUMIF('20Ф'!$H:$H,$B:$B,'20Ф'!Y:Y)*1.2</f>
        <v>0</v>
      </c>
      <c r="CR86" s="276">
        <f>SUMIF('20Ф'!$H:$H,$B:$B,'20Ф'!Z:Z)*1.2</f>
        <v>43200</v>
      </c>
      <c r="CS86" s="276">
        <f>SUMIF('20Ф'!$H:$H,$B:$B,'20Ф'!AB:AB)*1.2</f>
        <v>0</v>
      </c>
      <c r="CT86" s="276">
        <f>SUMIF('20Ф'!$H:$H,$B:$B,'20Ф'!AC:AC)*1.2</f>
        <v>0</v>
      </c>
      <c r="CU86" s="276">
        <f>SUMIF('20Ф'!$H:$H,$B:$B,'20Ф'!AD:AD)*1.2</f>
        <v>0</v>
      </c>
      <c r="CV86" s="276">
        <f>SUMIF('20Ф'!$H:$H,$B:$B,'20Ф'!AE:AE)*1.2</f>
        <v>0</v>
      </c>
      <c r="CW86" s="276">
        <f>SUMIF('20Ф'!$H:$H,$B:$B,'20Ф'!AF:AF)*1.2</f>
        <v>0</v>
      </c>
      <c r="CX86" s="276">
        <f>SUMIF('20Ф'!$H:$H,$B:$B,'20Ф'!AG:AG)*1.2</f>
        <v>0</v>
      </c>
      <c r="CY86" s="276">
        <f>SUMIF('20Ф'!$H:$H,$B:$B,'20Ф'!AH:AH)*1.2</f>
        <v>0</v>
      </c>
      <c r="CZ86" s="276">
        <f>SUMIF('20Ф'!$H:$H,$B:$B,'20Ф'!AI:AI)*1.2</f>
        <v>0</v>
      </c>
      <c r="DA86" s="276">
        <f>SUMIF('20Ф'!$H:$H,$B:$B,'20Ф'!AJ:AJ)*1.2</f>
        <v>0</v>
      </c>
      <c r="DB86" s="276">
        <f>SUMIF('20Ф'!$H:$H,$B:$B,'20Ф'!AK:AK)*1.2</f>
        <v>0</v>
      </c>
      <c r="DC86" s="276">
        <f>SUMIF('20Ф'!$H:$H,$B:$B,'20Ф'!AL:AL)*1.2</f>
        <v>0</v>
      </c>
      <c r="DD86" s="276">
        <f>SUMIF('20Ф'!$H:$H,$B:$B,'20Ф'!AM:AM)*1.2</f>
        <v>0</v>
      </c>
      <c r="DE86" s="276">
        <f>SUMIF('20Ф'!$H:$H,$B:$B,'20Ф'!AN:AN)*1.2</f>
        <v>0</v>
      </c>
      <c r="DF86" s="276">
        <f>SUMIF('20Ф'!$H:$H,$B:$B,'20Ф'!AO:AO)*1.2</f>
        <v>0</v>
      </c>
      <c r="DG86" s="276">
        <f>SUMIF('20Ф'!$H:$H,$B:$B,'20Ф'!AP:AP)*1.2</f>
        <v>1217752.236</v>
      </c>
      <c r="DH86" s="276">
        <f>SUMIF('20Ф'!$H:$H,$B:$B,'20Ф'!AQ:AQ)*1.2</f>
        <v>0</v>
      </c>
      <c r="DI86" s="276">
        <f>SUMIF('20Ф'!$H:$H,$B:$B,'20Ф'!BA:BA)*1.2</f>
        <v>0</v>
      </c>
      <c r="DJ86" s="276">
        <f>SUMIF('20Ф'!$H:$H,$B:$B,'20Ф'!BB:BB)*1.2</f>
        <v>0</v>
      </c>
      <c r="DK86" s="276">
        <f>SUMIF('20Ф'!$H:$H,$B:$B,'20Ф'!BC:BC)*1.2</f>
        <v>0</v>
      </c>
      <c r="DL86" s="276">
        <f>$D86/$D$281*'20Ф'!$H$218</f>
        <v>201765.92425202215</v>
      </c>
      <c r="DM86" s="240">
        <f t="shared" si="13"/>
        <v>2744677.0599288759</v>
      </c>
      <c r="DN86" s="276">
        <f>SUMIF('20Ф'!$H:$H,$B:$B,'20Ф'!AV:AV)*1.2</f>
        <v>0</v>
      </c>
      <c r="DO86" s="276">
        <f>SUMIF('20Ф'!$H:$H,$B:$B,'20Ф'!AW:AW)*1.2+$D86/$D$281*'26Ф'!$D$42</f>
        <v>107369.38064989177</v>
      </c>
      <c r="DP86" s="276">
        <f>SUMIF('20Ф'!$H:$H,$B:$B,'20Ф'!AX:AX)*1.2</f>
        <v>0</v>
      </c>
      <c r="DQ86" s="276">
        <f>SUMIF('20Ф'!$H:$H,$B:$B,'20Ф'!AY:AY)*1.2</f>
        <v>0</v>
      </c>
      <c r="DR86" s="276">
        <f>SUMIF('20Ф'!$H:$H,$B:$B,'20Ф'!AU:AU)*1.2</f>
        <v>0</v>
      </c>
      <c r="DS86" s="276">
        <f>SUMIF('20Ф'!$H:$H,$B:$B,'20Ф'!AS:AS)*1.2</f>
        <v>743329.10400000005</v>
      </c>
      <c r="DT86" s="276">
        <f>SUMIF('20Ф'!$H:$H,$B:$B,'20Ф'!AR:AR)*1.2</f>
        <v>0</v>
      </c>
      <c r="DU86" s="276">
        <f>SUMIF('20Ф'!$H:$H,$B:$B,'20Ф'!X:X)*1.2</f>
        <v>0</v>
      </c>
      <c r="DV86" s="276">
        <f>SUMIF('20Ф'!$H:$H,$B:$B,'20Ф'!AA:AA)*1.2</f>
        <v>0</v>
      </c>
      <c r="DW86" s="276">
        <f>SUMIF('20Ф'!$H:$H,$B:$B,'20Ф'!N:N)*1.2</f>
        <v>0</v>
      </c>
      <c r="DX86" s="276">
        <f>$D86/$D$281*('25Ф'!$D$37)</f>
        <v>1804744.9671134625</v>
      </c>
      <c r="DY86" s="276">
        <f>$D86/$D$281*'25Ф'!$D$30</f>
        <v>57601.793932698274</v>
      </c>
      <c r="DZ86" s="276">
        <f>$D86/$D$281*'25Ф'!$D$31</f>
        <v>31631.814232823468</v>
      </c>
      <c r="EA86" s="276"/>
      <c r="EB86" s="276">
        <f t="shared" si="14"/>
        <v>1137017.6548597445</v>
      </c>
      <c r="EC86" s="276">
        <f>$D86/$D$281*'26Ф'!$D$36</f>
        <v>591854.30673671688</v>
      </c>
      <c r="ED86" s="276">
        <f>$D86/$D$281*'26Ф'!$D$37</f>
        <v>71110.662841694138</v>
      </c>
      <c r="EE86" s="276">
        <f>$D86/$D$281*'26Ф'!$D$38</f>
        <v>71839.972663002045</v>
      </c>
      <c r="EF86" s="276">
        <f>$D86/$D$281*'26Ф'!$D$39</f>
        <v>50395.675256448958</v>
      </c>
      <c r="EG86" s="276">
        <f>$D86/$D$281*'91Ф'!$D$10</f>
        <v>15547.044857334149</v>
      </c>
      <c r="EH86" s="276">
        <f>$D86/$D$281*('20Ф'!$I$509+'26Ф'!$D$41+'20Ф'!$I$507)</f>
        <v>109990.22296609507</v>
      </c>
      <c r="EI86" s="276">
        <f>$D86/$D$281*'91Ф'!$D$31</f>
        <v>201628.23402788836</v>
      </c>
      <c r="EJ86" s="276">
        <f>$D86/$D$281*'20Ф'!$I$1316</f>
        <v>24651.535510564929</v>
      </c>
      <c r="EK86" s="276">
        <f>$D86/$D$281*('20Ф'!$I$1105+'20Ф'!$I$1282+'91Ф'!$D$17+'91Ф'!$D$41)</f>
        <v>809583.89044631459</v>
      </c>
      <c r="EL86" s="276">
        <f>$D86/$D$281*отчёт!BX$294</f>
        <v>1353377.361010001</v>
      </c>
      <c r="EM86" s="276">
        <f>$D86/$D$281*отчёт!BY$294</f>
        <v>1190222.7423644271</v>
      </c>
      <c r="EN86" s="276">
        <f>$D86/$D$283*отчёт!BZ$294</f>
        <v>213607.77659485649</v>
      </c>
      <c r="EO86" s="240">
        <f t="shared" si="20"/>
        <v>935923.24750498997</v>
      </c>
      <c r="EP86" s="276">
        <f>SUMIF('20Ф'!$H:$H,$B:$B,'20Ф'!T:T)*1.2</f>
        <v>46606.2</v>
      </c>
      <c r="EQ86" s="276">
        <f>SUM(H86:I86)/SUM($H$284:$I$284)*SUM('60Ф'!$O$155:$P$155)</f>
        <v>862551.30878243514</v>
      </c>
      <c r="ER86" s="276">
        <f>SUM($H86:$I86)/SUM($H$284:$I$284)*SUM('60Ф'!$P$227)</f>
        <v>26765.738722554892</v>
      </c>
      <c r="ES86" s="239">
        <f t="shared" si="17"/>
        <v>452975.91818576714</v>
      </c>
      <c r="ET86" s="276">
        <f>$D86/$D$282*'20Ф'!$I$381</f>
        <v>34621.383433507362</v>
      </c>
      <c r="EU86" s="276">
        <f>$D86/$D$282*('20Ф'!$I$75+'20Ф'!$I$1098)*1.2</f>
        <v>399892.3480379961</v>
      </c>
      <c r="EV86" s="276">
        <f>$D86/$D$282*('20Ф'!$I$1286)</f>
        <v>18462.186714263673</v>
      </c>
      <c r="EW86" s="276">
        <f>SUMIF('91.1Ф'!$N:$N,$B:$B,'91.1Ф'!$F:$F)+$D86/$D$281*('91Ф'!$D$12+'91Ф'!$D$11+'91Ф'!$D$19+'91Ф'!$D$20)</f>
        <v>106699.19967182199</v>
      </c>
      <c r="EX86" s="276">
        <f t="shared" si="15"/>
        <v>0</v>
      </c>
      <c r="EY86" s="276">
        <f>SUMIF('20Ф'!$H:$H,$B:$B,'20Ф'!$AY:$AY)*1.2</f>
        <v>0</v>
      </c>
      <c r="EZ86" s="236"/>
      <c r="FA86" s="277">
        <f>SUMIF(отчёт!$B:$B,$B:$B,отчёт!$CU:$CU)/отчёт!$CU$281*'20Ф'!$I$1341</f>
        <v>2762.8915662650556</v>
      </c>
      <c r="FB86" s="276">
        <f>SUMIF(Сальдо!$A:$A,$B:$B,Сальдо!$H:$H)-SUMIF(Сальдо!$A:$A,$B:$B,Сальдо!$I:$I)</f>
        <v>1523833.9300000002</v>
      </c>
    </row>
    <row r="87" spans="1:158" ht="12" customHeight="1" x14ac:dyDescent="0.25">
      <c r="A87" s="3">
        <f t="shared" si="18"/>
        <v>83</v>
      </c>
      <c r="B87" s="4" t="s">
        <v>133</v>
      </c>
      <c r="C87" s="4" t="s">
        <v>133</v>
      </c>
      <c r="D87" s="5">
        <v>3520.6</v>
      </c>
      <c r="E87" s="6">
        <v>3520.6</v>
      </c>
      <c r="F87" s="6">
        <v>0</v>
      </c>
      <c r="G87" s="6">
        <v>328.2</v>
      </c>
      <c r="H87" s="5">
        <f>SUMIF(отчёт!$B:$B,$B:$B,отчёт!I:I)</f>
        <v>0</v>
      </c>
      <c r="I87" s="5">
        <f>SUMIF(отчёт!$B:$B,$B:$B,отчёт!J:J)</f>
        <v>0</v>
      </c>
      <c r="J87" s="3" t="s">
        <v>111</v>
      </c>
      <c r="K87" s="105">
        <v>7</v>
      </c>
      <c r="L87" s="105" t="s">
        <v>52</v>
      </c>
      <c r="M87" s="7">
        <v>31</v>
      </c>
      <c r="N87" s="8">
        <v>5.0999999999999996</v>
      </c>
      <c r="O87" s="8">
        <v>6.59</v>
      </c>
      <c r="P87" s="8">
        <v>8.98</v>
      </c>
      <c r="Q87" s="8">
        <v>6.92</v>
      </c>
      <c r="R87" s="8">
        <v>3.15</v>
      </c>
      <c r="S87" s="8">
        <v>0</v>
      </c>
      <c r="T87" s="8">
        <v>0</v>
      </c>
      <c r="U87" s="8">
        <v>0.26</v>
      </c>
      <c r="V87" s="9">
        <v>40</v>
      </c>
      <c r="W87" s="9">
        <v>40</v>
      </c>
      <c r="X87" s="9">
        <v>2604.04</v>
      </c>
      <c r="Y87" s="8">
        <v>195.98199600000001</v>
      </c>
      <c r="Z87" s="9">
        <v>42.3</v>
      </c>
      <c r="AA87" s="9">
        <v>2604.04</v>
      </c>
      <c r="AB87" s="8">
        <v>7.85</v>
      </c>
      <c r="AC87" s="10">
        <v>0</v>
      </c>
      <c r="AD87" s="8">
        <v>6.73</v>
      </c>
      <c r="AE87" s="8">
        <v>10.67</v>
      </c>
      <c r="AF87" s="8">
        <v>14</v>
      </c>
      <c r="AG87" s="7">
        <v>654831.6</v>
      </c>
      <c r="AH87" s="8">
        <v>107730.35999999999</v>
      </c>
      <c r="AI87" s="8">
        <v>139204.52399999998</v>
      </c>
      <c r="AJ87" s="8">
        <v>189689.92800000001</v>
      </c>
      <c r="AK87" s="8">
        <v>146175.31200000001</v>
      </c>
      <c r="AL87" s="8">
        <v>66539.34</v>
      </c>
      <c r="AM87" s="8">
        <v>0</v>
      </c>
      <c r="AN87" s="8">
        <v>0</v>
      </c>
      <c r="AO87" s="8">
        <v>5492.1360000000004</v>
      </c>
      <c r="AQ87" s="104">
        <v>33.17</v>
      </c>
      <c r="AR87" s="375">
        <v>13.89</v>
      </c>
      <c r="AS87" s="376"/>
      <c r="AT87" s="14">
        <v>5.9</v>
      </c>
      <c r="AU87" s="14">
        <v>1.53</v>
      </c>
      <c r="AV87" s="14">
        <v>0.32</v>
      </c>
      <c r="AW87" s="14">
        <v>0.6</v>
      </c>
      <c r="AX87" s="14">
        <v>5.01</v>
      </c>
      <c r="AY87" s="14">
        <v>4.99</v>
      </c>
      <c r="AZ87" s="14">
        <v>0</v>
      </c>
      <c r="BA87" s="14">
        <v>0</v>
      </c>
      <c r="BB87" s="14">
        <v>0</v>
      </c>
      <c r="BC87" s="15">
        <v>0.93</v>
      </c>
      <c r="BD87" s="104">
        <v>37.581610000000005</v>
      </c>
      <c r="BE87" s="375">
        <v>15.737370000000004</v>
      </c>
      <c r="BF87" s="376">
        <v>0</v>
      </c>
      <c r="BG87" s="14">
        <v>6.6847000000000012</v>
      </c>
      <c r="BH87" s="14">
        <v>1.7334900000000002</v>
      </c>
      <c r="BI87" s="14">
        <v>0.36256000000000005</v>
      </c>
      <c r="BJ87" s="14">
        <v>0.67980000000000007</v>
      </c>
      <c r="BK87" s="14">
        <v>5.6763300000000001</v>
      </c>
      <c r="BL87" s="14">
        <v>5.65367</v>
      </c>
      <c r="BM87" s="14">
        <v>0</v>
      </c>
      <c r="BN87" s="14">
        <v>0</v>
      </c>
      <c r="BO87" s="14">
        <v>0</v>
      </c>
      <c r="BP87" s="15">
        <v>1.0536900000000002</v>
      </c>
      <c r="BQ87" s="103">
        <v>1556654.76566</v>
      </c>
      <c r="BR87" s="371">
        <v>651852.11622000008</v>
      </c>
      <c r="BS87" s="371">
        <v>0</v>
      </c>
      <c r="BT87" s="103">
        <v>276884.62820000004</v>
      </c>
      <c r="BU87" s="103">
        <v>71802.284939999998</v>
      </c>
      <c r="BV87" s="103">
        <v>15017.47136</v>
      </c>
      <c r="BW87" s="103">
        <v>28157.758800000003</v>
      </c>
      <c r="BX87" s="103">
        <v>235117.28597999999</v>
      </c>
      <c r="BY87" s="103">
        <v>234178.69402</v>
      </c>
      <c r="BZ87" s="103">
        <v>0</v>
      </c>
      <c r="CA87" s="103">
        <v>0</v>
      </c>
      <c r="CB87" s="103">
        <v>0</v>
      </c>
      <c r="CC87" s="103">
        <v>43644.526140000009</v>
      </c>
      <c r="CD87" s="1">
        <v>1</v>
      </c>
      <c r="CF87" s="277">
        <f>SUMIF(Оборот!$A:$A,$B:$B,Оборот!H:H)</f>
        <v>1340260.0399999998</v>
      </c>
      <c r="CG87" s="277">
        <f>SUMIF(Оборот!$A:$A,$B:$B,Оборот!I:I)</f>
        <v>1329533.67</v>
      </c>
      <c r="CH87" s="277">
        <f t="shared" si="12"/>
        <v>1737813.6533943804</v>
      </c>
      <c r="CI87" s="239">
        <f t="shared" si="16"/>
        <v>429160.18390283838</v>
      </c>
      <c r="CJ87" s="276">
        <f>SUMIF('20Ф'!$H:$H,$B:$B,'20Ф'!M:M)*1.2</f>
        <v>283432.30799999996</v>
      </c>
      <c r="CK87" s="276">
        <f>SUMIF('20Ф'!$H:$H,$B:$B,'20Ф'!O:O)*1.2</f>
        <v>0</v>
      </c>
      <c r="CL87" s="276">
        <f>SUMIF('20Ф'!$H:$H,$B:$B,'20Ф'!Q:Q)*1.2</f>
        <v>0</v>
      </c>
      <c r="CM87" s="276">
        <f>SUMIF('20Ф'!$H:$H,$B:$B,'20Ф'!R:R)*1.2</f>
        <v>0</v>
      </c>
      <c r="CN87" s="276">
        <f>SUMIF('20Ф'!$H:$H,$B:$B,'20Ф'!S:S)*1.2</f>
        <v>0</v>
      </c>
      <c r="CO87" s="276">
        <f>SUMIF('20Ф'!$H:$H,$B:$B,'20Ф'!W:W)*1.2</f>
        <v>0</v>
      </c>
      <c r="CP87" s="276">
        <f>SUMIF('20Ф'!$H:$H,$B:$B,'20Ф'!P:P)*1.2</f>
        <v>0</v>
      </c>
      <c r="CQ87" s="276">
        <f>SUMIF('20Ф'!$H:$H,$B:$B,'20Ф'!Y:Y)*1.2</f>
        <v>0</v>
      </c>
      <c r="CR87" s="276">
        <f>SUMIF('20Ф'!$H:$H,$B:$B,'20Ф'!Z:Z)*1.2</f>
        <v>0</v>
      </c>
      <c r="CS87" s="276">
        <f>SUMIF('20Ф'!$H:$H,$B:$B,'20Ф'!AB:AB)*1.2</f>
        <v>0</v>
      </c>
      <c r="CT87" s="276">
        <f>SUMIF('20Ф'!$H:$H,$B:$B,'20Ф'!AC:AC)*1.2</f>
        <v>0</v>
      </c>
      <c r="CU87" s="276">
        <f>SUMIF('20Ф'!$H:$H,$B:$B,'20Ф'!AD:AD)*1.2</f>
        <v>0</v>
      </c>
      <c r="CV87" s="276">
        <f>SUMIF('20Ф'!$H:$H,$B:$B,'20Ф'!AE:AE)*1.2</f>
        <v>0</v>
      </c>
      <c r="CW87" s="276">
        <f>SUMIF('20Ф'!$H:$H,$B:$B,'20Ф'!AF:AF)*1.2</f>
        <v>0</v>
      </c>
      <c r="CX87" s="276">
        <f>SUMIF('20Ф'!$H:$H,$B:$B,'20Ф'!AG:AG)*1.2</f>
        <v>15309.588</v>
      </c>
      <c r="CY87" s="276">
        <f>SUMIF('20Ф'!$H:$H,$B:$B,'20Ф'!AH:AH)*1.2</f>
        <v>0</v>
      </c>
      <c r="CZ87" s="276">
        <f>SUMIF('20Ф'!$H:$H,$B:$B,'20Ф'!AI:AI)*1.2</f>
        <v>0</v>
      </c>
      <c r="DA87" s="276">
        <f>SUMIF('20Ф'!$H:$H,$B:$B,'20Ф'!AJ:AJ)*1.2</f>
        <v>99453.432000000001</v>
      </c>
      <c r="DB87" s="276">
        <f>SUMIF('20Ф'!$H:$H,$B:$B,'20Ф'!AK:AK)*1.2</f>
        <v>0</v>
      </c>
      <c r="DC87" s="276">
        <f>SUMIF('20Ф'!$H:$H,$B:$B,'20Ф'!AL:AL)*1.2</f>
        <v>0</v>
      </c>
      <c r="DD87" s="276">
        <f>SUMIF('20Ф'!$H:$H,$B:$B,'20Ф'!AM:AM)*1.2</f>
        <v>0</v>
      </c>
      <c r="DE87" s="276">
        <f>SUMIF('20Ф'!$H:$H,$B:$B,'20Ф'!AN:AN)*1.2</f>
        <v>0</v>
      </c>
      <c r="DF87" s="276">
        <f>SUMIF('20Ф'!$H:$H,$B:$B,'20Ф'!AO:AO)*1.2</f>
        <v>0</v>
      </c>
      <c r="DG87" s="276">
        <f>SUMIF('20Ф'!$H:$H,$B:$B,'20Ф'!AP:AP)*1.2</f>
        <v>0</v>
      </c>
      <c r="DH87" s="276">
        <f>SUMIF('20Ф'!$H:$H,$B:$B,'20Ф'!AQ:AQ)*1.2</f>
        <v>0</v>
      </c>
      <c r="DI87" s="276">
        <f>SUMIF('20Ф'!$H:$H,$B:$B,'20Ф'!BA:BA)*1.2</f>
        <v>0</v>
      </c>
      <c r="DJ87" s="276">
        <f>SUMIF('20Ф'!$H:$H,$B:$B,'20Ф'!BB:BB)*1.2</f>
        <v>0</v>
      </c>
      <c r="DK87" s="276">
        <f>SUMIF('20Ф'!$H:$H,$B:$B,'20Ф'!BC:BC)*1.2</f>
        <v>0</v>
      </c>
      <c r="DL87" s="276">
        <f>$D87/$D$281*'20Ф'!$H$218</f>
        <v>30964.855902838408</v>
      </c>
      <c r="DM87" s="240">
        <f t="shared" si="13"/>
        <v>471100.45084981417</v>
      </c>
      <c r="DN87" s="276">
        <f>SUMIF('20Ф'!$H:$H,$B:$B,'20Ф'!AV:AV)*1.2</f>
        <v>0</v>
      </c>
      <c r="DO87" s="276">
        <f>SUMIF('20Ф'!$H:$H,$B:$B,'20Ф'!AW:AW)*1.2+$D87/$D$281*'26Ф'!$D$42</f>
        <v>16477.893442740664</v>
      </c>
      <c r="DP87" s="276">
        <f>SUMIF('20Ф'!$H:$H,$B:$B,'20Ф'!AX:AX)*1.2</f>
        <v>0</v>
      </c>
      <c r="DQ87" s="276">
        <f>SUMIF('20Ф'!$H:$H,$B:$B,'20Ф'!AY:AY)*1.2</f>
        <v>60069</v>
      </c>
      <c r="DR87" s="276">
        <f>SUMIF('20Ф'!$H:$H,$B:$B,'20Ф'!AU:AU)*1.2</f>
        <v>0</v>
      </c>
      <c r="DS87" s="276">
        <f>SUMIF('20Ф'!$H:$H,$B:$B,'20Ф'!AS:AS)*1.2</f>
        <v>32669.027999999998</v>
      </c>
      <c r="DT87" s="276">
        <f>SUMIF('20Ф'!$H:$H,$B:$B,'20Ф'!AR:AR)*1.2</f>
        <v>0</v>
      </c>
      <c r="DU87" s="276">
        <f>SUMIF('20Ф'!$H:$H,$B:$B,'20Ф'!X:X)*1.2</f>
        <v>71217.144</v>
      </c>
      <c r="DV87" s="276">
        <f>SUMIF('20Ф'!$H:$H,$B:$B,'20Ф'!AA:AA)*1.2</f>
        <v>0</v>
      </c>
      <c r="DW87" s="276">
        <f>SUMIF('20Ф'!$H:$H,$B:$B,'20Ф'!N:N)*1.2</f>
        <v>0</v>
      </c>
      <c r="DX87" s="276">
        <f>$D87/$D$281*('25Ф'!$D$37)</f>
        <v>276972.77454164129</v>
      </c>
      <c r="DY87" s="276">
        <f>$D87/$D$281*'25Ф'!$D$30</f>
        <v>8840.1014962422105</v>
      </c>
      <c r="DZ87" s="276">
        <f>$D87/$D$281*'25Ф'!$D$31</f>
        <v>4854.5093691900511</v>
      </c>
      <c r="EA87" s="276"/>
      <c r="EB87" s="276">
        <f t="shared" si="14"/>
        <v>174497.19506519884</v>
      </c>
      <c r="EC87" s="276">
        <f>$D87/$D$281*'26Ф'!$D$36</f>
        <v>90831.409671958449</v>
      </c>
      <c r="ED87" s="276">
        <f>$D87/$D$281*'26Ф'!$D$37</f>
        <v>10913.296862249108</v>
      </c>
      <c r="EE87" s="276">
        <f>$D87/$D$281*'26Ф'!$D$38</f>
        <v>11025.223460405079</v>
      </c>
      <c r="EF87" s="276">
        <f>$D87/$D$281*'26Ф'!$D$39</f>
        <v>7734.1841950130056</v>
      </c>
      <c r="EG87" s="276">
        <f>$D87/$D$281*'91Ф'!$D$10</f>
        <v>2385.9926075574281</v>
      </c>
      <c r="EH87" s="276">
        <f>$D87/$D$281*('20Ф'!$I$509+'26Ф'!$D$41+'20Ф'!$I$507)</f>
        <v>16880.112028292941</v>
      </c>
      <c r="EI87" s="276">
        <f>$D87/$D$281*'91Ф'!$D$31</f>
        <v>30943.724693664521</v>
      </c>
      <c r="EJ87" s="276">
        <f>$D87/$D$281*'20Ф'!$I$1316</f>
        <v>3783.2515460583118</v>
      </c>
      <c r="EK87" s="276">
        <f>$D87/$D$281*('20Ф'!$I$1105+'20Ф'!$I$1282+'91Ф'!$D$17+'91Ф'!$D$41)</f>
        <v>124246.19569366259</v>
      </c>
      <c r="EL87" s="276">
        <f>$D87/$D$281*отчёт!BX$294</f>
        <v>207701.74706752246</v>
      </c>
      <c r="EM87" s="276">
        <f>$D87/$D$281*отчёт!BY$294</f>
        <v>182662.53752323729</v>
      </c>
      <c r="EN87" s="276">
        <f>SUMIF(отчёт!$B:$B,$B:$B,отчёт!BZ:BZ)/отчёт!BZ$281*('60Ф'!$O$151+'60Ф'!$P$151)*отчёт!BZ$293</f>
        <v>0</v>
      </c>
      <c r="EO87" s="240">
        <f t="shared" si="19"/>
        <v>0</v>
      </c>
      <c r="EP87" s="276">
        <f>SUMIF('20Ф'!$H:$H,$B:$B,'20Ф'!T:T)*1.2</f>
        <v>0</v>
      </c>
      <c r="EQ87" s="276">
        <f>SUMIF('20Ф'!$H:$H,$B:$B,'20Ф'!U:U)*1.2</f>
        <v>0</v>
      </c>
      <c r="ER87" s="236"/>
      <c r="ES87" s="239">
        <f t="shared" si="17"/>
        <v>69517.85385007906</v>
      </c>
      <c r="ET87" s="276">
        <f>$D87/$D$282*'20Ф'!$I$381</f>
        <v>5313.3161764044899</v>
      </c>
      <c r="EU87" s="276">
        <f>$D87/$D$282*('20Ф'!$I$75+'20Ф'!$I$1098)*1.2</f>
        <v>61371.160564146412</v>
      </c>
      <c r="EV87" s="276">
        <f>$D87/$D$282*('20Ф'!$I$1286)</f>
        <v>2833.3771095281609</v>
      </c>
      <c r="EW87" s="276">
        <f>SUMIF('91.1Ф'!$N:$N,$B:$B,'91.1Ф'!$F:$F)+$D87/$D$281*('91Ф'!$D$12+'91Ф'!$D$11+'91Ф'!$D$19+'91Ф'!$D$20)</f>
        <v>16375.041301123167</v>
      </c>
      <c r="EX87" s="276">
        <f t="shared" si="15"/>
        <v>62552.448140904307</v>
      </c>
      <c r="EY87" s="276">
        <f>SUMIF('20Ф'!$H:$H,$B:$B,'20Ф'!$AY:$AY)*1.2</f>
        <v>60069</v>
      </c>
      <c r="EZ87" s="295">
        <f>D87/$D$286*'20Ф'!$I$1163</f>
        <v>2483.4481409043037</v>
      </c>
      <c r="FA87" s="277">
        <f>SUMIF(отчёт!$B:$B,$B:$B,отчёт!$CU:$CU)/отчёт!$CU$281*'20Ф'!$I$1341</f>
        <v>3683.8554216867401</v>
      </c>
      <c r="FB87" s="276">
        <f>SUMIF(Сальдо!$A:$A,$B:$B,Сальдо!$H:$H)-SUMIF(Сальдо!$A:$A,$B:$B,Сальдо!$I:$I)</f>
        <v>401356.79999999999</v>
      </c>
    </row>
    <row r="88" spans="1:158" ht="12" customHeight="1" x14ac:dyDescent="0.25">
      <c r="A88" s="3">
        <f t="shared" si="18"/>
        <v>84</v>
      </c>
      <c r="B88" s="4" t="s">
        <v>134</v>
      </c>
      <c r="C88" s="4" t="s">
        <v>134</v>
      </c>
      <c r="D88" s="5">
        <v>3523.58</v>
      </c>
      <c r="E88" s="6">
        <v>3523.58</v>
      </c>
      <c r="F88" s="6">
        <v>0</v>
      </c>
      <c r="G88" s="6">
        <v>313.8</v>
      </c>
      <c r="H88" s="5">
        <f>SUMIF(отчёт!$B:$B,$B:$B,отчёт!I:I)</f>
        <v>0</v>
      </c>
      <c r="I88" s="5">
        <f>SUMIF(отчёт!$B:$B,$B:$B,отчёт!J:J)</f>
        <v>0</v>
      </c>
      <c r="J88" s="3" t="s">
        <v>111</v>
      </c>
      <c r="K88" s="105">
        <v>7</v>
      </c>
      <c r="L88" s="105" t="s">
        <v>52</v>
      </c>
      <c r="M88" s="7">
        <v>31</v>
      </c>
      <c r="N88" s="8">
        <v>5.0999999999999996</v>
      </c>
      <c r="O88" s="8">
        <v>6.59</v>
      </c>
      <c r="P88" s="8">
        <v>8.98</v>
      </c>
      <c r="Q88" s="8">
        <v>6.92</v>
      </c>
      <c r="R88" s="8">
        <v>3.15</v>
      </c>
      <c r="S88" s="8">
        <v>0</v>
      </c>
      <c r="T88" s="8">
        <v>0</v>
      </c>
      <c r="U88" s="8">
        <v>0.26</v>
      </c>
      <c r="V88" s="9">
        <v>40</v>
      </c>
      <c r="W88" s="9">
        <v>40</v>
      </c>
      <c r="X88" s="9">
        <v>2604.04</v>
      </c>
      <c r="Y88" s="8">
        <v>195.98199600000001</v>
      </c>
      <c r="Z88" s="9">
        <v>42.3</v>
      </c>
      <c r="AA88" s="9">
        <v>2604.04</v>
      </c>
      <c r="AB88" s="8">
        <v>7.85</v>
      </c>
      <c r="AC88" s="10">
        <v>0</v>
      </c>
      <c r="AD88" s="8">
        <v>6.73</v>
      </c>
      <c r="AE88" s="8">
        <v>10.67</v>
      </c>
      <c r="AF88" s="8">
        <v>14</v>
      </c>
      <c r="AG88" s="7">
        <v>655385.88</v>
      </c>
      <c r="AH88" s="8">
        <v>107821.54799999998</v>
      </c>
      <c r="AI88" s="8">
        <v>139322.35319999998</v>
      </c>
      <c r="AJ88" s="8">
        <v>189850.49040000001</v>
      </c>
      <c r="AK88" s="8">
        <v>146299.0416</v>
      </c>
      <c r="AL88" s="8">
        <v>66595.661999999997</v>
      </c>
      <c r="AM88" s="8">
        <v>0</v>
      </c>
      <c r="AN88" s="8">
        <v>0</v>
      </c>
      <c r="AO88" s="8">
        <v>5496.7848000000004</v>
      </c>
      <c r="AQ88" s="104">
        <v>33.17</v>
      </c>
      <c r="AR88" s="375">
        <v>13.89</v>
      </c>
      <c r="AS88" s="376"/>
      <c r="AT88" s="104">
        <v>5.9</v>
      </c>
      <c r="AU88" s="104">
        <v>1.53</v>
      </c>
      <c r="AV88" s="104">
        <v>0.32</v>
      </c>
      <c r="AW88" s="104">
        <v>0.6</v>
      </c>
      <c r="AX88" s="104">
        <v>5.01</v>
      </c>
      <c r="AY88" s="104">
        <v>4.99</v>
      </c>
      <c r="AZ88" s="104">
        <v>0</v>
      </c>
      <c r="BA88" s="104">
        <v>0</v>
      </c>
      <c r="BB88" s="104">
        <v>0</v>
      </c>
      <c r="BC88" s="101">
        <v>0.93</v>
      </c>
      <c r="BD88" s="104">
        <v>37.581610000000005</v>
      </c>
      <c r="BE88" s="375">
        <v>15.737370000000004</v>
      </c>
      <c r="BF88" s="376">
        <v>0</v>
      </c>
      <c r="BG88" s="104">
        <v>6.6847000000000012</v>
      </c>
      <c r="BH88" s="104">
        <v>1.7334900000000002</v>
      </c>
      <c r="BI88" s="104">
        <v>0.36256000000000005</v>
      </c>
      <c r="BJ88" s="104">
        <v>0.67980000000000007</v>
      </c>
      <c r="BK88" s="104">
        <v>5.6763300000000001</v>
      </c>
      <c r="BL88" s="104">
        <v>5.65367</v>
      </c>
      <c r="BM88" s="104">
        <v>0</v>
      </c>
      <c r="BN88" s="104">
        <v>0</v>
      </c>
      <c r="BO88" s="104">
        <v>0</v>
      </c>
      <c r="BP88" s="101">
        <v>1.0536900000000002</v>
      </c>
      <c r="BQ88" s="103">
        <v>1557972.3908380002</v>
      </c>
      <c r="BR88" s="371">
        <v>652403.8742460002</v>
      </c>
      <c r="BS88" s="371">
        <v>0</v>
      </c>
      <c r="BT88" s="103">
        <v>277118.99625999999</v>
      </c>
      <c r="BU88" s="103">
        <v>71863.061741999991</v>
      </c>
      <c r="BV88" s="103">
        <v>15030.182848</v>
      </c>
      <c r="BW88" s="103">
        <v>28181.592840000005</v>
      </c>
      <c r="BX88" s="103">
        <v>235316.30021399999</v>
      </c>
      <c r="BY88" s="103">
        <v>234376.91378599999</v>
      </c>
      <c r="BZ88" s="103">
        <v>0</v>
      </c>
      <c r="CA88" s="103">
        <v>0</v>
      </c>
      <c r="CB88" s="103">
        <v>0</v>
      </c>
      <c r="CC88" s="103">
        <v>43681.468902000008</v>
      </c>
      <c r="CD88" s="1">
        <v>1</v>
      </c>
      <c r="CF88" s="277">
        <f>SUMIF(Оборот!$A:$A,$B:$B,Оборот!H:H)</f>
        <v>1324340.2000000002</v>
      </c>
      <c r="CG88" s="277">
        <f>SUMIF(Оборот!$A:$A,$B:$B,Оборот!I:I)</f>
        <v>1251562.31</v>
      </c>
      <c r="CH88" s="277">
        <f t="shared" si="12"/>
        <v>1883418.9283042017</v>
      </c>
      <c r="CI88" s="239">
        <f t="shared" si="16"/>
        <v>615814.58200071682</v>
      </c>
      <c r="CJ88" s="276">
        <f>SUMIF('20Ф'!$H:$H,$B:$B,'20Ф'!M:M)*1.2</f>
        <v>0</v>
      </c>
      <c r="CK88" s="276">
        <f>SUMIF('20Ф'!$H:$H,$B:$B,'20Ф'!O:O)*1.2</f>
        <v>0</v>
      </c>
      <c r="CL88" s="276">
        <f>SUMIF('20Ф'!$H:$H,$B:$B,'20Ф'!Q:Q)*1.2</f>
        <v>0</v>
      </c>
      <c r="CM88" s="276">
        <f>SUMIF('20Ф'!$H:$H,$B:$B,'20Ф'!R:R)*1.2</f>
        <v>0</v>
      </c>
      <c r="CN88" s="276">
        <f>SUMIF('20Ф'!$H:$H,$B:$B,'20Ф'!S:S)*1.2</f>
        <v>0</v>
      </c>
      <c r="CO88" s="276">
        <f>SUMIF('20Ф'!$H:$H,$B:$B,'20Ф'!W:W)*1.2</f>
        <v>0</v>
      </c>
      <c r="CP88" s="276">
        <f>SUMIF('20Ф'!$H:$H,$B:$B,'20Ф'!P:P)*1.2</f>
        <v>0</v>
      </c>
      <c r="CQ88" s="276">
        <f>SUMIF('20Ф'!$H:$H,$B:$B,'20Ф'!Y:Y)*1.2</f>
        <v>0</v>
      </c>
      <c r="CR88" s="276">
        <f>SUMIF('20Ф'!$H:$H,$B:$B,'20Ф'!Z:Z)*1.2</f>
        <v>0</v>
      </c>
      <c r="CS88" s="276">
        <f>SUMIF('20Ф'!$H:$H,$B:$B,'20Ф'!AB:AB)*1.2</f>
        <v>0</v>
      </c>
      <c r="CT88" s="276">
        <f>SUMIF('20Ф'!$H:$H,$B:$B,'20Ф'!AC:AC)*1.2</f>
        <v>0</v>
      </c>
      <c r="CU88" s="276">
        <f>SUMIF('20Ф'!$H:$H,$B:$B,'20Ф'!AD:AD)*1.2</f>
        <v>0</v>
      </c>
      <c r="CV88" s="276">
        <f>SUMIF('20Ф'!$H:$H,$B:$B,'20Ф'!AE:AE)*1.2</f>
        <v>0</v>
      </c>
      <c r="CW88" s="276">
        <f>SUMIF('20Ф'!$H:$H,$B:$B,'20Ф'!AF:AF)*1.2</f>
        <v>0</v>
      </c>
      <c r="CX88" s="276">
        <f>SUMIF('20Ф'!$H:$H,$B:$B,'20Ф'!AG:AG)*1.2</f>
        <v>17905.031999999999</v>
      </c>
      <c r="CY88" s="276">
        <f>SUMIF('20Ф'!$H:$H,$B:$B,'20Ф'!AH:AH)*1.2</f>
        <v>0</v>
      </c>
      <c r="CZ88" s="276">
        <f>SUMIF('20Ф'!$H:$H,$B:$B,'20Ф'!AI:AI)*1.2</f>
        <v>0</v>
      </c>
      <c r="DA88" s="276">
        <f>SUMIF('20Ф'!$H:$H,$B:$B,'20Ф'!AJ:AJ)*1.2</f>
        <v>0</v>
      </c>
      <c r="DB88" s="276">
        <f>SUMIF('20Ф'!$H:$H,$B:$B,'20Ф'!AK:AK)*1.2</f>
        <v>113677.18800000001</v>
      </c>
      <c r="DC88" s="276">
        <f>SUMIF('20Ф'!$H:$H,$B:$B,'20Ф'!AL:AL)*1.2</f>
        <v>453241.29600000003</v>
      </c>
      <c r="DD88" s="276">
        <f>SUMIF('20Ф'!$H:$H,$B:$B,'20Ф'!AM:AM)*1.2</f>
        <v>0</v>
      </c>
      <c r="DE88" s="276">
        <f>SUMIF('20Ф'!$H:$H,$B:$B,'20Ф'!AN:AN)*1.2</f>
        <v>0</v>
      </c>
      <c r="DF88" s="276">
        <f>SUMIF('20Ф'!$H:$H,$B:$B,'20Ф'!AO:AO)*1.2</f>
        <v>0</v>
      </c>
      <c r="DG88" s="276">
        <f>SUMIF('20Ф'!$H:$H,$B:$B,'20Ф'!AP:AP)*1.2</f>
        <v>0</v>
      </c>
      <c r="DH88" s="276">
        <f>SUMIF('20Ф'!$H:$H,$B:$B,'20Ф'!AQ:AQ)*1.2</f>
        <v>0</v>
      </c>
      <c r="DI88" s="276">
        <f>SUMIF('20Ф'!$H:$H,$B:$B,'20Ф'!BA:BA)*1.2</f>
        <v>0</v>
      </c>
      <c r="DJ88" s="276">
        <f>SUMIF('20Ф'!$H:$H,$B:$B,'20Ф'!BB:BB)*1.2</f>
        <v>0</v>
      </c>
      <c r="DK88" s="276">
        <f>SUMIF('20Ф'!$H:$H,$B:$B,'20Ф'!BC:BC)*1.2</f>
        <v>0</v>
      </c>
      <c r="DL88" s="276">
        <f>$D88/$D$281*'20Ф'!$H$218</f>
        <v>30991.066000716746</v>
      </c>
      <c r="DM88" s="240">
        <f t="shared" si="13"/>
        <v>432957.22893553041</v>
      </c>
      <c r="DN88" s="276">
        <f>SUMIF('20Ф'!$H:$H,$B:$B,'20Ф'!AV:AV)*1.2</f>
        <v>0</v>
      </c>
      <c r="DO88" s="276">
        <f>SUMIF('20Ф'!$H:$H,$B:$B,'20Ф'!AW:AW)*1.2+$D88/$D$281*'26Ф'!$D$42</f>
        <v>16491.841100088663</v>
      </c>
      <c r="DP88" s="276">
        <f>SUMIF('20Ф'!$H:$H,$B:$B,'20Ф'!AX:AX)*1.2</f>
        <v>0</v>
      </c>
      <c r="DQ88" s="276">
        <f>SUMIF('20Ф'!$H:$H,$B:$B,'20Ф'!AY:AY)*1.2</f>
        <v>56505</v>
      </c>
      <c r="DR88" s="276">
        <f>SUMIF('20Ф'!$H:$H,$B:$B,'20Ф'!AU:AU)*1.2</f>
        <v>0</v>
      </c>
      <c r="DS88" s="276">
        <f>SUMIF('20Ф'!$H:$H,$B:$B,'20Ф'!AS:AS)*1.2</f>
        <v>9524.2080000000005</v>
      </c>
      <c r="DT88" s="276">
        <f>SUMIF('20Ф'!$H:$H,$B:$B,'20Ф'!AR:AR)*1.2</f>
        <v>0</v>
      </c>
      <c r="DU88" s="276">
        <f>SUMIF('20Ф'!$H:$H,$B:$B,'20Ф'!X:X)*1.2</f>
        <v>59522.76</v>
      </c>
      <c r="DV88" s="276">
        <f>SUMIF('20Ф'!$H:$H,$B:$B,'20Ф'!AA:AA)*1.2</f>
        <v>0</v>
      </c>
      <c r="DW88" s="276">
        <f>SUMIF('20Ф'!$H:$H,$B:$B,'20Ф'!N:N)*1.2</f>
        <v>0</v>
      </c>
      <c r="DX88" s="276">
        <f>$D88/$D$281*('25Ф'!$D$37)</f>
        <v>277207.21721281501</v>
      </c>
      <c r="DY88" s="276">
        <f>$D88/$D$281*'25Ф'!$D$30</f>
        <v>8847.5841703485585</v>
      </c>
      <c r="DZ88" s="276">
        <f>$D88/$D$281*'25Ф'!$D$31</f>
        <v>4858.618452278215</v>
      </c>
      <c r="EA88" s="276"/>
      <c r="EB88" s="276">
        <f t="shared" si="14"/>
        <v>174644.89762762978</v>
      </c>
      <c r="EC88" s="276">
        <f>$D88/$D$281*'26Ф'!$D$36</f>
        <v>90908.293612429523</v>
      </c>
      <c r="ED88" s="276">
        <f>$D88/$D$281*'26Ф'!$D$37</f>
        <v>10922.534385583058</v>
      </c>
      <c r="EE88" s="276">
        <f>$D88/$D$281*'26Ф'!$D$38</f>
        <v>11034.555723630669</v>
      </c>
      <c r="EF88" s="276">
        <f>$D88/$D$281*'26Ф'!$D$39</f>
        <v>7740.7307691484202</v>
      </c>
      <c r="EG88" s="276">
        <f>$D88/$D$281*'91Ф'!$D$10</f>
        <v>2388.01222295552</v>
      </c>
      <c r="EH88" s="276">
        <f>$D88/$D$281*('20Ф'!$I$509+'26Ф'!$D$41+'20Ф'!$I$507)</f>
        <v>16894.400142206567</v>
      </c>
      <c r="EI88" s="276">
        <f>$D88/$D$281*'91Ф'!$D$31</f>
        <v>30969.916905102098</v>
      </c>
      <c r="EJ88" s="276">
        <f>$D88/$D$281*'20Ф'!$I$1316</f>
        <v>3786.4538665739215</v>
      </c>
      <c r="EK88" s="276">
        <f>$D88/$D$281*('20Ф'!$I$1105+'20Ф'!$I$1282+'91Ф'!$D$17+'91Ф'!$D$41)</f>
        <v>124351.36346710098</v>
      </c>
      <c r="EL88" s="276">
        <f>$D88/$D$281*отчёт!BX$294</f>
        <v>207877.55551104381</v>
      </c>
      <c r="EM88" s="276">
        <f>$D88/$D$281*отчёт!BY$294</f>
        <v>182817.15161226169</v>
      </c>
      <c r="EN88" s="276">
        <f>SUMIF(отчёт!$B:$B,$B:$B,отчёт!BZ:BZ)/отчёт!BZ$281*('60Ф'!$O$151+'60Ф'!$P$151)*отчёт!BZ$293</f>
        <v>0</v>
      </c>
      <c r="EO88" s="240">
        <f t="shared" si="19"/>
        <v>0</v>
      </c>
      <c r="EP88" s="276">
        <f>SUMIF('20Ф'!$H:$H,$B:$B,'20Ф'!T:T)*1.2</f>
        <v>0</v>
      </c>
      <c r="EQ88" s="276">
        <f>SUMIF('20Ф'!$H:$H,$B:$B,'20Ф'!U:U)*1.2</f>
        <v>0</v>
      </c>
      <c r="ER88" s="236"/>
      <c r="ES88" s="239">
        <f t="shared" si="17"/>
        <v>69576.697003085152</v>
      </c>
      <c r="ET88" s="276">
        <f>$D88/$D$282*'20Ф'!$I$381</f>
        <v>5317.8136149677139</v>
      </c>
      <c r="EU88" s="276">
        <f>$D88/$D$282*('20Ф'!$I$75+'20Ф'!$I$1098)*1.2</f>
        <v>61423.107976087886</v>
      </c>
      <c r="EV88" s="276">
        <f>$D88/$D$282*('20Ф'!$I$1286)</f>
        <v>2835.7754120295508</v>
      </c>
      <c r="EW88" s="276">
        <f>SUMIF('91.1Ф'!$N:$N,$B:$B,'91.1Ф'!$F:$F)+$D88/$D$281*('91Ф'!$D$12+'91Ф'!$D$11+'91Ф'!$D$19+'91Ф'!$D$20)</f>
        <v>16388.90189962267</v>
      </c>
      <c r="EX88" s="276">
        <f t="shared" si="15"/>
        <v>58990.55024721002</v>
      </c>
      <c r="EY88" s="276">
        <f>SUMIF('20Ф'!$H:$H,$B:$B,'20Ф'!$AY:$AY)*1.2</f>
        <v>56505</v>
      </c>
      <c r="EZ88" s="295">
        <f>D88/$D$286*'20Ф'!$I$1163</f>
        <v>2485.550247210017</v>
      </c>
      <c r="FA88" s="277">
        <f>SUMIF(отчёт!$B:$B,$B:$B,отчёт!$CU:$CU)/отчёт!$CU$281*'20Ф'!$I$1341</f>
        <v>3683.8554216867401</v>
      </c>
      <c r="FB88" s="276">
        <f>SUMIF(Сальдо!$A:$A,$B:$B,Сальдо!$H:$H)-SUMIF(Сальдо!$A:$A,$B:$B,Сальдо!$I:$I)</f>
        <v>859439.74</v>
      </c>
    </row>
    <row r="89" spans="1:158" ht="12" customHeight="1" x14ac:dyDescent="0.25">
      <c r="A89" s="3">
        <f t="shared" si="18"/>
        <v>85</v>
      </c>
      <c r="B89" s="4" t="s">
        <v>135</v>
      </c>
      <c r="C89" s="4" t="s">
        <v>135</v>
      </c>
      <c r="D89" s="5">
        <v>3477.26</v>
      </c>
      <c r="E89" s="6">
        <v>3477.26</v>
      </c>
      <c r="F89" s="6">
        <v>0</v>
      </c>
      <c r="G89" s="6">
        <v>363.6</v>
      </c>
      <c r="H89" s="5">
        <f>SUMIF(отчёт!$B:$B,$B:$B,отчёт!I:I)</f>
        <v>0</v>
      </c>
      <c r="I89" s="5">
        <f>SUMIF(отчёт!$B:$B,$B:$B,отчёт!J:J)</f>
        <v>0</v>
      </c>
      <c r="J89" s="3" t="s">
        <v>111</v>
      </c>
      <c r="K89" s="105">
        <v>7</v>
      </c>
      <c r="L89" s="105" t="s">
        <v>52</v>
      </c>
      <c r="M89" s="7">
        <v>31</v>
      </c>
      <c r="N89" s="8">
        <v>5.0999999999999996</v>
      </c>
      <c r="O89" s="8">
        <v>6.59</v>
      </c>
      <c r="P89" s="8">
        <v>8.98</v>
      </c>
      <c r="Q89" s="8">
        <v>6.92</v>
      </c>
      <c r="R89" s="8">
        <v>3.15</v>
      </c>
      <c r="S89" s="8">
        <v>0</v>
      </c>
      <c r="T89" s="8">
        <v>0</v>
      </c>
      <c r="U89" s="8">
        <v>0.26</v>
      </c>
      <c r="V89" s="9">
        <v>40</v>
      </c>
      <c r="W89" s="9">
        <v>40</v>
      </c>
      <c r="X89" s="9">
        <v>2604.04</v>
      </c>
      <c r="Y89" s="8">
        <v>195.98199600000001</v>
      </c>
      <c r="Z89" s="9">
        <v>42.3</v>
      </c>
      <c r="AA89" s="9">
        <v>2604.04</v>
      </c>
      <c r="AB89" s="8">
        <v>7.85</v>
      </c>
      <c r="AC89" s="10">
        <v>0</v>
      </c>
      <c r="AD89" s="8">
        <v>6.73</v>
      </c>
      <c r="AE89" s="8">
        <v>10.67</v>
      </c>
      <c r="AF89" s="8">
        <v>14</v>
      </c>
      <c r="AG89" s="7">
        <v>646770.3600000001</v>
      </c>
      <c r="AH89" s="8">
        <v>106404.15600000002</v>
      </c>
      <c r="AI89" s="8">
        <v>137490.86040000001</v>
      </c>
      <c r="AJ89" s="8">
        <v>187354.76880000002</v>
      </c>
      <c r="AK89" s="8">
        <v>144375.8352</v>
      </c>
      <c r="AL89" s="8">
        <v>65720.214000000007</v>
      </c>
      <c r="AM89" s="8">
        <v>0</v>
      </c>
      <c r="AN89" s="8">
        <v>0</v>
      </c>
      <c r="AO89" s="8">
        <v>5424.5256000000008</v>
      </c>
      <c r="AQ89" s="104">
        <v>33.17</v>
      </c>
      <c r="AR89" s="375">
        <v>13.89</v>
      </c>
      <c r="AS89" s="376"/>
      <c r="AT89" s="104">
        <v>5.9</v>
      </c>
      <c r="AU89" s="104">
        <v>1.53</v>
      </c>
      <c r="AV89" s="104">
        <v>0.32</v>
      </c>
      <c r="AW89" s="104">
        <v>0.6</v>
      </c>
      <c r="AX89" s="104">
        <v>5.01</v>
      </c>
      <c r="AY89" s="104">
        <v>4.99</v>
      </c>
      <c r="AZ89" s="104">
        <v>0</v>
      </c>
      <c r="BA89" s="104">
        <v>0</v>
      </c>
      <c r="BB89" s="104">
        <v>0</v>
      </c>
      <c r="BC89" s="101">
        <v>0.93</v>
      </c>
      <c r="BD89" s="104">
        <v>37.581610000000005</v>
      </c>
      <c r="BE89" s="375">
        <v>15.737370000000004</v>
      </c>
      <c r="BF89" s="376">
        <v>0</v>
      </c>
      <c r="BG89" s="104">
        <v>6.6847000000000012</v>
      </c>
      <c r="BH89" s="104">
        <v>1.7334900000000002</v>
      </c>
      <c r="BI89" s="104">
        <v>0.36256000000000005</v>
      </c>
      <c r="BJ89" s="104">
        <v>0.67980000000000007</v>
      </c>
      <c r="BK89" s="104">
        <v>5.6763300000000001</v>
      </c>
      <c r="BL89" s="104">
        <v>5.65367</v>
      </c>
      <c r="BM89" s="104">
        <v>0</v>
      </c>
      <c r="BN89" s="104">
        <v>0</v>
      </c>
      <c r="BO89" s="104">
        <v>0</v>
      </c>
      <c r="BP89" s="101">
        <v>1.0536900000000002</v>
      </c>
      <c r="BQ89" s="103">
        <v>1537491.7202860003</v>
      </c>
      <c r="BR89" s="371">
        <v>643827.55486200016</v>
      </c>
      <c r="BS89" s="371">
        <v>0</v>
      </c>
      <c r="BT89" s="103">
        <v>273476.06722000003</v>
      </c>
      <c r="BU89" s="103">
        <v>70918.369974000001</v>
      </c>
      <c r="BV89" s="103">
        <v>14832.600256000002</v>
      </c>
      <c r="BW89" s="103">
        <v>27811.125480000006</v>
      </c>
      <c r="BX89" s="103">
        <v>232222.89775800001</v>
      </c>
      <c r="BY89" s="103">
        <v>231295.86024200002</v>
      </c>
      <c r="BZ89" s="103">
        <v>0</v>
      </c>
      <c r="CA89" s="103">
        <v>0</v>
      </c>
      <c r="CB89" s="103">
        <v>0</v>
      </c>
      <c r="CC89" s="103">
        <v>43107.244494000013</v>
      </c>
      <c r="CD89" s="1">
        <v>1</v>
      </c>
      <c r="CF89" s="277">
        <f>SUMIF(Оборот!$A:$A,$B:$B,Оборот!H:H)</f>
        <v>1323495.04</v>
      </c>
      <c r="CG89" s="277">
        <f>SUMIF(Оборот!$A:$A,$B:$B,Оборот!I:I)</f>
        <v>1310239.42</v>
      </c>
      <c r="CH89" s="277">
        <f t="shared" si="12"/>
        <v>1941588.7013032271</v>
      </c>
      <c r="CI89" s="239">
        <f t="shared" si="16"/>
        <v>510450.20209007093</v>
      </c>
      <c r="CJ89" s="276">
        <f>SUMIF('20Ф'!$H:$H,$B:$B,'20Ф'!M:M)*1.2</f>
        <v>294450.12</v>
      </c>
      <c r="CK89" s="276">
        <f>SUMIF('20Ф'!$H:$H,$B:$B,'20Ф'!O:O)*1.2</f>
        <v>0</v>
      </c>
      <c r="CL89" s="276">
        <f>SUMIF('20Ф'!$H:$H,$B:$B,'20Ф'!Q:Q)*1.2</f>
        <v>0</v>
      </c>
      <c r="CM89" s="276">
        <f>SUMIF('20Ф'!$H:$H,$B:$B,'20Ф'!R:R)*1.2</f>
        <v>0</v>
      </c>
      <c r="CN89" s="276">
        <f>SUMIF('20Ф'!$H:$H,$B:$B,'20Ф'!S:S)*1.2</f>
        <v>0</v>
      </c>
      <c r="CO89" s="276">
        <f>SUMIF('20Ф'!$H:$H,$B:$B,'20Ф'!W:W)*1.2</f>
        <v>0</v>
      </c>
      <c r="CP89" s="276">
        <f>SUMIF('20Ф'!$H:$H,$B:$B,'20Ф'!P:P)*1.2</f>
        <v>0</v>
      </c>
      <c r="CQ89" s="276">
        <f>SUMIF('20Ф'!$H:$H,$B:$B,'20Ф'!Y:Y)*1.2</f>
        <v>0</v>
      </c>
      <c r="CR89" s="276">
        <f>SUMIF('20Ф'!$H:$H,$B:$B,'20Ф'!Z:Z)*1.2</f>
        <v>0</v>
      </c>
      <c r="CS89" s="276">
        <f>SUMIF('20Ф'!$H:$H,$B:$B,'20Ф'!AB:AB)*1.2</f>
        <v>0</v>
      </c>
      <c r="CT89" s="276">
        <f>SUMIF('20Ф'!$H:$H,$B:$B,'20Ф'!AC:AC)*1.2</f>
        <v>0</v>
      </c>
      <c r="CU89" s="276">
        <f>SUMIF('20Ф'!$H:$H,$B:$B,'20Ф'!AD:AD)*1.2</f>
        <v>0</v>
      </c>
      <c r="CV89" s="276">
        <f>SUMIF('20Ф'!$H:$H,$B:$B,'20Ф'!AE:AE)*1.2</f>
        <v>0</v>
      </c>
      <c r="CW89" s="276">
        <f>SUMIF('20Ф'!$H:$H,$B:$B,'20Ф'!AF:AF)*1.2</f>
        <v>0</v>
      </c>
      <c r="CX89" s="276">
        <f>SUMIF('20Ф'!$H:$H,$B:$B,'20Ф'!AG:AG)*1.2</f>
        <v>15347.759999999998</v>
      </c>
      <c r="CY89" s="276">
        <f>SUMIF('20Ф'!$H:$H,$B:$B,'20Ф'!AH:AH)*1.2</f>
        <v>0</v>
      </c>
      <c r="CZ89" s="276">
        <f>SUMIF('20Ф'!$H:$H,$B:$B,'20Ф'!AI:AI)*1.2</f>
        <v>0</v>
      </c>
      <c r="DA89" s="276">
        <f>SUMIF('20Ф'!$H:$H,$B:$B,'20Ф'!AJ:AJ)*1.2</f>
        <v>170068.65599999999</v>
      </c>
      <c r="DB89" s="276">
        <f>SUMIF('20Ф'!$H:$H,$B:$B,'20Ф'!AK:AK)*1.2</f>
        <v>0</v>
      </c>
      <c r="DC89" s="276">
        <f>SUMIF('20Ф'!$H:$H,$B:$B,'20Ф'!AL:AL)*1.2</f>
        <v>0</v>
      </c>
      <c r="DD89" s="276">
        <f>SUMIF('20Ф'!$H:$H,$B:$B,'20Ф'!AM:AM)*1.2</f>
        <v>0</v>
      </c>
      <c r="DE89" s="276">
        <f>SUMIF('20Ф'!$H:$H,$B:$B,'20Ф'!AN:AN)*1.2</f>
        <v>0</v>
      </c>
      <c r="DF89" s="276">
        <f>SUMIF('20Ф'!$H:$H,$B:$B,'20Ф'!AO:AO)*1.2</f>
        <v>0</v>
      </c>
      <c r="DG89" s="276">
        <f>SUMIF('20Ф'!$H:$H,$B:$B,'20Ф'!AP:AP)*1.2</f>
        <v>0</v>
      </c>
      <c r="DH89" s="276">
        <f>SUMIF('20Ф'!$H:$H,$B:$B,'20Ф'!AQ:AQ)*1.2</f>
        <v>0</v>
      </c>
      <c r="DI89" s="276">
        <f>SUMIF('20Ф'!$H:$H,$B:$B,'20Ф'!BA:BA)*1.2</f>
        <v>0</v>
      </c>
      <c r="DJ89" s="276">
        <f>SUMIF('20Ф'!$H:$H,$B:$B,'20Ф'!BB:BB)*1.2</f>
        <v>0</v>
      </c>
      <c r="DK89" s="276">
        <f>SUMIF('20Ф'!$H:$H,$B:$B,'20Ф'!BC:BC)*1.2</f>
        <v>0</v>
      </c>
      <c r="DL89" s="276">
        <f>$D89/$D$281*'20Ф'!$H$218</f>
        <v>30583.666090070979</v>
      </c>
      <c r="DM89" s="240">
        <f t="shared" si="13"/>
        <v>602994.62110654567</v>
      </c>
      <c r="DN89" s="276">
        <f>SUMIF('20Ф'!$H:$H,$B:$B,'20Ф'!AV:AV)*1.2</f>
        <v>0</v>
      </c>
      <c r="DO89" s="276">
        <f>SUMIF('20Ф'!$H:$H,$B:$B,'20Ф'!AW:AW)*1.2+$D89/$D$281*'26Ф'!$D$42</f>
        <v>16275.043956343918</v>
      </c>
      <c r="DP89" s="276">
        <f>SUMIF('20Ф'!$H:$H,$B:$B,'20Ф'!AX:AX)*1.2</f>
        <v>0</v>
      </c>
      <c r="DQ89" s="276">
        <f>SUMIF('20Ф'!$H:$H,$B:$B,'20Ф'!AY:AY)*1.2</f>
        <v>60231</v>
      </c>
      <c r="DR89" s="276">
        <f>SUMIF('20Ф'!$H:$H,$B:$B,'20Ф'!AU:AU)*1.2</f>
        <v>0</v>
      </c>
      <c r="DS89" s="276">
        <f>SUMIF('20Ф'!$H:$H,$B:$B,'20Ф'!AS:AS)*1.2</f>
        <v>112441.452</v>
      </c>
      <c r="DT89" s="276">
        <f>SUMIF('20Ф'!$H:$H,$B:$B,'20Ф'!AR:AR)*1.2</f>
        <v>0</v>
      </c>
      <c r="DU89" s="276">
        <f>SUMIF('20Ф'!$H:$H,$B:$B,'20Ф'!X:X)*1.2</f>
        <v>126957.97199999999</v>
      </c>
      <c r="DV89" s="276">
        <f>SUMIF('20Ф'!$H:$H,$B:$B,'20Ф'!AA:AA)*1.2</f>
        <v>0</v>
      </c>
      <c r="DW89" s="276">
        <f>SUMIF('20Ф'!$H:$H,$B:$B,'20Ф'!N:N)*1.2</f>
        <v>0</v>
      </c>
      <c r="DX89" s="276">
        <f>$D89/$D$281*('25Ф'!$D$37)</f>
        <v>273563.12844477297</v>
      </c>
      <c r="DY89" s="276">
        <f>$D89/$D$281*'25Ф'!$D$30</f>
        <v>8731.2762963197165</v>
      </c>
      <c r="DZ89" s="276">
        <f>$D89/$D$281*'25Ф'!$D$31</f>
        <v>4794.7484091091856</v>
      </c>
      <c r="EA89" s="276"/>
      <c r="EB89" s="276">
        <f t="shared" si="14"/>
        <v>172349.06450957601</v>
      </c>
      <c r="EC89" s="276">
        <f>$D89/$D$281*'26Ф'!$D$36</f>
        <v>89713.238537724887</v>
      </c>
      <c r="ED89" s="276">
        <f>$D89/$D$281*'26Ф'!$D$37</f>
        <v>10778.949794700997</v>
      </c>
      <c r="EE89" s="276">
        <f>$D89/$D$281*'26Ф'!$D$38</f>
        <v>10889.498531479909</v>
      </c>
      <c r="EF89" s="276">
        <f>$D89/$D$281*'26Ф'!$D$39</f>
        <v>7638.9732812449365</v>
      </c>
      <c r="EG89" s="276">
        <f>$D89/$D$281*'91Ф'!$D$10</f>
        <v>2356.6200802576673</v>
      </c>
      <c r="EH89" s="276">
        <f>$D89/$D$281*('20Ф'!$I$509+'26Ф'!$D$41+'20Ф'!$I$507)</f>
        <v>16672.311069562551</v>
      </c>
      <c r="EI89" s="276">
        <f>$D89/$D$281*'91Ф'!$D$31</f>
        <v>30562.795014569077</v>
      </c>
      <c r="EJ89" s="276">
        <f>$D89/$D$281*'20Ф'!$I$1316</f>
        <v>3736.6782000359954</v>
      </c>
      <c r="EK89" s="276">
        <f>$D89/$D$281*('20Ф'!$I$1105+'20Ф'!$I$1282+'91Ф'!$D$17+'91Ф'!$D$41)</f>
        <v>122716.67512291804</v>
      </c>
      <c r="EL89" s="276">
        <f>$D89/$D$281*отчёт!BX$294</f>
        <v>205144.85514060478</v>
      </c>
      <c r="EM89" s="276">
        <f>$D89/$D$281*отчёт!BY$294</f>
        <v>180413.88832245985</v>
      </c>
      <c r="EN89" s="276">
        <f>SUMIF(отчёт!$B:$B,$B:$B,отчёт!BZ:BZ)/отчёт!BZ$281*('60Ф'!$O$151+'60Ф'!$P$151)*отчёт!BZ$293</f>
        <v>0</v>
      </c>
      <c r="EO89" s="240">
        <f t="shared" si="19"/>
        <v>0</v>
      </c>
      <c r="EP89" s="276">
        <f>SUMIF('20Ф'!$H:$H,$B:$B,'20Ф'!T:T)*1.2</f>
        <v>0</v>
      </c>
      <c r="EQ89" s="276">
        <f>SUMIF('20Ф'!$H:$H,$B:$B,'20Ф'!U:U)*1.2</f>
        <v>0</v>
      </c>
      <c r="ER89" s="236"/>
      <c r="ES89" s="239">
        <f t="shared" si="17"/>
        <v>68662.061148305962</v>
      </c>
      <c r="ET89" s="276">
        <f>$D89/$D$282*'20Ф'!$I$381</f>
        <v>5247.9071202534451</v>
      </c>
      <c r="EU89" s="276">
        <f>$D89/$D$282*('20Ф'!$I$75+'20Ф'!$I$1098)*1.2</f>
        <v>60615.656928729135</v>
      </c>
      <c r="EV89" s="276">
        <f>$D89/$D$282*('20Ф'!$I$1286)</f>
        <v>2798.4970993233806</v>
      </c>
      <c r="EW89" s="276">
        <f>SUMIF('91.1Ф'!$N:$N,$B:$B,'91.1Ф'!$F:$F)+$D89/$D$281*('91Ф'!$D$12+'91Ф'!$D$11+'91Ф'!$D$19+'91Ф'!$D$20)</f>
        <v>16173.457965898864</v>
      </c>
      <c r="EX89" s="276">
        <f t="shared" si="15"/>
        <v>62683.875896847385</v>
      </c>
      <c r="EY89" s="276">
        <f>SUMIF('20Ф'!$H:$H,$B:$B,'20Ф'!$AY:$AY)*1.2</f>
        <v>60231</v>
      </c>
      <c r="EZ89" s="295">
        <f>D89/$D$286*'20Ф'!$I$1163</f>
        <v>2452.8758968473835</v>
      </c>
      <c r="FA89" s="277">
        <f>SUMIF(отчёт!$B:$B,$B:$B,отчёт!$CU:$CU)/отчёт!$CU$281*'20Ф'!$I$1341</f>
        <v>3683.8554216867401</v>
      </c>
      <c r="FB89" s="276">
        <f>SUMIF(Сальдо!$A:$A,$B:$B,Сальдо!$H:$H)-SUMIF(Сальдо!$A:$A,$B:$B,Сальдо!$I:$I)</f>
        <v>451346.67</v>
      </c>
    </row>
    <row r="90" spans="1:158" ht="12" customHeight="1" x14ac:dyDescent="0.25">
      <c r="A90" s="3">
        <f t="shared" si="18"/>
        <v>86</v>
      </c>
      <c r="B90" s="4" t="s">
        <v>136</v>
      </c>
      <c r="C90" s="4" t="s">
        <v>136</v>
      </c>
      <c r="D90" s="5">
        <v>3071.9</v>
      </c>
      <c r="E90" s="6">
        <v>3071.9</v>
      </c>
      <c r="F90" s="6">
        <v>0</v>
      </c>
      <c r="G90" s="6">
        <v>340.85</v>
      </c>
      <c r="H90" s="5">
        <f>SUMIF(отчёт!$B:$B,$B:$B,отчёт!I:I)</f>
        <v>1</v>
      </c>
      <c r="I90" s="5">
        <f>SUMIF(отчёт!$B:$B,$B:$B,отчёт!J:J)</f>
        <v>0</v>
      </c>
      <c r="J90" s="3" t="s">
        <v>111</v>
      </c>
      <c r="K90" s="105">
        <v>3</v>
      </c>
      <c r="L90" s="105" t="s">
        <v>52</v>
      </c>
      <c r="M90" s="7">
        <v>45.06</v>
      </c>
      <c r="N90" s="8">
        <v>5.0999999999999996</v>
      </c>
      <c r="O90" s="8">
        <v>8.6300000000000008</v>
      </c>
      <c r="P90" s="8">
        <v>13.43</v>
      </c>
      <c r="Q90" s="8">
        <v>6.91</v>
      </c>
      <c r="R90" s="8">
        <v>3.15</v>
      </c>
      <c r="S90" s="8">
        <v>1.81</v>
      </c>
      <c r="T90" s="8">
        <v>5.77</v>
      </c>
      <c r="U90" s="8">
        <v>0.26</v>
      </c>
      <c r="V90" s="9">
        <v>40</v>
      </c>
      <c r="W90" s="9">
        <v>40</v>
      </c>
      <c r="X90" s="9">
        <v>2604.04</v>
      </c>
      <c r="Y90" s="8">
        <v>195.98199600000001</v>
      </c>
      <c r="Z90" s="9">
        <v>42.3</v>
      </c>
      <c r="AA90" s="9">
        <v>2604.04</v>
      </c>
      <c r="AB90" s="8">
        <v>7.85</v>
      </c>
      <c r="AC90" s="10">
        <v>0</v>
      </c>
      <c r="AD90" s="8">
        <v>6.73</v>
      </c>
      <c r="AE90" s="8">
        <v>10.67</v>
      </c>
      <c r="AF90" s="8">
        <v>14</v>
      </c>
      <c r="AG90" s="7">
        <v>830518.88400000008</v>
      </c>
      <c r="AH90" s="8">
        <v>94000.139999999985</v>
      </c>
      <c r="AI90" s="8">
        <v>159062.98200000002</v>
      </c>
      <c r="AJ90" s="8">
        <v>247533.70199999999</v>
      </c>
      <c r="AK90" s="8">
        <v>127360.97400000002</v>
      </c>
      <c r="AL90" s="8">
        <v>58058.91</v>
      </c>
      <c r="AM90" s="8">
        <v>33360.834000000003</v>
      </c>
      <c r="AN90" s="8">
        <v>106349.17799999999</v>
      </c>
      <c r="AO90" s="8">
        <v>4792.1640000000007</v>
      </c>
      <c r="AQ90" s="104">
        <v>48.44</v>
      </c>
      <c r="AR90" s="375">
        <v>18.489999999999998</v>
      </c>
      <c r="AS90" s="376"/>
      <c r="AT90" s="104">
        <v>6.67</v>
      </c>
      <c r="AU90" s="104">
        <v>1.53</v>
      </c>
      <c r="AV90" s="104">
        <v>0.32</v>
      </c>
      <c r="AW90" s="104">
        <v>0.87</v>
      </c>
      <c r="AX90" s="104">
        <v>5.01</v>
      </c>
      <c r="AY90" s="104">
        <v>4.99</v>
      </c>
      <c r="AZ90" s="104">
        <v>2.7</v>
      </c>
      <c r="BA90" s="104">
        <v>6.46</v>
      </c>
      <c r="BB90" s="104">
        <v>0.47</v>
      </c>
      <c r="BC90" s="101">
        <v>0.93</v>
      </c>
      <c r="BD90" s="104">
        <v>54.88252</v>
      </c>
      <c r="BE90" s="375">
        <v>20.949169999999999</v>
      </c>
      <c r="BF90" s="376">
        <v>0</v>
      </c>
      <c r="BG90" s="104">
        <v>7.5571100000000007</v>
      </c>
      <c r="BH90" s="104">
        <v>1.7334900000000002</v>
      </c>
      <c r="BI90" s="104">
        <v>0.36256000000000005</v>
      </c>
      <c r="BJ90" s="104">
        <v>0.98571000000000009</v>
      </c>
      <c r="BK90" s="104">
        <v>5.6763300000000001</v>
      </c>
      <c r="BL90" s="104">
        <v>5.65367</v>
      </c>
      <c r="BM90" s="104">
        <v>3.0591000000000004</v>
      </c>
      <c r="BN90" s="104">
        <v>7.3191800000000002</v>
      </c>
      <c r="BO90" s="104">
        <v>0.53250999999999993</v>
      </c>
      <c r="BP90" s="101">
        <v>1.05369</v>
      </c>
      <c r="BQ90" s="103">
        <v>1983541.80388</v>
      </c>
      <c r="BR90" s="371">
        <v>757136.41522999993</v>
      </c>
      <c r="BS90" s="371">
        <v>0</v>
      </c>
      <c r="BT90" s="103">
        <v>273126.00809000002</v>
      </c>
      <c r="BU90" s="103">
        <v>62651.093310000004</v>
      </c>
      <c r="BV90" s="103">
        <v>13103.496640000001</v>
      </c>
      <c r="BW90" s="103">
        <v>35625.131490000007</v>
      </c>
      <c r="BX90" s="103">
        <v>205151.61927</v>
      </c>
      <c r="BY90" s="103">
        <v>204332.65072999999</v>
      </c>
      <c r="BZ90" s="103">
        <v>110560.75290000002</v>
      </c>
      <c r="CA90" s="103">
        <v>264526.83842000004</v>
      </c>
      <c r="CB90" s="103">
        <v>19245.760689999996</v>
      </c>
      <c r="CC90" s="103">
        <v>38082.037109999997</v>
      </c>
      <c r="CD90" s="1">
        <v>1</v>
      </c>
      <c r="CF90" s="277">
        <f>SUMIF(Оборот!$A:$A,$B:$B,Оборот!H:H)</f>
        <v>1702569.8000000005</v>
      </c>
      <c r="CG90" s="277">
        <f>SUMIF(Оборот!$A:$A,$B:$B,Оборот!I:I)</f>
        <v>1663692.9100000001</v>
      </c>
      <c r="CH90" s="277">
        <f t="shared" si="12"/>
        <v>1191148.4627919886</v>
      </c>
      <c r="CI90" s="239">
        <f t="shared" si="16"/>
        <v>27018.38915182904</v>
      </c>
      <c r="CJ90" s="276">
        <f>SUMIF('20Ф'!$H:$H,$B:$B,'20Ф'!M:M)*1.2</f>
        <v>0</v>
      </c>
      <c r="CK90" s="276">
        <f>SUMIF('20Ф'!$H:$H,$B:$B,'20Ф'!O:O)*1.2</f>
        <v>0</v>
      </c>
      <c r="CL90" s="276">
        <f>SUMIF('20Ф'!$H:$H,$B:$B,'20Ф'!Q:Q)*1.2</f>
        <v>0</v>
      </c>
      <c r="CM90" s="276">
        <f>SUMIF('20Ф'!$H:$H,$B:$B,'20Ф'!R:R)*1.2</f>
        <v>0</v>
      </c>
      <c r="CN90" s="276">
        <f>SUMIF('20Ф'!$H:$H,$B:$B,'20Ф'!S:S)*1.2</f>
        <v>0</v>
      </c>
      <c r="CO90" s="276">
        <f>SUMIF('20Ф'!$H:$H,$B:$B,'20Ф'!W:W)*1.2</f>
        <v>0</v>
      </c>
      <c r="CP90" s="276">
        <f>SUMIF('20Ф'!$H:$H,$B:$B,'20Ф'!P:P)*1.2</f>
        <v>0</v>
      </c>
      <c r="CQ90" s="276">
        <f>SUMIF('20Ф'!$H:$H,$B:$B,'20Ф'!Y:Y)*1.2</f>
        <v>0</v>
      </c>
      <c r="CR90" s="276">
        <f>SUMIF('20Ф'!$H:$H,$B:$B,'20Ф'!Z:Z)*1.2</f>
        <v>0</v>
      </c>
      <c r="CS90" s="276">
        <f>SUMIF('20Ф'!$H:$H,$B:$B,'20Ф'!AB:AB)*1.2</f>
        <v>0</v>
      </c>
      <c r="CT90" s="276">
        <f>SUMIF('20Ф'!$H:$H,$B:$B,'20Ф'!AC:AC)*1.2</f>
        <v>0</v>
      </c>
      <c r="CU90" s="276">
        <f>SUMIF('20Ф'!$H:$H,$B:$B,'20Ф'!AD:AD)*1.2</f>
        <v>0</v>
      </c>
      <c r="CV90" s="276">
        <f>SUMIF('20Ф'!$H:$H,$B:$B,'20Ф'!AE:AE)*1.2</f>
        <v>0</v>
      </c>
      <c r="CW90" s="276">
        <f>SUMIF('20Ф'!$H:$H,$B:$B,'20Ф'!AF:AF)*1.2</f>
        <v>0</v>
      </c>
      <c r="CX90" s="276">
        <f>SUMIF('20Ф'!$H:$H,$B:$B,'20Ф'!AG:AG)*1.2</f>
        <v>0</v>
      </c>
      <c r="CY90" s="276">
        <f>SUMIF('20Ф'!$H:$H,$B:$B,'20Ф'!AH:AH)*1.2</f>
        <v>0</v>
      </c>
      <c r="CZ90" s="276">
        <f>SUMIF('20Ф'!$H:$H,$B:$B,'20Ф'!AI:AI)*1.2</f>
        <v>0</v>
      </c>
      <c r="DA90" s="276">
        <f>SUMIF('20Ф'!$H:$H,$B:$B,'20Ф'!AJ:AJ)*1.2</f>
        <v>0</v>
      </c>
      <c r="DB90" s="276">
        <f>SUMIF('20Ф'!$H:$H,$B:$B,'20Ф'!AK:AK)*1.2</f>
        <v>0</v>
      </c>
      <c r="DC90" s="276">
        <f>SUMIF('20Ф'!$H:$H,$B:$B,'20Ф'!AL:AL)*1.2</f>
        <v>0</v>
      </c>
      <c r="DD90" s="276">
        <f>SUMIF('20Ф'!$H:$H,$B:$B,'20Ф'!AM:AM)*1.2</f>
        <v>0</v>
      </c>
      <c r="DE90" s="276">
        <f>SUMIF('20Ф'!$H:$H,$B:$B,'20Ф'!AN:AN)*1.2</f>
        <v>0</v>
      </c>
      <c r="DF90" s="276">
        <f>SUMIF('20Ф'!$H:$H,$B:$B,'20Ф'!AO:AO)*1.2</f>
        <v>0</v>
      </c>
      <c r="DG90" s="276">
        <f>SUMIF('20Ф'!$H:$H,$B:$B,'20Ф'!AP:AP)*1.2</f>
        <v>0</v>
      </c>
      <c r="DH90" s="276">
        <f>SUMIF('20Ф'!$H:$H,$B:$B,'20Ф'!AQ:AQ)*1.2</f>
        <v>0</v>
      </c>
      <c r="DI90" s="276">
        <f>SUMIF('20Ф'!$H:$H,$B:$B,'20Ф'!BA:BA)*1.2</f>
        <v>0</v>
      </c>
      <c r="DJ90" s="276">
        <f>SUMIF('20Ф'!$H:$H,$B:$B,'20Ф'!BB:BB)*1.2</f>
        <v>0</v>
      </c>
      <c r="DK90" s="276">
        <f>SUMIF('20Ф'!$H:$H,$B:$B,'20Ф'!BC:BC)*1.2</f>
        <v>0</v>
      </c>
      <c r="DL90" s="276">
        <f>$D90/$D$281*'20Ф'!$H$218</f>
        <v>27018.38915182904</v>
      </c>
      <c r="DM90" s="240">
        <f t="shared" si="13"/>
        <v>320817.59406429145</v>
      </c>
      <c r="DN90" s="276">
        <f>SUMIF('20Ф'!$H:$H,$B:$B,'20Ф'!AV:AV)*1.2</f>
        <v>0</v>
      </c>
      <c r="DO90" s="276">
        <f>SUMIF('20Ф'!$H:$H,$B:$B,'20Ф'!AW:AW)*1.2+$D90/$D$281*'26Ф'!$D$42</f>
        <v>14377.788123261673</v>
      </c>
      <c r="DP90" s="276">
        <f>SUMIF('20Ф'!$H:$H,$B:$B,'20Ф'!AX:AX)*1.2</f>
        <v>0</v>
      </c>
      <c r="DQ90" s="276">
        <f>SUMIF('20Ф'!$H:$H,$B:$B,'20Ф'!AY:AY)*1.2</f>
        <v>44650.007999999994</v>
      </c>
      <c r="DR90" s="276">
        <f>SUMIF('20Ф'!$H:$H,$B:$B,'20Ф'!AU:AU)*1.2</f>
        <v>0</v>
      </c>
      <c r="DS90" s="276">
        <f>SUMIF('20Ф'!$H:$H,$B:$B,'20Ф'!AS:AS)*1.2</f>
        <v>8167.9319999999989</v>
      </c>
      <c r="DT90" s="276">
        <f>SUMIF('20Ф'!$H:$H,$B:$B,'20Ф'!AR:AR)*1.2</f>
        <v>0</v>
      </c>
      <c r="DU90" s="276">
        <f>SUMIF('20Ф'!$H:$H,$B:$B,'20Ф'!X:X)*1.2</f>
        <v>0</v>
      </c>
      <c r="DV90" s="276">
        <f>SUMIF('20Ф'!$H:$H,$B:$B,'20Ф'!AA:AA)*1.2</f>
        <v>0</v>
      </c>
      <c r="DW90" s="276">
        <f>SUMIF('20Ф'!$H:$H,$B:$B,'20Ф'!N:N)*1.2</f>
        <v>0</v>
      </c>
      <c r="DX90" s="276">
        <f>$D90/$D$281*('25Ф'!$D$37)</f>
        <v>241672.63140216665</v>
      </c>
      <c r="DY90" s="276">
        <f>$D90/$D$281*'25Ф'!$D$30</f>
        <v>7713.4317406994405</v>
      </c>
      <c r="DZ90" s="276">
        <f>$D90/$D$281*'25Ф'!$D$31</f>
        <v>4235.8027981636424</v>
      </c>
      <c r="EA90" s="276"/>
      <c r="EB90" s="276">
        <f t="shared" si="14"/>
        <v>152257.55084950986</v>
      </c>
      <c r="EC90" s="276">
        <f>$D90/$D$281*'26Ф'!$D$36</f>
        <v>79254.958635257964</v>
      </c>
      <c r="ED90" s="276">
        <f>$D90/$D$281*'26Ф'!$D$37</f>
        <v>9522.3986340802803</v>
      </c>
      <c r="EE90" s="276">
        <f>$D90/$D$281*'26Ф'!$D$38</f>
        <v>9620.0602022434723</v>
      </c>
      <c r="EF90" s="276">
        <f>$D90/$D$281*'26Ф'!$D$39</f>
        <v>6748.4634518719686</v>
      </c>
      <c r="EG90" s="276">
        <f>$D90/$D$281*'91Ф'!$D$10</f>
        <v>2081.8981682541794</v>
      </c>
      <c r="EH90" s="276">
        <f>$D90/$D$281*('20Ф'!$I$509+'26Ф'!$D$41+'20Ф'!$I$507)</f>
        <v>14728.744003781483</v>
      </c>
      <c r="EI90" s="276">
        <f>$D90/$D$281*'91Ф'!$D$31</f>
        <v>26999.951112443348</v>
      </c>
      <c r="EJ90" s="276">
        <f>$D90/$D$281*'20Ф'!$I$1316</f>
        <v>3301.0766415771541</v>
      </c>
      <c r="EK90" s="276">
        <f>$D90/$D$281*('20Ф'!$I$1105+'20Ф'!$I$1282+'91Ф'!$D$17+'91Ф'!$D$41)</f>
        <v>108411.03463936891</v>
      </c>
      <c r="EL90" s="276">
        <f>$D90/$D$281*отчёт!BX$294</f>
        <v>181230.18713194405</v>
      </c>
      <c r="EM90" s="276">
        <f>$D90/$D$281*отчёт!BY$294</f>
        <v>159382.22150134429</v>
      </c>
      <c r="EN90" s="276">
        <f>$D90/$D$283*отчёт!BZ$294</f>
        <v>28604.126565434901</v>
      </c>
      <c r="EO90" s="240">
        <f t="shared" ref="EO90:EO92" si="21">SUBTOTAL(9,EP90:ER90)</f>
        <v>91664.560750498989</v>
      </c>
      <c r="EP90" s="276">
        <f>SUMIF('20Ф'!$H:$H,$B:$B,'20Ф'!T:T)*1.2</f>
        <v>2732.8560000000002</v>
      </c>
      <c r="EQ90" s="276">
        <f>SUM(H90:I90)/SUM($H$284:$I$284)*SUM('60Ф'!$O$155:$P$155)</f>
        <v>86255.130878243508</v>
      </c>
      <c r="ER90" s="276">
        <f>SUM($H90:$I90)/SUM($H$284:$I$284)*SUM('60Ф'!$P$227)</f>
        <v>2676.5738722554888</v>
      </c>
      <c r="ES90" s="239">
        <f t="shared" si="17"/>
        <v>60657.812657518007</v>
      </c>
      <c r="ET90" s="276">
        <f>$D90/$D$282*'20Ф'!$I$381</f>
        <v>4636.1347390492965</v>
      </c>
      <c r="EU90" s="276">
        <f>$D90/$D$282*('20Ф'!$I$75+'20Ф'!$I$1098)*1.2</f>
        <v>53549.414343294149</v>
      </c>
      <c r="EV90" s="276">
        <f>$D90/$D$282*('20Ф'!$I$1286)</f>
        <v>2472.2635751745602</v>
      </c>
      <c r="EW90" s="276">
        <f>SUMIF('91.1Ф'!$N:$N,$B:$B,'91.1Ф'!$F:$F)+$D90/$D$281*('91Ф'!$D$12+'91Ф'!$D$11+'91Ф'!$D$19+'91Ф'!$D$20)</f>
        <v>14288.044473362568</v>
      </c>
      <c r="EX90" s="276">
        <f t="shared" si="15"/>
        <v>46816.9410068863</v>
      </c>
      <c r="EY90" s="276">
        <f>SUMIF('20Ф'!$H:$H,$B:$B,'20Ф'!$AY:$AY)*1.2</f>
        <v>44650.007999999994</v>
      </c>
      <c r="EZ90" s="295">
        <f>D90/$D$286*'20Ф'!$I$1163</f>
        <v>2166.9330068863064</v>
      </c>
      <c r="FA90" s="277">
        <f>SUMIF(отчёт!$B:$B,$B:$B,отчёт!$CU:$CU)/отчёт!$CU$281*'20Ф'!$I$1341</f>
        <v>920.96385542168503</v>
      </c>
      <c r="FB90" s="276">
        <f>SUMIF(Сальдо!$A:$A,$B:$B,Сальдо!$H:$H)-SUMIF(Сальдо!$A:$A,$B:$B,Сальдо!$I:$I)</f>
        <v>323585.51</v>
      </c>
    </row>
    <row r="91" spans="1:158" ht="12" customHeight="1" x14ac:dyDescent="0.25">
      <c r="A91" s="3">
        <f t="shared" si="18"/>
        <v>87</v>
      </c>
      <c r="B91" s="4" t="s">
        <v>137</v>
      </c>
      <c r="C91" s="4" t="s">
        <v>137</v>
      </c>
      <c r="D91" s="5">
        <v>3039.4</v>
      </c>
      <c r="E91" s="6">
        <v>3039.4</v>
      </c>
      <c r="F91" s="6">
        <v>0</v>
      </c>
      <c r="G91" s="6">
        <v>337.25</v>
      </c>
      <c r="H91" s="5">
        <f>SUMIF(отчёт!$B:$B,$B:$B,отчёт!I:I)</f>
        <v>1</v>
      </c>
      <c r="I91" s="5">
        <f>SUMIF(отчёт!$B:$B,$B:$B,отчёт!J:J)</f>
        <v>0</v>
      </c>
      <c r="J91" s="3" t="s">
        <v>111</v>
      </c>
      <c r="K91" s="105">
        <v>3</v>
      </c>
      <c r="L91" s="105" t="s">
        <v>52</v>
      </c>
      <c r="M91" s="7">
        <v>45.06</v>
      </c>
      <c r="N91" s="8">
        <v>5.0999999999999996</v>
      </c>
      <c r="O91" s="8">
        <v>8.6300000000000008</v>
      </c>
      <c r="P91" s="8">
        <v>13.43</v>
      </c>
      <c r="Q91" s="8">
        <v>6.91</v>
      </c>
      <c r="R91" s="8">
        <v>3.15</v>
      </c>
      <c r="S91" s="8">
        <v>1.81</v>
      </c>
      <c r="T91" s="8">
        <v>5.77</v>
      </c>
      <c r="U91" s="8">
        <v>0.26</v>
      </c>
      <c r="V91" s="9">
        <v>40</v>
      </c>
      <c r="W91" s="9">
        <v>40</v>
      </c>
      <c r="X91" s="9">
        <v>2604.04</v>
      </c>
      <c r="Y91" s="8">
        <v>195.98199600000001</v>
      </c>
      <c r="Z91" s="9">
        <v>42.3</v>
      </c>
      <c r="AA91" s="9">
        <v>2604.04</v>
      </c>
      <c r="AB91" s="8">
        <v>7.85</v>
      </c>
      <c r="AC91" s="10">
        <v>0</v>
      </c>
      <c r="AD91" s="8">
        <v>6.73</v>
      </c>
      <c r="AE91" s="8">
        <v>10.67</v>
      </c>
      <c r="AF91" s="8">
        <v>14</v>
      </c>
      <c r="AG91" s="7">
        <v>821732.18400000001</v>
      </c>
      <c r="AH91" s="8">
        <v>93005.639999999985</v>
      </c>
      <c r="AI91" s="8">
        <v>157380.13200000004</v>
      </c>
      <c r="AJ91" s="8">
        <v>244914.85200000001</v>
      </c>
      <c r="AK91" s="8">
        <v>126013.524</v>
      </c>
      <c r="AL91" s="8">
        <v>57444.66</v>
      </c>
      <c r="AM91" s="8">
        <v>33007.884000000005</v>
      </c>
      <c r="AN91" s="8">
        <v>105224.02799999999</v>
      </c>
      <c r="AO91" s="8">
        <v>4741.4639999999999</v>
      </c>
      <c r="AQ91" s="104">
        <v>48.44</v>
      </c>
      <c r="AR91" s="375">
        <v>18.489999999999998</v>
      </c>
      <c r="AS91" s="376"/>
      <c r="AT91" s="104">
        <v>6.67</v>
      </c>
      <c r="AU91" s="104">
        <v>1.53</v>
      </c>
      <c r="AV91" s="104">
        <v>0.32</v>
      </c>
      <c r="AW91" s="104">
        <v>0.87</v>
      </c>
      <c r="AX91" s="104">
        <v>5.01</v>
      </c>
      <c r="AY91" s="104">
        <v>4.99</v>
      </c>
      <c r="AZ91" s="104">
        <v>2.7</v>
      </c>
      <c r="BA91" s="104">
        <v>6.46</v>
      </c>
      <c r="BB91" s="104">
        <v>0.47</v>
      </c>
      <c r="BC91" s="101">
        <v>0.93</v>
      </c>
      <c r="BD91" s="104">
        <v>54.88252</v>
      </c>
      <c r="BE91" s="375">
        <v>20.949169999999999</v>
      </c>
      <c r="BF91" s="376">
        <v>0</v>
      </c>
      <c r="BG91" s="104">
        <v>7.5571100000000007</v>
      </c>
      <c r="BH91" s="104">
        <v>1.7334900000000002</v>
      </c>
      <c r="BI91" s="104">
        <v>0.36256000000000005</v>
      </c>
      <c r="BJ91" s="104">
        <v>0.98571000000000009</v>
      </c>
      <c r="BK91" s="104">
        <v>5.6763300000000001</v>
      </c>
      <c r="BL91" s="104">
        <v>5.65367</v>
      </c>
      <c r="BM91" s="104">
        <v>3.0591000000000004</v>
      </c>
      <c r="BN91" s="104">
        <v>7.3191800000000002</v>
      </c>
      <c r="BO91" s="104">
        <v>0.53250999999999993</v>
      </c>
      <c r="BP91" s="101">
        <v>1.05369</v>
      </c>
      <c r="BQ91" s="103">
        <v>1962556.3848799998</v>
      </c>
      <c r="BR91" s="371">
        <v>749126.08497999993</v>
      </c>
      <c r="BS91" s="371">
        <v>0</v>
      </c>
      <c r="BT91" s="103">
        <v>270236.39734000002</v>
      </c>
      <c r="BU91" s="103">
        <v>61988.259060000004</v>
      </c>
      <c r="BV91" s="103">
        <v>12964.86464</v>
      </c>
      <c r="BW91" s="103">
        <v>35248.225740000002</v>
      </c>
      <c r="BX91" s="103">
        <v>202981.16201999999</v>
      </c>
      <c r="BY91" s="103">
        <v>202170.85798</v>
      </c>
      <c r="BZ91" s="103">
        <v>109391.04540000002</v>
      </c>
      <c r="CA91" s="103">
        <v>261728.20492000002</v>
      </c>
      <c r="CB91" s="103">
        <v>19042.144939999995</v>
      </c>
      <c r="CC91" s="103">
        <v>37679.137859999995</v>
      </c>
      <c r="CD91" s="1">
        <v>1</v>
      </c>
      <c r="CF91" s="277">
        <f>SUMIF(Оборот!$A:$A,$B:$B,Оборот!H:H)</f>
        <v>1684557.0800000003</v>
      </c>
      <c r="CG91" s="277">
        <f>SUMIF(Оборот!$A:$A,$B:$B,Оборот!I:I)</f>
        <v>1767050.45</v>
      </c>
      <c r="CH91" s="277">
        <f t="shared" si="12"/>
        <v>1080346.5589819853</v>
      </c>
      <c r="CI91" s="239">
        <f t="shared" si="16"/>
        <v>26732.54076892776</v>
      </c>
      <c r="CJ91" s="276">
        <f>SUMIF('20Ф'!$H:$H,$B:$B,'20Ф'!M:M)*1.2</f>
        <v>0</v>
      </c>
      <c r="CK91" s="276">
        <f>SUMIF('20Ф'!$H:$H,$B:$B,'20Ф'!O:O)*1.2</f>
        <v>0</v>
      </c>
      <c r="CL91" s="276">
        <f>SUMIF('20Ф'!$H:$H,$B:$B,'20Ф'!Q:Q)*1.2</f>
        <v>0</v>
      </c>
      <c r="CM91" s="276">
        <f>SUMIF('20Ф'!$H:$H,$B:$B,'20Ф'!R:R)*1.2</f>
        <v>0</v>
      </c>
      <c r="CN91" s="276">
        <f>SUMIF('20Ф'!$H:$H,$B:$B,'20Ф'!S:S)*1.2</f>
        <v>0</v>
      </c>
      <c r="CO91" s="276">
        <f>SUMIF('20Ф'!$H:$H,$B:$B,'20Ф'!W:W)*1.2</f>
        <v>0</v>
      </c>
      <c r="CP91" s="276">
        <f>SUMIF('20Ф'!$H:$H,$B:$B,'20Ф'!P:P)*1.2</f>
        <v>0</v>
      </c>
      <c r="CQ91" s="276">
        <f>SUMIF('20Ф'!$H:$H,$B:$B,'20Ф'!Y:Y)*1.2</f>
        <v>0</v>
      </c>
      <c r="CR91" s="276">
        <f>SUMIF('20Ф'!$H:$H,$B:$B,'20Ф'!Z:Z)*1.2</f>
        <v>0</v>
      </c>
      <c r="CS91" s="276">
        <f>SUMIF('20Ф'!$H:$H,$B:$B,'20Ф'!AB:AB)*1.2</f>
        <v>0</v>
      </c>
      <c r="CT91" s="276">
        <f>SUMIF('20Ф'!$H:$H,$B:$B,'20Ф'!AC:AC)*1.2</f>
        <v>0</v>
      </c>
      <c r="CU91" s="276">
        <f>SUMIF('20Ф'!$H:$H,$B:$B,'20Ф'!AD:AD)*1.2</f>
        <v>0</v>
      </c>
      <c r="CV91" s="276">
        <f>SUMIF('20Ф'!$H:$H,$B:$B,'20Ф'!AE:AE)*1.2</f>
        <v>0</v>
      </c>
      <c r="CW91" s="276">
        <f>SUMIF('20Ф'!$H:$H,$B:$B,'20Ф'!AF:AF)*1.2</f>
        <v>0</v>
      </c>
      <c r="CX91" s="276">
        <f>SUMIF('20Ф'!$H:$H,$B:$B,'20Ф'!AG:AG)*1.2</f>
        <v>0</v>
      </c>
      <c r="CY91" s="276">
        <f>SUMIF('20Ф'!$H:$H,$B:$B,'20Ф'!AH:AH)*1.2</f>
        <v>0</v>
      </c>
      <c r="CZ91" s="276">
        <f>SUMIF('20Ф'!$H:$H,$B:$B,'20Ф'!AI:AI)*1.2</f>
        <v>0</v>
      </c>
      <c r="DA91" s="276">
        <f>SUMIF('20Ф'!$H:$H,$B:$B,'20Ф'!AJ:AJ)*1.2</f>
        <v>0</v>
      </c>
      <c r="DB91" s="276">
        <f>SUMIF('20Ф'!$H:$H,$B:$B,'20Ф'!AK:AK)*1.2</f>
        <v>0</v>
      </c>
      <c r="DC91" s="276">
        <f>SUMIF('20Ф'!$H:$H,$B:$B,'20Ф'!AL:AL)*1.2</f>
        <v>0</v>
      </c>
      <c r="DD91" s="276">
        <f>SUMIF('20Ф'!$H:$H,$B:$B,'20Ф'!AM:AM)*1.2</f>
        <v>0</v>
      </c>
      <c r="DE91" s="276">
        <f>SUMIF('20Ф'!$H:$H,$B:$B,'20Ф'!AN:AN)*1.2</f>
        <v>0</v>
      </c>
      <c r="DF91" s="276">
        <f>SUMIF('20Ф'!$H:$H,$B:$B,'20Ф'!AO:AO)*1.2</f>
        <v>0</v>
      </c>
      <c r="DG91" s="276">
        <f>SUMIF('20Ф'!$H:$H,$B:$B,'20Ф'!AP:AP)*1.2</f>
        <v>0</v>
      </c>
      <c r="DH91" s="276">
        <f>SUMIF('20Ф'!$H:$H,$B:$B,'20Ф'!AQ:AQ)*1.2</f>
        <v>0</v>
      </c>
      <c r="DI91" s="276">
        <f>SUMIF('20Ф'!$H:$H,$B:$B,'20Ф'!BA:BA)*1.2</f>
        <v>0</v>
      </c>
      <c r="DJ91" s="276">
        <f>SUMIF('20Ф'!$H:$H,$B:$B,'20Ф'!BB:BB)*1.2</f>
        <v>0</v>
      </c>
      <c r="DK91" s="276">
        <f>SUMIF('20Ф'!$H:$H,$B:$B,'20Ф'!BC:BC)*1.2</f>
        <v>0</v>
      </c>
      <c r="DL91" s="276">
        <f>$D91/$D$281*'20Ф'!$H$218</f>
        <v>26732.54076892776</v>
      </c>
      <c r="DM91" s="240">
        <f t="shared" si="13"/>
        <v>265164.27896839328</v>
      </c>
      <c r="DN91" s="276">
        <f>SUMIF('20Ф'!$H:$H,$B:$B,'20Ф'!AV:AV)*1.2</f>
        <v>0</v>
      </c>
      <c r="DO91" s="276">
        <f>SUMIF('20Ф'!$H:$H,$B:$B,'20Ф'!AW:AW)*1.2+$D91/$D$281*'26Ф'!$D$42</f>
        <v>14225.67441057376</v>
      </c>
      <c r="DP91" s="276">
        <f>SUMIF('20Ф'!$H:$H,$B:$B,'20Ф'!AX:AX)*1.2</f>
        <v>0</v>
      </c>
      <c r="DQ91" s="276">
        <f>SUMIF('20Ф'!$H:$H,$B:$B,'20Ф'!AY:AY)*1.2</f>
        <v>0</v>
      </c>
      <c r="DR91" s="276">
        <f>SUMIF('20Ф'!$H:$H,$B:$B,'20Ф'!AU:AU)*1.2</f>
        <v>0</v>
      </c>
      <c r="DS91" s="276">
        <f>SUMIF('20Ф'!$H:$H,$B:$B,'20Ф'!AS:AS)*1.2</f>
        <v>0</v>
      </c>
      <c r="DT91" s="276">
        <f>SUMIF('20Ф'!$H:$H,$B:$B,'20Ф'!AR:AR)*1.2</f>
        <v>0</v>
      </c>
      <c r="DU91" s="276">
        <f>SUMIF('20Ф'!$H:$H,$B:$B,'20Ф'!X:X)*1.2</f>
        <v>0</v>
      </c>
      <c r="DV91" s="276">
        <f>SUMIF('20Ф'!$H:$H,$B:$B,'20Ф'!AA:AA)*1.2</f>
        <v>0</v>
      </c>
      <c r="DW91" s="276">
        <f>SUMIF('20Ф'!$H:$H,$B:$B,'20Ф'!N:N)*1.2</f>
        <v>0</v>
      </c>
      <c r="DX91" s="276">
        <f>$D91/$D$281*('25Ф'!$D$37)</f>
        <v>239115.79018970195</v>
      </c>
      <c r="DY91" s="276">
        <f>$D91/$D$281*'25Ф'!$D$30</f>
        <v>7631.8253955798955</v>
      </c>
      <c r="DZ91" s="276">
        <f>$D91/$D$281*'25Ф'!$D$31</f>
        <v>4190.9889725377052</v>
      </c>
      <c r="EA91" s="276"/>
      <c r="EB91" s="276">
        <f t="shared" si="14"/>
        <v>150646.70075588409</v>
      </c>
      <c r="EC91" s="276">
        <f>$D91/$D$281*'26Ф'!$D$36</f>
        <v>78416.459284482917</v>
      </c>
      <c r="ED91" s="276">
        <f>$D91/$D$281*'26Ф'!$D$37</f>
        <v>9421.6538326194241</v>
      </c>
      <c r="EE91" s="276">
        <f>$D91/$D$281*'26Ф'!$D$38</f>
        <v>9518.2821637093693</v>
      </c>
      <c r="EF91" s="276">
        <f>$D91/$D$281*'26Ф'!$D$39</f>
        <v>6677.0662507307088</v>
      </c>
      <c r="EG91" s="276">
        <f>$D91/$D$281*'91Ф'!$D$10</f>
        <v>2059.8721613957987</v>
      </c>
      <c r="EH91" s="276">
        <f>$D91/$D$281*('20Ф'!$I$509+'26Ф'!$D$41+'20Ф'!$I$507)</f>
        <v>14572.917258079182</v>
      </c>
      <c r="EI91" s="276">
        <f>$D91/$D$281*'91Ф'!$D$31</f>
        <v>26714.297799785254</v>
      </c>
      <c r="EJ91" s="276">
        <f>$D91/$D$281*'20Ф'!$I$1316</f>
        <v>3266.1520050814165</v>
      </c>
      <c r="EK91" s="276">
        <f>$D91/$D$281*('20Ф'!$I$1105+'20Ф'!$I$1282+'91Ф'!$D$17+'91Ф'!$D$41)</f>
        <v>107264.07066730619</v>
      </c>
      <c r="EL91" s="276">
        <f>$D91/$D$281*отчёт!BX$294</f>
        <v>179312.81316736576</v>
      </c>
      <c r="EM91" s="276">
        <f>$D91/$D$281*отчёт!BY$294</f>
        <v>157695.99402037368</v>
      </c>
      <c r="EN91" s="276">
        <f>$D91/$D$283*отчёт!BZ$294</f>
        <v>28301.501443075242</v>
      </c>
      <c r="EO91" s="240">
        <f t="shared" si="21"/>
        <v>88931.70475049899</v>
      </c>
      <c r="EP91" s="276">
        <f>SUMIF('20Ф'!$H:$H,$B:$B,'20Ф'!T:T)*1.2</f>
        <v>0</v>
      </c>
      <c r="EQ91" s="276">
        <f>SUM(H91:I91)/SUM($H$284:$I$284)*SUM('60Ф'!$O$155:$P$155)</f>
        <v>86255.130878243508</v>
      </c>
      <c r="ER91" s="276">
        <f>SUM($H91:$I91)/SUM($H$284:$I$284)*SUM('60Ф'!$P$227)</f>
        <v>2676.5738722554888</v>
      </c>
      <c r="ES91" s="239">
        <f t="shared" si="17"/>
        <v>60016.066861310675</v>
      </c>
      <c r="ET91" s="276">
        <f>$D91/$D$282*'20Ф'!$I$381</f>
        <v>4587.0854929738707</v>
      </c>
      <c r="EU91" s="276">
        <f>$D91/$D$282*('20Ф'!$I$75+'20Ф'!$I$1098)*1.2</f>
        <v>52982.873776818342</v>
      </c>
      <c r="EV91" s="276">
        <f>$D91/$D$282*('20Ф'!$I$1286)</f>
        <v>2446.107591518461</v>
      </c>
      <c r="EW91" s="276">
        <f>SUMIF('91.1Ф'!$N:$N,$B:$B,'91.1Ф'!$F:$F)+$D91/$D$281*('91Ф'!$D$12+'91Ф'!$D$11+'91Ф'!$D$19+'91Ф'!$D$20)</f>
        <v>14136.880227982094</v>
      </c>
      <c r="EX91" s="276">
        <f t="shared" si="15"/>
        <v>2144.0073508676192</v>
      </c>
      <c r="EY91" s="276">
        <f>SUMIF('20Ф'!$H:$H,$B:$B,'20Ф'!$AY:$AY)*1.2</f>
        <v>0</v>
      </c>
      <c r="EZ91" s="295">
        <f>D91/$D$286*'20Ф'!$I$1163</f>
        <v>2144.0073508676192</v>
      </c>
      <c r="FA91" s="277">
        <f>SUMIF(отчёт!$B:$B,$B:$B,отчёт!$CU:$CU)/отчёт!$CU$281*'20Ф'!$I$1341</f>
        <v>920.96385542168503</v>
      </c>
      <c r="FB91" s="276">
        <f>SUMIF(Сальдо!$A:$A,$B:$B,Сальдо!$H:$H)-SUMIF(Сальдо!$A:$A,$B:$B,Сальдо!$I:$I)</f>
        <v>329746.11</v>
      </c>
    </row>
    <row r="92" spans="1:158" ht="12" customHeight="1" x14ac:dyDescent="0.25">
      <c r="A92" s="3">
        <f t="shared" si="18"/>
        <v>88</v>
      </c>
      <c r="B92" s="4" t="s">
        <v>138</v>
      </c>
      <c r="C92" s="4" t="s">
        <v>138</v>
      </c>
      <c r="D92" s="5">
        <v>8990.7000000000007</v>
      </c>
      <c r="E92" s="6">
        <v>8990.7000000000007</v>
      </c>
      <c r="F92" s="6">
        <v>0</v>
      </c>
      <c r="G92" s="6">
        <v>835.8</v>
      </c>
      <c r="H92" s="5">
        <f>SUMIF(отчёт!$B:$B,$B:$B,отчёт!I:I)</f>
        <v>6</v>
      </c>
      <c r="I92" s="5">
        <f>SUMIF(отчёт!$B:$B,$B:$B,отчёт!J:J)</f>
        <v>0</v>
      </c>
      <c r="J92" s="3" t="s">
        <v>111</v>
      </c>
      <c r="K92" s="105">
        <v>3</v>
      </c>
      <c r="L92" s="105" t="s">
        <v>52</v>
      </c>
      <c r="M92" s="7">
        <v>45.06</v>
      </c>
      <c r="N92" s="8">
        <v>5.0999999999999996</v>
      </c>
      <c r="O92" s="8">
        <v>8.6300000000000008</v>
      </c>
      <c r="P92" s="8">
        <v>13.43</v>
      </c>
      <c r="Q92" s="8">
        <v>6.91</v>
      </c>
      <c r="R92" s="8">
        <v>3.15</v>
      </c>
      <c r="S92" s="8">
        <v>1.81</v>
      </c>
      <c r="T92" s="8">
        <v>5.77</v>
      </c>
      <c r="U92" s="8">
        <v>0.26</v>
      </c>
      <c r="V92" s="9">
        <v>40</v>
      </c>
      <c r="W92" s="9">
        <v>40</v>
      </c>
      <c r="X92" s="9">
        <v>2604.04</v>
      </c>
      <c r="Y92" s="8">
        <v>195.98199600000001</v>
      </c>
      <c r="Z92" s="9">
        <v>42.3</v>
      </c>
      <c r="AA92" s="9">
        <v>2604.04</v>
      </c>
      <c r="AB92" s="8">
        <v>7.85</v>
      </c>
      <c r="AC92" s="10">
        <v>0</v>
      </c>
      <c r="AD92" s="8">
        <v>6.73</v>
      </c>
      <c r="AE92" s="8">
        <v>10.67</v>
      </c>
      <c r="AF92" s="8">
        <v>14</v>
      </c>
      <c r="AG92" s="7">
        <v>2430725.6520000002</v>
      </c>
      <c r="AH92" s="8">
        <v>275115.42</v>
      </c>
      <c r="AI92" s="8">
        <v>465538.44600000005</v>
      </c>
      <c r="AJ92" s="8">
        <v>724470.60600000003</v>
      </c>
      <c r="AK92" s="8">
        <v>372754.42200000002</v>
      </c>
      <c r="AL92" s="8">
        <v>169924.23</v>
      </c>
      <c r="AM92" s="8">
        <v>97639.002000000008</v>
      </c>
      <c r="AN92" s="8">
        <v>311258.03399999999</v>
      </c>
      <c r="AO92" s="8">
        <v>14025.492000000002</v>
      </c>
      <c r="AQ92" s="104">
        <v>48.44</v>
      </c>
      <c r="AR92" s="375">
        <v>18.489999999999998</v>
      </c>
      <c r="AS92" s="376"/>
      <c r="AT92" s="104">
        <v>6.67</v>
      </c>
      <c r="AU92" s="104">
        <v>1.53</v>
      </c>
      <c r="AV92" s="104">
        <v>0.32</v>
      </c>
      <c r="AW92" s="104">
        <v>0.87</v>
      </c>
      <c r="AX92" s="104">
        <v>5.01</v>
      </c>
      <c r="AY92" s="104">
        <v>4.99</v>
      </c>
      <c r="AZ92" s="104">
        <v>2.7</v>
      </c>
      <c r="BA92" s="104">
        <v>6.46</v>
      </c>
      <c r="BB92" s="104">
        <v>0.47</v>
      </c>
      <c r="BC92" s="101">
        <v>0.93</v>
      </c>
      <c r="BD92" s="104">
        <v>54.88252</v>
      </c>
      <c r="BE92" s="375">
        <v>20.949169999999999</v>
      </c>
      <c r="BF92" s="376">
        <v>0</v>
      </c>
      <c r="BG92" s="104">
        <v>7.5571100000000007</v>
      </c>
      <c r="BH92" s="104">
        <v>1.7334900000000002</v>
      </c>
      <c r="BI92" s="104">
        <v>0.36256000000000005</v>
      </c>
      <c r="BJ92" s="104">
        <v>0.98571000000000009</v>
      </c>
      <c r="BK92" s="104">
        <v>5.6763300000000001</v>
      </c>
      <c r="BL92" s="104">
        <v>5.65367</v>
      </c>
      <c r="BM92" s="104">
        <v>3.0591000000000004</v>
      </c>
      <c r="BN92" s="104">
        <v>7.3191800000000002</v>
      </c>
      <c r="BO92" s="104">
        <v>0.53250999999999993</v>
      </c>
      <c r="BP92" s="101">
        <v>1.05369</v>
      </c>
      <c r="BQ92" s="103">
        <v>5805341.7416400015</v>
      </c>
      <c r="BR92" s="371">
        <v>2215953.1131899999</v>
      </c>
      <c r="BS92" s="371">
        <v>0</v>
      </c>
      <c r="BT92" s="103">
        <v>799373.02677000011</v>
      </c>
      <c r="BU92" s="103">
        <v>183364.42743000001</v>
      </c>
      <c r="BV92" s="103">
        <v>38350.729920000005</v>
      </c>
      <c r="BW92" s="103">
        <v>104266.04697000002</v>
      </c>
      <c r="BX92" s="103">
        <v>600428.61531000002</v>
      </c>
      <c r="BY92" s="103">
        <v>598031.69469000003</v>
      </c>
      <c r="BZ92" s="103">
        <v>323584.28370000009</v>
      </c>
      <c r="CA92" s="103">
        <v>774205.3602600001</v>
      </c>
      <c r="CB92" s="103">
        <v>56327.634569999995</v>
      </c>
      <c r="CC92" s="103">
        <v>111456.80882999999</v>
      </c>
      <c r="CD92" s="1">
        <v>1</v>
      </c>
      <c r="CF92" s="277">
        <f>SUMIF(Оборот!$A:$A,$B:$B,Оборот!H:H)</f>
        <v>4983337.96</v>
      </c>
      <c r="CG92" s="277">
        <f>SUMIF(Оборот!$A:$A,$B:$B,Оборот!I:I)</f>
        <v>5042370.0399999991</v>
      </c>
      <c r="CH92" s="277">
        <f t="shared" si="12"/>
        <v>3740226.9691735948</v>
      </c>
      <c r="CI92" s="239">
        <f t="shared" si="16"/>
        <v>94709.157112324421</v>
      </c>
      <c r="CJ92" s="276">
        <f>SUMIF('20Ф'!$H:$H,$B:$B,'20Ф'!M:M)*1.2</f>
        <v>0</v>
      </c>
      <c r="CK92" s="276">
        <f>SUMIF('20Ф'!$H:$H,$B:$B,'20Ф'!O:O)*1.2</f>
        <v>0</v>
      </c>
      <c r="CL92" s="276">
        <f>SUMIF('20Ф'!$H:$H,$B:$B,'20Ф'!Q:Q)*1.2</f>
        <v>0</v>
      </c>
      <c r="CM92" s="276">
        <f>SUMIF('20Ф'!$H:$H,$B:$B,'20Ф'!R:R)*1.2</f>
        <v>0</v>
      </c>
      <c r="CN92" s="276">
        <f>SUMIF('20Ф'!$H:$H,$B:$B,'20Ф'!S:S)*1.2</f>
        <v>0</v>
      </c>
      <c r="CO92" s="276">
        <f>SUMIF('20Ф'!$H:$H,$B:$B,'20Ф'!W:W)*1.2</f>
        <v>0</v>
      </c>
      <c r="CP92" s="276">
        <f>SUMIF('20Ф'!$H:$H,$B:$B,'20Ф'!P:P)*1.2</f>
        <v>0</v>
      </c>
      <c r="CQ92" s="276">
        <f>SUMIF('20Ф'!$H:$H,$B:$B,'20Ф'!Y:Y)*1.2</f>
        <v>0</v>
      </c>
      <c r="CR92" s="276">
        <f>SUMIF('20Ф'!$H:$H,$B:$B,'20Ф'!Z:Z)*1.2</f>
        <v>0</v>
      </c>
      <c r="CS92" s="276">
        <f>SUMIF('20Ф'!$H:$H,$B:$B,'20Ф'!AB:AB)*1.2</f>
        <v>0</v>
      </c>
      <c r="CT92" s="276">
        <f>SUMIF('20Ф'!$H:$H,$B:$B,'20Ф'!AC:AC)*1.2</f>
        <v>0</v>
      </c>
      <c r="CU92" s="276">
        <f>SUMIF('20Ф'!$H:$H,$B:$B,'20Ф'!AD:AD)*1.2</f>
        <v>0</v>
      </c>
      <c r="CV92" s="276">
        <f>SUMIF('20Ф'!$H:$H,$B:$B,'20Ф'!AE:AE)*1.2</f>
        <v>7079.3399999999992</v>
      </c>
      <c r="CW92" s="276">
        <f>SUMIF('20Ф'!$H:$H,$B:$B,'20Ф'!AF:AF)*1.2</f>
        <v>0</v>
      </c>
      <c r="CX92" s="276">
        <f>SUMIF('20Ф'!$H:$H,$B:$B,'20Ф'!AG:AG)*1.2</f>
        <v>0</v>
      </c>
      <c r="CY92" s="276">
        <f>SUMIF('20Ф'!$H:$H,$B:$B,'20Ф'!AH:AH)*1.2</f>
        <v>0</v>
      </c>
      <c r="CZ92" s="276">
        <f>SUMIF('20Ф'!$H:$H,$B:$B,'20Ф'!AI:AI)*1.2</f>
        <v>0</v>
      </c>
      <c r="DA92" s="276">
        <f>SUMIF('20Ф'!$H:$H,$B:$B,'20Ф'!AJ:AJ)*1.2</f>
        <v>0</v>
      </c>
      <c r="DB92" s="276">
        <f>SUMIF('20Ф'!$H:$H,$B:$B,'20Ф'!AK:AK)*1.2</f>
        <v>0</v>
      </c>
      <c r="DC92" s="276">
        <f>SUMIF('20Ф'!$H:$H,$B:$B,'20Ф'!AL:AL)*1.2</f>
        <v>0</v>
      </c>
      <c r="DD92" s="276">
        <f>SUMIF('20Ф'!$H:$H,$B:$B,'20Ф'!AM:AM)*1.2</f>
        <v>0</v>
      </c>
      <c r="DE92" s="276">
        <f>SUMIF('20Ф'!$H:$H,$B:$B,'20Ф'!AN:AN)*1.2</f>
        <v>0</v>
      </c>
      <c r="DF92" s="276">
        <f>SUMIF('20Ф'!$H:$H,$B:$B,'20Ф'!AO:AO)*1.2</f>
        <v>0</v>
      </c>
      <c r="DG92" s="276">
        <f>SUMIF('20Ф'!$H:$H,$B:$B,'20Ф'!AP:AP)*1.2</f>
        <v>0</v>
      </c>
      <c r="DH92" s="276">
        <f>SUMIF('20Ф'!$H:$H,$B:$B,'20Ф'!AQ:AQ)*1.2</f>
        <v>0</v>
      </c>
      <c r="DI92" s="276">
        <f>SUMIF('20Ф'!$H:$H,$B:$B,'20Ф'!BA:BA)*1.2</f>
        <v>0</v>
      </c>
      <c r="DJ92" s="276">
        <f>SUMIF('20Ф'!$H:$H,$B:$B,'20Ф'!BB:BB)*1.2</f>
        <v>8553.6</v>
      </c>
      <c r="DK92" s="276">
        <f>SUMIF('20Ф'!$H:$H,$B:$B,'20Ф'!BC:BC)*1.2</f>
        <v>0</v>
      </c>
      <c r="DL92" s="276">
        <f>$D92/$D$281*'20Ф'!$H$218</f>
        <v>79076.217112324419</v>
      </c>
      <c r="DM92" s="240">
        <f t="shared" si="13"/>
        <v>922419.77029819496</v>
      </c>
      <c r="DN92" s="276">
        <f>SUMIF('20Ф'!$H:$H,$B:$B,'20Ф'!AV:AV)*1.2</f>
        <v>0</v>
      </c>
      <c r="DO92" s="276">
        <f>SUMIF('20Ф'!$H:$H,$B:$B,'20Ф'!AW:AW)*1.2+$D92/$D$281*'26Ф'!$D$42</f>
        <v>42080.269435791772</v>
      </c>
      <c r="DP92" s="276">
        <f>SUMIF('20Ф'!$H:$H,$B:$B,'20Ф'!AX:AX)*1.2</f>
        <v>0</v>
      </c>
      <c r="DQ92" s="276">
        <f>SUMIF('20Ф'!$H:$H,$B:$B,'20Ф'!AY:AY)*1.2</f>
        <v>89721</v>
      </c>
      <c r="DR92" s="276">
        <f>SUMIF('20Ф'!$H:$H,$B:$B,'20Ф'!AU:AU)*1.2</f>
        <v>0</v>
      </c>
      <c r="DS92" s="276">
        <f>SUMIF('20Ф'!$H:$H,$B:$B,'20Ф'!AS:AS)*1.2</f>
        <v>48329.328000000001</v>
      </c>
      <c r="DT92" s="276">
        <f>SUMIF('20Ф'!$H:$H,$B:$B,'20Ф'!AR:AR)*1.2</f>
        <v>0</v>
      </c>
      <c r="DU92" s="276">
        <f>SUMIF('20Ф'!$H:$H,$B:$B,'20Ф'!X:X)*1.2</f>
        <v>0</v>
      </c>
      <c r="DV92" s="276">
        <f>SUMIF('20Ф'!$H:$H,$B:$B,'20Ф'!AA:AA)*1.2</f>
        <v>0</v>
      </c>
      <c r="DW92" s="276">
        <f>SUMIF('20Ф'!$H:$H,$B:$B,'20Ф'!N:N)*1.2</f>
        <v>0</v>
      </c>
      <c r="DX92" s="276">
        <f>$D92/$D$281*('25Ф'!$D$37)</f>
        <v>707316.68581251346</v>
      </c>
      <c r="DY92" s="276">
        <f>$D92/$D$281*'25Ф'!$D$30</f>
        <v>22575.328217424547</v>
      </c>
      <c r="DZ92" s="276">
        <f>$D92/$D$281*'25Ф'!$D$31</f>
        <v>12397.158832465206</v>
      </c>
      <c r="EA92" s="276"/>
      <c r="EB92" s="276">
        <f t="shared" si="14"/>
        <v>445620.61343881267</v>
      </c>
      <c r="EC92" s="276">
        <f>$D92/$D$281*'26Ф'!$D$36</f>
        <v>231959.88040040818</v>
      </c>
      <c r="ED92" s="276">
        <f>$D92/$D$281*'26Ф'!$D$37</f>
        <v>27869.731892127213</v>
      </c>
      <c r="EE92" s="276">
        <f>$D92/$D$281*'26Ф'!$D$38</f>
        <v>28155.563416878933</v>
      </c>
      <c r="EF92" s="276">
        <f>$D92/$D$281*'26Ф'!$D$39</f>
        <v>19751.102040022564</v>
      </c>
      <c r="EG92" s="276">
        <f>$D92/$D$281*'91Ф'!$D$10</f>
        <v>6093.2067649737464</v>
      </c>
      <c r="EH92" s="276">
        <f>$D92/$D$281*('20Ф'!$I$509+'26Ф'!$D$41+'20Ф'!$I$507)</f>
        <v>43107.431464174675</v>
      </c>
      <c r="EI92" s="276">
        <f>$D92/$D$281*'91Ф'!$D$31</f>
        <v>79022.253480466301</v>
      </c>
      <c r="EJ92" s="276">
        <f>$D92/$D$281*'20Ф'!$I$1316</f>
        <v>9661.4439797609703</v>
      </c>
      <c r="EK92" s="276">
        <f>$D92/$D$281*('20Ф'!$I$1105+'20Ф'!$I$1282+'91Ф'!$D$17+'91Ф'!$D$41)</f>
        <v>317292.58411151863</v>
      </c>
      <c r="EL92" s="276">
        <f>$D92/$D$281*отчёт!BX$294</f>
        <v>530416.43394875154</v>
      </c>
      <c r="EM92" s="276">
        <f>$D92/$D$281*отчёт!BY$294</f>
        <v>466472.78194346698</v>
      </c>
      <c r="EN92" s="276">
        <f>$D92/$D$283*отчёт!BZ$294</f>
        <v>83717.282695353235</v>
      </c>
      <c r="EO92" s="240">
        <f t="shared" si="21"/>
        <v>549167.06850299402</v>
      </c>
      <c r="EP92" s="276">
        <f>SUMIF('20Ф'!$H:$H,$B:$B,'20Ф'!T:T)*1.2</f>
        <v>15576.84</v>
      </c>
      <c r="EQ92" s="276">
        <f>SUM(H92:I92)/SUM($H$284:$I$284)*SUM('60Ф'!$O$155:$P$155)</f>
        <v>517530.78526946111</v>
      </c>
      <c r="ER92" s="276">
        <f>SUM($H92:$I92)/SUM($H$284:$I$284)*SUM('60Ф'!$P$227)</f>
        <v>16059.443233532935</v>
      </c>
      <c r="ES92" s="239">
        <f t="shared" si="17"/>
        <v>177530.58246034934</v>
      </c>
      <c r="ET92" s="276">
        <f>$D92/$D$282*'20Ф'!$I$381</f>
        <v>13568.832513548785</v>
      </c>
      <c r="EU92" s="276">
        <f>$D92/$D$282*('20Ф'!$I$75+'20Ф'!$I$1098)*1.2</f>
        <v>156726.0391081268</v>
      </c>
      <c r="EV92" s="276">
        <f>$D92/$D$282*('20Ф'!$I$1286)</f>
        <v>7235.7108386737591</v>
      </c>
      <c r="EW92" s="276">
        <f>SUMIF('91.1Ф'!$N:$N,$B:$B,'91.1Ф'!$F:$F)+$D92/$D$281*('91Ф'!$D$12+'91Ф'!$D$11+'91Ф'!$D$19+'91Ф'!$D$20)</f>
        <v>56817.6117212998</v>
      </c>
      <c r="EX92" s="276">
        <f t="shared" si="15"/>
        <v>96063.082940529552</v>
      </c>
      <c r="EY92" s="276">
        <f>SUMIF('20Ф'!$H:$H,$B:$B,'20Ф'!$AY:$AY)*1.2</f>
        <v>89721</v>
      </c>
      <c r="EZ92" s="295">
        <f>D92/$D$286*'20Ф'!$I$1163</f>
        <v>6342.0829405295472</v>
      </c>
      <c r="FA92" s="277">
        <f>SUMIF(отчёт!$B:$B,$B:$B,отчёт!$CU:$CU)/отчёт!$CU$281*'20Ф'!$I$1341</f>
        <v>5525.7831325301113</v>
      </c>
      <c r="FB92" s="276">
        <f>SUMIF(Сальдо!$A:$A,$B:$B,Сальдо!$H:$H)-SUMIF(Сальдо!$A:$A,$B:$B,Сальдо!$I:$I)</f>
        <v>1154148.1499999999</v>
      </c>
    </row>
    <row r="93" spans="1:158" ht="12" customHeight="1" x14ac:dyDescent="0.25">
      <c r="A93" s="3">
        <f t="shared" si="18"/>
        <v>89</v>
      </c>
      <c r="B93" s="4" t="s">
        <v>139</v>
      </c>
      <c r="C93" s="4" t="s">
        <v>139</v>
      </c>
      <c r="D93" s="5">
        <v>3242.2</v>
      </c>
      <c r="E93" s="6">
        <v>2712.7</v>
      </c>
      <c r="F93" s="6">
        <v>529.5</v>
      </c>
      <c r="G93" s="6">
        <v>305.5</v>
      </c>
      <c r="H93" s="5">
        <f>SUMIF(отчёт!$B:$B,$B:$B,отчёт!I:I)</f>
        <v>0</v>
      </c>
      <c r="I93" s="5">
        <f>SUMIF(отчёт!$B:$B,$B:$B,отчёт!J:J)</f>
        <v>0</v>
      </c>
      <c r="J93" s="3" t="s">
        <v>111</v>
      </c>
      <c r="K93" s="105">
        <v>7</v>
      </c>
      <c r="L93" s="105" t="s">
        <v>52</v>
      </c>
      <c r="M93" s="7">
        <v>31</v>
      </c>
      <c r="N93" s="8">
        <v>5.0999999999999996</v>
      </c>
      <c r="O93" s="8">
        <v>6.59</v>
      </c>
      <c r="P93" s="8">
        <v>8.98</v>
      </c>
      <c r="Q93" s="8">
        <v>6.92</v>
      </c>
      <c r="R93" s="8">
        <v>3.15</v>
      </c>
      <c r="S93" s="8">
        <v>0</v>
      </c>
      <c r="T93" s="8">
        <v>0</v>
      </c>
      <c r="U93" s="8">
        <v>0.26</v>
      </c>
      <c r="V93" s="9">
        <v>40</v>
      </c>
      <c r="W93" s="9">
        <v>40</v>
      </c>
      <c r="X93" s="9">
        <v>2604.04</v>
      </c>
      <c r="Y93" s="8">
        <v>195.98199600000001</v>
      </c>
      <c r="Z93" s="9">
        <v>42.3</v>
      </c>
      <c r="AA93" s="9">
        <v>2604.04</v>
      </c>
      <c r="AB93" s="8">
        <v>7.85</v>
      </c>
      <c r="AC93" s="10">
        <v>0</v>
      </c>
      <c r="AD93" s="8">
        <v>6.73</v>
      </c>
      <c r="AE93" s="8">
        <v>10.67</v>
      </c>
      <c r="AF93" s="8">
        <v>14</v>
      </c>
      <c r="AG93" s="7">
        <v>603049.19999999995</v>
      </c>
      <c r="AH93" s="8">
        <v>99211.319999999978</v>
      </c>
      <c r="AI93" s="8">
        <v>128196.58799999999</v>
      </c>
      <c r="AJ93" s="8">
        <v>174689.73599999998</v>
      </c>
      <c r="AK93" s="8">
        <v>134616.14399999997</v>
      </c>
      <c r="AL93" s="8">
        <v>61277.579999999987</v>
      </c>
      <c r="AM93" s="8">
        <v>0</v>
      </c>
      <c r="AN93" s="8">
        <v>0</v>
      </c>
      <c r="AO93" s="8">
        <v>5057.8320000000003</v>
      </c>
      <c r="AQ93" s="104">
        <v>33.17</v>
      </c>
      <c r="AR93" s="375">
        <v>13.89</v>
      </c>
      <c r="AS93" s="376"/>
      <c r="AT93" s="104">
        <v>5.9</v>
      </c>
      <c r="AU93" s="104">
        <v>1.53</v>
      </c>
      <c r="AV93" s="104">
        <v>0.32</v>
      </c>
      <c r="AW93" s="104">
        <v>0.6</v>
      </c>
      <c r="AX93" s="104">
        <v>5.01</v>
      </c>
      <c r="AY93" s="104">
        <v>4.99</v>
      </c>
      <c r="AZ93" s="104">
        <v>0</v>
      </c>
      <c r="BA93" s="104">
        <v>0</v>
      </c>
      <c r="BB93" s="104">
        <v>0</v>
      </c>
      <c r="BC93" s="101">
        <v>0.93</v>
      </c>
      <c r="BD93" s="104">
        <v>37.581610000000005</v>
      </c>
      <c r="BE93" s="375">
        <v>15.737370000000004</v>
      </c>
      <c r="BF93" s="376">
        <v>0</v>
      </c>
      <c r="BG93" s="104">
        <v>6.6847000000000012</v>
      </c>
      <c r="BH93" s="104">
        <v>1.7334900000000002</v>
      </c>
      <c r="BI93" s="104">
        <v>0.36256000000000005</v>
      </c>
      <c r="BJ93" s="104">
        <v>0.67980000000000007</v>
      </c>
      <c r="BK93" s="104">
        <v>5.6763300000000001</v>
      </c>
      <c r="BL93" s="104">
        <v>5.65367</v>
      </c>
      <c r="BM93" s="104">
        <v>0</v>
      </c>
      <c r="BN93" s="104">
        <v>0</v>
      </c>
      <c r="BO93" s="104">
        <v>0</v>
      </c>
      <c r="BP93" s="101">
        <v>1.0536900000000002</v>
      </c>
      <c r="BQ93" s="103">
        <v>1433558.5074200002</v>
      </c>
      <c r="BR93" s="371">
        <v>600305.32614000014</v>
      </c>
      <c r="BS93" s="371">
        <v>0</v>
      </c>
      <c r="BT93" s="103">
        <v>254989.3034</v>
      </c>
      <c r="BU93" s="103">
        <v>66124.344779999999</v>
      </c>
      <c r="BV93" s="103">
        <v>13829.928319999999</v>
      </c>
      <c r="BW93" s="103">
        <v>25931.115600000001</v>
      </c>
      <c r="BX93" s="103">
        <v>216524.81525999997</v>
      </c>
      <c r="BY93" s="103">
        <v>215660.44473999998</v>
      </c>
      <c r="BZ93" s="103">
        <v>0</v>
      </c>
      <c r="CA93" s="103">
        <v>0</v>
      </c>
      <c r="CB93" s="103">
        <v>0</v>
      </c>
      <c r="CC93" s="103">
        <v>40193.229180000002</v>
      </c>
      <c r="CD93" s="1">
        <v>1</v>
      </c>
      <c r="CF93" s="277">
        <f>SUMIF(Оборот!$A:$A,$B:$B,Оборот!H:H)</f>
        <v>1028172.0900000001</v>
      </c>
      <c r="CG93" s="277">
        <f>SUMIF(Оборот!$A:$A,$B:$B,Оборот!I:I)</f>
        <v>1123107.45</v>
      </c>
      <c r="CH93" s="277">
        <f t="shared" si="12"/>
        <v>1677717.7308393058</v>
      </c>
      <c r="CI93" s="239">
        <f t="shared" si="16"/>
        <v>298719.67067823175</v>
      </c>
      <c r="CJ93" s="276">
        <f>SUMIF('20Ф'!$H:$H,$B:$B,'20Ф'!M:M)*1.2</f>
        <v>270203.43599999999</v>
      </c>
      <c r="CK93" s="276">
        <f>SUMIF('20Ф'!$H:$H,$B:$B,'20Ф'!O:O)*1.2</f>
        <v>0</v>
      </c>
      <c r="CL93" s="276">
        <f>SUMIF('20Ф'!$H:$H,$B:$B,'20Ф'!Q:Q)*1.2</f>
        <v>0</v>
      </c>
      <c r="CM93" s="276">
        <f>SUMIF('20Ф'!$H:$H,$B:$B,'20Ф'!R:R)*1.2</f>
        <v>0</v>
      </c>
      <c r="CN93" s="276">
        <f>SUMIF('20Ф'!$H:$H,$B:$B,'20Ф'!S:S)*1.2</f>
        <v>0</v>
      </c>
      <c r="CO93" s="276">
        <f>SUMIF('20Ф'!$H:$H,$B:$B,'20Ф'!W:W)*1.2</f>
        <v>0</v>
      </c>
      <c r="CP93" s="276">
        <f>SUMIF('20Ф'!$H:$H,$B:$B,'20Ф'!P:P)*1.2</f>
        <v>0</v>
      </c>
      <c r="CQ93" s="276">
        <f>SUMIF('20Ф'!$H:$H,$B:$B,'20Ф'!Y:Y)*1.2</f>
        <v>0</v>
      </c>
      <c r="CR93" s="276">
        <f>SUMIF('20Ф'!$H:$H,$B:$B,'20Ф'!Z:Z)*1.2</f>
        <v>0</v>
      </c>
      <c r="CS93" s="276">
        <f>SUMIF('20Ф'!$H:$H,$B:$B,'20Ф'!AB:AB)*1.2</f>
        <v>0</v>
      </c>
      <c r="CT93" s="276">
        <f>SUMIF('20Ф'!$H:$H,$B:$B,'20Ф'!AC:AC)*1.2</f>
        <v>0</v>
      </c>
      <c r="CU93" s="276">
        <f>SUMIF('20Ф'!$H:$H,$B:$B,'20Ф'!AD:AD)*1.2</f>
        <v>0</v>
      </c>
      <c r="CV93" s="276">
        <f>SUMIF('20Ф'!$H:$H,$B:$B,'20Ф'!AE:AE)*1.2</f>
        <v>0</v>
      </c>
      <c r="CW93" s="276">
        <f>SUMIF('20Ф'!$H:$H,$B:$B,'20Ф'!AF:AF)*1.2</f>
        <v>0</v>
      </c>
      <c r="CX93" s="276">
        <f>SUMIF('20Ф'!$H:$H,$B:$B,'20Ф'!AG:AG)*1.2</f>
        <v>0</v>
      </c>
      <c r="CY93" s="276">
        <f>SUMIF('20Ф'!$H:$H,$B:$B,'20Ф'!AH:AH)*1.2</f>
        <v>0</v>
      </c>
      <c r="CZ93" s="276">
        <f>SUMIF('20Ф'!$H:$H,$B:$B,'20Ф'!AI:AI)*1.2</f>
        <v>0</v>
      </c>
      <c r="DA93" s="276">
        <f>SUMIF('20Ф'!$H:$H,$B:$B,'20Ф'!AJ:AJ)*1.2</f>
        <v>0</v>
      </c>
      <c r="DB93" s="276">
        <f>SUMIF('20Ф'!$H:$H,$B:$B,'20Ф'!AK:AK)*1.2</f>
        <v>0</v>
      </c>
      <c r="DC93" s="276">
        <f>SUMIF('20Ф'!$H:$H,$B:$B,'20Ф'!AL:AL)*1.2</f>
        <v>0</v>
      </c>
      <c r="DD93" s="276">
        <f>SUMIF('20Ф'!$H:$H,$B:$B,'20Ф'!AM:AM)*1.2</f>
        <v>0</v>
      </c>
      <c r="DE93" s="276">
        <f>SUMIF('20Ф'!$H:$H,$B:$B,'20Ф'!AN:AN)*1.2</f>
        <v>0</v>
      </c>
      <c r="DF93" s="276">
        <f>SUMIF('20Ф'!$H:$H,$B:$B,'20Ф'!AO:AO)*1.2</f>
        <v>0</v>
      </c>
      <c r="DG93" s="276">
        <f>SUMIF('20Ф'!$H:$H,$B:$B,'20Ф'!AP:AP)*1.2</f>
        <v>0</v>
      </c>
      <c r="DH93" s="276">
        <f>SUMIF('20Ф'!$H:$H,$B:$B,'20Ф'!AQ:AQ)*1.2</f>
        <v>0</v>
      </c>
      <c r="DI93" s="276">
        <f>SUMIF('20Ф'!$H:$H,$B:$B,'20Ф'!BA:BA)*1.2</f>
        <v>0</v>
      </c>
      <c r="DJ93" s="276">
        <f>SUMIF('20Ф'!$H:$H,$B:$B,'20Ф'!BB:BB)*1.2</f>
        <v>0</v>
      </c>
      <c r="DK93" s="276">
        <f>SUMIF('20Ф'!$H:$H,$B:$B,'20Ф'!BC:BC)*1.2</f>
        <v>0</v>
      </c>
      <c r="DL93" s="276">
        <f>$D93/$D$281*'20Ф'!$H$218</f>
        <v>28516.234678231751</v>
      </c>
      <c r="DM93" s="240">
        <f t="shared" si="13"/>
        <v>609652.47956679761</v>
      </c>
      <c r="DN93" s="276">
        <f>SUMIF('20Ф'!$H:$H,$B:$B,'20Ф'!AV:AV)*1.2</f>
        <v>0</v>
      </c>
      <c r="DO93" s="276">
        <f>SUMIF('20Ф'!$H:$H,$B:$B,'20Ф'!AW:AW)*1.2+$D93/$D$281*'26Ф'!$D$42</f>
        <v>15174.863977746345</v>
      </c>
      <c r="DP93" s="276">
        <f>SUMIF('20Ф'!$H:$H,$B:$B,'20Ф'!AX:AX)*1.2</f>
        <v>0</v>
      </c>
      <c r="DQ93" s="276">
        <f>SUMIF('20Ф'!$H:$H,$B:$B,'20Ф'!AY:AY)*1.2</f>
        <v>53343</v>
      </c>
      <c r="DR93" s="276">
        <f>SUMIF('20Ф'!$H:$H,$B:$B,'20Ф'!AU:AU)*1.2</f>
        <v>0</v>
      </c>
      <c r="DS93" s="276">
        <f>SUMIF('20Ф'!$H:$H,$B:$B,'20Ф'!AS:AS)*1.2</f>
        <v>147670.764</v>
      </c>
      <c r="DT93" s="276">
        <f>SUMIF('20Ф'!$H:$H,$B:$B,'20Ф'!AR:AR)*1.2</f>
        <v>0</v>
      </c>
      <c r="DU93" s="276">
        <f>SUMIF('20Ф'!$H:$H,$B:$B,'20Ф'!X:X)*1.2</f>
        <v>125781.69599999998</v>
      </c>
      <c r="DV93" s="276">
        <f>SUMIF('20Ф'!$H:$H,$B:$B,'20Ф'!AA:AA)*1.2</f>
        <v>0</v>
      </c>
      <c r="DW93" s="276">
        <f>SUMIF('20Ф'!$H:$H,$B:$B,'20Ф'!N:N)*1.2</f>
        <v>0</v>
      </c>
      <c r="DX93" s="276">
        <f>$D93/$D$281*('25Ф'!$D$37)</f>
        <v>255070.47935548186</v>
      </c>
      <c r="DY93" s="276">
        <f>$D93/$D$281*'25Ф'!$D$30</f>
        <v>8141.0489891258594</v>
      </c>
      <c r="DZ93" s="276">
        <f>$D93/$D$281*'25Ф'!$D$31</f>
        <v>4470.6272444435563</v>
      </c>
      <c r="EA93" s="276"/>
      <c r="EB93" s="276">
        <f t="shared" si="14"/>
        <v>160698.40534010899</v>
      </c>
      <c r="EC93" s="276">
        <f>$D93/$D$281*'26Ф'!$D$36</f>
        <v>83648.695233319231</v>
      </c>
      <c r="ED93" s="276">
        <f>$D93/$D$281*'26Ф'!$D$37</f>
        <v>10050.301393735175</v>
      </c>
      <c r="EE93" s="276">
        <f>$D93/$D$281*'26Ф'!$D$38</f>
        <v>10153.377124162174</v>
      </c>
      <c r="EF93" s="276">
        <f>$D93/$D$281*'26Ф'!$D$39</f>
        <v>7122.5847858521747</v>
      </c>
      <c r="EG93" s="276">
        <f>$D93/$D$281*'91Ф'!$D$10</f>
        <v>2197.3144441920963</v>
      </c>
      <c r="EH93" s="276">
        <f>$D93/$D$281*('20Ф'!$I$509+'26Ф'!$D$41+'20Ф'!$I$507)</f>
        <v>15545.276151261538</v>
      </c>
      <c r="EI93" s="276">
        <f>$D93/$D$281*'91Ф'!$D$31</f>
        <v>28496.774470771776</v>
      </c>
      <c r="EJ93" s="276">
        <f>$D93/$D$281*'20Ф'!$I$1316</f>
        <v>3484.0817368148209</v>
      </c>
      <c r="EK93" s="276">
        <f>$D93/$D$281*('20Ф'!$I$1105+'20Ф'!$I$1282+'91Ф'!$D$17+'91Ф'!$D$41)</f>
        <v>114421.1258529776</v>
      </c>
      <c r="EL93" s="276">
        <f>$D93/$D$281*отчёт!BX$294</f>
        <v>191277.22670633454</v>
      </c>
      <c r="EM93" s="276">
        <f>$D93/$D$281*отчёт!BY$294</f>
        <v>168218.05350163041</v>
      </c>
      <c r="EN93" s="276">
        <f>SUMIF(отчёт!$B:$B,$B:$B,отчёт!BZ:BZ)/отчёт!BZ$281*('60Ф'!$O$151+'60Ф'!$P$151)*отчёт!BZ$293</f>
        <v>0</v>
      </c>
      <c r="EO93" s="240">
        <f t="shared" si="19"/>
        <v>0</v>
      </c>
      <c r="EP93" s="276">
        <f>SUMIF('20Ф'!$H:$H,$B:$B,'20Ф'!T:T)*1.2</f>
        <v>0</v>
      </c>
      <c r="EQ93" s="276">
        <f>SUMIF('20Ф'!$H:$H,$B:$B,'20Ф'!U:U)*1.2</f>
        <v>0</v>
      </c>
      <c r="ER93" s="236"/>
      <c r="ES93" s="239">
        <f t="shared" si="17"/>
        <v>64020.560629644468</v>
      </c>
      <c r="ET93" s="276">
        <f>$D93/$D$282*'20Ф'!$I$381</f>
        <v>4893.15278848453</v>
      </c>
      <c r="EU93" s="276">
        <f>$D93/$D$282*('20Ф'!$I$75+'20Ф'!$I$1098)*1.2</f>
        <v>56518.086911627419</v>
      </c>
      <c r="EV93" s="276">
        <f>$D93/$D$282*('20Ф'!$I$1286)</f>
        <v>2609.3209295325232</v>
      </c>
      <c r="EW93" s="276">
        <f>SUMIF('91.1Ф'!$N:$N,$B:$B,'91.1Ф'!$F:$F)+$D93/$D$281*('91Ф'!$D$12+'91Ф'!$D$11+'91Ф'!$D$19+'91Ф'!$D$20)</f>
        <v>15080.145119156261</v>
      </c>
      <c r="EX93" s="276">
        <f t="shared" si="15"/>
        <v>55630.063444424224</v>
      </c>
      <c r="EY93" s="276">
        <f>SUMIF('20Ф'!$H:$H,$B:$B,'20Ф'!$AY:$AY)*1.2</f>
        <v>53343</v>
      </c>
      <c r="EZ93" s="295">
        <f>D93/$D$286*'20Ф'!$I$1163</f>
        <v>2287.0634444242269</v>
      </c>
      <c r="FA93" s="277">
        <f>SUMIF(отчёт!$B:$B,$B:$B,отчёт!$CU:$CU)/отчёт!$CU$281*'20Ф'!$I$1341</f>
        <v>3683.8554216867401</v>
      </c>
      <c r="FB93" s="276">
        <f>SUMIF(Сальдо!$A:$A,$B:$B,Сальдо!$H:$H)-SUMIF(Сальдо!$A:$A,$B:$B,Сальдо!$I:$I)</f>
        <v>184098.48</v>
      </c>
    </row>
    <row r="94" spans="1:158" ht="12" customHeight="1" x14ac:dyDescent="0.25">
      <c r="A94" s="3">
        <f t="shared" si="18"/>
        <v>90</v>
      </c>
      <c r="B94" s="4" t="s">
        <v>140</v>
      </c>
      <c r="C94" s="4" t="s">
        <v>140</v>
      </c>
      <c r="D94" s="5">
        <v>3473.5</v>
      </c>
      <c r="E94" s="6">
        <v>3473.5</v>
      </c>
      <c r="F94" s="6">
        <v>0</v>
      </c>
      <c r="G94" s="6">
        <v>325.60000000000002</v>
      </c>
      <c r="H94" s="5">
        <f>SUMIF(отчёт!$B:$B,$B:$B,отчёт!I:I)</f>
        <v>0</v>
      </c>
      <c r="I94" s="5">
        <f>SUMIF(отчёт!$B:$B,$B:$B,отчёт!J:J)</f>
        <v>0</v>
      </c>
      <c r="J94" s="3" t="s">
        <v>111</v>
      </c>
      <c r="K94" s="105">
        <v>7</v>
      </c>
      <c r="L94" s="105" t="s">
        <v>52</v>
      </c>
      <c r="M94" s="7">
        <v>31</v>
      </c>
      <c r="N94" s="8">
        <v>5.0999999999999996</v>
      </c>
      <c r="O94" s="8">
        <v>6.59</v>
      </c>
      <c r="P94" s="8">
        <v>8.98</v>
      </c>
      <c r="Q94" s="8">
        <v>6.92</v>
      </c>
      <c r="R94" s="8">
        <v>3.15</v>
      </c>
      <c r="S94" s="8">
        <v>0</v>
      </c>
      <c r="T94" s="8">
        <v>0</v>
      </c>
      <c r="U94" s="8">
        <v>0.26</v>
      </c>
      <c r="V94" s="9">
        <v>40</v>
      </c>
      <c r="W94" s="9">
        <v>40</v>
      </c>
      <c r="X94" s="9">
        <v>2604.04</v>
      </c>
      <c r="Y94" s="8">
        <v>195.98199600000001</v>
      </c>
      <c r="Z94" s="9">
        <v>42.3</v>
      </c>
      <c r="AA94" s="9">
        <v>2604.04</v>
      </c>
      <c r="AB94" s="8">
        <v>7.85</v>
      </c>
      <c r="AC94" s="10">
        <v>0</v>
      </c>
      <c r="AD94" s="8">
        <v>6.73</v>
      </c>
      <c r="AE94" s="8">
        <v>10.67</v>
      </c>
      <c r="AF94" s="8">
        <v>14</v>
      </c>
      <c r="AG94" s="7">
        <v>646071</v>
      </c>
      <c r="AH94" s="8">
        <v>106289.09999999999</v>
      </c>
      <c r="AI94" s="8">
        <v>137342.19</v>
      </c>
      <c r="AJ94" s="8">
        <v>187152.18000000002</v>
      </c>
      <c r="AK94" s="8">
        <v>144219.72</v>
      </c>
      <c r="AL94" s="8">
        <v>65649.149999999994</v>
      </c>
      <c r="AM94" s="8">
        <v>0</v>
      </c>
      <c r="AN94" s="8">
        <v>0</v>
      </c>
      <c r="AO94" s="8">
        <v>5418.66</v>
      </c>
      <c r="AQ94" s="104">
        <v>33.17</v>
      </c>
      <c r="AR94" s="375">
        <v>13.89</v>
      </c>
      <c r="AS94" s="376"/>
      <c r="AT94" s="104">
        <v>5.9</v>
      </c>
      <c r="AU94" s="104">
        <v>1.53</v>
      </c>
      <c r="AV94" s="104">
        <v>0.32</v>
      </c>
      <c r="AW94" s="104">
        <v>0.6</v>
      </c>
      <c r="AX94" s="104">
        <v>5.01</v>
      </c>
      <c r="AY94" s="104">
        <v>4.99</v>
      </c>
      <c r="AZ94" s="104">
        <v>0</v>
      </c>
      <c r="BA94" s="104">
        <v>0</v>
      </c>
      <c r="BB94" s="104">
        <v>0</v>
      </c>
      <c r="BC94" s="101">
        <v>0.93</v>
      </c>
      <c r="BD94" s="104">
        <v>37.581610000000005</v>
      </c>
      <c r="BE94" s="375">
        <v>15.737370000000004</v>
      </c>
      <c r="BF94" s="376">
        <v>0</v>
      </c>
      <c r="BG94" s="104">
        <v>6.6847000000000012</v>
      </c>
      <c r="BH94" s="104">
        <v>1.7334900000000002</v>
      </c>
      <c r="BI94" s="104">
        <v>0.36256000000000005</v>
      </c>
      <c r="BJ94" s="104">
        <v>0.67980000000000007</v>
      </c>
      <c r="BK94" s="104">
        <v>5.6763300000000001</v>
      </c>
      <c r="BL94" s="104">
        <v>5.65367</v>
      </c>
      <c r="BM94" s="104">
        <v>0</v>
      </c>
      <c r="BN94" s="104">
        <v>0</v>
      </c>
      <c r="BO94" s="104">
        <v>0</v>
      </c>
      <c r="BP94" s="101">
        <v>1.0536900000000002</v>
      </c>
      <c r="BQ94" s="103">
        <v>1535829.2133500001</v>
      </c>
      <c r="BR94" s="371">
        <v>643131.37695000018</v>
      </c>
      <c r="BS94" s="371">
        <v>0</v>
      </c>
      <c r="BT94" s="103">
        <v>273180.35450000002</v>
      </c>
      <c r="BU94" s="103">
        <v>70841.685150000005</v>
      </c>
      <c r="BV94" s="103">
        <v>14816.561600000001</v>
      </c>
      <c r="BW94" s="103">
        <v>27781.053000000004</v>
      </c>
      <c r="BX94" s="103">
        <v>231971.79254999998</v>
      </c>
      <c r="BY94" s="103">
        <v>231045.75745</v>
      </c>
      <c r="BZ94" s="103">
        <v>0</v>
      </c>
      <c r="CA94" s="103">
        <v>0</v>
      </c>
      <c r="CB94" s="103">
        <v>0</v>
      </c>
      <c r="CC94" s="103">
        <v>43060.632150000005</v>
      </c>
      <c r="CD94" s="1">
        <v>1</v>
      </c>
      <c r="CF94" s="277">
        <f>SUMIF(Оборот!$A:$A,$B:$B,Оборот!H:H)</f>
        <v>1322292.24</v>
      </c>
      <c r="CG94" s="277">
        <f>SUMIF(Оборот!$A:$A,$B:$B,Оборот!I:I)</f>
        <v>1321329.51</v>
      </c>
      <c r="CH94" s="277">
        <f t="shared" si="12"/>
        <v>1338683.5390009033</v>
      </c>
      <c r="CI94" s="239">
        <f t="shared" si="16"/>
        <v>30550.595631003016</v>
      </c>
      <c r="CJ94" s="276">
        <f>SUMIF('20Ф'!$H:$H,$B:$B,'20Ф'!M:M)*1.2</f>
        <v>0</v>
      </c>
      <c r="CK94" s="276">
        <f>SUMIF('20Ф'!$H:$H,$B:$B,'20Ф'!O:O)*1.2</f>
        <v>0</v>
      </c>
      <c r="CL94" s="276">
        <f>SUMIF('20Ф'!$H:$H,$B:$B,'20Ф'!Q:Q)*1.2</f>
        <v>0</v>
      </c>
      <c r="CM94" s="276">
        <f>SUMIF('20Ф'!$H:$H,$B:$B,'20Ф'!R:R)*1.2</f>
        <v>0</v>
      </c>
      <c r="CN94" s="276">
        <f>SUMIF('20Ф'!$H:$H,$B:$B,'20Ф'!S:S)*1.2</f>
        <v>0</v>
      </c>
      <c r="CO94" s="276">
        <f>SUMIF('20Ф'!$H:$H,$B:$B,'20Ф'!W:W)*1.2</f>
        <v>0</v>
      </c>
      <c r="CP94" s="276">
        <f>SUMIF('20Ф'!$H:$H,$B:$B,'20Ф'!P:P)*1.2</f>
        <v>0</v>
      </c>
      <c r="CQ94" s="276">
        <f>SUMIF('20Ф'!$H:$H,$B:$B,'20Ф'!Y:Y)*1.2</f>
        <v>0</v>
      </c>
      <c r="CR94" s="276">
        <f>SUMIF('20Ф'!$H:$H,$B:$B,'20Ф'!Z:Z)*1.2</f>
        <v>0</v>
      </c>
      <c r="CS94" s="276">
        <f>SUMIF('20Ф'!$H:$H,$B:$B,'20Ф'!AB:AB)*1.2</f>
        <v>0</v>
      </c>
      <c r="CT94" s="276">
        <f>SUMIF('20Ф'!$H:$H,$B:$B,'20Ф'!AC:AC)*1.2</f>
        <v>0</v>
      </c>
      <c r="CU94" s="276">
        <f>SUMIF('20Ф'!$H:$H,$B:$B,'20Ф'!AD:AD)*1.2</f>
        <v>0</v>
      </c>
      <c r="CV94" s="276">
        <f>SUMIF('20Ф'!$H:$H,$B:$B,'20Ф'!AE:AE)*1.2</f>
        <v>0</v>
      </c>
      <c r="CW94" s="276">
        <f>SUMIF('20Ф'!$H:$H,$B:$B,'20Ф'!AF:AF)*1.2</f>
        <v>0</v>
      </c>
      <c r="CX94" s="276">
        <f>SUMIF('20Ф'!$H:$H,$B:$B,'20Ф'!AG:AG)*1.2</f>
        <v>0</v>
      </c>
      <c r="CY94" s="276">
        <f>SUMIF('20Ф'!$H:$H,$B:$B,'20Ф'!AH:AH)*1.2</f>
        <v>0</v>
      </c>
      <c r="CZ94" s="276">
        <f>SUMIF('20Ф'!$H:$H,$B:$B,'20Ф'!AI:AI)*1.2</f>
        <v>0</v>
      </c>
      <c r="DA94" s="276">
        <f>SUMIF('20Ф'!$H:$H,$B:$B,'20Ф'!AJ:AJ)*1.2</f>
        <v>0</v>
      </c>
      <c r="DB94" s="276">
        <f>SUMIF('20Ф'!$H:$H,$B:$B,'20Ф'!AK:AK)*1.2</f>
        <v>0</v>
      </c>
      <c r="DC94" s="276">
        <f>SUMIF('20Ф'!$H:$H,$B:$B,'20Ф'!AL:AL)*1.2</f>
        <v>0</v>
      </c>
      <c r="DD94" s="276">
        <f>SUMIF('20Ф'!$H:$H,$B:$B,'20Ф'!AM:AM)*1.2</f>
        <v>0</v>
      </c>
      <c r="DE94" s="276">
        <f>SUMIF('20Ф'!$H:$H,$B:$B,'20Ф'!AN:AN)*1.2</f>
        <v>0</v>
      </c>
      <c r="DF94" s="276">
        <f>SUMIF('20Ф'!$H:$H,$B:$B,'20Ф'!AO:AO)*1.2</f>
        <v>0</v>
      </c>
      <c r="DG94" s="276">
        <f>SUMIF('20Ф'!$H:$H,$B:$B,'20Ф'!AP:AP)*1.2</f>
        <v>0</v>
      </c>
      <c r="DH94" s="276">
        <f>SUMIF('20Ф'!$H:$H,$B:$B,'20Ф'!AQ:AQ)*1.2</f>
        <v>0</v>
      </c>
      <c r="DI94" s="276">
        <f>SUMIF('20Ф'!$H:$H,$B:$B,'20Ф'!BA:BA)*1.2</f>
        <v>0</v>
      </c>
      <c r="DJ94" s="276">
        <f>SUMIF('20Ф'!$H:$H,$B:$B,'20Ф'!BB:BB)*1.2</f>
        <v>0</v>
      </c>
      <c r="DK94" s="276">
        <f>SUMIF('20Ф'!$H:$H,$B:$B,'20Ф'!BC:BC)*1.2</f>
        <v>0</v>
      </c>
      <c r="DL94" s="276">
        <f>$D94/$D$281*'20Ф'!$H$218</f>
        <v>30550.595631003016</v>
      </c>
      <c r="DM94" s="240">
        <f t="shared" si="13"/>
        <v>514264.42601852806</v>
      </c>
      <c r="DN94" s="276">
        <f>SUMIF('20Ф'!$H:$H,$B:$B,'20Ф'!AV:AV)*1.2</f>
        <v>0</v>
      </c>
      <c r="DO94" s="276">
        <f>SUMIF('20Ф'!$H:$H,$B:$B,'20Ф'!AW:AW)*1.2+$D94/$D$281*'26Ф'!$D$42</f>
        <v>16257.445569891408</v>
      </c>
      <c r="DP94" s="276">
        <f>SUMIF('20Ф'!$H:$H,$B:$B,'20Ф'!AX:AX)*1.2</f>
        <v>0</v>
      </c>
      <c r="DQ94" s="276">
        <f>SUMIF('20Ф'!$H:$H,$B:$B,'20Ф'!AY:AY)*1.2</f>
        <v>26785.991999999998</v>
      </c>
      <c r="DR94" s="276">
        <f>SUMIF('20Ф'!$H:$H,$B:$B,'20Ф'!AU:AU)*1.2</f>
        <v>0</v>
      </c>
      <c r="DS94" s="276">
        <f>SUMIF('20Ф'!$H:$H,$B:$B,'20Ф'!AS:AS)*1.2</f>
        <v>122144.73599999999</v>
      </c>
      <c r="DT94" s="276">
        <f>SUMIF('20Ф'!$H:$H,$B:$B,'20Ф'!AR:AR)*1.2</f>
        <v>0</v>
      </c>
      <c r="DU94" s="276">
        <f>SUMIF('20Ф'!$H:$H,$B:$B,'20Ф'!X:X)*1.2</f>
        <v>62297.531999999999</v>
      </c>
      <c r="DV94" s="276">
        <f>SUMIF('20Ф'!$H:$H,$B:$B,'20Ф'!AA:AA)*1.2</f>
        <v>0</v>
      </c>
      <c r="DW94" s="276">
        <f>SUMIF('20Ф'!$H:$H,$B:$B,'20Ф'!N:N)*1.2</f>
        <v>0</v>
      </c>
      <c r="DX94" s="276">
        <f>$D94/$D$281*('25Ф'!$D$37)</f>
        <v>273267.32158450008</v>
      </c>
      <c r="DY94" s="276">
        <f>$D94/$D$281*'25Ф'!$D$30</f>
        <v>8721.835069930501</v>
      </c>
      <c r="DZ94" s="276">
        <f>$D94/$D$281*'25Ф'!$D$31</f>
        <v>4789.5637942059993</v>
      </c>
      <c r="EA94" s="276"/>
      <c r="EB94" s="276">
        <f t="shared" si="14"/>
        <v>172162.7015448981</v>
      </c>
      <c r="EC94" s="276">
        <f>$D94/$D$281*'26Ф'!$D$36</f>
        <v>89616.230612835221</v>
      </c>
      <c r="ED94" s="276">
        <f>$D94/$D$281*'26Ф'!$D$37</f>
        <v>10767.294396131987</v>
      </c>
      <c r="EE94" s="276">
        <f>$D94/$D$281*'26Ф'!$D$38</f>
        <v>10877.723595329502</v>
      </c>
      <c r="EF94" s="276">
        <f>$D94/$D$281*'26Ф'!$D$39</f>
        <v>7630.7131742821321</v>
      </c>
      <c r="EG94" s="276">
        <f>$D94/$D$281*'91Ф'!$D$10</f>
        <v>2354.0718406949745</v>
      </c>
      <c r="EH94" s="276">
        <f>$D94/$D$281*('20Ф'!$I$509+'26Ф'!$D$41+'20Ф'!$I$507)</f>
        <v>16654.283113752066</v>
      </c>
      <c r="EI94" s="276">
        <f>$D94/$D$281*'91Ф'!$D$31</f>
        <v>30529.747123627709</v>
      </c>
      <c r="EJ94" s="276">
        <f>$D94/$D$281*'20Ф'!$I$1316</f>
        <v>3732.6376882444883</v>
      </c>
      <c r="EK94" s="276">
        <f>$D94/$D$281*('20Ф'!$I$1105+'20Ф'!$I$1282+'91Ф'!$D$17+'91Ф'!$D$41)</f>
        <v>122583.98021415016</v>
      </c>
      <c r="EL94" s="276">
        <f>$D94/$D$281*отчёт!BX$294</f>
        <v>204923.02972193356</v>
      </c>
      <c r="EM94" s="276">
        <f>$D94/$D$281*отчёт!BY$294</f>
        <v>180218.80477389216</v>
      </c>
      <c r="EN94" s="276">
        <f>SUMIF(отчёт!$B:$B,$B:$B,отчёт!BZ:BZ)/отчёт!BZ$281*('60Ф'!$O$151+'60Ф'!$P$151)*отчёт!BZ$293</f>
        <v>0</v>
      </c>
      <c r="EO94" s="240">
        <f t="shared" si="19"/>
        <v>0</v>
      </c>
      <c r="EP94" s="276">
        <f>SUMIF('20Ф'!$H:$H,$B:$B,'20Ф'!T:T)*1.2</f>
        <v>0</v>
      </c>
      <c r="EQ94" s="276">
        <f>SUMIF('20Ф'!$H:$H,$B:$B,'20Ф'!U:U)*1.2</f>
        <v>0</v>
      </c>
      <c r="ER94" s="236"/>
      <c r="ES94" s="239">
        <f t="shared" si="17"/>
        <v>68587.816096190887</v>
      </c>
      <c r="ET94" s="276">
        <f>$D94/$D$282*'20Ф'!$I$381</f>
        <v>5242.2324997844107</v>
      </c>
      <c r="EU94" s="276">
        <f>$D94/$D$282*('20Ф'!$I$75+'20Ф'!$I$1098)*1.2</f>
        <v>60550.112543192234</v>
      </c>
      <c r="EV94" s="276">
        <f>$D94/$D$282*('20Ф'!$I$1286)</f>
        <v>2795.471053214244</v>
      </c>
      <c r="EW94" s="276">
        <f>SUMIF('91.1Ф'!$N:$N,$B:$B,'91.1Ф'!$F:$F)+$D94/$D$281*('91Ф'!$D$12+'91Ф'!$D$11+'91Ф'!$D$19+'91Ф'!$D$20)</f>
        <v>16155.969425510231</v>
      </c>
      <c r="EX94" s="276">
        <f t="shared" si="15"/>
        <v>29236.215574797221</v>
      </c>
      <c r="EY94" s="276">
        <f>SUMIF('20Ф'!$H:$H,$B:$B,'20Ф'!$AY:$AY)*1.2</f>
        <v>26785.991999999998</v>
      </c>
      <c r="EZ94" s="295">
        <f>D94/$D$286*'20Ф'!$I$1163</f>
        <v>2450.2235747972218</v>
      </c>
      <c r="FA94" s="277">
        <f>SUMIF(отчёт!$B:$B,$B:$B,отчёт!$CU:$CU)/отчёт!$CU$281*'20Ф'!$I$1341</f>
        <v>3683.8554216867401</v>
      </c>
      <c r="FB94" s="276">
        <f>SUMIF(Сальдо!$A:$A,$B:$B,Сальдо!$H:$H)-SUMIF(Сальдо!$A:$A,$B:$B,Сальдо!$I:$I)</f>
        <v>337546.74</v>
      </c>
    </row>
    <row r="95" spans="1:158" ht="12" customHeight="1" x14ac:dyDescent="0.25">
      <c r="A95" s="3">
        <f t="shared" si="18"/>
        <v>91</v>
      </c>
      <c r="B95" s="4" t="s">
        <v>141</v>
      </c>
      <c r="C95" s="4" t="s">
        <v>141</v>
      </c>
      <c r="D95" s="5">
        <v>3480.2</v>
      </c>
      <c r="E95" s="6">
        <v>3480.2</v>
      </c>
      <c r="F95" s="6">
        <v>0</v>
      </c>
      <c r="G95" s="6">
        <v>307.7</v>
      </c>
      <c r="H95" s="5">
        <f>SUMIF(отчёт!$B:$B,$B:$B,отчёт!I:I)</f>
        <v>0</v>
      </c>
      <c r="I95" s="5">
        <f>SUMIF(отчёт!$B:$B,$B:$B,отчёт!J:J)</f>
        <v>0</v>
      </c>
      <c r="J95" s="3" t="s">
        <v>111</v>
      </c>
      <c r="K95" s="105">
        <v>7</v>
      </c>
      <c r="L95" s="105" t="s">
        <v>52</v>
      </c>
      <c r="M95" s="7">
        <v>31</v>
      </c>
      <c r="N95" s="8">
        <v>5.0999999999999996</v>
      </c>
      <c r="O95" s="8">
        <v>6.59</v>
      </c>
      <c r="P95" s="8">
        <v>8.98</v>
      </c>
      <c r="Q95" s="8">
        <v>6.92</v>
      </c>
      <c r="R95" s="8">
        <v>3.15</v>
      </c>
      <c r="S95" s="8">
        <v>0</v>
      </c>
      <c r="T95" s="8">
        <v>0</v>
      </c>
      <c r="U95" s="8">
        <v>0.26</v>
      </c>
      <c r="V95" s="9">
        <v>40</v>
      </c>
      <c r="W95" s="9">
        <v>40</v>
      </c>
      <c r="X95" s="9">
        <v>2604.04</v>
      </c>
      <c r="Y95" s="8">
        <v>195.98199600000001</v>
      </c>
      <c r="Z95" s="9">
        <v>42.3</v>
      </c>
      <c r="AA95" s="9">
        <v>2604.04</v>
      </c>
      <c r="AB95" s="8">
        <v>7.85</v>
      </c>
      <c r="AC95" s="10">
        <v>0</v>
      </c>
      <c r="AD95" s="8">
        <v>6.73</v>
      </c>
      <c r="AE95" s="8">
        <v>10.67</v>
      </c>
      <c r="AF95" s="8">
        <v>14</v>
      </c>
      <c r="AG95" s="7">
        <v>647317.19999999995</v>
      </c>
      <c r="AH95" s="8">
        <v>106494.11999999998</v>
      </c>
      <c r="AI95" s="8">
        <v>137607.10800000001</v>
      </c>
      <c r="AJ95" s="8">
        <v>187513.17600000001</v>
      </c>
      <c r="AK95" s="8">
        <v>144497.90399999998</v>
      </c>
      <c r="AL95" s="8">
        <v>65775.78</v>
      </c>
      <c r="AM95" s="8">
        <v>0</v>
      </c>
      <c r="AN95" s="8">
        <v>0</v>
      </c>
      <c r="AO95" s="8">
        <v>5429.1120000000001</v>
      </c>
      <c r="AQ95" s="104">
        <v>33.17</v>
      </c>
      <c r="AR95" s="375">
        <v>13.89</v>
      </c>
      <c r="AS95" s="376"/>
      <c r="AT95" s="104">
        <v>5.9</v>
      </c>
      <c r="AU95" s="104">
        <v>1.53</v>
      </c>
      <c r="AV95" s="104">
        <v>0.32</v>
      </c>
      <c r="AW95" s="104">
        <v>0.6</v>
      </c>
      <c r="AX95" s="104">
        <v>5.01</v>
      </c>
      <c r="AY95" s="104">
        <v>4.99</v>
      </c>
      <c r="AZ95" s="104">
        <v>0</v>
      </c>
      <c r="BA95" s="104">
        <v>0</v>
      </c>
      <c r="BB95" s="104">
        <v>0</v>
      </c>
      <c r="BC95" s="101">
        <v>0.93</v>
      </c>
      <c r="BD95" s="104">
        <v>37.581610000000005</v>
      </c>
      <c r="BE95" s="375">
        <v>15.737370000000004</v>
      </c>
      <c r="BF95" s="376">
        <v>0</v>
      </c>
      <c r="BG95" s="104">
        <v>6.6847000000000012</v>
      </c>
      <c r="BH95" s="104">
        <v>1.7334900000000002</v>
      </c>
      <c r="BI95" s="104">
        <v>0.36256000000000005</v>
      </c>
      <c r="BJ95" s="104">
        <v>0.67980000000000007</v>
      </c>
      <c r="BK95" s="104">
        <v>5.6763300000000001</v>
      </c>
      <c r="BL95" s="104">
        <v>5.65367</v>
      </c>
      <c r="BM95" s="104">
        <v>0</v>
      </c>
      <c r="BN95" s="104">
        <v>0</v>
      </c>
      <c r="BO95" s="104">
        <v>0</v>
      </c>
      <c r="BP95" s="101">
        <v>1.0536900000000002</v>
      </c>
      <c r="BQ95" s="103">
        <v>1538791.65922</v>
      </c>
      <c r="BR95" s="371">
        <v>644371.90674000012</v>
      </c>
      <c r="BS95" s="371">
        <v>0</v>
      </c>
      <c r="BT95" s="103">
        <v>273707.28940000001</v>
      </c>
      <c r="BU95" s="103">
        <v>70978.330979999999</v>
      </c>
      <c r="BV95" s="103">
        <v>14845.14112</v>
      </c>
      <c r="BW95" s="103">
        <v>27834.639600000002</v>
      </c>
      <c r="BX95" s="103">
        <v>232419.24065999998</v>
      </c>
      <c r="BY95" s="103">
        <v>231491.41933999999</v>
      </c>
      <c r="BZ95" s="103">
        <v>0</v>
      </c>
      <c r="CA95" s="103">
        <v>0</v>
      </c>
      <c r="CB95" s="103">
        <v>0</v>
      </c>
      <c r="CC95" s="103">
        <v>43143.691380000004</v>
      </c>
      <c r="CD95" s="1">
        <v>1</v>
      </c>
      <c r="CF95" s="277">
        <f>SUMIF(Оборот!$A:$A,$B:$B,Оборот!H:H)</f>
        <v>1304910.7999999996</v>
      </c>
      <c r="CG95" s="277">
        <f>SUMIF(Оборот!$A:$A,$B:$B,Оборот!I:I)</f>
        <v>1336624.05</v>
      </c>
      <c r="CH95" s="277">
        <f t="shared" si="12"/>
        <v>1626792.6971672792</v>
      </c>
      <c r="CI95" s="239">
        <f t="shared" si="16"/>
        <v>426710.38437455497</v>
      </c>
      <c r="CJ95" s="276">
        <f>SUMIF('20Ф'!$H:$H,$B:$B,'20Ф'!M:M)*1.2</f>
        <v>289995.02399999998</v>
      </c>
      <c r="CK95" s="276">
        <f>SUMIF('20Ф'!$H:$H,$B:$B,'20Ф'!O:O)*1.2</f>
        <v>0</v>
      </c>
      <c r="CL95" s="276">
        <f>SUMIF('20Ф'!$H:$H,$B:$B,'20Ф'!Q:Q)*1.2</f>
        <v>0</v>
      </c>
      <c r="CM95" s="276">
        <f>SUMIF('20Ф'!$H:$H,$B:$B,'20Ф'!R:R)*1.2</f>
        <v>0</v>
      </c>
      <c r="CN95" s="276">
        <f>SUMIF('20Ф'!$H:$H,$B:$B,'20Ф'!S:S)*1.2</f>
        <v>0</v>
      </c>
      <c r="CO95" s="276">
        <f>SUMIF('20Ф'!$H:$H,$B:$B,'20Ф'!W:W)*1.2</f>
        <v>0</v>
      </c>
      <c r="CP95" s="276">
        <f>SUMIF('20Ф'!$H:$H,$B:$B,'20Ф'!P:P)*1.2</f>
        <v>0</v>
      </c>
      <c r="CQ95" s="276">
        <f>SUMIF('20Ф'!$H:$H,$B:$B,'20Ф'!Y:Y)*1.2</f>
        <v>0</v>
      </c>
      <c r="CR95" s="276">
        <f>SUMIF('20Ф'!$H:$H,$B:$B,'20Ф'!Z:Z)*1.2</f>
        <v>0</v>
      </c>
      <c r="CS95" s="276">
        <f>SUMIF('20Ф'!$H:$H,$B:$B,'20Ф'!AB:AB)*1.2</f>
        <v>0</v>
      </c>
      <c r="CT95" s="276">
        <f>SUMIF('20Ф'!$H:$H,$B:$B,'20Ф'!AC:AC)*1.2</f>
        <v>0</v>
      </c>
      <c r="CU95" s="276">
        <f>SUMIF('20Ф'!$H:$H,$B:$B,'20Ф'!AD:AD)*1.2</f>
        <v>0</v>
      </c>
      <c r="CV95" s="276">
        <f>SUMIF('20Ф'!$H:$H,$B:$B,'20Ф'!AE:AE)*1.2</f>
        <v>0</v>
      </c>
      <c r="CW95" s="276">
        <f>SUMIF('20Ф'!$H:$H,$B:$B,'20Ф'!AF:AF)*1.2</f>
        <v>0</v>
      </c>
      <c r="CX95" s="276">
        <f>SUMIF('20Ф'!$H:$H,$B:$B,'20Ф'!AG:AG)*1.2</f>
        <v>11677.08</v>
      </c>
      <c r="CY95" s="276">
        <f>SUMIF('20Ф'!$H:$H,$B:$B,'20Ф'!AH:AH)*1.2</f>
        <v>0</v>
      </c>
      <c r="CZ95" s="276">
        <f>SUMIF('20Ф'!$H:$H,$B:$B,'20Ф'!AI:AI)*1.2</f>
        <v>0</v>
      </c>
      <c r="DA95" s="276">
        <f>SUMIF('20Ф'!$H:$H,$B:$B,'20Ф'!AJ:AJ)*1.2</f>
        <v>0</v>
      </c>
      <c r="DB95" s="276">
        <f>SUMIF('20Ф'!$H:$H,$B:$B,'20Ф'!AK:AK)*1.2</f>
        <v>0</v>
      </c>
      <c r="DC95" s="276">
        <f>SUMIF('20Ф'!$H:$H,$B:$B,'20Ф'!AL:AL)*1.2</f>
        <v>94428.756000000008</v>
      </c>
      <c r="DD95" s="276">
        <f>SUMIF('20Ф'!$H:$H,$B:$B,'20Ф'!AM:AM)*1.2</f>
        <v>0</v>
      </c>
      <c r="DE95" s="276">
        <f>SUMIF('20Ф'!$H:$H,$B:$B,'20Ф'!AN:AN)*1.2</f>
        <v>0</v>
      </c>
      <c r="DF95" s="276">
        <f>SUMIF('20Ф'!$H:$H,$B:$B,'20Ф'!AO:AO)*1.2</f>
        <v>0</v>
      </c>
      <c r="DG95" s="276">
        <f>SUMIF('20Ф'!$H:$H,$B:$B,'20Ф'!AP:AP)*1.2</f>
        <v>0</v>
      </c>
      <c r="DH95" s="276">
        <f>SUMIF('20Ф'!$H:$H,$B:$B,'20Ф'!AQ:AQ)*1.2</f>
        <v>0</v>
      </c>
      <c r="DI95" s="276">
        <f>SUMIF('20Ф'!$H:$H,$B:$B,'20Ф'!BA:BA)*1.2</f>
        <v>0</v>
      </c>
      <c r="DJ95" s="276">
        <f>SUMIF('20Ф'!$H:$H,$B:$B,'20Ф'!BB:BB)*1.2</f>
        <v>0</v>
      </c>
      <c r="DK95" s="276">
        <f>SUMIF('20Ф'!$H:$H,$B:$B,'20Ф'!BC:BC)*1.2</f>
        <v>0</v>
      </c>
      <c r="DL95" s="276">
        <f>$D95/$D$281*'20Ф'!$H$218</f>
        <v>30609.524374554974</v>
      </c>
      <c r="DM95" s="240">
        <f t="shared" si="13"/>
        <v>404410.17749983631</v>
      </c>
      <c r="DN95" s="276">
        <f>SUMIF('20Ф'!$H:$H,$B:$B,'20Ф'!AV:AV)*1.2</f>
        <v>0</v>
      </c>
      <c r="DO95" s="276">
        <f>SUMIF('20Ф'!$H:$H,$B:$B,'20Ф'!AW:AW)*1.2+$D95/$D$281*'26Ф'!$D$42</f>
        <v>16288.804396814765</v>
      </c>
      <c r="DP95" s="276">
        <f>SUMIF('20Ф'!$H:$H,$B:$B,'20Ф'!AX:AX)*1.2</f>
        <v>0</v>
      </c>
      <c r="DQ95" s="276">
        <f>SUMIF('20Ф'!$H:$H,$B:$B,'20Ф'!AY:AY)*1.2</f>
        <v>27109.991999999998</v>
      </c>
      <c r="DR95" s="276">
        <f>SUMIF('20Ф'!$H:$H,$B:$B,'20Ф'!AU:AU)*1.2</f>
        <v>0</v>
      </c>
      <c r="DS95" s="276">
        <f>SUMIF('20Ф'!$H:$H,$B:$B,'20Ф'!AS:AS)*1.2</f>
        <v>10326.348</v>
      </c>
      <c r="DT95" s="276">
        <f>SUMIF('20Ф'!$H:$H,$B:$B,'20Ф'!AR:AR)*1.2</f>
        <v>0</v>
      </c>
      <c r="DU95" s="276">
        <f>SUMIF('20Ф'!$H:$H,$B:$B,'20Ф'!X:X)*1.2</f>
        <v>63353.148000000001</v>
      </c>
      <c r="DV95" s="276">
        <f>SUMIF('20Ф'!$H:$H,$B:$B,'20Ф'!AA:AA)*1.2</f>
        <v>0</v>
      </c>
      <c r="DW95" s="276">
        <f>SUMIF('20Ф'!$H:$H,$B:$B,'20Ф'!N:N)*1.2</f>
        <v>0</v>
      </c>
      <c r="DX95" s="276">
        <f>$D95/$D$281*('25Ф'!$D$37)</f>
        <v>273794.4242344544</v>
      </c>
      <c r="DY95" s="276">
        <f>$D95/$D$281*'25Ф'!$D$30</f>
        <v>8738.6585318474536</v>
      </c>
      <c r="DZ95" s="276">
        <f>$D95/$D$281*'25Ф'!$D$31</f>
        <v>4798.8023367196547</v>
      </c>
      <c r="EA95" s="276"/>
      <c r="EB95" s="276">
        <f t="shared" si="14"/>
        <v>172494.78448727637</v>
      </c>
      <c r="EC95" s="276">
        <f>$D95/$D$281*'26Ф'!$D$36</f>
        <v>89789.090478995</v>
      </c>
      <c r="ED95" s="276">
        <f>$D95/$D$281*'26Ф'!$D$37</f>
        <v>10788.063324433149</v>
      </c>
      <c r="EE95" s="276">
        <f>$D95/$D$281*'26Ф'!$D$38</f>
        <v>10898.705529427303</v>
      </c>
      <c r="EF95" s="276">
        <f>$D95/$D$281*'26Ф'!$D$39</f>
        <v>7645.4319819020238</v>
      </c>
      <c r="EG95" s="276">
        <f>$D95/$D$281*'91Ф'!$D$10</f>
        <v>2358.6125867242408</v>
      </c>
      <c r="EH95" s="276">
        <f>$D95/$D$281*('20Ф'!$I$509+'26Ф'!$D$41+'20Ф'!$I$507)</f>
        <v>16686.407396712235</v>
      </c>
      <c r="EI95" s="276">
        <f>$D95/$D$281*'91Ф'!$D$31</f>
        <v>30588.635652698766</v>
      </c>
      <c r="EJ95" s="276">
        <f>$D95/$D$281*'20Ф'!$I$1316</f>
        <v>3739.8375363836103</v>
      </c>
      <c r="EK95" s="276">
        <f>$D95/$D$281*('20Ф'!$I$1105+'20Ф'!$I$1282+'91Ф'!$D$17+'91Ф'!$D$41)</f>
        <v>122820.43124839079</v>
      </c>
      <c r="EL95" s="276">
        <f>$D95/$D$281*отчёт!BX$294</f>
        <v>205318.30373924665</v>
      </c>
      <c r="EM95" s="276">
        <f>$D95/$D$281*отчёт!BY$294</f>
        <v>180566.42705458458</v>
      </c>
      <c r="EN95" s="276">
        <f>SUMIF(отчёт!$B:$B,$B:$B,отчёт!BZ:BZ)/отчёт!BZ$281*('60Ф'!$O$151+'60Ф'!$P$151)*отчёт!BZ$293</f>
        <v>0</v>
      </c>
      <c r="EO95" s="240">
        <f t="shared" si="19"/>
        <v>0</v>
      </c>
      <c r="EP95" s="276">
        <f>SUMIF('20Ф'!$H:$H,$B:$B,'20Ф'!T:T)*1.2</f>
        <v>0</v>
      </c>
      <c r="EQ95" s="276">
        <f>SUMIF('20Ф'!$H:$H,$B:$B,'20Ф'!U:U)*1.2</f>
        <v>0</v>
      </c>
      <c r="ER95" s="236"/>
      <c r="ES95" s="239">
        <f t="shared" si="17"/>
        <v>68720.114460332086</v>
      </c>
      <c r="ET95" s="276">
        <f>$D95/$D$282*'20Ф'!$I$381</f>
        <v>5252.3441905138061</v>
      </c>
      <c r="EU95" s="276">
        <f>$D95/$D$282*('20Ф'!$I$75+'20Ф'!$I$1098)*1.2</f>
        <v>60666.907059973397</v>
      </c>
      <c r="EV95" s="276">
        <f>$D95/$D$282*('20Ф'!$I$1286)</f>
        <v>2800.8632098448861</v>
      </c>
      <c r="EW95" s="276">
        <f>SUMIF('91.1Ф'!$N:$N,$B:$B,'91.1Ф'!$F:$F)+$D95/$D$281*('91Ф'!$D$12+'91Ф'!$D$11+'91Ф'!$D$19+'91Ф'!$D$20)</f>
        <v>16187.132516096361</v>
      </c>
      <c r="EX95" s="276">
        <f t="shared" si="15"/>
        <v>29564.941786961073</v>
      </c>
      <c r="EY95" s="276">
        <f>SUMIF('20Ф'!$H:$H,$B:$B,'20Ф'!$AY:$AY)*1.2</f>
        <v>27109.991999999998</v>
      </c>
      <c r="EZ95" s="295">
        <f>D95/$D$286*'20Ф'!$I$1163</f>
        <v>2454.9497869610741</v>
      </c>
      <c r="FA95" s="277">
        <f>SUMIF(отчёт!$B:$B,$B:$B,отчёт!$CU:$CU)/отчёт!$CU$281*'20Ф'!$I$1341</f>
        <v>3683.8554216867401</v>
      </c>
      <c r="FB95" s="276">
        <f>SUMIF(Сальдо!$A:$A,$B:$B,Сальдо!$H:$H)-SUMIF(Сальдо!$A:$A,$B:$B,Сальдо!$I:$I)</f>
        <v>228509.68</v>
      </c>
    </row>
    <row r="96" spans="1:158" ht="12" customHeight="1" x14ac:dyDescent="0.25">
      <c r="A96" s="3">
        <f t="shared" si="18"/>
        <v>92</v>
      </c>
      <c r="B96" s="4" t="s">
        <v>142</v>
      </c>
      <c r="C96" s="4" t="s">
        <v>142</v>
      </c>
      <c r="D96" s="5">
        <v>3501.57</v>
      </c>
      <c r="E96" s="6">
        <v>3501.57</v>
      </c>
      <c r="F96" s="6">
        <v>0</v>
      </c>
      <c r="G96" s="6">
        <v>302.8</v>
      </c>
      <c r="H96" s="5">
        <f>SUMIF(отчёт!$B:$B,$B:$B,отчёт!I:I)</f>
        <v>0</v>
      </c>
      <c r="I96" s="5">
        <f>SUMIF(отчёт!$B:$B,$B:$B,отчёт!J:J)</f>
        <v>0</v>
      </c>
      <c r="J96" s="3" t="s">
        <v>111</v>
      </c>
      <c r="K96" s="105">
        <v>7</v>
      </c>
      <c r="L96" s="105" t="s">
        <v>52</v>
      </c>
      <c r="M96" s="7">
        <v>31</v>
      </c>
      <c r="N96" s="8">
        <v>5.0999999999999996</v>
      </c>
      <c r="O96" s="8">
        <v>6.59</v>
      </c>
      <c r="P96" s="8">
        <v>8.98</v>
      </c>
      <c r="Q96" s="8">
        <v>6.92</v>
      </c>
      <c r="R96" s="8">
        <v>3.15</v>
      </c>
      <c r="S96" s="8">
        <v>0</v>
      </c>
      <c r="T96" s="8">
        <v>0</v>
      </c>
      <c r="U96" s="8">
        <v>0.26</v>
      </c>
      <c r="V96" s="9">
        <v>40</v>
      </c>
      <c r="W96" s="9">
        <v>40</v>
      </c>
      <c r="X96" s="9">
        <v>2604.04</v>
      </c>
      <c r="Y96" s="8">
        <v>195.98199600000001</v>
      </c>
      <c r="Z96" s="9">
        <v>42.3</v>
      </c>
      <c r="AA96" s="9">
        <v>2604.04</v>
      </c>
      <c r="AB96" s="8">
        <v>7.85</v>
      </c>
      <c r="AC96" s="10">
        <v>0</v>
      </c>
      <c r="AD96" s="8">
        <v>6.73</v>
      </c>
      <c r="AE96" s="8">
        <v>10.67</v>
      </c>
      <c r="AF96" s="8">
        <v>14</v>
      </c>
      <c r="AG96" s="7">
        <v>651292.02</v>
      </c>
      <c r="AH96" s="8">
        <v>107148.04199999999</v>
      </c>
      <c r="AI96" s="8">
        <v>138452.0778</v>
      </c>
      <c r="AJ96" s="8">
        <v>188664.59160000001</v>
      </c>
      <c r="AK96" s="8">
        <v>145385.18640000001</v>
      </c>
      <c r="AL96" s="8">
        <v>66179.672999999995</v>
      </c>
      <c r="AM96" s="8">
        <v>0</v>
      </c>
      <c r="AN96" s="8">
        <v>0</v>
      </c>
      <c r="AO96" s="8">
        <v>5462.4492000000009</v>
      </c>
      <c r="AQ96" s="104">
        <v>33.17</v>
      </c>
      <c r="AR96" s="375">
        <v>13.89</v>
      </c>
      <c r="AS96" s="376"/>
      <c r="AT96" s="104">
        <v>5.9</v>
      </c>
      <c r="AU96" s="104">
        <v>1.53</v>
      </c>
      <c r="AV96" s="104">
        <v>0.32</v>
      </c>
      <c r="AW96" s="104">
        <v>0.6</v>
      </c>
      <c r="AX96" s="104">
        <v>5.01</v>
      </c>
      <c r="AY96" s="104">
        <v>4.99</v>
      </c>
      <c r="AZ96" s="104">
        <v>0</v>
      </c>
      <c r="BA96" s="104">
        <v>0</v>
      </c>
      <c r="BB96" s="104">
        <v>0</v>
      </c>
      <c r="BC96" s="101">
        <v>0.93</v>
      </c>
      <c r="BD96" s="104">
        <v>37.581610000000005</v>
      </c>
      <c r="BE96" s="375">
        <v>15.737370000000004</v>
      </c>
      <c r="BF96" s="376">
        <v>0</v>
      </c>
      <c r="BG96" s="104">
        <v>6.6847000000000012</v>
      </c>
      <c r="BH96" s="104">
        <v>1.7334900000000002</v>
      </c>
      <c r="BI96" s="104">
        <v>0.36256000000000005</v>
      </c>
      <c r="BJ96" s="104">
        <v>0.67980000000000007</v>
      </c>
      <c r="BK96" s="104">
        <v>5.6763300000000001</v>
      </c>
      <c r="BL96" s="104">
        <v>5.65367</v>
      </c>
      <c r="BM96" s="104">
        <v>0</v>
      </c>
      <c r="BN96" s="104">
        <v>0</v>
      </c>
      <c r="BO96" s="104">
        <v>0</v>
      </c>
      <c r="BP96" s="101">
        <v>1.0536900000000002</v>
      </c>
      <c r="BQ96" s="103">
        <v>1548240.5350770003</v>
      </c>
      <c r="BR96" s="371">
        <v>648328.6413090002</v>
      </c>
      <c r="BS96" s="371">
        <v>0</v>
      </c>
      <c r="BT96" s="103">
        <v>275387.97579000005</v>
      </c>
      <c r="BU96" s="103">
        <v>71414.169993000003</v>
      </c>
      <c r="BV96" s="103">
        <v>14936.296992000001</v>
      </c>
      <c r="BW96" s="103">
        <v>28005.556860000004</v>
      </c>
      <c r="BX96" s="103">
        <v>233846.39978100001</v>
      </c>
      <c r="BY96" s="103">
        <v>232912.881219</v>
      </c>
      <c r="BZ96" s="103">
        <v>0</v>
      </c>
      <c r="CA96" s="103">
        <v>0</v>
      </c>
      <c r="CB96" s="103">
        <v>0</v>
      </c>
      <c r="CC96" s="103">
        <v>43408.613133000013</v>
      </c>
      <c r="CD96" s="1">
        <v>1</v>
      </c>
      <c r="CF96" s="277">
        <f>SUMIF(Оборот!$A:$A,$B:$B,Оборот!H:H)</f>
        <v>1332978</v>
      </c>
      <c r="CG96" s="277">
        <f>SUMIF(Оборот!$A:$A,$B:$B,Оборот!I:I)</f>
        <v>1315952.33</v>
      </c>
      <c r="CH96" s="277">
        <f t="shared" si="12"/>
        <v>1260835.688369585</v>
      </c>
      <c r="CI96" s="239">
        <f t="shared" si="16"/>
        <v>56054.636680481141</v>
      </c>
      <c r="CJ96" s="276">
        <f>SUMIF('20Ф'!$H:$H,$B:$B,'20Ф'!M:M)*1.2</f>
        <v>0</v>
      </c>
      <c r="CK96" s="276">
        <f>SUMIF('20Ф'!$H:$H,$B:$B,'20Ф'!O:O)*1.2</f>
        <v>0</v>
      </c>
      <c r="CL96" s="276">
        <f>SUMIF('20Ф'!$H:$H,$B:$B,'20Ф'!Q:Q)*1.2</f>
        <v>0</v>
      </c>
      <c r="CM96" s="276">
        <f>SUMIF('20Ф'!$H:$H,$B:$B,'20Ф'!R:R)*1.2</f>
        <v>0</v>
      </c>
      <c r="CN96" s="276">
        <f>SUMIF('20Ф'!$H:$H,$B:$B,'20Ф'!S:S)*1.2</f>
        <v>0</v>
      </c>
      <c r="CO96" s="276">
        <f>SUMIF('20Ф'!$H:$H,$B:$B,'20Ф'!W:W)*1.2</f>
        <v>0</v>
      </c>
      <c r="CP96" s="276">
        <f>SUMIF('20Ф'!$H:$H,$B:$B,'20Ф'!P:P)*1.2</f>
        <v>0</v>
      </c>
      <c r="CQ96" s="276">
        <f>SUMIF('20Ф'!$H:$H,$B:$B,'20Ф'!Y:Y)*1.2</f>
        <v>0</v>
      </c>
      <c r="CR96" s="276">
        <f>SUMIF('20Ф'!$H:$H,$B:$B,'20Ф'!Z:Z)*1.2</f>
        <v>0</v>
      </c>
      <c r="CS96" s="276">
        <f>SUMIF('20Ф'!$H:$H,$B:$B,'20Ф'!AB:AB)*1.2</f>
        <v>0</v>
      </c>
      <c r="CT96" s="276">
        <f>SUMIF('20Ф'!$H:$H,$B:$B,'20Ф'!AC:AC)*1.2</f>
        <v>0</v>
      </c>
      <c r="CU96" s="276">
        <f>SUMIF('20Ф'!$H:$H,$B:$B,'20Ф'!AD:AD)*1.2</f>
        <v>0</v>
      </c>
      <c r="CV96" s="276">
        <f>SUMIF('20Ф'!$H:$H,$B:$B,'20Ф'!AE:AE)*1.2</f>
        <v>0</v>
      </c>
      <c r="CW96" s="276">
        <f>SUMIF('20Ф'!$H:$H,$B:$B,'20Ф'!AF:AF)*1.2</f>
        <v>0</v>
      </c>
      <c r="CX96" s="276">
        <f>SUMIF('20Ф'!$H:$H,$B:$B,'20Ф'!AG:AG)*1.2</f>
        <v>8910.6839999999993</v>
      </c>
      <c r="CY96" s="276">
        <f>SUMIF('20Ф'!$H:$H,$B:$B,'20Ф'!AH:AH)*1.2</f>
        <v>0</v>
      </c>
      <c r="CZ96" s="276">
        <f>SUMIF('20Ф'!$H:$H,$B:$B,'20Ф'!AI:AI)*1.2</f>
        <v>0</v>
      </c>
      <c r="DA96" s="276">
        <f>SUMIF('20Ф'!$H:$H,$B:$B,'20Ф'!AJ:AJ)*1.2</f>
        <v>0</v>
      </c>
      <c r="DB96" s="276">
        <f>SUMIF('20Ф'!$H:$H,$B:$B,'20Ф'!AK:AK)*1.2</f>
        <v>0</v>
      </c>
      <c r="DC96" s="276">
        <f>SUMIF('20Ф'!$H:$H,$B:$B,'20Ф'!AL:AL)*1.2</f>
        <v>0</v>
      </c>
      <c r="DD96" s="276">
        <f>SUMIF('20Ф'!$H:$H,$B:$B,'20Ф'!AM:AM)*1.2</f>
        <v>0</v>
      </c>
      <c r="DE96" s="276">
        <f>SUMIF('20Ф'!$H:$H,$B:$B,'20Ф'!AN:AN)*1.2</f>
        <v>0</v>
      </c>
      <c r="DF96" s="276">
        <f>SUMIF('20Ф'!$H:$H,$B:$B,'20Ф'!AO:AO)*1.2</f>
        <v>0</v>
      </c>
      <c r="DG96" s="276">
        <f>SUMIF('20Ф'!$H:$H,$B:$B,'20Ф'!AP:AP)*1.2</f>
        <v>0</v>
      </c>
      <c r="DH96" s="276">
        <f>SUMIF('20Ф'!$H:$H,$B:$B,'20Ф'!AQ:AQ)*1.2</f>
        <v>16346.471999999998</v>
      </c>
      <c r="DI96" s="276">
        <f>SUMIF('20Ф'!$H:$H,$B:$B,'20Ф'!BA:BA)*1.2</f>
        <v>0</v>
      </c>
      <c r="DJ96" s="276">
        <f>SUMIF('20Ф'!$H:$H,$B:$B,'20Ф'!BB:BB)*1.2</f>
        <v>0</v>
      </c>
      <c r="DK96" s="276">
        <f>SUMIF('20Ф'!$H:$H,$B:$B,'20Ф'!BC:BC)*1.2</f>
        <v>0</v>
      </c>
      <c r="DL96" s="276">
        <f>$D96/$D$281*'20Ф'!$H$218</f>
        <v>30797.480680481141</v>
      </c>
      <c r="DM96" s="240">
        <f t="shared" si="13"/>
        <v>407483.59367827757</v>
      </c>
      <c r="DN96" s="276">
        <f>SUMIF('20Ф'!$H:$H,$B:$B,'20Ф'!AV:AV)*1.2</f>
        <v>0</v>
      </c>
      <c r="DO96" s="276">
        <f>SUMIF('20Ф'!$H:$H,$B:$B,'20Ф'!AW:AW)*1.2+$D96/$D$281*'26Ф'!$D$42</f>
        <v>16388.825013434482</v>
      </c>
      <c r="DP96" s="276">
        <f>SUMIF('20Ф'!$H:$H,$B:$B,'20Ф'!AX:AX)*1.2</f>
        <v>0</v>
      </c>
      <c r="DQ96" s="276">
        <f>SUMIF('20Ф'!$H:$H,$B:$B,'20Ф'!AY:AY)*1.2</f>
        <v>24015.996000000003</v>
      </c>
      <c r="DR96" s="276">
        <f>SUMIF('20Ф'!$H:$H,$B:$B,'20Ф'!AU:AU)*1.2</f>
        <v>0</v>
      </c>
      <c r="DS96" s="276">
        <f>SUMIF('20Ф'!$H:$H,$B:$B,'20Ф'!AS:AS)*1.2</f>
        <v>9204.8759999999984</v>
      </c>
      <c r="DT96" s="276">
        <f>SUMIF('20Ф'!$H:$H,$B:$B,'20Ф'!AR:AR)*1.2</f>
        <v>0</v>
      </c>
      <c r="DU96" s="276">
        <f>SUMIF('20Ф'!$H:$H,$B:$B,'20Ф'!X:X)*1.2</f>
        <v>68777.664000000004</v>
      </c>
      <c r="DV96" s="276">
        <f>SUMIF('20Ф'!$H:$H,$B:$B,'20Ф'!AA:AA)*1.2</f>
        <v>0</v>
      </c>
      <c r="DW96" s="276">
        <f>SUMIF('20Ф'!$H:$H,$B:$B,'20Ф'!N:N)*1.2</f>
        <v>0</v>
      </c>
      <c r="DX96" s="276">
        <f>$D96/$D$281*('25Ф'!$D$37)</f>
        <v>275475.64567169658</v>
      </c>
      <c r="DY96" s="276">
        <f>$D96/$D$281*'25Ф'!$D$30</f>
        <v>8792.3178424691378</v>
      </c>
      <c r="DZ96" s="276">
        <f>$D96/$D$281*'25Ф'!$D$31</f>
        <v>4828.2691506773872</v>
      </c>
      <c r="EA96" s="276"/>
      <c r="EB96" s="276">
        <f t="shared" si="14"/>
        <v>173553.98037960811</v>
      </c>
      <c r="EC96" s="276">
        <f>$D96/$D$281*'26Ф'!$D$36</f>
        <v>90340.436052104647</v>
      </c>
      <c r="ED96" s="276">
        <f>$D96/$D$281*'26Ф'!$D$37</f>
        <v>10854.30690619372</v>
      </c>
      <c r="EE96" s="276">
        <f>$D96/$D$281*'26Ф'!$D$38</f>
        <v>10965.62850430342</v>
      </c>
      <c r="EF96" s="276">
        <f>$D96/$D$281*'26Ф'!$D$39</f>
        <v>7692.3783876986008</v>
      </c>
      <c r="EG96" s="276">
        <f>$D96/$D$281*'91Ф'!$D$10</f>
        <v>2373.0955333877364</v>
      </c>
      <c r="EH96" s="276">
        <f>$D96/$D$281*('20Ф'!$I$509+'26Ф'!$D$41+'20Ф'!$I$507)</f>
        <v>16788.869475347874</v>
      </c>
      <c r="EI96" s="276">
        <f>$D96/$D$281*'91Ф'!$D$31</f>
        <v>30776.463692437341</v>
      </c>
      <c r="EJ96" s="276">
        <f>$D96/$D$281*'20Ф'!$I$1316</f>
        <v>3762.8018281348081</v>
      </c>
      <c r="EK96" s="276">
        <f>$D96/$D$281*('20Ф'!$I$1105+'20Ф'!$I$1282+'91Ф'!$D$17+'91Ф'!$D$41)</f>
        <v>123574.60417402096</v>
      </c>
      <c r="EL96" s="276">
        <f>$D96/$D$281*отчёт!BX$294</f>
        <v>206579.05086610941</v>
      </c>
      <c r="EM96" s="276">
        <f>$D96/$D$281*отчёт!BY$294</f>
        <v>181675.18647822589</v>
      </c>
      <c r="EN96" s="276">
        <f>SUMIF(отчёт!$B:$B,$B:$B,отчёт!BZ:BZ)/отчёт!BZ$281*('60Ф'!$O$151+'60Ф'!$P$151)*отчёт!BZ$293</f>
        <v>0</v>
      </c>
      <c r="EO96" s="240">
        <f t="shared" si="19"/>
        <v>0</v>
      </c>
      <c r="EP96" s="276">
        <f>SUMIF('20Ф'!$H:$H,$B:$B,'20Ф'!T:T)*1.2</f>
        <v>0</v>
      </c>
      <c r="EQ96" s="276">
        <f>SUMIF('20Ф'!$H:$H,$B:$B,'20Ф'!U:U)*1.2</f>
        <v>0</v>
      </c>
      <c r="ER96" s="236"/>
      <c r="ES96" s="239">
        <f t="shared" si="17"/>
        <v>69142.087003869063</v>
      </c>
      <c r="ET96" s="276">
        <f>$D96/$D$282*'20Ф'!$I$381</f>
        <v>5284.595956317864</v>
      </c>
      <c r="EU96" s="276">
        <f>$D96/$D$282*('20Ф'!$I$75+'20Ф'!$I$1098)*1.2</f>
        <v>61039.429272453046</v>
      </c>
      <c r="EV96" s="276">
        <f>$D96/$D$282*('20Ф'!$I$1286)</f>
        <v>2818.0617750981432</v>
      </c>
      <c r="EW96" s="276">
        <f>SUMIF('91.1Ф'!$N:$N,$B:$B,'91.1Ф'!$F:$F)+$D96/$D$281*('91Ф'!$D$12+'91Ф'!$D$11+'91Ф'!$D$19+'91Ф'!$D$20)</f>
        <v>16286.528821443462</v>
      </c>
      <c r="EX96" s="276">
        <f t="shared" si="15"/>
        <v>26486.020287549363</v>
      </c>
      <c r="EY96" s="276">
        <f>SUMIF('20Ф'!$H:$H,$B:$B,'20Ф'!$AY:$AY)*1.2</f>
        <v>24015.996000000003</v>
      </c>
      <c r="EZ96" s="295">
        <f>D96/$D$286*'20Ф'!$I$1163</f>
        <v>2470.0242875493614</v>
      </c>
      <c r="FA96" s="277">
        <f>SUMIF(отчёт!$B:$B,$B:$B,отчёт!$CU:$CU)/отчёт!$CU$281*'20Ф'!$I$1341</f>
        <v>3683.8554216867401</v>
      </c>
      <c r="FB96" s="276">
        <f>SUMIF(Сальдо!$A:$A,$B:$B,Сальдо!$H:$H)-SUMIF(Сальдо!$A:$A,$B:$B,Сальдо!$I:$I)</f>
        <v>173750.81</v>
      </c>
    </row>
    <row r="97" spans="1:158" ht="12" customHeight="1" x14ac:dyDescent="0.25">
      <c r="A97" s="3">
        <f t="shared" si="18"/>
        <v>93</v>
      </c>
      <c r="B97" s="4" t="s">
        <v>143</v>
      </c>
      <c r="C97" s="4" t="s">
        <v>143</v>
      </c>
      <c r="D97" s="5">
        <v>3661.5</v>
      </c>
      <c r="E97" s="6">
        <v>3513.8</v>
      </c>
      <c r="F97" s="6">
        <v>147.69999999999999</v>
      </c>
      <c r="G97" s="6">
        <v>431</v>
      </c>
      <c r="H97" s="5">
        <f>SUMIF(отчёт!$B:$B,$B:$B,отчёт!I:I)</f>
        <v>2</v>
      </c>
      <c r="I97" s="5">
        <f>SUMIF(отчёт!$B:$B,$B:$B,отчёт!J:J)</f>
        <v>0</v>
      </c>
      <c r="J97" s="3" t="s">
        <v>111</v>
      </c>
      <c r="K97" s="105">
        <v>3</v>
      </c>
      <c r="L97" s="105" t="s">
        <v>52</v>
      </c>
      <c r="M97" s="7">
        <v>45.06</v>
      </c>
      <c r="N97" s="8">
        <v>5.0999999999999996</v>
      </c>
      <c r="O97" s="8">
        <v>8.6300000000000008</v>
      </c>
      <c r="P97" s="8">
        <v>13.43</v>
      </c>
      <c r="Q97" s="8">
        <v>6.91</v>
      </c>
      <c r="R97" s="8">
        <v>3.15</v>
      </c>
      <c r="S97" s="8">
        <v>1.81</v>
      </c>
      <c r="T97" s="8">
        <v>5.77</v>
      </c>
      <c r="U97" s="8">
        <v>0.26</v>
      </c>
      <c r="V97" s="9">
        <v>40</v>
      </c>
      <c r="W97" s="9">
        <v>40</v>
      </c>
      <c r="X97" s="9">
        <v>2604.04</v>
      </c>
      <c r="Y97" s="8">
        <v>195.98199600000001</v>
      </c>
      <c r="Z97" s="9">
        <v>42.3</v>
      </c>
      <c r="AA97" s="9">
        <v>2604.04</v>
      </c>
      <c r="AB97" s="8">
        <v>7.85</v>
      </c>
      <c r="AC97" s="10">
        <v>0</v>
      </c>
      <c r="AD97" s="8">
        <v>6.73</v>
      </c>
      <c r="AE97" s="8">
        <v>10.67</v>
      </c>
      <c r="AF97" s="8">
        <v>14</v>
      </c>
      <c r="AG97" s="7">
        <v>989923.14</v>
      </c>
      <c r="AH97" s="8">
        <v>112041.9</v>
      </c>
      <c r="AI97" s="8">
        <v>189592.47000000003</v>
      </c>
      <c r="AJ97" s="8">
        <v>295043.67</v>
      </c>
      <c r="AK97" s="8">
        <v>151805.79</v>
      </c>
      <c r="AL97" s="8">
        <v>69202.350000000006</v>
      </c>
      <c r="AM97" s="8">
        <v>39763.89</v>
      </c>
      <c r="AN97" s="8">
        <v>126761.13</v>
      </c>
      <c r="AO97" s="8">
        <v>5711.9400000000005</v>
      </c>
      <c r="AQ97" s="104">
        <v>48.44</v>
      </c>
      <c r="AR97" s="375">
        <v>18.489999999999998</v>
      </c>
      <c r="AS97" s="376"/>
      <c r="AT97" s="104">
        <v>6.67</v>
      </c>
      <c r="AU97" s="104">
        <v>1.53</v>
      </c>
      <c r="AV97" s="104">
        <v>0.32</v>
      </c>
      <c r="AW97" s="104">
        <v>0.87</v>
      </c>
      <c r="AX97" s="104">
        <v>5.01</v>
      </c>
      <c r="AY97" s="104">
        <v>4.99</v>
      </c>
      <c r="AZ97" s="104">
        <v>2.7</v>
      </c>
      <c r="BA97" s="104">
        <v>6.46</v>
      </c>
      <c r="BB97" s="104">
        <v>0.47</v>
      </c>
      <c r="BC97" s="101">
        <v>0.93</v>
      </c>
      <c r="BD97" s="104">
        <v>54.88252</v>
      </c>
      <c r="BE97" s="375">
        <v>20.949169999999999</v>
      </c>
      <c r="BF97" s="376">
        <v>0</v>
      </c>
      <c r="BG97" s="104">
        <v>7.5571100000000007</v>
      </c>
      <c r="BH97" s="104">
        <v>1.7334900000000002</v>
      </c>
      <c r="BI97" s="104">
        <v>0.36256000000000005</v>
      </c>
      <c r="BJ97" s="104">
        <v>0.98571000000000009</v>
      </c>
      <c r="BK97" s="104">
        <v>5.6763300000000001</v>
      </c>
      <c r="BL97" s="104">
        <v>5.65367</v>
      </c>
      <c r="BM97" s="104">
        <v>3.0591000000000004</v>
      </c>
      <c r="BN97" s="104">
        <v>7.3191800000000002</v>
      </c>
      <c r="BO97" s="104">
        <v>0.53250999999999993</v>
      </c>
      <c r="BP97" s="101">
        <v>1.05369</v>
      </c>
      <c r="BQ97" s="103">
        <v>2364249.5898000002</v>
      </c>
      <c r="BR97" s="371">
        <v>902456.12954999984</v>
      </c>
      <c r="BS97" s="371">
        <v>0</v>
      </c>
      <c r="BT97" s="103">
        <v>325547.99265000003</v>
      </c>
      <c r="BU97" s="103">
        <v>74675.926349999994</v>
      </c>
      <c r="BV97" s="103">
        <v>15618.4944</v>
      </c>
      <c r="BW97" s="103">
        <v>42462.781650000004</v>
      </c>
      <c r="BX97" s="103">
        <v>244527.05294999998</v>
      </c>
      <c r="BY97" s="103">
        <v>243550.89705</v>
      </c>
      <c r="BZ97" s="103">
        <v>131781.04650000003</v>
      </c>
      <c r="CA97" s="103">
        <v>315298.35570000001</v>
      </c>
      <c r="CB97" s="103">
        <v>22939.663649999995</v>
      </c>
      <c r="CC97" s="103">
        <v>45391.249349999998</v>
      </c>
      <c r="CD97" s="1">
        <v>1</v>
      </c>
      <c r="CF97" s="277">
        <f>SUMIF(Оборот!$A:$A,$B:$B,Оборот!H:H)</f>
        <v>1982627.3999999997</v>
      </c>
      <c r="CG97" s="277">
        <f>SUMIF(Оборот!$A:$A,$B:$B,Оборот!I:I)</f>
        <v>2038397.9299999997</v>
      </c>
      <c r="CH97" s="277">
        <f t="shared" si="12"/>
        <v>1594264.9514802659</v>
      </c>
      <c r="CI97" s="239">
        <f t="shared" si="16"/>
        <v>119598.16258440119</v>
      </c>
      <c r="CJ97" s="276">
        <f>SUMIF('20Ф'!$H:$H,$B:$B,'20Ф'!M:M)*1.2</f>
        <v>0</v>
      </c>
      <c r="CK97" s="276">
        <f>SUMIF('20Ф'!$H:$H,$B:$B,'20Ф'!O:O)*1.2</f>
        <v>0</v>
      </c>
      <c r="CL97" s="276">
        <f>SUMIF('20Ф'!$H:$H,$B:$B,'20Ф'!Q:Q)*1.2</f>
        <v>0</v>
      </c>
      <c r="CM97" s="276">
        <f>SUMIF('20Ф'!$H:$H,$B:$B,'20Ф'!R:R)*1.2</f>
        <v>0</v>
      </c>
      <c r="CN97" s="276">
        <f>SUMIF('20Ф'!$H:$H,$B:$B,'20Ф'!S:S)*1.2</f>
        <v>0</v>
      </c>
      <c r="CO97" s="276">
        <f>SUMIF('20Ф'!$H:$H,$B:$B,'20Ф'!W:W)*1.2</f>
        <v>0</v>
      </c>
      <c r="CP97" s="276">
        <f>SUMIF('20Ф'!$H:$H,$B:$B,'20Ф'!P:P)*1.2</f>
        <v>0</v>
      </c>
      <c r="CQ97" s="276">
        <f>SUMIF('20Ф'!$H:$H,$B:$B,'20Ф'!Y:Y)*1.2</f>
        <v>0</v>
      </c>
      <c r="CR97" s="276">
        <f>SUMIF('20Ф'!$H:$H,$B:$B,'20Ф'!Z:Z)*1.2</f>
        <v>0</v>
      </c>
      <c r="CS97" s="276">
        <f>SUMIF('20Ф'!$H:$H,$B:$B,'20Ф'!AB:AB)*1.2</f>
        <v>0</v>
      </c>
      <c r="CT97" s="276">
        <f>SUMIF('20Ф'!$H:$H,$B:$B,'20Ф'!AC:AC)*1.2</f>
        <v>0</v>
      </c>
      <c r="CU97" s="276">
        <f>SUMIF('20Ф'!$H:$H,$B:$B,'20Ф'!AD:AD)*1.2</f>
        <v>0</v>
      </c>
      <c r="CV97" s="276">
        <f>SUMIF('20Ф'!$H:$H,$B:$B,'20Ф'!AE:AE)*1.2</f>
        <v>0</v>
      </c>
      <c r="CW97" s="276">
        <f>SUMIF('20Ф'!$H:$H,$B:$B,'20Ф'!AF:AF)*1.2</f>
        <v>0</v>
      </c>
      <c r="CX97" s="276">
        <f>SUMIF('20Ф'!$H:$H,$B:$B,'20Ф'!AG:AG)*1.2</f>
        <v>0</v>
      </c>
      <c r="CY97" s="276">
        <f>SUMIF('20Ф'!$H:$H,$B:$B,'20Ф'!AH:AH)*1.2</f>
        <v>87394.043999999994</v>
      </c>
      <c r="CZ97" s="276">
        <f>SUMIF('20Ф'!$H:$H,$B:$B,'20Ф'!AI:AI)*1.2</f>
        <v>0</v>
      </c>
      <c r="DA97" s="276">
        <f>SUMIF('20Ф'!$H:$H,$B:$B,'20Ф'!AJ:AJ)*1.2</f>
        <v>0</v>
      </c>
      <c r="DB97" s="276">
        <f>SUMIF('20Ф'!$H:$H,$B:$B,'20Ф'!AK:AK)*1.2</f>
        <v>0</v>
      </c>
      <c r="DC97" s="276">
        <f>SUMIF('20Ф'!$H:$H,$B:$B,'20Ф'!AL:AL)*1.2</f>
        <v>0</v>
      </c>
      <c r="DD97" s="276">
        <f>SUMIF('20Ф'!$H:$H,$B:$B,'20Ф'!AM:AM)*1.2</f>
        <v>0</v>
      </c>
      <c r="DE97" s="276">
        <f>SUMIF('20Ф'!$H:$H,$B:$B,'20Ф'!AN:AN)*1.2</f>
        <v>0</v>
      </c>
      <c r="DF97" s="276">
        <f>SUMIF('20Ф'!$H:$H,$B:$B,'20Ф'!AO:AO)*1.2</f>
        <v>0</v>
      </c>
      <c r="DG97" s="276">
        <f>SUMIF('20Ф'!$H:$H,$B:$B,'20Ф'!AP:AP)*1.2</f>
        <v>0</v>
      </c>
      <c r="DH97" s="276">
        <f>SUMIF('20Ф'!$H:$H,$B:$B,'20Ф'!AQ:AQ)*1.2</f>
        <v>0</v>
      </c>
      <c r="DI97" s="276">
        <f>SUMIF('20Ф'!$H:$H,$B:$B,'20Ф'!BA:BA)*1.2</f>
        <v>0</v>
      </c>
      <c r="DJ97" s="276">
        <f>SUMIF('20Ф'!$H:$H,$B:$B,'20Ф'!BB:BB)*1.2</f>
        <v>0</v>
      </c>
      <c r="DK97" s="276">
        <f>SUMIF('20Ф'!$H:$H,$B:$B,'20Ф'!BC:BC)*1.2</f>
        <v>0</v>
      </c>
      <c r="DL97" s="276">
        <f>$D97/$D$281*'20Ф'!$H$218</f>
        <v>32204.118584401196</v>
      </c>
      <c r="DM97" s="240">
        <f t="shared" si="13"/>
        <v>432096.4084194157</v>
      </c>
      <c r="DN97" s="276">
        <f>SUMIF('20Ф'!$H:$H,$B:$B,'20Ф'!AV:AV)*1.2</f>
        <v>0</v>
      </c>
      <c r="DO97" s="276">
        <f>SUMIF('20Ф'!$H:$H,$B:$B,'20Ф'!AW:AW)*1.2+$D97/$D$281*'26Ф'!$D$42</f>
        <v>17137.364892516885</v>
      </c>
      <c r="DP97" s="276">
        <f>SUMIF('20Ф'!$H:$H,$B:$B,'20Ф'!AX:AX)*1.2</f>
        <v>0</v>
      </c>
      <c r="DQ97" s="276">
        <f>SUMIF('20Ф'!$H:$H,$B:$B,'20Ф'!AY:AY)*1.2</f>
        <v>15999.995999999999</v>
      </c>
      <c r="DR97" s="276">
        <f>SUMIF('20Ф'!$H:$H,$B:$B,'20Ф'!AU:AU)*1.2</f>
        <v>0</v>
      </c>
      <c r="DS97" s="276">
        <f>SUMIF('20Ф'!$H:$H,$B:$B,'20Ф'!AS:AS)*1.2</f>
        <v>96658.691999999995</v>
      </c>
      <c r="DT97" s="276">
        <f>SUMIF('20Ф'!$H:$H,$B:$B,'20Ф'!AR:AR)*1.2</f>
        <v>0</v>
      </c>
      <c r="DU97" s="276">
        <f>SUMIF('20Ф'!$H:$H,$B:$B,'20Ф'!X:X)*1.2</f>
        <v>0</v>
      </c>
      <c r="DV97" s="276">
        <f>SUMIF('20Ф'!$H:$H,$B:$B,'20Ф'!AA:AA)*1.2</f>
        <v>0</v>
      </c>
      <c r="DW97" s="276">
        <f>SUMIF('20Ф'!$H:$H,$B:$B,'20Ф'!N:N)*1.2</f>
        <v>0</v>
      </c>
      <c r="DX97" s="276">
        <f>$D97/$D$281*('25Ф'!$D$37)</f>
        <v>288057.66459814226</v>
      </c>
      <c r="DY97" s="276">
        <f>$D97/$D$281*'25Ф'!$D$30</f>
        <v>9193.8963893912569</v>
      </c>
      <c r="DZ97" s="276">
        <f>$D97/$D$281*'25Ф'!$D$31</f>
        <v>5048.7945393652708</v>
      </c>
      <c r="EA97" s="276"/>
      <c r="EB97" s="276">
        <f t="shared" si="14"/>
        <v>181480.849778795</v>
      </c>
      <c r="EC97" s="276">
        <f>$D97/$D$281*'26Ф'!$D$36</f>
        <v>94466.62685731861</v>
      </c>
      <c r="ED97" s="276">
        <f>$D97/$D$281*'26Ф'!$D$37</f>
        <v>11350.064324582489</v>
      </c>
      <c r="EE97" s="276">
        <f>$D97/$D$281*'26Ф'!$D$38</f>
        <v>11466.470402849856</v>
      </c>
      <c r="EF97" s="276">
        <f>$D97/$D$281*'26Ф'!$D$39</f>
        <v>8043.7185224223485</v>
      </c>
      <c r="EG97" s="276">
        <f>$D97/$D$281*'91Ф'!$D$10</f>
        <v>2481.4838188296098</v>
      </c>
      <c r="EH97" s="276">
        <f>$D97/$D$281*('20Ф'!$I$509+'26Ф'!$D$41+'20Ф'!$I$507)</f>
        <v>17555.680904276149</v>
      </c>
      <c r="EI97" s="276">
        <f>$D97/$D$281*'91Ф'!$D$31</f>
        <v>32182.141670696092</v>
      </c>
      <c r="EJ97" s="276">
        <f>$D97/$D$281*'20Ф'!$I$1316</f>
        <v>3934.6632778198345</v>
      </c>
      <c r="EK97" s="276">
        <f>$D97/$D$281*('20Ф'!$I$1105+'20Ф'!$I$1282+'91Ф'!$D$17+'91Ф'!$D$41)</f>
        <v>129218.72565254378</v>
      </c>
      <c r="EL97" s="276">
        <f>$D97/$D$281*отчёт!BX$294</f>
        <v>216014.30065549439</v>
      </c>
      <c r="EM97" s="276">
        <f>$D97/$D$281*отчёт!BY$294</f>
        <v>189972.98220227615</v>
      </c>
      <c r="EN97" s="276">
        <f>$D97/$D$283*отчёт!BZ$294</f>
        <v>34094.21186215042</v>
      </c>
      <c r="EO97" s="240">
        <f t="shared" ref="EO97:EO103" si="22">SUBTOTAL(9,EP97:ER97)</f>
        <v>183876.00950099801</v>
      </c>
      <c r="EP97" s="276">
        <f>SUMIF('20Ф'!$H:$H,$B:$B,'20Ф'!T:T)*1.2</f>
        <v>6012.5999999999995</v>
      </c>
      <c r="EQ97" s="276">
        <f>SUM(H97:I97)/SUM($H$284:$I$284)*SUM('60Ф'!$O$155:$P$155)</f>
        <v>172510.26175648702</v>
      </c>
      <c r="ER97" s="276">
        <f>SUM($H97:$I97)/SUM($H$284:$I$284)*SUM('60Ф'!$P$227)</f>
        <v>5353.1477445109776</v>
      </c>
      <c r="ES97" s="239">
        <f t="shared" si="17"/>
        <v>72300.068701944125</v>
      </c>
      <c r="ET97" s="276">
        <f>$D97/$D$282*'20Ф'!$I$381</f>
        <v>5525.963523236107</v>
      </c>
      <c r="EU97" s="276">
        <f>$D97/$D$282*('20Ф'!$I$75+'20Ф'!$I$1098)*1.2</f>
        <v>63827.331820036954</v>
      </c>
      <c r="EV97" s="276">
        <f>$D97/$D$282*('20Ф'!$I$1286)</f>
        <v>2946.7733586710674</v>
      </c>
      <c r="EW97" s="276">
        <f>SUMIF('91.1Ф'!$N:$N,$B:$B,'91.1Ф'!$F:$F)+$D97/$D$281*('91Ф'!$D$12+'91Ф'!$D$11+'91Ф'!$D$19+'91Ф'!$D$20)</f>
        <v>17030.396444941907</v>
      </c>
      <c r="EX97" s="276">
        <f t="shared" si="15"/>
        <v>18582.835677305316</v>
      </c>
      <c r="EY97" s="276">
        <f>SUMIF('20Ф'!$H:$H,$B:$B,'20Ф'!$AY:$AY)*1.2</f>
        <v>15999.995999999999</v>
      </c>
      <c r="EZ97" s="295">
        <f>D97/$D$286*'20Ф'!$I$1163</f>
        <v>2582.8396773053191</v>
      </c>
      <c r="FA97" s="277">
        <f>SUMIF(отчёт!$B:$B,$B:$B,отчёт!$CU:$CU)/отчёт!$CU$281*'20Ф'!$I$1341</f>
        <v>920.96385542168503</v>
      </c>
      <c r="FB97" s="276">
        <f>SUMIF(Сальдо!$A:$A,$B:$B,Сальдо!$H:$H)-SUMIF(Сальдо!$A:$A,$B:$B,Сальдо!$I:$I)</f>
        <v>218993.66999999998</v>
      </c>
    </row>
    <row r="98" spans="1:158" ht="12" customHeight="1" x14ac:dyDescent="0.25">
      <c r="A98" s="3">
        <f t="shared" si="18"/>
        <v>94</v>
      </c>
      <c r="B98" s="4" t="s">
        <v>144</v>
      </c>
      <c r="C98" s="4" t="s">
        <v>144</v>
      </c>
      <c r="D98" s="5">
        <v>3644.4</v>
      </c>
      <c r="E98" s="6">
        <v>3644.4</v>
      </c>
      <c r="F98" s="6">
        <v>0</v>
      </c>
      <c r="G98" s="6">
        <v>441.1</v>
      </c>
      <c r="H98" s="5">
        <f>SUMIF(отчёт!$B:$B,$B:$B,отчёт!I:I)</f>
        <v>2</v>
      </c>
      <c r="I98" s="5">
        <f>SUMIF(отчёт!$B:$B,$B:$B,отчёт!J:J)</f>
        <v>0</v>
      </c>
      <c r="J98" s="3" t="s">
        <v>111</v>
      </c>
      <c r="K98" s="105">
        <v>3</v>
      </c>
      <c r="L98" s="105" t="s">
        <v>52</v>
      </c>
      <c r="M98" s="7">
        <v>45.06</v>
      </c>
      <c r="N98" s="8">
        <v>5.0999999999999996</v>
      </c>
      <c r="O98" s="8">
        <v>8.6300000000000008</v>
      </c>
      <c r="P98" s="8">
        <v>13.43</v>
      </c>
      <c r="Q98" s="8">
        <v>6.91</v>
      </c>
      <c r="R98" s="8">
        <v>3.15</v>
      </c>
      <c r="S98" s="8">
        <v>1.81</v>
      </c>
      <c r="T98" s="8">
        <v>5.77</v>
      </c>
      <c r="U98" s="8">
        <v>0.26</v>
      </c>
      <c r="V98" s="9">
        <v>40</v>
      </c>
      <c r="W98" s="9">
        <v>40</v>
      </c>
      <c r="X98" s="9">
        <v>2604.04</v>
      </c>
      <c r="Y98" s="8">
        <v>195.98199600000001</v>
      </c>
      <c r="Z98" s="9">
        <v>42.3</v>
      </c>
      <c r="AA98" s="9">
        <v>2604.04</v>
      </c>
      <c r="AB98" s="8">
        <v>7.85</v>
      </c>
      <c r="AC98" s="10">
        <v>0</v>
      </c>
      <c r="AD98" s="8">
        <v>6.73</v>
      </c>
      <c r="AE98" s="8">
        <v>10.67</v>
      </c>
      <c r="AF98" s="8">
        <v>14</v>
      </c>
      <c r="AG98" s="7">
        <v>985299.98400000017</v>
      </c>
      <c r="AH98" s="8">
        <v>111518.63999999998</v>
      </c>
      <c r="AI98" s="8">
        <v>188707.03200000001</v>
      </c>
      <c r="AJ98" s="8">
        <v>293665.75199999998</v>
      </c>
      <c r="AK98" s="8">
        <v>151096.82399999999</v>
      </c>
      <c r="AL98" s="8">
        <v>68879.16</v>
      </c>
      <c r="AM98" s="8">
        <v>39578.184000000001</v>
      </c>
      <c r="AN98" s="8">
        <v>126169.128</v>
      </c>
      <c r="AO98" s="8">
        <v>5685.264000000001</v>
      </c>
      <c r="AQ98" s="104">
        <v>48.44</v>
      </c>
      <c r="AR98" s="375">
        <v>18.489999999999998</v>
      </c>
      <c r="AS98" s="376"/>
      <c r="AT98" s="104">
        <v>6.67</v>
      </c>
      <c r="AU98" s="104">
        <v>1.53</v>
      </c>
      <c r="AV98" s="104">
        <v>0.32</v>
      </c>
      <c r="AW98" s="104">
        <v>0.87</v>
      </c>
      <c r="AX98" s="104">
        <v>5.01</v>
      </c>
      <c r="AY98" s="104">
        <v>4.99</v>
      </c>
      <c r="AZ98" s="104">
        <v>2.7</v>
      </c>
      <c r="BA98" s="104">
        <v>6.46</v>
      </c>
      <c r="BB98" s="104">
        <v>0.47</v>
      </c>
      <c r="BC98" s="101">
        <v>0.93</v>
      </c>
      <c r="BD98" s="104">
        <v>54.88252</v>
      </c>
      <c r="BE98" s="375">
        <v>20.949169999999999</v>
      </c>
      <c r="BF98" s="376">
        <v>0</v>
      </c>
      <c r="BG98" s="104">
        <v>7.5571100000000007</v>
      </c>
      <c r="BH98" s="104">
        <v>1.7334900000000002</v>
      </c>
      <c r="BI98" s="104">
        <v>0.36256000000000005</v>
      </c>
      <c r="BJ98" s="104">
        <v>0.98571000000000009</v>
      </c>
      <c r="BK98" s="104">
        <v>5.6763300000000001</v>
      </c>
      <c r="BL98" s="104">
        <v>5.65367</v>
      </c>
      <c r="BM98" s="104">
        <v>3.0591000000000004</v>
      </c>
      <c r="BN98" s="104">
        <v>7.3191800000000002</v>
      </c>
      <c r="BO98" s="104">
        <v>0.53250999999999993</v>
      </c>
      <c r="BP98" s="101">
        <v>1.05369</v>
      </c>
      <c r="BQ98" s="103">
        <v>2353208.03088</v>
      </c>
      <c r="BR98" s="371">
        <v>898241.46347999992</v>
      </c>
      <c r="BS98" s="371">
        <v>0</v>
      </c>
      <c r="BT98" s="103">
        <v>324027.61284000002</v>
      </c>
      <c r="BU98" s="103">
        <v>74327.173559999996</v>
      </c>
      <c r="BV98" s="103">
        <v>15545.55264</v>
      </c>
      <c r="BW98" s="103">
        <v>42264.471240000006</v>
      </c>
      <c r="BX98" s="103">
        <v>243385.05851999999</v>
      </c>
      <c r="BY98" s="103">
        <v>242413.46148</v>
      </c>
      <c r="BZ98" s="103">
        <v>131165.60040000002</v>
      </c>
      <c r="CA98" s="103">
        <v>313825.84392000001</v>
      </c>
      <c r="CB98" s="103">
        <v>22832.530439999995</v>
      </c>
      <c r="CC98" s="103">
        <v>45179.262359999993</v>
      </c>
      <c r="CD98" s="1">
        <v>1</v>
      </c>
      <c r="CF98" s="277">
        <f>SUMIF(Оборот!$A:$A,$B:$B,Оборот!H:H)</f>
        <v>2019872.2799999998</v>
      </c>
      <c r="CG98" s="277">
        <f>SUMIF(Оборот!$A:$A,$B:$B,Оборот!I:I)</f>
        <v>2075484.1300000004</v>
      </c>
      <c r="CH98" s="277">
        <f t="shared" si="12"/>
        <v>1481471.8220417723</v>
      </c>
      <c r="CI98" s="239">
        <f t="shared" si="16"/>
        <v>111337.11835832082</v>
      </c>
      <c r="CJ98" s="276">
        <f>SUMIF('20Ф'!$H:$H,$B:$B,'20Ф'!M:M)*1.2</f>
        <v>0</v>
      </c>
      <c r="CK98" s="276">
        <f>SUMIF('20Ф'!$H:$H,$B:$B,'20Ф'!O:O)*1.2</f>
        <v>79283.399999999994</v>
      </c>
      <c r="CL98" s="276">
        <f>SUMIF('20Ф'!$H:$H,$B:$B,'20Ф'!Q:Q)*1.2</f>
        <v>0</v>
      </c>
      <c r="CM98" s="276">
        <f>SUMIF('20Ф'!$H:$H,$B:$B,'20Ф'!R:R)*1.2</f>
        <v>0</v>
      </c>
      <c r="CN98" s="276">
        <f>SUMIF('20Ф'!$H:$H,$B:$B,'20Ф'!S:S)*1.2</f>
        <v>0</v>
      </c>
      <c r="CO98" s="276">
        <f>SUMIF('20Ф'!$H:$H,$B:$B,'20Ф'!W:W)*1.2</f>
        <v>0</v>
      </c>
      <c r="CP98" s="276">
        <f>SUMIF('20Ф'!$H:$H,$B:$B,'20Ф'!P:P)*1.2</f>
        <v>0</v>
      </c>
      <c r="CQ98" s="276">
        <f>SUMIF('20Ф'!$H:$H,$B:$B,'20Ф'!Y:Y)*1.2</f>
        <v>0</v>
      </c>
      <c r="CR98" s="276">
        <f>SUMIF('20Ф'!$H:$H,$B:$B,'20Ф'!Z:Z)*1.2</f>
        <v>0</v>
      </c>
      <c r="CS98" s="276">
        <f>SUMIF('20Ф'!$H:$H,$B:$B,'20Ф'!AB:AB)*1.2</f>
        <v>0</v>
      </c>
      <c r="CT98" s="276">
        <f>SUMIF('20Ф'!$H:$H,$B:$B,'20Ф'!AC:AC)*1.2</f>
        <v>0</v>
      </c>
      <c r="CU98" s="276">
        <f>SUMIF('20Ф'!$H:$H,$B:$B,'20Ф'!AD:AD)*1.2</f>
        <v>0</v>
      </c>
      <c r="CV98" s="276">
        <f>SUMIF('20Ф'!$H:$H,$B:$B,'20Ф'!AE:AE)*1.2</f>
        <v>0</v>
      </c>
      <c r="CW98" s="276">
        <f>SUMIF('20Ф'!$H:$H,$B:$B,'20Ф'!AF:AF)*1.2</f>
        <v>0</v>
      </c>
      <c r="CX98" s="276">
        <f>SUMIF('20Ф'!$H:$H,$B:$B,'20Ф'!AG:AG)*1.2</f>
        <v>0</v>
      </c>
      <c r="CY98" s="276">
        <f>SUMIF('20Ф'!$H:$H,$B:$B,'20Ф'!AH:AH)*1.2</f>
        <v>0</v>
      </c>
      <c r="CZ98" s="276">
        <f>SUMIF('20Ф'!$H:$H,$B:$B,'20Ф'!AI:AI)*1.2</f>
        <v>0</v>
      </c>
      <c r="DA98" s="276">
        <f>SUMIF('20Ф'!$H:$H,$B:$B,'20Ф'!AJ:AJ)*1.2</f>
        <v>0</v>
      </c>
      <c r="DB98" s="276">
        <f>SUMIF('20Ф'!$H:$H,$B:$B,'20Ф'!AK:AK)*1.2</f>
        <v>0</v>
      </c>
      <c r="DC98" s="276">
        <f>SUMIF('20Ф'!$H:$H,$B:$B,'20Ф'!AL:AL)*1.2</f>
        <v>0</v>
      </c>
      <c r="DD98" s="276">
        <f>SUMIF('20Ф'!$H:$H,$B:$B,'20Ф'!AM:AM)*1.2</f>
        <v>0</v>
      </c>
      <c r="DE98" s="276">
        <f>SUMIF('20Ф'!$H:$H,$B:$B,'20Ф'!AN:AN)*1.2</f>
        <v>0</v>
      </c>
      <c r="DF98" s="276">
        <f>SUMIF('20Ф'!$H:$H,$B:$B,'20Ф'!AO:AO)*1.2</f>
        <v>0</v>
      </c>
      <c r="DG98" s="276">
        <f>SUMIF('20Ф'!$H:$H,$B:$B,'20Ф'!AP:AP)*1.2</f>
        <v>0</v>
      </c>
      <c r="DH98" s="276">
        <f>SUMIF('20Ф'!$H:$H,$B:$B,'20Ф'!AQ:AQ)*1.2</f>
        <v>0</v>
      </c>
      <c r="DI98" s="276">
        <f>SUMIF('20Ф'!$H:$H,$B:$B,'20Ф'!BA:BA)*1.2</f>
        <v>0</v>
      </c>
      <c r="DJ98" s="276">
        <f>SUMIF('20Ф'!$H:$H,$B:$B,'20Ф'!BB:BB)*1.2</f>
        <v>0</v>
      </c>
      <c r="DK98" s="276">
        <f>SUMIF('20Ф'!$H:$H,$B:$B,'20Ф'!BC:BC)*1.2</f>
        <v>0</v>
      </c>
      <c r="DL98" s="276">
        <f>$D98/$D$281*'20Ф'!$H$218</f>
        <v>32053.718358320828</v>
      </c>
      <c r="DM98" s="240">
        <f t="shared" si="13"/>
        <v>332722.88090742001</v>
      </c>
      <c r="DN98" s="276">
        <f>SUMIF('20Ф'!$H:$H,$B:$B,'20Ф'!AV:AV)*1.2</f>
        <v>0</v>
      </c>
      <c r="DO98" s="276">
        <f>SUMIF('20Ф'!$H:$H,$B:$B,'20Ф'!AW:AW)*1.2+$D98/$D$281*'26Ф'!$D$42</f>
        <v>17057.329677533398</v>
      </c>
      <c r="DP98" s="276">
        <f>SUMIF('20Ф'!$H:$H,$B:$B,'20Ф'!AX:AX)*1.2</f>
        <v>0</v>
      </c>
      <c r="DQ98" s="276">
        <f>SUMIF('20Ф'!$H:$H,$B:$B,'20Ф'!AY:AY)*1.2</f>
        <v>14777.003999999999</v>
      </c>
      <c r="DR98" s="276">
        <f>SUMIF('20Ф'!$H:$H,$B:$B,'20Ф'!AU:AU)*1.2</f>
        <v>0</v>
      </c>
      <c r="DS98" s="276">
        <f>SUMIF('20Ф'!$H:$H,$B:$B,'20Ф'!AS:AS)*1.2</f>
        <v>0</v>
      </c>
      <c r="DT98" s="276">
        <f>SUMIF('20Ф'!$H:$H,$B:$B,'20Ф'!AR:AR)*1.2</f>
        <v>0</v>
      </c>
      <c r="DU98" s="276">
        <f>SUMIF('20Ф'!$H:$H,$B:$B,'20Ф'!X:X)*1.2</f>
        <v>0</v>
      </c>
      <c r="DV98" s="276">
        <f>SUMIF('20Ф'!$H:$H,$B:$B,'20Ф'!AA:AA)*1.2</f>
        <v>0</v>
      </c>
      <c r="DW98" s="276">
        <f>SUMIF('20Ф'!$H:$H,$B:$B,'20Ф'!N:N)*1.2</f>
        <v>0</v>
      </c>
      <c r="DX98" s="276">
        <f>$D98/$D$281*('25Ф'!$D$37)</f>
        <v>286712.3727601993</v>
      </c>
      <c r="DY98" s="276">
        <f>$D98/$D$281*'25Ф'!$D$30</f>
        <v>9150.958897036051</v>
      </c>
      <c r="DZ98" s="276">
        <f>$D98/$D$281*'25Ф'!$D$31</f>
        <v>5025.2155726513165</v>
      </c>
      <c r="EA98" s="276"/>
      <c r="EB98" s="276">
        <f t="shared" si="14"/>
        <v>180633.29480645648</v>
      </c>
      <c r="EC98" s="276">
        <f>$D98/$D$281*'26Ф'!$D$36</f>
        <v>94025.447198910813</v>
      </c>
      <c r="ED98" s="276">
        <f>$D98/$D$281*'26Ф'!$D$37</f>
        <v>11297.057059813853</v>
      </c>
      <c r="EE98" s="276">
        <f>$D98/$D$281*'26Ф'!$D$38</f>
        <v>11412.919496421144</v>
      </c>
      <c r="EF98" s="276">
        <f>$D98/$D$281*'26Ф'!$D$39</f>
        <v>8006.1526104372551</v>
      </c>
      <c r="EG98" s="276">
        <f>$D98/$D$281*'91Ф'!$D$10</f>
        <v>2469.8947506056616</v>
      </c>
      <c r="EH98" s="276">
        <f>$D98/$D$281*('20Ф'!$I$509+'26Ф'!$D$41+'20Ф'!$I$507)</f>
        <v>17473.692062691243</v>
      </c>
      <c r="EI98" s="276">
        <f>$D98/$D$281*'91Ф'!$D$31</f>
        <v>32031.844081574447</v>
      </c>
      <c r="EJ98" s="276">
        <f>$D98/$D$281*'20Ф'!$I$1316</f>
        <v>3916.2875460020773</v>
      </c>
      <c r="EK98" s="276">
        <f>$D98/$D$281*('20Ф'!$I$1105+'20Ф'!$I$1282+'91Ф'!$D$17+'91Ф'!$D$41)</f>
        <v>128615.24614724309</v>
      </c>
      <c r="EL98" s="276">
        <f>$D98/$D$281*отчёт!BX$294</f>
        <v>215005.46696951624</v>
      </c>
      <c r="EM98" s="276">
        <f>$D98/$D$281*отчёт!BY$294</f>
        <v>189085.76712767314</v>
      </c>
      <c r="EN98" s="276">
        <f>$D98/$D$283*отчёт!BZ$294</f>
        <v>33934.98449007811</v>
      </c>
      <c r="EO98" s="240">
        <f t="shared" si="22"/>
        <v>183876.00950099801</v>
      </c>
      <c r="EP98" s="276">
        <f>SUMIF('20Ф'!$H:$H,$B:$B,'20Ф'!T:T)*1.2</f>
        <v>6012.5999999999995</v>
      </c>
      <c r="EQ98" s="276">
        <f>SUM(H98:I98)/SUM($H$284:$I$284)*SUM('60Ф'!$O$155:$P$155)</f>
        <v>172510.26175648702</v>
      </c>
      <c r="ER98" s="276">
        <f>SUM($H98:$I98)/SUM($H$284:$I$284)*SUM('60Ф'!$P$227)</f>
        <v>5353.1477445109776</v>
      </c>
      <c r="ES98" s="239">
        <f t="shared" si="17"/>
        <v>71962.411683016573</v>
      </c>
      <c r="ET98" s="276">
        <f>$D98/$D$282*'20Ф'!$I$381</f>
        <v>5500.1560737625759</v>
      </c>
      <c r="EU98" s="276">
        <f>$D98/$D$282*('20Ф'!$I$75+'20Ф'!$I$1098)*1.2</f>
        <v>63529.244321983526</v>
      </c>
      <c r="EV98" s="276">
        <f>$D98/$D$282*('20Ф'!$I$1286)</f>
        <v>2933.011287270474</v>
      </c>
      <c r="EW98" s="276">
        <f>SUMIF('91.1Ф'!$N:$N,$B:$B,'91.1Ф'!$F:$F)+$D98/$D$281*('91Ф'!$D$12+'91Ф'!$D$11+'91Ф'!$D$19+'91Ф'!$D$20)</f>
        <v>16950.860795834025</v>
      </c>
      <c r="EX98" s="276">
        <f t="shared" si="15"/>
        <v>17347.781255215486</v>
      </c>
      <c r="EY98" s="276">
        <f>SUMIF('20Ф'!$H:$H,$B:$B,'20Ф'!$AY:$AY)*1.2</f>
        <v>14777.003999999999</v>
      </c>
      <c r="EZ98" s="295">
        <f>D98/$D$286*'20Ф'!$I$1163</f>
        <v>2570.777255215487</v>
      </c>
      <c r="FA98" s="277">
        <f>SUMIF(отчёт!$B:$B,$B:$B,отчёт!$CU:$CU)/отчёт!$CU$281*'20Ф'!$I$1341</f>
        <v>920.96385542168503</v>
      </c>
      <c r="FB98" s="276">
        <f>SUMIF(Сальдо!$A:$A,$B:$B,Сальдо!$H:$H)-SUMIF(Сальдо!$A:$A,$B:$B,Сальдо!$I:$I)</f>
        <v>137662.66999999998</v>
      </c>
    </row>
    <row r="99" spans="1:158" ht="12" customHeight="1" x14ac:dyDescent="0.25">
      <c r="A99" s="3">
        <f t="shared" si="18"/>
        <v>95</v>
      </c>
      <c r="B99" s="4" t="s">
        <v>145</v>
      </c>
      <c r="C99" s="4" t="s">
        <v>145</v>
      </c>
      <c r="D99" s="5">
        <v>8981.23</v>
      </c>
      <c r="E99" s="6">
        <v>8981.23</v>
      </c>
      <c r="F99" s="6">
        <v>0</v>
      </c>
      <c r="G99" s="6">
        <v>907.9</v>
      </c>
      <c r="H99" s="5">
        <f>SUMIF(отчёт!$B:$B,$B:$B,отчёт!I:I)</f>
        <v>6</v>
      </c>
      <c r="I99" s="5">
        <f>SUMIF(отчёт!$B:$B,$B:$B,отчёт!J:J)</f>
        <v>0</v>
      </c>
      <c r="J99" s="3" t="s">
        <v>111</v>
      </c>
      <c r="K99" s="105">
        <v>3</v>
      </c>
      <c r="L99" s="105" t="s">
        <v>52</v>
      </c>
      <c r="M99" s="7">
        <v>45.06</v>
      </c>
      <c r="N99" s="8">
        <v>5.0999999999999996</v>
      </c>
      <c r="O99" s="8">
        <v>8.6300000000000008</v>
      </c>
      <c r="P99" s="8">
        <v>13.43</v>
      </c>
      <c r="Q99" s="8">
        <v>6.91</v>
      </c>
      <c r="R99" s="8">
        <v>3.15</v>
      </c>
      <c r="S99" s="8">
        <v>1.81</v>
      </c>
      <c r="T99" s="8">
        <v>5.77</v>
      </c>
      <c r="U99" s="8">
        <v>0.26</v>
      </c>
      <c r="V99" s="9">
        <v>40</v>
      </c>
      <c r="W99" s="9">
        <v>40</v>
      </c>
      <c r="X99" s="9">
        <v>2604.04</v>
      </c>
      <c r="Y99" s="8">
        <v>195.98199600000001</v>
      </c>
      <c r="Z99" s="9">
        <v>42.3</v>
      </c>
      <c r="AA99" s="9">
        <v>2604.04</v>
      </c>
      <c r="AB99" s="8">
        <v>7.85</v>
      </c>
      <c r="AC99" s="10">
        <v>0</v>
      </c>
      <c r="AD99" s="8">
        <v>6.73</v>
      </c>
      <c r="AE99" s="8">
        <v>10.67</v>
      </c>
      <c r="AF99" s="8">
        <v>14</v>
      </c>
      <c r="AG99" s="7">
        <v>2428165.3427999998</v>
      </c>
      <c r="AH99" s="8">
        <v>274825.63799999998</v>
      </c>
      <c r="AI99" s="8">
        <v>465048.08940000006</v>
      </c>
      <c r="AJ99" s="8">
        <v>723707.51339999994</v>
      </c>
      <c r="AK99" s="8">
        <v>372361.79579999996</v>
      </c>
      <c r="AL99" s="8">
        <v>169745.24699999997</v>
      </c>
      <c r="AM99" s="8">
        <v>97536.157800000001</v>
      </c>
      <c r="AN99" s="8">
        <v>310930.18259999994</v>
      </c>
      <c r="AO99" s="8">
        <v>14010.718799999999</v>
      </c>
      <c r="AQ99" s="104">
        <v>48.44</v>
      </c>
      <c r="AR99" s="375">
        <v>18.489999999999998</v>
      </c>
      <c r="AS99" s="376"/>
      <c r="AT99" s="104">
        <v>6.67</v>
      </c>
      <c r="AU99" s="104">
        <v>1.53</v>
      </c>
      <c r="AV99" s="104">
        <v>0.32</v>
      </c>
      <c r="AW99" s="104">
        <v>0.87</v>
      </c>
      <c r="AX99" s="104">
        <v>5.01</v>
      </c>
      <c r="AY99" s="104">
        <v>4.99</v>
      </c>
      <c r="AZ99" s="104">
        <v>2.7</v>
      </c>
      <c r="BA99" s="104">
        <v>6.46</v>
      </c>
      <c r="BB99" s="104">
        <v>0.47</v>
      </c>
      <c r="BC99" s="101">
        <v>0.93</v>
      </c>
      <c r="BD99" s="104">
        <v>54.88252</v>
      </c>
      <c r="BE99" s="375">
        <v>20.949169999999999</v>
      </c>
      <c r="BF99" s="376">
        <v>0</v>
      </c>
      <c r="BG99" s="104">
        <v>7.5571100000000007</v>
      </c>
      <c r="BH99" s="104">
        <v>1.7334900000000002</v>
      </c>
      <c r="BI99" s="104">
        <v>0.36256000000000005</v>
      </c>
      <c r="BJ99" s="104">
        <v>0.98571000000000009</v>
      </c>
      <c r="BK99" s="104">
        <v>5.6763300000000001</v>
      </c>
      <c r="BL99" s="104">
        <v>5.65367</v>
      </c>
      <c r="BM99" s="104">
        <v>3.0591000000000004</v>
      </c>
      <c r="BN99" s="104">
        <v>7.3191800000000002</v>
      </c>
      <c r="BO99" s="104">
        <v>0.53250999999999993</v>
      </c>
      <c r="BP99" s="101">
        <v>1.05369</v>
      </c>
      <c r="BQ99" s="103">
        <v>5799226.9133959999</v>
      </c>
      <c r="BR99" s="371">
        <v>2213619.0261909994</v>
      </c>
      <c r="BS99" s="371">
        <v>0</v>
      </c>
      <c r="BT99" s="103">
        <v>798531.03865300003</v>
      </c>
      <c r="BU99" s="103">
        <v>183171.28772699999</v>
      </c>
      <c r="BV99" s="103">
        <v>38310.334687999995</v>
      </c>
      <c r="BW99" s="103">
        <v>104156.222433</v>
      </c>
      <c r="BX99" s="103">
        <v>599796.17745899991</v>
      </c>
      <c r="BY99" s="103">
        <v>597401.781541</v>
      </c>
      <c r="BZ99" s="103">
        <v>323243.44893000007</v>
      </c>
      <c r="CA99" s="103">
        <v>773389.88151400001</v>
      </c>
      <c r="CB99" s="103">
        <v>56268.304072999985</v>
      </c>
      <c r="CC99" s="103">
        <v>111339.41018699999</v>
      </c>
      <c r="CD99" s="1">
        <v>1</v>
      </c>
      <c r="CF99" s="277">
        <f>SUMIF(Оборот!$A:$A,$B:$B,Оборот!H:H)</f>
        <v>4906908.17</v>
      </c>
      <c r="CG99" s="277">
        <f>SUMIF(Оборот!$A:$A,$B:$B,Оборот!I:I)</f>
        <v>4930076.59</v>
      </c>
      <c r="CH99" s="277">
        <f t="shared" si="12"/>
        <v>3750739.987782802</v>
      </c>
      <c r="CI99" s="239">
        <f t="shared" si="16"/>
        <v>90568.053291214397</v>
      </c>
      <c r="CJ99" s="276">
        <f>SUMIF('20Ф'!$H:$H,$B:$B,'20Ф'!M:M)*1.2</f>
        <v>0</v>
      </c>
      <c r="CK99" s="276">
        <f>SUMIF('20Ф'!$H:$H,$B:$B,'20Ф'!O:O)*1.2</f>
        <v>0</v>
      </c>
      <c r="CL99" s="276">
        <f>SUMIF('20Ф'!$H:$H,$B:$B,'20Ф'!Q:Q)*1.2</f>
        <v>0</v>
      </c>
      <c r="CM99" s="276">
        <f>SUMIF('20Ф'!$H:$H,$B:$B,'20Ф'!R:R)*1.2</f>
        <v>0</v>
      </c>
      <c r="CN99" s="276">
        <f>SUMIF('20Ф'!$H:$H,$B:$B,'20Ф'!S:S)*1.2</f>
        <v>0</v>
      </c>
      <c r="CO99" s="276">
        <f>SUMIF('20Ф'!$H:$H,$B:$B,'20Ф'!W:W)*1.2</f>
        <v>0</v>
      </c>
      <c r="CP99" s="276">
        <f>SUMIF('20Ф'!$H:$H,$B:$B,'20Ф'!P:P)*1.2</f>
        <v>0</v>
      </c>
      <c r="CQ99" s="276">
        <f>SUMIF('20Ф'!$H:$H,$B:$B,'20Ф'!Y:Y)*1.2</f>
        <v>0</v>
      </c>
      <c r="CR99" s="276">
        <f>SUMIF('20Ф'!$H:$H,$B:$B,'20Ф'!Z:Z)*1.2</f>
        <v>0</v>
      </c>
      <c r="CS99" s="276">
        <f>SUMIF('20Ф'!$H:$H,$B:$B,'20Ф'!AB:AB)*1.2</f>
        <v>0</v>
      </c>
      <c r="CT99" s="276">
        <f>SUMIF('20Ф'!$H:$H,$B:$B,'20Ф'!AC:AC)*1.2</f>
        <v>0</v>
      </c>
      <c r="CU99" s="276">
        <f>SUMIF('20Ф'!$H:$H,$B:$B,'20Ф'!AD:AD)*1.2</f>
        <v>0</v>
      </c>
      <c r="CV99" s="276">
        <f>SUMIF('20Ф'!$H:$H,$B:$B,'20Ф'!AE:AE)*1.2</f>
        <v>0</v>
      </c>
      <c r="CW99" s="276">
        <f>SUMIF('20Ф'!$H:$H,$B:$B,'20Ф'!AF:AF)*1.2</f>
        <v>0</v>
      </c>
      <c r="CX99" s="276">
        <f>SUMIF('20Ф'!$H:$H,$B:$B,'20Ф'!AG:AG)*1.2</f>
        <v>0</v>
      </c>
      <c r="CY99" s="276">
        <f>SUMIF('20Ф'!$H:$H,$B:$B,'20Ф'!AH:AH)*1.2</f>
        <v>0</v>
      </c>
      <c r="CZ99" s="276">
        <f>SUMIF('20Ф'!$H:$H,$B:$B,'20Ф'!AI:AI)*1.2</f>
        <v>0</v>
      </c>
      <c r="DA99" s="276">
        <f>SUMIF('20Ф'!$H:$H,$B:$B,'20Ф'!AJ:AJ)*1.2</f>
        <v>0</v>
      </c>
      <c r="DB99" s="276">
        <f>SUMIF('20Ф'!$H:$H,$B:$B,'20Ф'!AK:AK)*1.2</f>
        <v>0</v>
      </c>
      <c r="DC99" s="276">
        <f>SUMIF('20Ф'!$H:$H,$B:$B,'20Ф'!AL:AL)*1.2</f>
        <v>0</v>
      </c>
      <c r="DD99" s="276">
        <f>SUMIF('20Ф'!$H:$H,$B:$B,'20Ф'!AM:AM)*1.2</f>
        <v>0</v>
      </c>
      <c r="DE99" s="276">
        <f>SUMIF('20Ф'!$H:$H,$B:$B,'20Ф'!AN:AN)*1.2</f>
        <v>0</v>
      </c>
      <c r="DF99" s="276">
        <f>SUMIF('20Ф'!$H:$H,$B:$B,'20Ф'!AO:AO)*1.2</f>
        <v>0</v>
      </c>
      <c r="DG99" s="276">
        <f>SUMIF('20Ф'!$H:$H,$B:$B,'20Ф'!AP:AP)*1.2</f>
        <v>11575.128000000001</v>
      </c>
      <c r="DH99" s="276">
        <f>SUMIF('20Ф'!$H:$H,$B:$B,'20Ф'!AQ:AQ)*1.2</f>
        <v>0</v>
      </c>
      <c r="DI99" s="276">
        <f>SUMIF('20Ф'!$H:$H,$B:$B,'20Ф'!BA:BA)*1.2</f>
        <v>0</v>
      </c>
      <c r="DJ99" s="276">
        <f>SUMIF('20Ф'!$H:$H,$B:$B,'20Ф'!BB:BB)*1.2</f>
        <v>0</v>
      </c>
      <c r="DK99" s="276">
        <f>SUMIF('20Ф'!$H:$H,$B:$B,'20Ф'!BC:BC)*1.2</f>
        <v>0</v>
      </c>
      <c r="DL99" s="276">
        <f>$D99/$D$281*'20Ф'!$H$218</f>
        <v>78992.9252912144</v>
      </c>
      <c r="DM99" s="240">
        <f t="shared" si="13"/>
        <v>931293.41361640522</v>
      </c>
      <c r="DN99" s="276">
        <f>SUMIF('20Ф'!$H:$H,$B:$B,'20Ф'!AV:AV)*1.2</f>
        <v>0</v>
      </c>
      <c r="DO99" s="276">
        <f>SUMIF('20Ф'!$H:$H,$B:$B,'20Ф'!AW:AW)*1.2+$D99/$D$281*'26Ф'!$D$42</f>
        <v>42035.945840125467</v>
      </c>
      <c r="DP99" s="276">
        <f>SUMIF('20Ф'!$H:$H,$B:$B,'20Ф'!AX:AX)*1.2</f>
        <v>0</v>
      </c>
      <c r="DQ99" s="276">
        <f>SUMIF('20Ф'!$H:$H,$B:$B,'20Ф'!AY:AY)*1.2</f>
        <v>102681</v>
      </c>
      <c r="DR99" s="276">
        <f>SUMIF('20Ф'!$H:$H,$B:$B,'20Ф'!AU:AU)*1.2</f>
        <v>0</v>
      </c>
      <c r="DS99" s="276">
        <f>SUMIF('20Ф'!$H:$H,$B:$B,'20Ф'!AS:AS)*1.2</f>
        <v>45069.155999999995</v>
      </c>
      <c r="DT99" s="276">
        <f>SUMIF('20Ф'!$H:$H,$B:$B,'20Ф'!AR:AR)*1.2</f>
        <v>0</v>
      </c>
      <c r="DU99" s="276">
        <f>SUMIF('20Ф'!$H:$H,$B:$B,'20Ф'!X:X)*1.2</f>
        <v>0</v>
      </c>
      <c r="DV99" s="276">
        <f>SUMIF('20Ф'!$H:$H,$B:$B,'20Ф'!AA:AA)*1.2</f>
        <v>0</v>
      </c>
      <c r="DW99" s="276">
        <f>SUMIF('20Ф'!$H:$H,$B:$B,'20Ф'!N:N)*1.2</f>
        <v>0</v>
      </c>
      <c r="DX99" s="276">
        <f>$D99/$D$281*('25Ф'!$D$37)</f>
        <v>706571.6616192197</v>
      </c>
      <c r="DY99" s="276">
        <f>$D99/$D$281*'25Ф'!$D$30</f>
        <v>22551.549383938942</v>
      </c>
      <c r="DZ99" s="276">
        <f>$D99/$D$281*'25Ф'!$D$31</f>
        <v>12384.100773121276</v>
      </c>
      <c r="EA99" s="276"/>
      <c r="EB99" s="276">
        <f t="shared" si="14"/>
        <v>445151.23650383903</v>
      </c>
      <c r="EC99" s="276">
        <f>$D99/$D$281*'26Ф'!$D$36</f>
        <v>231715.55458958229</v>
      </c>
      <c r="ED99" s="276">
        <f>$D99/$D$281*'26Ф'!$D$37</f>
        <v>27840.376406901534</v>
      </c>
      <c r="EE99" s="276">
        <f>$D99/$D$281*'26Ф'!$D$38</f>
        <v>28125.906862266067</v>
      </c>
      <c r="EF99" s="276">
        <f>$D99/$D$281*'26Ф'!$D$39</f>
        <v>19730.297994028475</v>
      </c>
      <c r="EG99" s="276">
        <f>$D99/$D$281*'91Ф'!$D$10</f>
        <v>6086.788725436857</v>
      </c>
      <c r="EH99" s="276">
        <f>$D99/$D$281*('20Ф'!$I$509+'26Ф'!$D$41+'20Ф'!$I$507)</f>
        <v>43062.025947811562</v>
      </c>
      <c r="EI99" s="276">
        <f>$D99/$D$281*'91Ф'!$D$31</f>
        <v>78939.018499824058</v>
      </c>
      <c r="EJ99" s="276">
        <f>$D99/$D$281*'20Ф'!$I$1316</f>
        <v>9651.2674779882091</v>
      </c>
      <c r="EK99" s="276">
        <f>$D99/$D$281*('20Ф'!$I$1105+'20Ф'!$I$1282+'91Ф'!$D$17+'91Ф'!$D$41)</f>
        <v>316958.37645565905</v>
      </c>
      <c r="EL99" s="276">
        <f>$D99/$D$281*отчёт!BX$294</f>
        <v>529857.74067353422</v>
      </c>
      <c r="EM99" s="276">
        <f>$D99/$D$281*отчёт!BY$294</f>
        <v>465981.44119747326</v>
      </c>
      <c r="EN99" s="276">
        <f>$D99/$D$283*отчёт!BZ$294</f>
        <v>83629.102390468732</v>
      </c>
      <c r="EO99" s="240">
        <f t="shared" si="22"/>
        <v>549167.06850299402</v>
      </c>
      <c r="EP99" s="276">
        <f>SUMIF('20Ф'!$H:$H,$B:$B,'20Ф'!T:T)*1.2</f>
        <v>15576.84</v>
      </c>
      <c r="EQ99" s="276">
        <f>SUM(H99:I99)/SUM($H$284:$I$284)*SUM('60Ф'!$O$155:$P$155)</f>
        <v>517530.78526946111</v>
      </c>
      <c r="ER99" s="276">
        <f>SUM($H99:$I99)/SUM($H$284:$I$284)*SUM('60Ф'!$P$227)</f>
        <v>16059.443233532935</v>
      </c>
      <c r="ES99" s="239">
        <f t="shared" si="17"/>
        <v>177343.58760834674</v>
      </c>
      <c r="ET99" s="276">
        <f>$D99/$D$282*'20Ф'!$I$381</f>
        <v>13554.540317846189</v>
      </c>
      <c r="EU99" s="276">
        <f>$D99/$D$282*('20Ф'!$I$75+'20Ф'!$I$1098)*1.2</f>
        <v>156560.95790306444</v>
      </c>
      <c r="EV99" s="276">
        <f>$D99/$D$282*('20Ф'!$I$1286)</f>
        <v>7228.0893874361191</v>
      </c>
      <c r="EW99" s="276">
        <f>SUMIF('91.1Ф'!$N:$N,$B:$B,'91.1Ф'!$F:$F)+$D99/$D$281*('91Ф'!$D$12+'91Ф'!$D$11+'91Ф'!$D$19+'91Ф'!$D$20)</f>
        <v>51773.564785799696</v>
      </c>
      <c r="EX99" s="276">
        <f t="shared" si="15"/>
        <v>109016.40275706811</v>
      </c>
      <c r="EY99" s="276">
        <f>SUMIF('20Ф'!$H:$H,$B:$B,'20Ф'!$AY:$AY)*1.2</f>
        <v>102681</v>
      </c>
      <c r="EZ99" s="295">
        <f>D99/$D$286*'20Ф'!$I$1163</f>
        <v>6335.402757068101</v>
      </c>
      <c r="FA99" s="277">
        <f>SUMIF(отчёт!$B:$B,$B:$B,отчёт!$CU:$CU)/отчёт!$CU$281*'20Ф'!$I$1341</f>
        <v>5525.7831325301113</v>
      </c>
      <c r="FB99" s="276">
        <f>SUMIF(Сальдо!$A:$A,$B:$B,Сальдо!$H:$H)-SUMIF(Сальдо!$A:$A,$B:$B,Сальдо!$I:$I)</f>
        <v>888087.26</v>
      </c>
    </row>
    <row r="100" spans="1:158" ht="12" customHeight="1" x14ac:dyDescent="0.25">
      <c r="A100" s="3">
        <f t="shared" si="18"/>
        <v>96</v>
      </c>
      <c r="B100" s="4" t="s">
        <v>146</v>
      </c>
      <c r="C100" s="4" t="s">
        <v>146</v>
      </c>
      <c r="D100" s="5">
        <v>8840.4</v>
      </c>
      <c r="E100" s="6">
        <v>6805.3</v>
      </c>
      <c r="F100" s="6">
        <v>2035.1</v>
      </c>
      <c r="G100" s="6">
        <v>891.3</v>
      </c>
      <c r="H100" s="5">
        <f>SUMIF(отчёт!$B:$B,$B:$B,отчёт!I:I)</f>
        <v>4</v>
      </c>
      <c r="I100" s="5">
        <f>SUMIF(отчёт!$B:$B,$B:$B,отчёт!J:J)</f>
        <v>0</v>
      </c>
      <c r="J100" s="3" t="s">
        <v>111</v>
      </c>
      <c r="K100" s="105">
        <v>3</v>
      </c>
      <c r="L100" s="105" t="s">
        <v>52</v>
      </c>
      <c r="M100" s="7">
        <v>45.06</v>
      </c>
      <c r="N100" s="8">
        <v>5.0999999999999996</v>
      </c>
      <c r="O100" s="8">
        <v>8.6300000000000008</v>
      </c>
      <c r="P100" s="8">
        <v>13.43</v>
      </c>
      <c r="Q100" s="8">
        <v>6.91</v>
      </c>
      <c r="R100" s="8">
        <v>3.15</v>
      </c>
      <c r="S100" s="8">
        <v>1.81</v>
      </c>
      <c r="T100" s="8">
        <v>5.77</v>
      </c>
      <c r="U100" s="8">
        <v>0.26</v>
      </c>
      <c r="V100" s="9">
        <v>40</v>
      </c>
      <c r="W100" s="9">
        <v>40</v>
      </c>
      <c r="X100" s="9">
        <v>2604.04</v>
      </c>
      <c r="Y100" s="8">
        <v>195.98199600000001</v>
      </c>
      <c r="Z100" s="9">
        <v>42.3</v>
      </c>
      <c r="AA100" s="9">
        <v>2604.04</v>
      </c>
      <c r="AB100" s="8">
        <v>7.85</v>
      </c>
      <c r="AC100" s="10">
        <v>0</v>
      </c>
      <c r="AD100" s="8">
        <v>6.73</v>
      </c>
      <c r="AE100" s="8">
        <v>10.67</v>
      </c>
      <c r="AF100" s="8">
        <v>14</v>
      </c>
      <c r="AG100" s="7">
        <v>2390090.5439999998</v>
      </c>
      <c r="AH100" s="8">
        <v>270516.24</v>
      </c>
      <c r="AI100" s="8">
        <v>457755.91200000001</v>
      </c>
      <c r="AJ100" s="8">
        <v>712359.43199999991</v>
      </c>
      <c r="AK100" s="8">
        <v>366522.984</v>
      </c>
      <c r="AL100" s="8">
        <v>167083.56</v>
      </c>
      <c r="AM100" s="8">
        <v>96006.744000000006</v>
      </c>
      <c r="AN100" s="8">
        <v>306054.64799999993</v>
      </c>
      <c r="AO100" s="8">
        <v>13791.023999999999</v>
      </c>
      <c r="AQ100" s="104">
        <v>48.44</v>
      </c>
      <c r="AR100" s="375">
        <v>18.489999999999998</v>
      </c>
      <c r="AS100" s="376"/>
      <c r="AT100" s="104">
        <v>6.67</v>
      </c>
      <c r="AU100" s="104">
        <v>1.53</v>
      </c>
      <c r="AV100" s="104">
        <v>0.32</v>
      </c>
      <c r="AW100" s="104">
        <v>0.87</v>
      </c>
      <c r="AX100" s="104">
        <v>5.01</v>
      </c>
      <c r="AY100" s="104">
        <v>4.99</v>
      </c>
      <c r="AZ100" s="104">
        <v>2.7</v>
      </c>
      <c r="BA100" s="104">
        <v>6.46</v>
      </c>
      <c r="BB100" s="104">
        <v>0.47</v>
      </c>
      <c r="BC100" s="101">
        <v>0.93</v>
      </c>
      <c r="BD100" s="104">
        <v>54.88252</v>
      </c>
      <c r="BE100" s="375">
        <v>20.949169999999999</v>
      </c>
      <c r="BF100" s="376">
        <v>0</v>
      </c>
      <c r="BG100" s="104">
        <v>7.5571100000000007</v>
      </c>
      <c r="BH100" s="104">
        <v>1.7334900000000002</v>
      </c>
      <c r="BI100" s="104">
        <v>0.36256000000000005</v>
      </c>
      <c r="BJ100" s="104">
        <v>0.98571000000000009</v>
      </c>
      <c r="BK100" s="104">
        <v>5.6763300000000001</v>
      </c>
      <c r="BL100" s="104">
        <v>5.65367</v>
      </c>
      <c r="BM100" s="104">
        <v>3.0591000000000004</v>
      </c>
      <c r="BN100" s="104">
        <v>7.3191800000000002</v>
      </c>
      <c r="BO100" s="104">
        <v>0.53250999999999993</v>
      </c>
      <c r="BP100" s="101">
        <v>1.05369</v>
      </c>
      <c r="BQ100" s="103">
        <v>5708292.2500799997</v>
      </c>
      <c r="BR100" s="371">
        <v>2178908.4166799998</v>
      </c>
      <c r="BS100" s="371">
        <v>0</v>
      </c>
      <c r="BT100" s="103">
        <v>786009.68844000006</v>
      </c>
      <c r="BU100" s="103">
        <v>180299.07395999998</v>
      </c>
      <c r="BV100" s="103">
        <v>37709.610240000002</v>
      </c>
      <c r="BW100" s="103">
        <v>102523.00284</v>
      </c>
      <c r="BX100" s="103">
        <v>590391.08531999995</v>
      </c>
      <c r="BY100" s="103">
        <v>588034.23467999999</v>
      </c>
      <c r="BZ100" s="103">
        <v>318174.83640000003</v>
      </c>
      <c r="CA100" s="103">
        <v>761262.75671999995</v>
      </c>
      <c r="CB100" s="103">
        <v>55385.990039999982</v>
      </c>
      <c r="CC100" s="103">
        <v>109593.55475999998</v>
      </c>
      <c r="CD100" s="1">
        <v>1</v>
      </c>
      <c r="CF100" s="277">
        <f>SUMIF(Оборот!$A:$A,$B:$B,Оборот!H:H)</f>
        <v>3772268.2800000007</v>
      </c>
      <c r="CG100" s="277">
        <f>SUMIF(Оборот!$A:$A,$B:$B,Оборот!I:I)</f>
        <v>3825519.5599999996</v>
      </c>
      <c r="CH100" s="277">
        <f t="shared" si="12"/>
        <v>6606647.0063974131</v>
      </c>
      <c r="CI100" s="239">
        <f t="shared" si="16"/>
        <v>3125260.7782830917</v>
      </c>
      <c r="CJ100" s="276">
        <f>SUMIF('20Ф'!$H:$H,$B:$B,'20Ф'!M:M)*1.2</f>
        <v>0</v>
      </c>
      <c r="CK100" s="276">
        <f>SUMIF('20Ф'!$H:$H,$B:$B,'20Ф'!O:O)*1.2</f>
        <v>12575.963999999998</v>
      </c>
      <c r="CL100" s="276">
        <f>SUMIF('20Ф'!$H:$H,$B:$B,'20Ф'!Q:Q)*1.2</f>
        <v>0</v>
      </c>
      <c r="CM100" s="276">
        <f>SUMIF('20Ф'!$H:$H,$B:$B,'20Ф'!R:R)*1.2</f>
        <v>0</v>
      </c>
      <c r="CN100" s="276">
        <f>SUMIF('20Ф'!$H:$H,$B:$B,'20Ф'!S:S)*1.2</f>
        <v>0</v>
      </c>
      <c r="CO100" s="276">
        <f>SUMIF('20Ф'!$H:$H,$B:$B,'20Ф'!W:W)*1.2</f>
        <v>0</v>
      </c>
      <c r="CP100" s="276">
        <f>SUMIF('20Ф'!$H:$H,$B:$B,'20Ф'!P:P)*1.2</f>
        <v>0</v>
      </c>
      <c r="CQ100" s="276">
        <f>SUMIF('20Ф'!$H:$H,$B:$B,'20Ф'!Y:Y)*1.2</f>
        <v>0</v>
      </c>
      <c r="CR100" s="276">
        <f>SUMIF('20Ф'!$H:$H,$B:$B,'20Ф'!Z:Z)*1.2</f>
        <v>0</v>
      </c>
      <c r="CS100" s="276">
        <f>SUMIF('20Ф'!$H:$H,$B:$B,'20Ф'!AB:AB)*1.2</f>
        <v>0</v>
      </c>
      <c r="CT100" s="276">
        <f>SUMIF('20Ф'!$H:$H,$B:$B,'20Ф'!AC:AC)*1.2</f>
        <v>0</v>
      </c>
      <c r="CU100" s="276">
        <f>SUMIF('20Ф'!$H:$H,$B:$B,'20Ф'!AD:AD)*1.2</f>
        <v>0</v>
      </c>
      <c r="CV100" s="276">
        <f>SUMIF('20Ф'!$H:$H,$B:$B,'20Ф'!AE:AE)*1.2</f>
        <v>0</v>
      </c>
      <c r="CW100" s="276">
        <f>SUMIF('20Ф'!$H:$H,$B:$B,'20Ф'!AF:AF)*1.2</f>
        <v>0</v>
      </c>
      <c r="CX100" s="276">
        <f>SUMIF('20Ф'!$H:$H,$B:$B,'20Ф'!AG:AG)*1.2</f>
        <v>0</v>
      </c>
      <c r="CY100" s="276">
        <f>SUMIF('20Ф'!$H:$H,$B:$B,'20Ф'!AH:AH)*1.2</f>
        <v>0</v>
      </c>
      <c r="CZ100" s="276">
        <f>SUMIF('20Ф'!$H:$H,$B:$B,'20Ф'!AI:AI)*1.2</f>
        <v>0</v>
      </c>
      <c r="DA100" s="276">
        <f>SUMIF('20Ф'!$H:$H,$B:$B,'20Ф'!AJ:AJ)*1.2</f>
        <v>68050.415999999997</v>
      </c>
      <c r="DB100" s="276">
        <f>SUMIF('20Ф'!$H:$H,$B:$B,'20Ф'!AK:AK)*1.2</f>
        <v>0</v>
      </c>
      <c r="DC100" s="276">
        <f>SUMIF('20Ф'!$H:$H,$B:$B,'20Ф'!AL:AL)*1.2</f>
        <v>2966880.12</v>
      </c>
      <c r="DD100" s="276">
        <f>SUMIF('20Ф'!$H:$H,$B:$B,'20Ф'!AM:AM)*1.2</f>
        <v>0</v>
      </c>
      <c r="DE100" s="276">
        <f>SUMIF('20Ф'!$H:$H,$B:$B,'20Ф'!AN:AN)*1.2</f>
        <v>0</v>
      </c>
      <c r="DF100" s="276">
        <f>SUMIF('20Ф'!$H:$H,$B:$B,'20Ф'!AO:AO)*1.2</f>
        <v>0</v>
      </c>
      <c r="DG100" s="276">
        <f>SUMIF('20Ф'!$H:$H,$B:$B,'20Ф'!AP:AP)*1.2</f>
        <v>0</v>
      </c>
      <c r="DH100" s="276">
        <f>SUMIF('20Ф'!$H:$H,$B:$B,'20Ф'!AQ:AQ)*1.2</f>
        <v>0</v>
      </c>
      <c r="DI100" s="276">
        <f>SUMIF('20Ф'!$H:$H,$B:$B,'20Ф'!BA:BA)*1.2</f>
        <v>0</v>
      </c>
      <c r="DJ100" s="276">
        <f>SUMIF('20Ф'!$H:$H,$B:$B,'20Ф'!BB:BB)*1.2</f>
        <v>0</v>
      </c>
      <c r="DK100" s="276">
        <f>SUMIF('20Ф'!$H:$H,$B:$B,'20Ф'!BC:BC)*1.2</f>
        <v>0</v>
      </c>
      <c r="DL100" s="276">
        <f>$D100/$D$281*'20Ф'!$H$218</f>
        <v>77754.278283091713</v>
      </c>
      <c r="DM100" s="240">
        <f t="shared" si="13"/>
        <v>1061810.991008549</v>
      </c>
      <c r="DN100" s="276">
        <f>SUMIF('20Ф'!$H:$H,$B:$B,'20Ф'!AV:AV)*1.2</f>
        <v>0</v>
      </c>
      <c r="DO100" s="276">
        <f>SUMIF('20Ф'!$H:$H,$B:$B,'20Ф'!AW:AW)*1.2+$D100/$D$281*'26Ф'!$D$42</f>
        <v>41376.802019884271</v>
      </c>
      <c r="DP100" s="276">
        <f>SUMIF('20Ф'!$H:$H,$B:$B,'20Ф'!AX:AX)*1.2</f>
        <v>0</v>
      </c>
      <c r="DQ100" s="276">
        <f>SUMIF('20Ф'!$H:$H,$B:$B,'20Ф'!AY:AY)*1.2</f>
        <v>29229.996000000003</v>
      </c>
      <c r="DR100" s="276">
        <f>SUMIF('20Ф'!$H:$H,$B:$B,'20Ф'!AU:AU)*1.2</f>
        <v>0</v>
      </c>
      <c r="DS100" s="276">
        <f>SUMIF('20Ф'!$H:$H,$B:$B,'20Ф'!AS:AS)*1.2</f>
        <v>261324.07199999999</v>
      </c>
      <c r="DT100" s="276">
        <f>SUMIF('20Ф'!$H:$H,$B:$B,'20Ф'!AR:AR)*1.2</f>
        <v>0</v>
      </c>
      <c r="DU100" s="276">
        <f>SUMIF('20Ф'!$H:$H,$B:$B,'20Ф'!X:X)*1.2</f>
        <v>0</v>
      </c>
      <c r="DV100" s="276">
        <f>SUMIF('20Ф'!$H:$H,$B:$B,'20Ф'!AA:AA)*1.2</f>
        <v>0</v>
      </c>
      <c r="DW100" s="276">
        <f>SUMIF('20Ф'!$H:$H,$B:$B,'20Ф'!N:N)*1.2</f>
        <v>0</v>
      </c>
      <c r="DX100" s="276">
        <f>$D100/$D$281*('25Ф'!$D$37)</f>
        <v>695492.27860533027</v>
      </c>
      <c r="DY100" s="276">
        <f>$D100/$D$281*'25Ф'!$D$30</f>
        <v>22197.930258302462</v>
      </c>
      <c r="DZ100" s="276">
        <f>$D100/$D$281*'25Ф'!$D$31</f>
        <v>12189.91212503202</v>
      </c>
      <c r="EA100" s="276"/>
      <c r="EB100" s="276">
        <f t="shared" si="14"/>
        <v>438171.05131352152</v>
      </c>
      <c r="EC100" s="276">
        <f>$D100/$D$281*'26Ф'!$D$36</f>
        <v>228082.1434028238</v>
      </c>
      <c r="ED100" s="276">
        <f>$D100/$D$281*'26Ф'!$D$37</f>
        <v>27403.825933371303</v>
      </c>
      <c r="EE100" s="276">
        <f>$D100/$D$281*'26Ф'!$D$38</f>
        <v>27684.879134058134</v>
      </c>
      <c r="EF100" s="276">
        <f>$D100/$D$281*'26Ф'!$D$39</f>
        <v>19420.917445206207</v>
      </c>
      <c r="EG100" s="276">
        <f>$D100/$D$281*'91Ф'!$D$10</f>
        <v>5991.344954794833</v>
      </c>
      <c r="EH100" s="276">
        <f>$D100/$D$281*('20Ф'!$I$509+'26Ф'!$D$41+'20Ф'!$I$507)</f>
        <v>42386.79269866526</v>
      </c>
      <c r="EI100" s="276">
        <f>$D100/$D$281*'91Ф'!$D$31</f>
        <v>77701.216776081303</v>
      </c>
      <c r="EJ100" s="276">
        <f>$D100/$D$281*'20Ф'!$I$1316</f>
        <v>9499.930968520679</v>
      </c>
      <c r="EK100" s="276">
        <f>$D100/$D$281*('20Ф'!$I$1105+'20Ф'!$I$1282+'91Ф'!$D$17+'91Ф'!$D$41)</f>
        <v>311988.31688071776</v>
      </c>
      <c r="EL100" s="276">
        <f>$D100/$D$281*отчёт!BX$294</f>
        <v>521549.31681410148</v>
      </c>
      <c r="EM100" s="276">
        <f>$D100/$D$281*отчёт!BY$294</f>
        <v>458674.62839300884</v>
      </c>
      <c r="EN100" s="276">
        <f>$D100/$D$283*отчёт!BZ$294</f>
        <v>82317.757898717638</v>
      </c>
      <c r="EO100" s="240">
        <f t="shared" si="22"/>
        <v>355726.81900199596</v>
      </c>
      <c r="EP100" s="276">
        <f>SUMIF('20Ф'!$H:$H,$B:$B,'20Ф'!T:T)*1.2</f>
        <v>0</v>
      </c>
      <c r="EQ100" s="276">
        <f>SUM(H100:I100)/SUM($H$284:$I$284)*SUM('60Ф'!$O$155:$P$155)</f>
        <v>345020.52351297403</v>
      </c>
      <c r="ER100" s="276">
        <f>SUM($H100:$I100)/SUM($H$284:$I$284)*SUM('60Ф'!$P$227)</f>
        <v>10706.295489021955</v>
      </c>
      <c r="ES100" s="239">
        <f t="shared" si="17"/>
        <v>174562.75497819661</v>
      </c>
      <c r="ET100" s="276">
        <f>$D100/$D$282*'20Ф'!$I$381</f>
        <v>13341.99861554458</v>
      </c>
      <c r="EU100" s="276">
        <f>$D100/$D$282*('20Ф'!$I$75+'20Ф'!$I$1098)*1.2</f>
        <v>154106.00688839401</v>
      </c>
      <c r="EV100" s="276">
        <f>$D100/$D$282*('20Ф'!$I$1286)</f>
        <v>7114.7494742580111</v>
      </c>
      <c r="EW100" s="276">
        <f>SUMIF('91.1Ф'!$N:$N,$B:$B,'91.1Ф'!$F:$F)+$D100/$D$281*('91Ф'!$D$12+'91Ф'!$D$11+'91Ф'!$D$19+'91Ф'!$D$20)</f>
        <v>41118.53522650947</v>
      </c>
      <c r="EX100" s="276">
        <f t="shared" si="15"/>
        <v>35466.056599003132</v>
      </c>
      <c r="EY100" s="276">
        <f>SUMIF('20Ф'!$H:$H,$B:$B,'20Ф'!$AY:$AY)*1.2</f>
        <v>29229.996000000003</v>
      </c>
      <c r="EZ100" s="295">
        <f>D100/$D$286*'20Ф'!$I$1163</f>
        <v>6236.0605990031254</v>
      </c>
      <c r="FA100" s="277">
        <f>SUMIF(отчёт!$B:$B,$B:$B,отчёт!$CU:$CU)/отчёт!$CU$281*'20Ф'!$I$1341</f>
        <v>1841.9277108433701</v>
      </c>
      <c r="FB100" s="276">
        <f>SUMIF(Сальдо!$A:$A,$B:$B,Сальдо!$H:$H)-SUMIF(Сальдо!$A:$A,$B:$B,Сальдо!$I:$I)</f>
        <v>732956.03</v>
      </c>
    </row>
    <row r="101" spans="1:158" ht="12" customHeight="1" x14ac:dyDescent="0.25">
      <c r="A101" s="3">
        <f t="shared" si="18"/>
        <v>97</v>
      </c>
      <c r="B101" s="4" t="s">
        <v>147</v>
      </c>
      <c r="C101" s="4" t="s">
        <v>147</v>
      </c>
      <c r="D101" s="5">
        <v>6129.1</v>
      </c>
      <c r="E101" s="6">
        <v>5037.1000000000004</v>
      </c>
      <c r="F101" s="6">
        <v>1092</v>
      </c>
      <c r="G101" s="6">
        <v>913.65</v>
      </c>
      <c r="H101" s="5">
        <f>SUMIF(отчёт!$B:$B,$B:$B,отчёт!I:I)</f>
        <v>1</v>
      </c>
      <c r="I101" s="5">
        <f>SUMIF(отчёт!$B:$B,$B:$B,отчёт!J:J)</f>
        <v>1</v>
      </c>
      <c r="J101" s="3" t="s">
        <v>111</v>
      </c>
      <c r="K101" s="105">
        <v>3</v>
      </c>
      <c r="L101" s="105" t="s">
        <v>52</v>
      </c>
      <c r="M101" s="7">
        <v>45.06</v>
      </c>
      <c r="N101" s="8">
        <v>5.0999999999999996</v>
      </c>
      <c r="O101" s="8">
        <v>8.6300000000000008</v>
      </c>
      <c r="P101" s="8">
        <v>13.43</v>
      </c>
      <c r="Q101" s="8">
        <v>6.91</v>
      </c>
      <c r="R101" s="8">
        <v>3.15</v>
      </c>
      <c r="S101" s="8">
        <v>1.81</v>
      </c>
      <c r="T101" s="8">
        <v>5.77</v>
      </c>
      <c r="U101" s="8">
        <v>0.26</v>
      </c>
      <c r="V101" s="9">
        <v>40</v>
      </c>
      <c r="W101" s="9">
        <v>40</v>
      </c>
      <c r="X101" s="9">
        <v>2604.04</v>
      </c>
      <c r="Y101" s="8">
        <v>195.98199600000001</v>
      </c>
      <c r="Z101" s="9">
        <v>42.3</v>
      </c>
      <c r="AA101" s="9">
        <v>2604.04</v>
      </c>
      <c r="AB101" s="8">
        <v>7.85</v>
      </c>
      <c r="AC101" s="10">
        <v>0</v>
      </c>
      <c r="AD101" s="8">
        <v>6.73</v>
      </c>
      <c r="AE101" s="8">
        <v>10.67</v>
      </c>
      <c r="AF101" s="8">
        <v>14</v>
      </c>
      <c r="AG101" s="7">
        <v>1657063.4760000003</v>
      </c>
      <c r="AH101" s="8">
        <v>187550.46</v>
      </c>
      <c r="AI101" s="8">
        <v>317364.79800000007</v>
      </c>
      <c r="AJ101" s="8">
        <v>493882.87800000003</v>
      </c>
      <c r="AK101" s="8">
        <v>254112.48600000003</v>
      </c>
      <c r="AL101" s="8">
        <v>115839.99</v>
      </c>
      <c r="AM101" s="8">
        <v>66562.025999999998</v>
      </c>
      <c r="AN101" s="8">
        <v>212189.44199999998</v>
      </c>
      <c r="AO101" s="8">
        <v>9561.3960000000006</v>
      </c>
      <c r="AQ101" s="104">
        <v>48.44</v>
      </c>
      <c r="AR101" s="375">
        <v>18.489999999999998</v>
      </c>
      <c r="AS101" s="376"/>
      <c r="AT101" s="104">
        <v>6.67</v>
      </c>
      <c r="AU101" s="104">
        <v>1.53</v>
      </c>
      <c r="AV101" s="104">
        <v>0.32</v>
      </c>
      <c r="AW101" s="104">
        <v>0.87</v>
      </c>
      <c r="AX101" s="104">
        <v>5.01</v>
      </c>
      <c r="AY101" s="104">
        <v>4.99</v>
      </c>
      <c r="AZ101" s="104">
        <v>2.7</v>
      </c>
      <c r="BA101" s="104">
        <v>6.46</v>
      </c>
      <c r="BB101" s="104">
        <v>0.47</v>
      </c>
      <c r="BC101" s="101">
        <v>0.93</v>
      </c>
      <c r="BD101" s="104">
        <v>54.88252</v>
      </c>
      <c r="BE101" s="375">
        <v>20.949169999999999</v>
      </c>
      <c r="BF101" s="376">
        <v>0</v>
      </c>
      <c r="BG101" s="104">
        <v>7.5571100000000007</v>
      </c>
      <c r="BH101" s="104">
        <v>1.7334900000000002</v>
      </c>
      <c r="BI101" s="104">
        <v>0.36256000000000005</v>
      </c>
      <c r="BJ101" s="104">
        <v>0.98571000000000009</v>
      </c>
      <c r="BK101" s="104">
        <v>5.6763300000000001</v>
      </c>
      <c r="BL101" s="104">
        <v>5.65367</v>
      </c>
      <c r="BM101" s="104">
        <v>3.0591000000000004</v>
      </c>
      <c r="BN101" s="104">
        <v>7.3191800000000002</v>
      </c>
      <c r="BO101" s="104">
        <v>0.53250999999999993</v>
      </c>
      <c r="BP101" s="101">
        <v>1.05369</v>
      </c>
      <c r="BQ101" s="103">
        <v>3957591.74132</v>
      </c>
      <c r="BR101" s="371">
        <v>1510649.6964699998</v>
      </c>
      <c r="BS101" s="371">
        <v>0</v>
      </c>
      <c r="BT101" s="103">
        <v>544945.02301</v>
      </c>
      <c r="BU101" s="103">
        <v>125002.38159</v>
      </c>
      <c r="BV101" s="103">
        <v>26144.288960000002</v>
      </c>
      <c r="BW101" s="103">
        <v>71079.785610000006</v>
      </c>
      <c r="BX101" s="103">
        <v>409321.52403000003</v>
      </c>
      <c r="BY101" s="103">
        <v>407687.50597</v>
      </c>
      <c r="BZ101" s="103">
        <v>220592.43810000006</v>
      </c>
      <c r="CA101" s="103">
        <v>527787.83338000008</v>
      </c>
      <c r="CB101" s="103">
        <v>38399.424409999992</v>
      </c>
      <c r="CC101" s="103">
        <v>75981.839789999998</v>
      </c>
      <c r="CD101" s="1">
        <v>1</v>
      </c>
      <c r="CF101" s="277">
        <f>SUMIF(Оборот!$A:$A,$B:$B,Оборот!H:H)</f>
        <v>2791762.36</v>
      </c>
      <c r="CG101" s="277">
        <f>SUMIF(Оборот!$A:$A,$B:$B,Оборот!I:I)</f>
        <v>2801748.08</v>
      </c>
      <c r="CH101" s="277">
        <f t="shared" si="12"/>
        <v>2333939.2545929905</v>
      </c>
      <c r="CI101" s="239">
        <f t="shared" si="16"/>
        <v>71907.486881238117</v>
      </c>
      <c r="CJ101" s="276">
        <f>SUMIF('20Ф'!$H:$H,$B:$B,'20Ф'!M:M)*1.2</f>
        <v>0</v>
      </c>
      <c r="CK101" s="276">
        <f>SUMIF('20Ф'!$H:$H,$B:$B,'20Ф'!O:O)*1.2</f>
        <v>0</v>
      </c>
      <c r="CL101" s="276">
        <f>SUMIF('20Ф'!$H:$H,$B:$B,'20Ф'!Q:Q)*1.2</f>
        <v>0</v>
      </c>
      <c r="CM101" s="276">
        <f>SUMIF('20Ф'!$H:$H,$B:$B,'20Ф'!R:R)*1.2</f>
        <v>0</v>
      </c>
      <c r="CN101" s="276">
        <f>SUMIF('20Ф'!$H:$H,$B:$B,'20Ф'!S:S)*1.2</f>
        <v>0</v>
      </c>
      <c r="CO101" s="276">
        <f>SUMIF('20Ф'!$H:$H,$B:$B,'20Ф'!W:W)*1.2</f>
        <v>18000</v>
      </c>
      <c r="CP101" s="276">
        <f>SUMIF('20Ф'!$H:$H,$B:$B,'20Ф'!P:P)*1.2</f>
        <v>0</v>
      </c>
      <c r="CQ101" s="276">
        <f>SUMIF('20Ф'!$H:$H,$B:$B,'20Ф'!Y:Y)*1.2</f>
        <v>0</v>
      </c>
      <c r="CR101" s="276">
        <f>SUMIF('20Ф'!$H:$H,$B:$B,'20Ф'!Z:Z)*1.2</f>
        <v>0</v>
      </c>
      <c r="CS101" s="276">
        <f>SUMIF('20Ф'!$H:$H,$B:$B,'20Ф'!AB:AB)*1.2</f>
        <v>0</v>
      </c>
      <c r="CT101" s="276">
        <f>SUMIF('20Ф'!$H:$H,$B:$B,'20Ф'!AC:AC)*1.2</f>
        <v>0</v>
      </c>
      <c r="CU101" s="276">
        <f>SUMIF('20Ф'!$H:$H,$B:$B,'20Ф'!AD:AD)*1.2</f>
        <v>0</v>
      </c>
      <c r="CV101" s="276">
        <f>SUMIF('20Ф'!$H:$H,$B:$B,'20Ф'!AE:AE)*1.2</f>
        <v>0</v>
      </c>
      <c r="CW101" s="276">
        <f>SUMIF('20Ф'!$H:$H,$B:$B,'20Ф'!AF:AF)*1.2</f>
        <v>0</v>
      </c>
      <c r="CX101" s="276">
        <f>SUMIF('20Ф'!$H:$H,$B:$B,'20Ф'!AG:AG)*1.2</f>
        <v>0</v>
      </c>
      <c r="CY101" s="276">
        <f>SUMIF('20Ф'!$H:$H,$B:$B,'20Ф'!AH:AH)*1.2</f>
        <v>0</v>
      </c>
      <c r="CZ101" s="276">
        <f>SUMIF('20Ф'!$H:$H,$B:$B,'20Ф'!AI:AI)*1.2</f>
        <v>0</v>
      </c>
      <c r="DA101" s="276">
        <f>SUMIF('20Ф'!$H:$H,$B:$B,'20Ф'!AJ:AJ)*1.2</f>
        <v>0</v>
      </c>
      <c r="DB101" s="276">
        <f>SUMIF('20Ф'!$H:$H,$B:$B,'20Ф'!AK:AK)*1.2</f>
        <v>0</v>
      </c>
      <c r="DC101" s="276">
        <f>SUMIF('20Ф'!$H:$H,$B:$B,'20Ф'!AL:AL)*1.2</f>
        <v>0</v>
      </c>
      <c r="DD101" s="276">
        <f>SUMIF('20Ф'!$H:$H,$B:$B,'20Ф'!AM:AM)*1.2</f>
        <v>0</v>
      </c>
      <c r="DE101" s="276">
        <f>SUMIF('20Ф'!$H:$H,$B:$B,'20Ф'!AN:AN)*1.2</f>
        <v>0</v>
      </c>
      <c r="DF101" s="276">
        <f>SUMIF('20Ф'!$H:$H,$B:$B,'20Ф'!AO:AO)*1.2</f>
        <v>0</v>
      </c>
      <c r="DG101" s="276">
        <f>SUMIF('20Ф'!$H:$H,$B:$B,'20Ф'!AP:AP)*1.2</f>
        <v>0</v>
      </c>
      <c r="DH101" s="276">
        <f>SUMIF('20Ф'!$H:$H,$B:$B,'20Ф'!AQ:AQ)*1.2</f>
        <v>0</v>
      </c>
      <c r="DI101" s="276">
        <f>SUMIF('20Ф'!$H:$H,$B:$B,'20Ф'!BA:BA)*1.2</f>
        <v>0</v>
      </c>
      <c r="DJ101" s="276">
        <f>SUMIF('20Ф'!$H:$H,$B:$B,'20Ф'!BB:BB)*1.2</f>
        <v>0</v>
      </c>
      <c r="DK101" s="276">
        <f>SUMIF('20Ф'!$H:$H,$B:$B,'20Ф'!BC:BC)*1.2</f>
        <v>0</v>
      </c>
      <c r="DL101" s="276">
        <f>$D101/$D$281*'20Ф'!$H$218</f>
        <v>53907.486881238117</v>
      </c>
      <c r="DM101" s="240">
        <f t="shared" si="13"/>
        <v>638674.25016213034</v>
      </c>
      <c r="DN101" s="276">
        <f>SUMIF('20Ф'!$H:$H,$B:$B,'20Ф'!AV:AV)*1.2</f>
        <v>0</v>
      </c>
      <c r="DO101" s="276">
        <f>SUMIF('20Ф'!$H:$H,$B:$B,'20Ф'!AW:AW)*1.2+$D101/$D$281*'26Ф'!$D$42</f>
        <v>28686.77404416912</v>
      </c>
      <c r="DP101" s="276">
        <f>SUMIF('20Ф'!$H:$H,$B:$B,'20Ф'!AX:AX)*1.2</f>
        <v>0</v>
      </c>
      <c r="DQ101" s="276">
        <f>SUMIF('20Ф'!$H:$H,$B:$B,'20Ф'!AY:AY)*1.2</f>
        <v>28322.003999999997</v>
      </c>
      <c r="DR101" s="276">
        <f>SUMIF('20Ф'!$H:$H,$B:$B,'20Ф'!AU:AU)*1.2</f>
        <v>0</v>
      </c>
      <c r="DS101" s="276">
        <f>SUMIF('20Ф'!$H:$H,$B:$B,'20Ф'!AS:AS)*1.2</f>
        <v>75635.399999999994</v>
      </c>
      <c r="DT101" s="276">
        <f>SUMIF('20Ф'!$H:$H,$B:$B,'20Ф'!AR:AR)*1.2</f>
        <v>0</v>
      </c>
      <c r="DU101" s="276">
        <f>SUMIF('20Ф'!$H:$H,$B:$B,'20Ф'!X:X)*1.2</f>
        <v>0</v>
      </c>
      <c r="DV101" s="276">
        <f>SUMIF('20Ф'!$H:$H,$B:$B,'20Ф'!AA:AA)*1.2</f>
        <v>0</v>
      </c>
      <c r="DW101" s="276">
        <f>SUMIF('20Ф'!$H:$H,$B:$B,'20Ф'!N:N)*1.2</f>
        <v>0</v>
      </c>
      <c r="DX101" s="276">
        <f>$D101/$D$281*('25Ф'!$D$37)</f>
        <v>482188.78385592619</v>
      </c>
      <c r="DY101" s="276">
        <f>$D101/$D$281*'25Ф'!$D$30</f>
        <v>15389.952303760194</v>
      </c>
      <c r="DZ101" s="276">
        <f>$D101/$D$281*'25Ф'!$D$31</f>
        <v>8451.3359582749381</v>
      </c>
      <c r="EA101" s="276"/>
      <c r="EB101" s="276">
        <f t="shared" si="14"/>
        <v>303786.50181051821</v>
      </c>
      <c r="EC101" s="276">
        <f>$D101/$D$281*'26Ф'!$D$36</f>
        <v>158130.65756416536</v>
      </c>
      <c r="ED101" s="276">
        <f>$D101/$D$281*'26Ф'!$D$37</f>
        <v>18999.229619499802</v>
      </c>
      <c r="EE101" s="276">
        <f>$D101/$D$281*'26Ф'!$D$38</f>
        <v>19194.085414749978</v>
      </c>
      <c r="EF101" s="276">
        <f>$D101/$D$281*'26Ф'!$D$39</f>
        <v>13464.633400458506</v>
      </c>
      <c r="EG101" s="276">
        <f>$D101/$D$281*'91Ф'!$D$10</f>
        <v>4153.8338041754914</v>
      </c>
      <c r="EH101" s="276">
        <f>$D101/$D$281*('20Ф'!$I$509+'26Ф'!$D$41+'20Ф'!$I$507)</f>
        <v>29387.006371814539</v>
      </c>
      <c r="EI101" s="276">
        <f>$D101/$D$281*'91Ф'!$D$31</f>
        <v>53870.699034238263</v>
      </c>
      <c r="EJ101" s="276">
        <f>$D101/$D$281*'20Ф'!$I$1316</f>
        <v>6586.3566014162361</v>
      </c>
      <c r="EK101" s="276">
        <f>$D101/$D$281*('20Ф'!$I$1105+'20Ф'!$I$1282+'91Ф'!$D$17+'91Ф'!$D$41)</f>
        <v>216303.28865137405</v>
      </c>
      <c r="EL101" s="276">
        <f>$D101/$D$281*отчёт!BX$294</f>
        <v>361593.13127067883</v>
      </c>
      <c r="EM101" s="276">
        <f>$D101/$D$281*отчёт!BY$294</f>
        <v>318001.7493420649</v>
      </c>
      <c r="EN101" s="276">
        <f>$D101/$D$283*отчёт!BZ$294</f>
        <v>57071.373460140974</v>
      </c>
      <c r="EO101" s="240">
        <f t="shared" si="22"/>
        <v>184422.89750099799</v>
      </c>
      <c r="EP101" s="276">
        <f>SUMIF('20Ф'!$H:$H,$B:$B,'20Ф'!T:T)*1.2</f>
        <v>6559.4879999999994</v>
      </c>
      <c r="EQ101" s="276">
        <f>SUM(H101:I101)/SUM($H$284:$I$284)*SUM('60Ф'!$O$155:$P$155)</f>
        <v>172510.26175648702</v>
      </c>
      <c r="ER101" s="276">
        <f>SUM($H101:$I101)/SUM($H$284:$I$284)*SUM('60Ф'!$P$227)</f>
        <v>5353.1477445109776</v>
      </c>
      <c r="ES101" s="239">
        <f t="shared" si="17"/>
        <v>121025.35875490532</v>
      </c>
      <c r="ET101" s="276">
        <f>$D101/$D$282*'20Ф'!$I$381</f>
        <v>9250.0841267967844</v>
      </c>
      <c r="EU101" s="276">
        <f>$D101/$D$282*('20Ф'!$I$75+'20Ф'!$I$1098)*1.2</f>
        <v>106842.57803036695</v>
      </c>
      <c r="EV101" s="276">
        <f>$D101/$D$282*('20Ф'!$I$1286)</f>
        <v>4932.696597741593</v>
      </c>
      <c r="EW101" s="276">
        <f>SUMIF('91.1Ф'!$N:$N,$B:$B,'91.1Ф'!$F:$F)+$D101/$D$281*('91Ф'!$D$12+'91Ф'!$D$11+'91Ф'!$D$19+'91Ф'!$D$20)</f>
        <v>28507.716195737659</v>
      </c>
      <c r="EX101" s="276">
        <f t="shared" si="15"/>
        <v>32645.500563204158</v>
      </c>
      <c r="EY101" s="276">
        <f>SUMIF('20Ф'!$H:$H,$B:$B,'20Ф'!$AY:$AY)*1.2</f>
        <v>28322.003999999997</v>
      </c>
      <c r="EZ101" s="295">
        <f>D101/$D$286*'20Ф'!$I$1163</f>
        <v>4323.4965632041603</v>
      </c>
      <c r="FA101" s="277">
        <f>SUMIF(отчёт!$B:$B,$B:$B,отчёт!$CU:$CU)/отчёт!$CU$281*'20Ф'!$I$1341</f>
        <v>920.96385542168503</v>
      </c>
      <c r="FB101" s="276">
        <f>SUMIF(Сальдо!$A:$A,$B:$B,Сальдо!$H:$H)-SUMIF(Сальдо!$A:$A,$B:$B,Сальдо!$I:$I)</f>
        <v>356817.75</v>
      </c>
    </row>
    <row r="102" spans="1:158" ht="12" customHeight="1" x14ac:dyDescent="0.25">
      <c r="A102" s="3">
        <f t="shared" si="18"/>
        <v>98</v>
      </c>
      <c r="B102" s="4" t="s">
        <v>148</v>
      </c>
      <c r="C102" s="4" t="s">
        <v>148</v>
      </c>
      <c r="D102" s="5">
        <v>5021.8999999999996</v>
      </c>
      <c r="E102" s="6">
        <v>5021.8999999999996</v>
      </c>
      <c r="F102" s="6">
        <v>0</v>
      </c>
      <c r="G102" s="6">
        <v>913.65</v>
      </c>
      <c r="H102" s="5">
        <f>SUMIF(отчёт!$B:$B,$B:$B,отчёт!I:I)</f>
        <v>1</v>
      </c>
      <c r="I102" s="5">
        <f>SUMIF(отчёт!$B:$B,$B:$B,отчёт!J:J)</f>
        <v>1</v>
      </c>
      <c r="J102" s="3" t="s">
        <v>111</v>
      </c>
      <c r="K102" s="105">
        <v>3</v>
      </c>
      <c r="L102" s="105" t="s">
        <v>52</v>
      </c>
      <c r="M102" s="7">
        <v>45.06</v>
      </c>
      <c r="N102" s="8">
        <v>5.0999999999999996</v>
      </c>
      <c r="O102" s="8">
        <v>8.6300000000000008</v>
      </c>
      <c r="P102" s="8">
        <v>13.43</v>
      </c>
      <c r="Q102" s="8">
        <v>6.91</v>
      </c>
      <c r="R102" s="8">
        <v>3.15</v>
      </c>
      <c r="S102" s="8">
        <v>1.81</v>
      </c>
      <c r="T102" s="8">
        <v>5.77</v>
      </c>
      <c r="U102" s="8">
        <v>0.26</v>
      </c>
      <c r="V102" s="9">
        <v>40</v>
      </c>
      <c r="W102" s="9">
        <v>40</v>
      </c>
      <c r="X102" s="9">
        <v>2604.04</v>
      </c>
      <c r="Y102" s="8">
        <v>195.98199600000001</v>
      </c>
      <c r="Z102" s="9">
        <v>42.3</v>
      </c>
      <c r="AA102" s="9">
        <v>2604.04</v>
      </c>
      <c r="AB102" s="8">
        <v>7.85</v>
      </c>
      <c r="AC102" s="10">
        <v>0</v>
      </c>
      <c r="AD102" s="8">
        <v>6.73</v>
      </c>
      <c r="AE102" s="8">
        <v>10.67</v>
      </c>
      <c r="AF102" s="8">
        <v>14</v>
      </c>
      <c r="AG102" s="7">
        <v>1357720.8839999998</v>
      </c>
      <c r="AH102" s="8">
        <v>153670.13999999996</v>
      </c>
      <c r="AI102" s="8">
        <v>260033.98200000002</v>
      </c>
      <c r="AJ102" s="8">
        <v>404664.70199999999</v>
      </c>
      <c r="AK102" s="8">
        <v>208207.97399999999</v>
      </c>
      <c r="AL102" s="8">
        <v>94913.909999999989</v>
      </c>
      <c r="AM102" s="8">
        <v>54537.833999999995</v>
      </c>
      <c r="AN102" s="8">
        <v>173858.17799999999</v>
      </c>
      <c r="AO102" s="8">
        <v>7834.1639999999998</v>
      </c>
      <c r="AQ102" s="104">
        <v>48.44</v>
      </c>
      <c r="AR102" s="375">
        <v>18.489999999999998</v>
      </c>
      <c r="AS102" s="376"/>
      <c r="AT102" s="104">
        <v>6.67</v>
      </c>
      <c r="AU102" s="104">
        <v>1.53</v>
      </c>
      <c r="AV102" s="104">
        <v>0.32</v>
      </c>
      <c r="AW102" s="104">
        <v>0.87</v>
      </c>
      <c r="AX102" s="104">
        <v>5.01</v>
      </c>
      <c r="AY102" s="104">
        <v>4.99</v>
      </c>
      <c r="AZ102" s="104">
        <v>2.7</v>
      </c>
      <c r="BA102" s="104">
        <v>6.46</v>
      </c>
      <c r="BB102" s="104">
        <v>0.47</v>
      </c>
      <c r="BC102" s="101">
        <v>0.93</v>
      </c>
      <c r="BD102" s="104">
        <v>54.88252</v>
      </c>
      <c r="BE102" s="375">
        <v>20.949169999999999</v>
      </c>
      <c r="BF102" s="376">
        <v>0</v>
      </c>
      <c r="BG102" s="104">
        <v>7.5571100000000007</v>
      </c>
      <c r="BH102" s="104">
        <v>1.7334900000000002</v>
      </c>
      <c r="BI102" s="104">
        <v>0.36256000000000005</v>
      </c>
      <c r="BJ102" s="104">
        <v>0.98571000000000009</v>
      </c>
      <c r="BK102" s="104">
        <v>5.6763300000000001</v>
      </c>
      <c r="BL102" s="104">
        <v>5.65367</v>
      </c>
      <c r="BM102" s="104">
        <v>3.0591000000000004</v>
      </c>
      <c r="BN102" s="104">
        <v>7.3191800000000002</v>
      </c>
      <c r="BO102" s="104">
        <v>0.53250999999999993</v>
      </c>
      <c r="BP102" s="101">
        <v>1.05369</v>
      </c>
      <c r="BQ102" s="103">
        <v>3242666.9438800002</v>
      </c>
      <c r="BR102" s="371">
        <v>1237756.2302299999</v>
      </c>
      <c r="BS102" s="371">
        <v>0</v>
      </c>
      <c r="BT102" s="103">
        <v>446502.65308999998</v>
      </c>
      <c r="BU102" s="103">
        <v>102421.14830999999</v>
      </c>
      <c r="BV102" s="103">
        <v>21421.416639999999</v>
      </c>
      <c r="BW102" s="103">
        <v>58239.476490000001</v>
      </c>
      <c r="BX102" s="103">
        <v>335379.05426999996</v>
      </c>
      <c r="BY102" s="103">
        <v>334040.21573</v>
      </c>
      <c r="BZ102" s="103">
        <v>180743.20290000003</v>
      </c>
      <c r="CA102" s="103">
        <v>432444.84841999999</v>
      </c>
      <c r="CB102" s="103">
        <v>31462.705689999992</v>
      </c>
      <c r="CC102" s="103">
        <v>62255.992109999992</v>
      </c>
      <c r="CD102" s="1">
        <v>1</v>
      </c>
      <c r="CF102" s="277">
        <f>SUMIF(Оборот!$A:$A,$B:$B,Оборот!H:H)</f>
        <v>2783421.76</v>
      </c>
      <c r="CG102" s="277">
        <f>SUMIF(Оборот!$A:$A,$B:$B,Оборот!I:I)</f>
        <v>2730889.23</v>
      </c>
      <c r="CH102" s="277">
        <f t="shared" si="12"/>
        <v>2301511.9241426713</v>
      </c>
      <c r="CI102" s="239">
        <f t="shared" si="16"/>
        <v>413243.16412590584</v>
      </c>
      <c r="CJ102" s="276">
        <f>SUMIF('20Ф'!$H:$H,$B:$B,'20Ф'!M:M)*1.2</f>
        <v>0</v>
      </c>
      <c r="CK102" s="276">
        <f>SUMIF('20Ф'!$H:$H,$B:$B,'20Ф'!O:O)*1.2</f>
        <v>0</v>
      </c>
      <c r="CL102" s="276">
        <f>SUMIF('20Ф'!$H:$H,$B:$B,'20Ф'!Q:Q)*1.2</f>
        <v>0</v>
      </c>
      <c r="CM102" s="276">
        <f>SUMIF('20Ф'!$H:$H,$B:$B,'20Ф'!R:R)*1.2</f>
        <v>0</v>
      </c>
      <c r="CN102" s="276">
        <f>SUMIF('20Ф'!$H:$H,$B:$B,'20Ф'!S:S)*1.2</f>
        <v>0</v>
      </c>
      <c r="CO102" s="276">
        <f>SUMIF('20Ф'!$H:$H,$B:$B,'20Ф'!W:W)*1.2</f>
        <v>0</v>
      </c>
      <c r="CP102" s="276">
        <f>SUMIF('20Ф'!$H:$H,$B:$B,'20Ф'!P:P)*1.2</f>
        <v>0</v>
      </c>
      <c r="CQ102" s="276">
        <f>SUMIF('20Ф'!$H:$H,$B:$B,'20Ф'!Y:Y)*1.2</f>
        <v>0</v>
      </c>
      <c r="CR102" s="276">
        <f>SUMIF('20Ф'!$H:$H,$B:$B,'20Ф'!Z:Z)*1.2</f>
        <v>0</v>
      </c>
      <c r="CS102" s="276">
        <f>SUMIF('20Ф'!$H:$H,$B:$B,'20Ф'!AB:AB)*1.2</f>
        <v>0</v>
      </c>
      <c r="CT102" s="276">
        <f>SUMIF('20Ф'!$H:$H,$B:$B,'20Ф'!AC:AC)*1.2</f>
        <v>0</v>
      </c>
      <c r="CU102" s="276">
        <f>SUMIF('20Ф'!$H:$H,$B:$B,'20Ф'!AD:AD)*1.2</f>
        <v>0</v>
      </c>
      <c r="CV102" s="276">
        <f>SUMIF('20Ф'!$H:$H,$B:$B,'20Ф'!AE:AE)*1.2</f>
        <v>0</v>
      </c>
      <c r="CW102" s="276">
        <f>SUMIF('20Ф'!$H:$H,$B:$B,'20Ф'!AF:AF)*1.2</f>
        <v>0</v>
      </c>
      <c r="CX102" s="276">
        <f>SUMIF('20Ф'!$H:$H,$B:$B,'20Ф'!AG:AG)*1.2</f>
        <v>0</v>
      </c>
      <c r="CY102" s="276">
        <f>SUMIF('20Ф'!$H:$H,$B:$B,'20Ф'!AH:AH)*1.2</f>
        <v>0</v>
      </c>
      <c r="CZ102" s="276">
        <f>SUMIF('20Ф'!$H:$H,$B:$B,'20Ф'!AI:AI)*1.2</f>
        <v>0</v>
      </c>
      <c r="DA102" s="276">
        <f>SUMIF('20Ф'!$H:$H,$B:$B,'20Ф'!AJ:AJ)*1.2</f>
        <v>0</v>
      </c>
      <c r="DB102" s="276">
        <f>SUMIF('20Ф'!$H:$H,$B:$B,'20Ф'!AK:AK)*1.2</f>
        <v>0</v>
      </c>
      <c r="DC102" s="276">
        <f>SUMIF('20Ф'!$H:$H,$B:$B,'20Ф'!AL:AL)*1.2</f>
        <v>369073.87199999997</v>
      </c>
      <c r="DD102" s="276">
        <f>SUMIF('20Ф'!$H:$H,$B:$B,'20Ф'!AM:AM)*1.2</f>
        <v>0</v>
      </c>
      <c r="DE102" s="276">
        <f>SUMIF('20Ф'!$H:$H,$B:$B,'20Ф'!AN:AN)*1.2</f>
        <v>0</v>
      </c>
      <c r="DF102" s="276">
        <f>SUMIF('20Ф'!$H:$H,$B:$B,'20Ф'!AO:AO)*1.2</f>
        <v>0</v>
      </c>
      <c r="DG102" s="276">
        <f>SUMIF('20Ф'!$H:$H,$B:$B,'20Ф'!AP:AP)*1.2</f>
        <v>0</v>
      </c>
      <c r="DH102" s="276">
        <f>SUMIF('20Ф'!$H:$H,$B:$B,'20Ф'!AQ:AQ)*1.2</f>
        <v>0</v>
      </c>
      <c r="DI102" s="276">
        <f>SUMIF('20Ф'!$H:$H,$B:$B,'20Ф'!BA:BA)*1.2</f>
        <v>0</v>
      </c>
      <c r="DJ102" s="276">
        <f>SUMIF('20Ф'!$H:$H,$B:$B,'20Ф'!BB:BB)*1.2</f>
        <v>0</v>
      </c>
      <c r="DK102" s="276">
        <f>SUMIF('20Ф'!$H:$H,$B:$B,'20Ф'!BC:BC)*1.2</f>
        <v>0</v>
      </c>
      <c r="DL102" s="276">
        <f>$D102/$D$281*'20Ф'!$H$218</f>
        <v>44169.292125905871</v>
      </c>
      <c r="DM102" s="240">
        <f t="shared" si="13"/>
        <v>531874.36781817919</v>
      </c>
      <c r="DN102" s="276">
        <f>SUMIF('20Ф'!$H:$H,$B:$B,'20Ф'!AV:AV)*1.2</f>
        <v>0</v>
      </c>
      <c r="DO102" s="276">
        <f>SUMIF('20Ф'!$H:$H,$B:$B,'20Ф'!AW:AW)*1.2+$D102/$D$281*'26Ф'!$D$42</f>
        <v>23504.610884536538</v>
      </c>
      <c r="DP102" s="276">
        <f>SUMIF('20Ф'!$H:$H,$B:$B,'20Ф'!AX:AX)*1.2</f>
        <v>0</v>
      </c>
      <c r="DQ102" s="276">
        <f>SUMIF('20Ф'!$H:$H,$B:$B,'20Ф'!AY:AY)*1.2</f>
        <v>16181.003999999999</v>
      </c>
      <c r="DR102" s="276">
        <f>SUMIF('20Ф'!$H:$H,$B:$B,'20Ф'!AU:AU)*1.2</f>
        <v>0</v>
      </c>
      <c r="DS102" s="276">
        <f>SUMIF('20Ф'!$H:$H,$B:$B,'20Ф'!AS:AS)*1.2</f>
        <v>77571.203999999998</v>
      </c>
      <c r="DT102" s="276">
        <f>SUMIF('20Ф'!$H:$H,$B:$B,'20Ф'!AR:AR)*1.2</f>
        <v>0</v>
      </c>
      <c r="DU102" s="276">
        <f>SUMIF('20Ф'!$H:$H,$B:$B,'20Ф'!X:X)*1.2</f>
        <v>0</v>
      </c>
      <c r="DV102" s="276">
        <f>SUMIF('20Ф'!$H:$H,$B:$B,'20Ф'!AA:AA)*1.2</f>
        <v>0</v>
      </c>
      <c r="DW102" s="276">
        <f>SUMIF('20Ф'!$H:$H,$B:$B,'20Ф'!N:N)*1.2</f>
        <v>0</v>
      </c>
      <c r="DX102" s="276">
        <f>$D102/$D$281*('25Ф'!$D$37)</f>
        <v>395083.10415005067</v>
      </c>
      <c r="DY102" s="276">
        <f>$D102/$D$281*'25Ф'!$D$30</f>
        <v>12609.812447872169</v>
      </c>
      <c r="DZ102" s="276">
        <f>$D102/$D$281*'25Ф'!$D$31</f>
        <v>6924.6323357199108</v>
      </c>
      <c r="EA102" s="276"/>
      <c r="EB102" s="276">
        <f t="shared" si="14"/>
        <v>248908.55646705732</v>
      </c>
      <c r="EC102" s="276">
        <f>$D102/$D$281*'26Ф'!$D$36</f>
        <v>129564.91968176111</v>
      </c>
      <c r="ED102" s="276">
        <f>$D102/$D$281*'26Ф'!$D$37</f>
        <v>15567.086721731748</v>
      </c>
      <c r="EE102" s="276">
        <f>$D102/$D$281*'26Ф'!$D$38</f>
        <v>15726.742514289686</v>
      </c>
      <c r="EF102" s="276">
        <f>$D102/$D$281*'26Ф'!$D$39</f>
        <v>11032.295520347614</v>
      </c>
      <c r="EG102" s="276">
        <f>$D102/$D$281*'91Ф'!$D$10</f>
        <v>3403.4585797570439</v>
      </c>
      <c r="EH102" s="276">
        <f>$D102/$D$281*('20Ф'!$I$509+'26Ф'!$D$41+'20Ф'!$I$507)</f>
        <v>24078.348745919535</v>
      </c>
      <c r="EI102" s="276">
        <f>$D102/$D$281*'91Ф'!$D$31</f>
        <v>44139.149871929178</v>
      </c>
      <c r="EJ102" s="276">
        <f>$D102/$D$281*'20Ф'!$I$1316</f>
        <v>5396.5548313214331</v>
      </c>
      <c r="EK102" s="276">
        <f>$D102/$D$281*('20Ф'!$I$1105+'20Ф'!$I$1282+'91Ф'!$D$17+'91Ф'!$D$41)</f>
        <v>177228.87296313248</v>
      </c>
      <c r="EL102" s="276">
        <f>$D102/$D$281*отчёт!BX$294</f>
        <v>296272.62500664406</v>
      </c>
      <c r="EM102" s="276">
        <f>$D102/$D$281*отчёт!BY$294</f>
        <v>260555.87035958227</v>
      </c>
      <c r="EN102" s="276">
        <f>$D102/$D$283*отчёт!BZ$294</f>
        <v>46761.633907014388</v>
      </c>
      <c r="EO102" s="240">
        <f t="shared" si="22"/>
        <v>184422.89750099799</v>
      </c>
      <c r="EP102" s="276">
        <f>SUMIF('20Ф'!$H:$H,$B:$B,'20Ф'!T:T)*1.2</f>
        <v>6559.4879999999994</v>
      </c>
      <c r="EQ102" s="276">
        <f>SUM(H102:I102)/SUM($H$284:$I$284)*SUM('60Ф'!$O$155:$P$155)</f>
        <v>172510.26175648702</v>
      </c>
      <c r="ER102" s="276">
        <f>SUM($H102:$I102)/SUM($H$284:$I$284)*SUM('60Ф'!$P$227)</f>
        <v>5353.1477445109776</v>
      </c>
      <c r="ES102" s="239">
        <f t="shared" si="17"/>
        <v>99162.560429958525</v>
      </c>
      <c r="ET102" s="276">
        <f>$D102/$D$282*'20Ф'!$I$381</f>
        <v>7579.0895035748754</v>
      </c>
      <c r="EU102" s="276">
        <f>$D102/$D$282*('20Ф'!$I$75+'20Ф'!$I$1098)*1.2</f>
        <v>87541.84833184311</v>
      </c>
      <c r="EV102" s="276">
        <f>$D102/$D$282*('20Ф'!$I$1286)</f>
        <v>4041.6225945405527</v>
      </c>
      <c r="EW102" s="276">
        <f>SUMIF('91.1Ф'!$N:$N,$B:$B,'91.1Ф'!$F:$F)+$D102/$D$281*('91Ф'!$D$12+'91Ф'!$D$11+'91Ф'!$D$19+'91Ф'!$D$20)</f>
        <v>23357.899196191112</v>
      </c>
      <c r="EX102" s="276">
        <f t="shared" si="15"/>
        <v>19723.476368007534</v>
      </c>
      <c r="EY102" s="276">
        <f>SUMIF('20Ф'!$H:$H,$B:$B,'20Ф'!$AY:$AY)*1.2</f>
        <v>16181.003999999999</v>
      </c>
      <c r="EZ102" s="295">
        <f>D102/$D$286*'20Ф'!$I$1163</f>
        <v>3542.4723680075331</v>
      </c>
      <c r="FA102" s="277">
        <f>SUMIF(отчёт!$B:$B,$B:$B,отчёт!$CU:$CU)/отчёт!$CU$281*'20Ф'!$I$1341</f>
        <v>920.96385542168503</v>
      </c>
      <c r="FB102" s="276">
        <f>SUMIF(Сальдо!$A:$A,$B:$B,Сальдо!$H:$H)-SUMIF(Сальдо!$A:$A,$B:$B,Сальдо!$I:$I)</f>
        <v>446002.09</v>
      </c>
    </row>
    <row r="103" spans="1:158" ht="12" customHeight="1" x14ac:dyDescent="0.25">
      <c r="A103" s="3">
        <f t="shared" si="18"/>
        <v>99</v>
      </c>
      <c r="B103" s="4" t="s">
        <v>149</v>
      </c>
      <c r="C103" s="4" t="s">
        <v>149</v>
      </c>
      <c r="D103" s="5">
        <v>8658.6000000000022</v>
      </c>
      <c r="E103" s="6">
        <v>5980.5000000000018</v>
      </c>
      <c r="F103" s="6">
        <v>2678.1</v>
      </c>
      <c r="G103" s="6">
        <v>2125.5</v>
      </c>
      <c r="H103" s="5">
        <f>SUMIF(отчёт!$B:$B,$B:$B,отчёт!I:I)</f>
        <v>0</v>
      </c>
      <c r="I103" s="5">
        <f>SUMIF(отчёт!$B:$B,$B:$B,отчёт!J:J)</f>
        <v>3</v>
      </c>
      <c r="J103" s="3" t="s">
        <v>114</v>
      </c>
      <c r="K103" s="105">
        <v>1</v>
      </c>
      <c r="L103" s="105" t="s">
        <v>75</v>
      </c>
      <c r="M103" s="12">
        <v>36.54</v>
      </c>
      <c r="N103" s="8">
        <v>4.03</v>
      </c>
      <c r="O103" s="8">
        <v>7</v>
      </c>
      <c r="P103" s="8">
        <v>11</v>
      </c>
      <c r="Q103" s="8">
        <v>5.4</v>
      </c>
      <c r="R103" s="8">
        <v>2.67</v>
      </c>
      <c r="S103" s="8">
        <v>1.54</v>
      </c>
      <c r="T103" s="8">
        <v>4.9000000000000004</v>
      </c>
      <c r="U103" s="8">
        <v>0</v>
      </c>
      <c r="V103" s="9">
        <v>40</v>
      </c>
      <c r="W103" s="9">
        <v>40</v>
      </c>
      <c r="X103" s="9">
        <v>2604.04</v>
      </c>
      <c r="Y103" s="8">
        <v>195.98199600000001</v>
      </c>
      <c r="Z103" s="9">
        <v>42.3</v>
      </c>
      <c r="AA103" s="9">
        <v>2604.04</v>
      </c>
      <c r="AB103" s="8">
        <v>0</v>
      </c>
      <c r="AC103" s="10">
        <v>0</v>
      </c>
      <c r="AD103" s="8">
        <v>5.05</v>
      </c>
      <c r="AE103" s="8">
        <v>10.67</v>
      </c>
      <c r="AF103" s="8">
        <v>14</v>
      </c>
      <c r="AG103" s="7">
        <v>1898311.4640000004</v>
      </c>
      <c r="AH103" s="8">
        <v>209364.94800000006</v>
      </c>
      <c r="AI103" s="8">
        <v>363661.20000000007</v>
      </c>
      <c r="AJ103" s="8">
        <v>571467.60000000009</v>
      </c>
      <c r="AK103" s="8">
        <v>280538.64000000013</v>
      </c>
      <c r="AL103" s="8">
        <v>138710.77200000006</v>
      </c>
      <c r="AM103" s="8">
        <v>80005.464000000022</v>
      </c>
      <c r="AN103" s="8">
        <v>254562.84000000008</v>
      </c>
      <c r="AO103" s="8">
        <v>0</v>
      </c>
      <c r="AQ103" s="104">
        <v>48.16</v>
      </c>
      <c r="AR103" s="375">
        <v>18.649999999999999</v>
      </c>
      <c r="AS103" s="376"/>
      <c r="AT103" s="104">
        <v>7.16</v>
      </c>
      <c r="AU103" s="104">
        <v>1.53</v>
      </c>
      <c r="AV103" s="104">
        <v>0.32</v>
      </c>
      <c r="AW103" s="104">
        <v>0.87</v>
      </c>
      <c r="AX103" s="104">
        <v>5.01</v>
      </c>
      <c r="AY103" s="104">
        <v>4.99</v>
      </c>
      <c r="AZ103" s="104">
        <v>2.7</v>
      </c>
      <c r="BA103" s="104">
        <v>6.46</v>
      </c>
      <c r="BB103" s="104">
        <v>0.47</v>
      </c>
      <c r="BC103" s="101">
        <v>0</v>
      </c>
      <c r="BD103" s="104">
        <v>54.565279999999994</v>
      </c>
      <c r="BE103" s="375">
        <v>21.130449999999996</v>
      </c>
      <c r="BF103" s="376">
        <v>0</v>
      </c>
      <c r="BG103" s="104">
        <v>8.1122800000000002</v>
      </c>
      <c r="BH103" s="104">
        <v>1.7334900000000002</v>
      </c>
      <c r="BI103" s="104">
        <v>0.36255999999999999</v>
      </c>
      <c r="BJ103" s="104">
        <v>0.98570999999999998</v>
      </c>
      <c r="BK103" s="104">
        <v>5.6763299999999992</v>
      </c>
      <c r="BL103" s="104">
        <v>5.6536700000000009</v>
      </c>
      <c r="BM103" s="104">
        <v>3.0591000000000004</v>
      </c>
      <c r="BN103" s="104">
        <v>7.3191800000000002</v>
      </c>
      <c r="BO103" s="104">
        <v>0.53250999999999993</v>
      </c>
      <c r="BP103" s="101">
        <v>0</v>
      </c>
      <c r="BQ103" s="103">
        <v>5558585.6860800013</v>
      </c>
      <c r="BR103" s="371">
        <v>2152566.9237000002</v>
      </c>
      <c r="BS103" s="371">
        <v>0</v>
      </c>
      <c r="BT103" s="103">
        <v>826401.02808000031</v>
      </c>
      <c r="BU103" s="103">
        <v>176591.28114000004</v>
      </c>
      <c r="BV103" s="103">
        <v>36934.124160000007</v>
      </c>
      <c r="BW103" s="103">
        <v>100414.65006000001</v>
      </c>
      <c r="BX103" s="103">
        <v>578249.88138000015</v>
      </c>
      <c r="BY103" s="103">
        <v>575941.49862000032</v>
      </c>
      <c r="BZ103" s="103">
        <v>311631.67260000017</v>
      </c>
      <c r="CA103" s="103">
        <v>745607.63148000021</v>
      </c>
      <c r="CB103" s="103">
        <v>54246.994859999999</v>
      </c>
      <c r="CC103" s="103">
        <v>0</v>
      </c>
      <c r="CD103" s="1">
        <v>1</v>
      </c>
      <c r="CF103" s="277">
        <f>SUMIF(Оборот!$A:$A,$B:$B,Оборот!H:H)</f>
        <v>2244720.8899999997</v>
      </c>
      <c r="CG103" s="277">
        <f>SUMIF(Оборот!$A:$A,$B:$B,Оборот!I:I)</f>
        <v>2266545.8199999998</v>
      </c>
      <c r="CH103" s="277">
        <f t="shared" si="12"/>
        <v>3666977.4902419318</v>
      </c>
      <c r="CI103" s="239">
        <f t="shared" si="16"/>
        <v>522125.42240581632</v>
      </c>
      <c r="CJ103" s="276">
        <f>SUMIF('20Ф'!$H:$H,$B:$B,'20Ф'!M:M)*1.2</f>
        <v>114351.048</v>
      </c>
      <c r="CK103" s="276">
        <f>SUMIF('20Ф'!$H:$H,$B:$B,'20Ф'!O:O)*1.2</f>
        <v>0</v>
      </c>
      <c r="CL103" s="276">
        <f>SUMIF('20Ф'!$H:$H,$B:$B,'20Ф'!Q:Q)*1.2</f>
        <v>0</v>
      </c>
      <c r="CM103" s="276">
        <f>SUMIF('20Ф'!$H:$H,$B:$B,'20Ф'!R:R)*1.2</f>
        <v>0</v>
      </c>
      <c r="CN103" s="276">
        <f>SUMIF('20Ф'!$H:$H,$B:$B,'20Ф'!S:S)*1.2</f>
        <v>0</v>
      </c>
      <c r="CO103" s="276">
        <f>SUMIF('20Ф'!$H:$H,$B:$B,'20Ф'!W:W)*1.2</f>
        <v>0</v>
      </c>
      <c r="CP103" s="276">
        <f>SUMIF('20Ф'!$H:$H,$B:$B,'20Ф'!P:P)*1.2</f>
        <v>0</v>
      </c>
      <c r="CQ103" s="276">
        <f>SUMIF('20Ф'!$H:$H,$B:$B,'20Ф'!Y:Y)*1.2</f>
        <v>0</v>
      </c>
      <c r="CR103" s="276">
        <f>SUMIF('20Ф'!$H:$H,$B:$B,'20Ф'!Z:Z)*1.2</f>
        <v>43200</v>
      </c>
      <c r="CS103" s="276">
        <f>SUMIF('20Ф'!$H:$H,$B:$B,'20Ф'!AB:AB)*1.2</f>
        <v>0</v>
      </c>
      <c r="CT103" s="276">
        <f>SUMIF('20Ф'!$H:$H,$B:$B,'20Ф'!AC:AC)*1.2</f>
        <v>0</v>
      </c>
      <c r="CU103" s="276">
        <f>SUMIF('20Ф'!$H:$H,$B:$B,'20Ф'!AD:AD)*1.2</f>
        <v>177632.86800000002</v>
      </c>
      <c r="CV103" s="276">
        <f>SUMIF('20Ф'!$H:$H,$B:$B,'20Ф'!AE:AE)*1.2</f>
        <v>0</v>
      </c>
      <c r="CW103" s="276">
        <f>SUMIF('20Ф'!$H:$H,$B:$B,'20Ф'!AF:AF)*1.2</f>
        <v>0</v>
      </c>
      <c r="CX103" s="276">
        <f>SUMIF('20Ф'!$H:$H,$B:$B,'20Ф'!AG:AG)*1.2</f>
        <v>0</v>
      </c>
      <c r="CY103" s="276">
        <f>SUMIF('20Ф'!$H:$H,$B:$B,'20Ф'!AH:AH)*1.2</f>
        <v>0</v>
      </c>
      <c r="CZ103" s="276">
        <f>SUMIF('20Ф'!$H:$H,$B:$B,'20Ф'!AI:AI)*1.2</f>
        <v>0</v>
      </c>
      <c r="DA103" s="276">
        <f>SUMIF('20Ф'!$H:$H,$B:$B,'20Ф'!AJ:AJ)*1.2</f>
        <v>38152.764000000003</v>
      </c>
      <c r="DB103" s="276">
        <f>SUMIF('20Ф'!$H:$H,$B:$B,'20Ф'!AK:AK)*1.2</f>
        <v>72633.455999999991</v>
      </c>
      <c r="DC103" s="276">
        <f>SUMIF('20Ф'!$H:$H,$B:$B,'20Ф'!AL:AL)*1.2</f>
        <v>0</v>
      </c>
      <c r="DD103" s="276">
        <f>SUMIF('20Ф'!$H:$H,$B:$B,'20Ф'!AM:AM)*1.2</f>
        <v>0</v>
      </c>
      <c r="DE103" s="276">
        <f>SUMIF('20Ф'!$H:$H,$B:$B,'20Ф'!AN:AN)*1.2</f>
        <v>0</v>
      </c>
      <c r="DF103" s="276">
        <f>SUMIF('20Ф'!$H:$H,$B:$B,'20Ф'!AO:AO)*1.2</f>
        <v>0</v>
      </c>
      <c r="DG103" s="276">
        <f>SUMIF('20Ф'!$H:$H,$B:$B,'20Ф'!AP:AP)*1.2</f>
        <v>0</v>
      </c>
      <c r="DH103" s="276">
        <f>SUMIF('20Ф'!$H:$H,$B:$B,'20Ф'!AQ:AQ)*1.2</f>
        <v>0</v>
      </c>
      <c r="DI103" s="276">
        <f>SUMIF('20Ф'!$H:$H,$B:$B,'20Ф'!BA:BA)*1.2</f>
        <v>0</v>
      </c>
      <c r="DJ103" s="276">
        <f>SUMIF('20Ф'!$H:$H,$B:$B,'20Ф'!BB:BB)*1.2</f>
        <v>0</v>
      </c>
      <c r="DK103" s="276">
        <f>SUMIF('20Ф'!$H:$H,$B:$B,'20Ф'!BC:BC)*1.2</f>
        <v>0</v>
      </c>
      <c r="DL103" s="276">
        <f>$D103/$D$281*'20Ф'!$H$218</f>
        <v>76155.286405816267</v>
      </c>
      <c r="DM103" s="240">
        <f t="shared" si="13"/>
        <v>883599.20693364833</v>
      </c>
      <c r="DN103" s="276">
        <f>SUMIF('20Ф'!$H:$H,$B:$B,'20Ф'!AV:AV)*1.2</f>
        <v>0</v>
      </c>
      <c r="DO103" s="276">
        <f>SUMIF('20Ф'!$H:$H,$B:$B,'20Ф'!AW:AW)*1.2+$D103/$D$281*'26Ф'!$D$42</f>
        <v>40525.901313217735</v>
      </c>
      <c r="DP103" s="276">
        <f>SUMIF('20Ф'!$H:$H,$B:$B,'20Ф'!AX:AX)*1.2</f>
        <v>0</v>
      </c>
      <c r="DQ103" s="276">
        <f>SUMIF('20Ф'!$H:$H,$B:$B,'20Ф'!AY:AY)*1.2</f>
        <v>0</v>
      </c>
      <c r="DR103" s="276">
        <f>SUMIF('20Ф'!$H:$H,$B:$B,'20Ф'!AU:AU)*1.2</f>
        <v>0</v>
      </c>
      <c r="DS103" s="276">
        <f>SUMIF('20Ф'!$H:$H,$B:$B,'20Ф'!AS:AS)*1.2</f>
        <v>128202.93599999999</v>
      </c>
      <c r="DT103" s="276">
        <f>SUMIF('20Ф'!$H:$H,$B:$B,'20Ф'!AR:AR)*1.2</f>
        <v>0</v>
      </c>
      <c r="DU103" s="276">
        <f>SUMIF('20Ф'!$H:$H,$B:$B,'20Ф'!X:X)*1.2</f>
        <v>0</v>
      </c>
      <c r="DV103" s="276">
        <f>SUMIF('20Ф'!$H:$H,$B:$B,'20Ф'!AA:AA)*1.2</f>
        <v>0</v>
      </c>
      <c r="DW103" s="276">
        <f>SUMIF('20Ф'!$H:$H,$B:$B,'20Ф'!N:N)*1.2</f>
        <v>0</v>
      </c>
      <c r="DX103" s="276">
        <f>$D103/$D$281*('25Ф'!$D$37)</f>
        <v>681189.70222298929</v>
      </c>
      <c r="DY103" s="276">
        <f>$D103/$D$281*'25Ф'!$D$30</f>
        <v>21741.436918526058</v>
      </c>
      <c r="DZ103" s="276">
        <f>$D103/$D$281*'25Ф'!$D$31</f>
        <v>11939.230478915239</v>
      </c>
      <c r="EA103" s="276"/>
      <c r="EB103" s="276">
        <f t="shared" si="14"/>
        <v>429160.20371287037</v>
      </c>
      <c r="EC103" s="276">
        <f>$D103/$D$281*'26Ф'!$D$36</f>
        <v>223391.70703448835</v>
      </c>
      <c r="ED103" s="276">
        <f>$D103/$D$281*'26Ф'!$D$37</f>
        <v>26840.275013199498</v>
      </c>
      <c r="EE103" s="276">
        <f>$D103/$D$281*'26Ф'!$D$38</f>
        <v>27115.548444658139</v>
      </c>
      <c r="EF103" s="276">
        <f>$D103/$D$281*'26Ф'!$D$39</f>
        <v>19021.53248620679</v>
      </c>
      <c r="EG103" s="276">
        <f>$D103/$D$281*'91Ф'!$D$10</f>
        <v>5868.1348610454907</v>
      </c>
      <c r="EH103" s="276">
        <f>$D103/$D$281*('20Ф'!$I$509+'26Ф'!$D$41+'20Ф'!$I$507)</f>
        <v>41515.12185655209</v>
      </c>
      <c r="EI103" s="276">
        <f>$D103/$D$281*'91Ф'!$D$31</f>
        <v>76103.316091735411</v>
      </c>
      <c r="EJ103" s="276">
        <f>$D103/$D$281*'20Ф'!$I$1316</f>
        <v>9304.5679249845216</v>
      </c>
      <c r="EK103" s="276">
        <f>$D103/$D$281*('20Ф'!$I$1105+'20Ф'!$I$1282+'91Ф'!$D$17+'91Ф'!$D$41)</f>
        <v>305572.37687699462</v>
      </c>
      <c r="EL103" s="276">
        <f>$D103/$D$281*отчёт!BX$294</f>
        <v>510823.82183686033</v>
      </c>
      <c r="EM103" s="276">
        <f>$D103/$D$281*отчёт!BY$294</f>
        <v>449242.13128407171</v>
      </c>
      <c r="EN103" s="276">
        <f>$D103/$D$283*отчёт!BZ$294</f>
        <v>80624.919521948847</v>
      </c>
      <c r="EO103" s="240">
        <f t="shared" si="22"/>
        <v>274583.53425149701</v>
      </c>
      <c r="EP103" s="276">
        <f>SUMIF('20Ф'!$H:$H,$B:$B,'20Ф'!T:T)*1.2</f>
        <v>7788.42</v>
      </c>
      <c r="EQ103" s="276">
        <f>SUM(H103:I103)/SUM($H$284:$I$284)*SUM('60Ф'!$O$155:$P$155)</f>
        <v>258765.39263473055</v>
      </c>
      <c r="ER103" s="276">
        <f>SUM($H103:$I103)/SUM($H$284:$I$284)*SUM('60Ф'!$P$227)</f>
        <v>8029.7216167664674</v>
      </c>
      <c r="ES103" s="239">
        <f t="shared" si="17"/>
        <v>170972.92772433528</v>
      </c>
      <c r="ET103" s="276">
        <f>$D103/$D$282*'20Ф'!$I$381</f>
        <v>13067.624679036508</v>
      </c>
      <c r="EU103" s="276">
        <f>$D103/$D$282*('20Ф'!$I$75+'20Ф'!$I$1098)*1.2</f>
        <v>150936.8661196155</v>
      </c>
      <c r="EV103" s="276">
        <f>$D103/$D$282*('20Ф'!$I$1286)</f>
        <v>6968.4369256832761</v>
      </c>
      <c r="EW103" s="276">
        <f>SUMIF('91.1Ф'!$N:$N,$B:$B,'91.1Ф'!$F:$F)+$D103/$D$281*('91Ф'!$D$12+'91Ф'!$D$11+'91Ф'!$D$19+'91Ф'!$D$20)</f>
        <v>40272.945693888854</v>
      </c>
      <c r="EX103" s="276">
        <f t="shared" si="15"/>
        <v>0</v>
      </c>
      <c r="EY103" s="276">
        <f>SUMIF('20Ф'!$H:$H,$B:$B,'20Ф'!$AY:$AY)*1.2</f>
        <v>0</v>
      </c>
      <c r="EZ103" s="236"/>
      <c r="FA103" s="277">
        <f>SUMIF(отчёт!$B:$B,$B:$B,отчёт!$CU:$CU)/отчёт!$CU$281*'20Ф'!$I$1341</f>
        <v>0</v>
      </c>
      <c r="FB103" s="276">
        <f>SUMIF(Сальдо!$A:$A,$B:$B,Сальдо!$H:$H)-SUMIF(Сальдо!$A:$A,$B:$B,Сальдо!$I:$I)</f>
        <v>746080.6399999999</v>
      </c>
    </row>
    <row r="104" spans="1:158" ht="12" customHeight="1" x14ac:dyDescent="0.25">
      <c r="A104" s="3">
        <f t="shared" si="18"/>
        <v>100</v>
      </c>
      <c r="B104" s="4" t="s">
        <v>150</v>
      </c>
      <c r="C104" s="4" t="s">
        <v>150</v>
      </c>
      <c r="D104" s="5">
        <v>3369.8</v>
      </c>
      <c r="E104" s="6">
        <v>3369.8</v>
      </c>
      <c r="F104" s="6">
        <v>0</v>
      </c>
      <c r="G104" s="6">
        <v>333.8</v>
      </c>
      <c r="H104" s="5">
        <f>SUMIF(отчёт!$B:$B,$B:$B,отчёт!I:I)</f>
        <v>0</v>
      </c>
      <c r="I104" s="5">
        <f>SUMIF(отчёт!$B:$B,$B:$B,отчёт!J:J)</f>
        <v>0</v>
      </c>
      <c r="J104" s="3" t="s">
        <v>114</v>
      </c>
      <c r="K104" s="105">
        <v>7</v>
      </c>
      <c r="L104" s="105" t="s">
        <v>52</v>
      </c>
      <c r="M104" s="7">
        <v>31</v>
      </c>
      <c r="N104" s="8">
        <v>5.0999999999999996</v>
      </c>
      <c r="O104" s="8">
        <v>6.59</v>
      </c>
      <c r="P104" s="8">
        <v>8.98</v>
      </c>
      <c r="Q104" s="8">
        <v>6.92</v>
      </c>
      <c r="R104" s="8">
        <v>3.15</v>
      </c>
      <c r="S104" s="8">
        <v>0</v>
      </c>
      <c r="T104" s="8">
        <v>0</v>
      </c>
      <c r="U104" s="8">
        <v>0.26</v>
      </c>
      <c r="V104" s="9">
        <v>40</v>
      </c>
      <c r="W104" s="9">
        <v>40</v>
      </c>
      <c r="X104" s="9">
        <v>2604.04</v>
      </c>
      <c r="Y104" s="8">
        <v>195.98199600000001</v>
      </c>
      <c r="Z104" s="9">
        <v>42.3</v>
      </c>
      <c r="AA104" s="9">
        <v>2604.04</v>
      </c>
      <c r="AB104" s="8">
        <v>7.85</v>
      </c>
      <c r="AC104" s="10">
        <v>0</v>
      </c>
      <c r="AD104" s="8">
        <v>6.73</v>
      </c>
      <c r="AE104" s="8">
        <v>10.67</v>
      </c>
      <c r="AF104" s="8">
        <v>14</v>
      </c>
      <c r="AG104" s="7">
        <v>626782.80000000005</v>
      </c>
      <c r="AH104" s="8">
        <v>103115.88</v>
      </c>
      <c r="AI104" s="8">
        <v>133241.89199999999</v>
      </c>
      <c r="AJ104" s="8">
        <v>181564.82400000002</v>
      </c>
      <c r="AK104" s="8">
        <v>139914.09599999999</v>
      </c>
      <c r="AL104" s="8">
        <v>63689.22</v>
      </c>
      <c r="AM104" s="8">
        <v>0</v>
      </c>
      <c r="AN104" s="8">
        <v>0</v>
      </c>
      <c r="AO104" s="8">
        <v>5256.8879999999999</v>
      </c>
      <c r="AQ104" s="104">
        <v>33.17</v>
      </c>
      <c r="AR104" s="375">
        <v>13.89</v>
      </c>
      <c r="AS104" s="376"/>
      <c r="AT104" s="104">
        <v>5.9</v>
      </c>
      <c r="AU104" s="104">
        <v>1.53</v>
      </c>
      <c r="AV104" s="104">
        <v>0.32</v>
      </c>
      <c r="AW104" s="104">
        <v>0.6</v>
      </c>
      <c r="AX104" s="104">
        <v>5.01</v>
      </c>
      <c r="AY104" s="104">
        <v>4.99</v>
      </c>
      <c r="AZ104" s="104">
        <v>0</v>
      </c>
      <c r="BA104" s="104">
        <v>0</v>
      </c>
      <c r="BB104" s="104">
        <v>0</v>
      </c>
      <c r="BC104" s="101">
        <v>0.93</v>
      </c>
      <c r="BD104" s="104">
        <v>37.581610000000005</v>
      </c>
      <c r="BE104" s="375">
        <v>15.737370000000004</v>
      </c>
      <c r="BF104" s="376">
        <v>0</v>
      </c>
      <c r="BG104" s="104">
        <v>6.6847000000000012</v>
      </c>
      <c r="BH104" s="104">
        <v>1.7334900000000002</v>
      </c>
      <c r="BI104" s="104">
        <v>0.36256000000000005</v>
      </c>
      <c r="BJ104" s="104">
        <v>0.67980000000000007</v>
      </c>
      <c r="BK104" s="104">
        <v>5.6763300000000001</v>
      </c>
      <c r="BL104" s="104">
        <v>5.65367</v>
      </c>
      <c r="BM104" s="104">
        <v>0</v>
      </c>
      <c r="BN104" s="104">
        <v>0</v>
      </c>
      <c r="BO104" s="104">
        <v>0</v>
      </c>
      <c r="BP104" s="101">
        <v>1.0536900000000002</v>
      </c>
      <c r="BQ104" s="103">
        <v>1489977.6257800001</v>
      </c>
      <c r="BR104" s="371">
        <v>623930.9382600002</v>
      </c>
      <c r="BS104" s="371">
        <v>0</v>
      </c>
      <c r="BT104" s="103">
        <v>265024.66060000006</v>
      </c>
      <c r="BU104" s="103">
        <v>68726.734020000004</v>
      </c>
      <c r="BV104" s="103">
        <v>14374.21888</v>
      </c>
      <c r="BW104" s="103">
        <v>26951.660400000004</v>
      </c>
      <c r="BX104" s="103">
        <v>225046.36434</v>
      </c>
      <c r="BY104" s="103">
        <v>224147.97566000003</v>
      </c>
      <c r="BZ104" s="103">
        <v>0</v>
      </c>
      <c r="CA104" s="103">
        <v>0</v>
      </c>
      <c r="CB104" s="103">
        <v>0</v>
      </c>
      <c r="CC104" s="103">
        <v>41775.07362000001</v>
      </c>
      <c r="CD104" s="1">
        <v>1</v>
      </c>
      <c r="CF104" s="277">
        <f>SUMIF(Оборот!$A:$A,$B:$B,Оборот!H:H)</f>
        <v>1282815.5600000003</v>
      </c>
      <c r="CG104" s="277">
        <f>SUMIF(Оборот!$A:$A,$B:$B,Оборот!I:I)</f>
        <v>1230380.71</v>
      </c>
      <c r="CH104" s="277">
        <f t="shared" si="12"/>
        <v>1506312.8828437149</v>
      </c>
      <c r="CI104" s="239">
        <f t="shared" si="16"/>
        <v>294038.73140617646</v>
      </c>
      <c r="CJ104" s="276">
        <f>SUMIF('20Ф'!$H:$H,$B:$B,'20Ф'!M:M)*1.2</f>
        <v>264400.212</v>
      </c>
      <c r="CK104" s="276">
        <f>SUMIF('20Ф'!$H:$H,$B:$B,'20Ф'!O:O)*1.2</f>
        <v>0</v>
      </c>
      <c r="CL104" s="276">
        <f>SUMIF('20Ф'!$H:$H,$B:$B,'20Ф'!Q:Q)*1.2</f>
        <v>0</v>
      </c>
      <c r="CM104" s="276">
        <f>SUMIF('20Ф'!$H:$H,$B:$B,'20Ф'!R:R)*1.2</f>
        <v>0</v>
      </c>
      <c r="CN104" s="276">
        <f>SUMIF('20Ф'!$H:$H,$B:$B,'20Ф'!S:S)*1.2</f>
        <v>0</v>
      </c>
      <c r="CO104" s="276">
        <f>SUMIF('20Ф'!$H:$H,$B:$B,'20Ф'!W:W)*1.2</f>
        <v>0</v>
      </c>
      <c r="CP104" s="276">
        <f>SUMIF('20Ф'!$H:$H,$B:$B,'20Ф'!P:P)*1.2</f>
        <v>0</v>
      </c>
      <c r="CQ104" s="276">
        <f>SUMIF('20Ф'!$H:$H,$B:$B,'20Ф'!Y:Y)*1.2</f>
        <v>0</v>
      </c>
      <c r="CR104" s="276">
        <f>SUMIF('20Ф'!$H:$H,$B:$B,'20Ф'!Z:Z)*1.2</f>
        <v>0</v>
      </c>
      <c r="CS104" s="276">
        <f>SUMIF('20Ф'!$H:$H,$B:$B,'20Ф'!AB:AB)*1.2</f>
        <v>0</v>
      </c>
      <c r="CT104" s="276">
        <f>SUMIF('20Ф'!$H:$H,$B:$B,'20Ф'!AC:AC)*1.2</f>
        <v>0</v>
      </c>
      <c r="CU104" s="276">
        <f>SUMIF('20Ф'!$H:$H,$B:$B,'20Ф'!AD:AD)*1.2</f>
        <v>0</v>
      </c>
      <c r="CV104" s="276">
        <f>SUMIF('20Ф'!$H:$H,$B:$B,'20Ф'!AE:AE)*1.2</f>
        <v>0</v>
      </c>
      <c r="CW104" s="276">
        <f>SUMIF('20Ф'!$H:$H,$B:$B,'20Ф'!AF:AF)*1.2</f>
        <v>0</v>
      </c>
      <c r="CX104" s="276">
        <f>SUMIF('20Ф'!$H:$H,$B:$B,'20Ф'!AG:AG)*1.2</f>
        <v>0</v>
      </c>
      <c r="CY104" s="276">
        <f>SUMIF('20Ф'!$H:$H,$B:$B,'20Ф'!AH:AH)*1.2</f>
        <v>0</v>
      </c>
      <c r="CZ104" s="276">
        <f>SUMIF('20Ф'!$H:$H,$B:$B,'20Ф'!AI:AI)*1.2</f>
        <v>0</v>
      </c>
      <c r="DA104" s="276">
        <f>SUMIF('20Ф'!$H:$H,$B:$B,'20Ф'!AJ:AJ)*1.2</f>
        <v>0</v>
      </c>
      <c r="DB104" s="276">
        <f>SUMIF('20Ф'!$H:$H,$B:$B,'20Ф'!AK:AK)*1.2</f>
        <v>0</v>
      </c>
      <c r="DC104" s="276">
        <f>SUMIF('20Ф'!$H:$H,$B:$B,'20Ф'!AL:AL)*1.2</f>
        <v>0</v>
      </c>
      <c r="DD104" s="276">
        <f>SUMIF('20Ф'!$H:$H,$B:$B,'20Ф'!AM:AM)*1.2</f>
        <v>0</v>
      </c>
      <c r="DE104" s="276">
        <f>SUMIF('20Ф'!$H:$H,$B:$B,'20Ф'!AN:AN)*1.2</f>
        <v>0</v>
      </c>
      <c r="DF104" s="276">
        <f>SUMIF('20Ф'!$H:$H,$B:$B,'20Ф'!AO:AO)*1.2</f>
        <v>0</v>
      </c>
      <c r="DG104" s="276">
        <f>SUMIF('20Ф'!$H:$H,$B:$B,'20Ф'!AP:AP)*1.2</f>
        <v>0</v>
      </c>
      <c r="DH104" s="276">
        <f>SUMIF('20Ф'!$H:$H,$B:$B,'20Ф'!AQ:AQ)*1.2</f>
        <v>0</v>
      </c>
      <c r="DI104" s="276">
        <f>SUMIF('20Ф'!$H:$H,$B:$B,'20Ф'!BA:BA)*1.2</f>
        <v>0</v>
      </c>
      <c r="DJ104" s="276">
        <f>SUMIF('20Ф'!$H:$H,$B:$B,'20Ф'!BB:BB)*1.2</f>
        <v>0</v>
      </c>
      <c r="DK104" s="276">
        <f>SUMIF('20Ф'!$H:$H,$B:$B,'20Ф'!BC:BC)*1.2</f>
        <v>0</v>
      </c>
      <c r="DL104" s="276">
        <f>$D104/$D$281*'20Ф'!$H$218</f>
        <v>29638.519406176471</v>
      </c>
      <c r="DM104" s="240">
        <f t="shared" si="13"/>
        <v>444558.57440484694</v>
      </c>
      <c r="DN104" s="276">
        <f>SUMIF('20Ф'!$H:$H,$B:$B,'20Ф'!AV:AV)*1.2</f>
        <v>0</v>
      </c>
      <c r="DO104" s="276">
        <f>SUMIF('20Ф'!$H:$H,$B:$B,'20Ф'!AW:AW)*1.2+$D104/$D$281*'26Ф'!$D$42</f>
        <v>15772.085815868742</v>
      </c>
      <c r="DP104" s="276">
        <f>SUMIF('20Ф'!$H:$H,$B:$B,'20Ф'!AX:AX)*1.2</f>
        <v>0</v>
      </c>
      <c r="DQ104" s="276">
        <f>SUMIF('20Ф'!$H:$H,$B:$B,'20Ф'!AY:AY)*1.2</f>
        <v>23534.003999999997</v>
      </c>
      <c r="DR104" s="276">
        <f>SUMIF('20Ф'!$H:$H,$B:$B,'20Ф'!AU:AU)*1.2</f>
        <v>0</v>
      </c>
      <c r="DS104" s="276">
        <f>SUMIF('20Ф'!$H:$H,$B:$B,'20Ф'!AS:AS)*1.2</f>
        <v>65640.383999999991</v>
      </c>
      <c r="DT104" s="276">
        <f>SUMIF('20Ф'!$H:$H,$B:$B,'20Ф'!AR:AR)*1.2</f>
        <v>0</v>
      </c>
      <c r="DU104" s="276">
        <f>SUMIF('20Ф'!$H:$H,$B:$B,'20Ф'!X:X)*1.2</f>
        <v>61395.047999999995</v>
      </c>
      <c r="DV104" s="276">
        <f>SUMIF('20Ф'!$H:$H,$B:$B,'20Ф'!AA:AA)*1.2</f>
        <v>0</v>
      </c>
      <c r="DW104" s="276">
        <f>SUMIF('20Ф'!$H:$H,$B:$B,'20Ф'!N:N)*1.2</f>
        <v>0</v>
      </c>
      <c r="DX104" s="276">
        <f>$D104/$D$281*('25Ф'!$D$37)</f>
        <v>265109.03131580498</v>
      </c>
      <c r="DY104" s="276">
        <f>$D104/$D$281*'25Ф'!$D$30</f>
        <v>8461.4480548875217</v>
      </c>
      <c r="DZ104" s="276">
        <f>$D104/$D$281*'25Ф'!$D$31</f>
        <v>4646.5732182857</v>
      </c>
      <c r="EA104" s="276"/>
      <c r="EB104" s="276">
        <f t="shared" si="14"/>
        <v>167022.85063077521</v>
      </c>
      <c r="EC104" s="276">
        <f>$D104/$D$281*'26Ф'!$D$36</f>
        <v>86940.772684362222</v>
      </c>
      <c r="ED104" s="276">
        <f>$D104/$D$281*'26Ф'!$D$37</f>
        <v>10445.840983470729</v>
      </c>
      <c r="EE104" s="276">
        <f>$D104/$D$281*'26Ф'!$D$38</f>
        <v>10552.973361606841</v>
      </c>
      <c r="EF104" s="276">
        <f>$D104/$D$281*'26Ф'!$D$39</f>
        <v>7402.901181717556</v>
      </c>
      <c r="EG104" s="276">
        <f>$D104/$D$281*'91Ф'!$D$10</f>
        <v>2283.7919357345404</v>
      </c>
      <c r="EH104" s="276">
        <f>$D104/$D$281*('20Ф'!$I$509+'26Ф'!$D$41+'20Ф'!$I$507)</f>
        <v>16157.075928234266</v>
      </c>
      <c r="EI104" s="276">
        <f>$D104/$D$281*'91Ф'!$D$31</f>
        <v>29618.293322930956</v>
      </c>
      <c r="EJ104" s="276">
        <f>$D104/$D$281*'20Ф'!$I$1316</f>
        <v>3621.2012327180882</v>
      </c>
      <c r="EK104" s="276">
        <f>$D104/$D$281*('20Ф'!$I$1105+'20Ф'!$I$1282+'91Ф'!$D$17+'91Ф'!$D$41)</f>
        <v>118924.28286329156</v>
      </c>
      <c r="EL104" s="276">
        <f>$D104/$D$281*отчёт!BX$294</f>
        <v>198805.13187187901</v>
      </c>
      <c r="EM104" s="276">
        <f>$D104/$D$281*отчёт!BY$294</f>
        <v>174838.44201153357</v>
      </c>
      <c r="EN104" s="276">
        <f>SUMIF(отчёт!$B:$B,$B:$B,отчёт!BZ:BZ)/отчёт!BZ$281*('60Ф'!$O$151+'60Ф'!$P$151)*отчёт!BZ$293</f>
        <v>0</v>
      </c>
      <c r="EO104" s="240">
        <f t="shared" si="19"/>
        <v>0</v>
      </c>
      <c r="EP104" s="276">
        <f>SUMIF('20Ф'!$H:$H,$B:$B,'20Ф'!T:T)*1.2</f>
        <v>0</v>
      </c>
      <c r="EQ104" s="276">
        <f>SUMIF('20Ф'!$H:$H,$B:$B,'20Ф'!U:U)*1.2</f>
        <v>0</v>
      </c>
      <c r="ER104" s="236"/>
      <c r="ES104" s="239">
        <f t="shared" si="17"/>
        <v>66540.153355677001</v>
      </c>
      <c r="ET104" s="276">
        <f>$D104/$D$282*'20Ф'!$I$381</f>
        <v>5085.7276746145117</v>
      </c>
      <c r="EU104" s="276">
        <f>$D104/$D$282*('20Ф'!$I$75+'20Ф'!$I$1098)*1.2</f>
        <v>58742.412335698631</v>
      </c>
      <c r="EV104" s="276">
        <f>$D104/$D$282*('20Ф'!$I$1286)</f>
        <v>2712.0133453638573</v>
      </c>
      <c r="EW104" s="276">
        <f>SUMIF('91.1Ф'!$N:$N,$B:$B,'91.1Ф'!$F:$F)+$D104/$D$281*('91Ф'!$D$12+'91Ф'!$D$11+'91Ф'!$D$19+'91Ф'!$D$20)</f>
        <v>15673.639202557761</v>
      </c>
      <c r="EX104" s="276">
        <f t="shared" si="15"/>
        <v>25911.077096977591</v>
      </c>
      <c r="EY104" s="276">
        <f>SUMIF('20Ф'!$H:$H,$B:$B,'20Ф'!$AY:$AY)*1.2</f>
        <v>23534.003999999997</v>
      </c>
      <c r="EZ104" s="295">
        <f>D104/$D$286*'20Ф'!$I$1163</f>
        <v>2377.0730969775955</v>
      </c>
      <c r="FA104" s="277">
        <f>SUMIF(отчёт!$B:$B,$B:$B,отчёт!$CU:$CU)/отчёт!$CU$281*'20Ф'!$I$1341</f>
        <v>3683.8554216867401</v>
      </c>
      <c r="FB104" s="276">
        <f>SUMIF(Сальдо!$A:$A,$B:$B,Сальдо!$H:$H)-SUMIF(Сальдо!$A:$A,$B:$B,Сальдо!$I:$I)</f>
        <v>640719.42000000004</v>
      </c>
    </row>
    <row r="105" spans="1:158" ht="12" customHeight="1" x14ac:dyDescent="0.25">
      <c r="A105" s="3">
        <f t="shared" si="18"/>
        <v>101</v>
      </c>
      <c r="B105" s="4" t="s">
        <v>151</v>
      </c>
      <c r="C105" s="4" t="s">
        <v>151</v>
      </c>
      <c r="D105" s="5">
        <v>3053.6</v>
      </c>
      <c r="E105" s="6">
        <v>3053.6</v>
      </c>
      <c r="F105" s="6">
        <v>0</v>
      </c>
      <c r="G105" s="6">
        <v>550.02</v>
      </c>
      <c r="H105" s="5">
        <f>SUMIF(отчёт!$B:$B,$B:$B,отчёт!I:I)</f>
        <v>1</v>
      </c>
      <c r="I105" s="5">
        <f>SUMIF(отчёт!$B:$B,$B:$B,отчёт!J:J)</f>
        <v>0</v>
      </c>
      <c r="J105" s="3" t="s">
        <v>114</v>
      </c>
      <c r="K105" s="105">
        <v>3</v>
      </c>
      <c r="L105" s="105" t="s">
        <v>52</v>
      </c>
      <c r="M105" s="7">
        <v>45.06</v>
      </c>
      <c r="N105" s="8">
        <v>5.0999999999999996</v>
      </c>
      <c r="O105" s="8">
        <v>8.6300000000000008</v>
      </c>
      <c r="P105" s="8">
        <v>13.43</v>
      </c>
      <c r="Q105" s="8">
        <v>6.91</v>
      </c>
      <c r="R105" s="8">
        <v>3.15</v>
      </c>
      <c r="S105" s="8">
        <v>1.81</v>
      </c>
      <c r="T105" s="8">
        <v>5.77</v>
      </c>
      <c r="U105" s="8">
        <v>0.26</v>
      </c>
      <c r="V105" s="9">
        <v>40</v>
      </c>
      <c r="W105" s="9">
        <v>40</v>
      </c>
      <c r="X105" s="9">
        <v>2604.04</v>
      </c>
      <c r="Y105" s="8">
        <v>195.98199600000001</v>
      </c>
      <c r="Z105" s="9">
        <v>42.3</v>
      </c>
      <c r="AA105" s="9">
        <v>2604.04</v>
      </c>
      <c r="AB105" s="8">
        <v>7.85</v>
      </c>
      <c r="AC105" s="10">
        <v>0</v>
      </c>
      <c r="AD105" s="8">
        <v>6.73</v>
      </c>
      <c r="AE105" s="8">
        <v>10.67</v>
      </c>
      <c r="AF105" s="8">
        <v>14</v>
      </c>
      <c r="AG105" s="7">
        <v>825571.29600000009</v>
      </c>
      <c r="AH105" s="8">
        <v>93440.159999999989</v>
      </c>
      <c r="AI105" s="8">
        <v>158115.40800000002</v>
      </c>
      <c r="AJ105" s="8">
        <v>246059.08799999999</v>
      </c>
      <c r="AK105" s="8">
        <v>126602.25599999999</v>
      </c>
      <c r="AL105" s="8">
        <v>57713.04</v>
      </c>
      <c r="AM105" s="8">
        <v>33162.095999999998</v>
      </c>
      <c r="AN105" s="8">
        <v>105715.63199999998</v>
      </c>
      <c r="AO105" s="8">
        <v>4763.616</v>
      </c>
      <c r="AQ105" s="104">
        <v>48.44</v>
      </c>
      <c r="AR105" s="375">
        <v>18.489999999999998</v>
      </c>
      <c r="AS105" s="376"/>
      <c r="AT105" s="104">
        <v>6.67</v>
      </c>
      <c r="AU105" s="104">
        <v>1.53</v>
      </c>
      <c r="AV105" s="104">
        <v>0.32</v>
      </c>
      <c r="AW105" s="104">
        <v>0.87</v>
      </c>
      <c r="AX105" s="104">
        <v>5.01</v>
      </c>
      <c r="AY105" s="104">
        <v>4.99</v>
      </c>
      <c r="AZ105" s="104">
        <v>2.7</v>
      </c>
      <c r="BA105" s="104">
        <v>6.46</v>
      </c>
      <c r="BB105" s="104">
        <v>0.47</v>
      </c>
      <c r="BC105" s="101">
        <v>0.93</v>
      </c>
      <c r="BD105" s="104">
        <v>54.88252</v>
      </c>
      <c r="BE105" s="375">
        <v>20.949169999999999</v>
      </c>
      <c r="BF105" s="376">
        <v>0</v>
      </c>
      <c r="BG105" s="104">
        <v>7.5571100000000007</v>
      </c>
      <c r="BH105" s="104">
        <v>1.7334900000000002</v>
      </c>
      <c r="BI105" s="104">
        <v>0.36256000000000005</v>
      </c>
      <c r="BJ105" s="104">
        <v>0.98571000000000009</v>
      </c>
      <c r="BK105" s="104">
        <v>5.6763300000000001</v>
      </c>
      <c r="BL105" s="104">
        <v>5.65367</v>
      </c>
      <c r="BM105" s="104">
        <v>3.0591000000000004</v>
      </c>
      <c r="BN105" s="104">
        <v>7.3191800000000002</v>
      </c>
      <c r="BO105" s="104">
        <v>0.53250999999999993</v>
      </c>
      <c r="BP105" s="101">
        <v>1.05369</v>
      </c>
      <c r="BQ105" s="103">
        <v>1971725.3987199997</v>
      </c>
      <c r="BR105" s="371">
        <v>752625.98311999987</v>
      </c>
      <c r="BS105" s="371">
        <v>0</v>
      </c>
      <c r="BT105" s="103">
        <v>271498.93495999998</v>
      </c>
      <c r="BU105" s="103">
        <v>62277.86664</v>
      </c>
      <c r="BV105" s="103">
        <v>13025.436159999999</v>
      </c>
      <c r="BW105" s="103">
        <v>35412.904560000003</v>
      </c>
      <c r="BX105" s="103">
        <v>203929.48487999997</v>
      </c>
      <c r="BY105" s="103">
        <v>203115.39512</v>
      </c>
      <c r="BZ105" s="103">
        <v>109902.11760000001</v>
      </c>
      <c r="CA105" s="103">
        <v>262950.99248000002</v>
      </c>
      <c r="CB105" s="103">
        <v>19131.109359999995</v>
      </c>
      <c r="CC105" s="103">
        <v>37855.173839999996</v>
      </c>
      <c r="CD105" s="1">
        <v>1</v>
      </c>
      <c r="CF105" s="277">
        <f>SUMIF(Оборот!$A:$A,$B:$B,Оборот!H:H)</f>
        <v>1630119.48</v>
      </c>
      <c r="CG105" s="277">
        <f>SUMIF(Оборот!$A:$A,$B:$B,Оборот!I:I)</f>
        <v>1658571.68</v>
      </c>
      <c r="CH105" s="277">
        <f t="shared" si="12"/>
        <v>1180997.1681297403</v>
      </c>
      <c r="CI105" s="239">
        <f t="shared" si="16"/>
        <v>26857.434523918469</v>
      </c>
      <c r="CJ105" s="276">
        <f>SUMIF('20Ф'!$H:$H,$B:$B,'20Ф'!M:M)*1.2</f>
        <v>0</v>
      </c>
      <c r="CK105" s="276">
        <f>SUMIF('20Ф'!$H:$H,$B:$B,'20Ф'!O:O)*1.2</f>
        <v>0</v>
      </c>
      <c r="CL105" s="276">
        <f>SUMIF('20Ф'!$H:$H,$B:$B,'20Ф'!Q:Q)*1.2</f>
        <v>0</v>
      </c>
      <c r="CM105" s="276">
        <f>SUMIF('20Ф'!$H:$H,$B:$B,'20Ф'!R:R)*1.2</f>
        <v>0</v>
      </c>
      <c r="CN105" s="276">
        <f>SUMIF('20Ф'!$H:$H,$B:$B,'20Ф'!S:S)*1.2</f>
        <v>0</v>
      </c>
      <c r="CO105" s="276">
        <f>SUMIF('20Ф'!$H:$H,$B:$B,'20Ф'!W:W)*1.2</f>
        <v>0</v>
      </c>
      <c r="CP105" s="276">
        <f>SUMIF('20Ф'!$H:$H,$B:$B,'20Ф'!P:P)*1.2</f>
        <v>0</v>
      </c>
      <c r="CQ105" s="276">
        <f>SUMIF('20Ф'!$H:$H,$B:$B,'20Ф'!Y:Y)*1.2</f>
        <v>0</v>
      </c>
      <c r="CR105" s="276">
        <f>SUMIF('20Ф'!$H:$H,$B:$B,'20Ф'!Z:Z)*1.2</f>
        <v>0</v>
      </c>
      <c r="CS105" s="276">
        <f>SUMIF('20Ф'!$H:$H,$B:$B,'20Ф'!AB:AB)*1.2</f>
        <v>0</v>
      </c>
      <c r="CT105" s="276">
        <f>SUMIF('20Ф'!$H:$H,$B:$B,'20Ф'!AC:AC)*1.2</f>
        <v>0</v>
      </c>
      <c r="CU105" s="276">
        <f>SUMIF('20Ф'!$H:$H,$B:$B,'20Ф'!AD:AD)*1.2</f>
        <v>0</v>
      </c>
      <c r="CV105" s="276">
        <f>SUMIF('20Ф'!$H:$H,$B:$B,'20Ф'!AE:AE)*1.2</f>
        <v>0</v>
      </c>
      <c r="CW105" s="276">
        <f>SUMIF('20Ф'!$H:$H,$B:$B,'20Ф'!AF:AF)*1.2</f>
        <v>0</v>
      </c>
      <c r="CX105" s="276">
        <f>SUMIF('20Ф'!$H:$H,$B:$B,'20Ф'!AG:AG)*1.2</f>
        <v>0</v>
      </c>
      <c r="CY105" s="276">
        <f>SUMIF('20Ф'!$H:$H,$B:$B,'20Ф'!AH:AH)*1.2</f>
        <v>0</v>
      </c>
      <c r="CZ105" s="276">
        <f>SUMIF('20Ф'!$H:$H,$B:$B,'20Ф'!AI:AI)*1.2</f>
        <v>0</v>
      </c>
      <c r="DA105" s="276">
        <f>SUMIF('20Ф'!$H:$H,$B:$B,'20Ф'!AJ:AJ)*1.2</f>
        <v>0</v>
      </c>
      <c r="DB105" s="276">
        <f>SUMIF('20Ф'!$H:$H,$B:$B,'20Ф'!AK:AK)*1.2</f>
        <v>0</v>
      </c>
      <c r="DC105" s="276">
        <f>SUMIF('20Ф'!$H:$H,$B:$B,'20Ф'!AL:AL)*1.2</f>
        <v>0</v>
      </c>
      <c r="DD105" s="276">
        <f>SUMIF('20Ф'!$H:$H,$B:$B,'20Ф'!AM:AM)*1.2</f>
        <v>0</v>
      </c>
      <c r="DE105" s="276">
        <f>SUMIF('20Ф'!$H:$H,$B:$B,'20Ф'!AN:AN)*1.2</f>
        <v>0</v>
      </c>
      <c r="DF105" s="276">
        <f>SUMIF('20Ф'!$H:$H,$B:$B,'20Ф'!AO:AO)*1.2</f>
        <v>0</v>
      </c>
      <c r="DG105" s="276">
        <f>SUMIF('20Ф'!$H:$H,$B:$B,'20Ф'!AP:AP)*1.2</f>
        <v>0</v>
      </c>
      <c r="DH105" s="276">
        <f>SUMIF('20Ф'!$H:$H,$B:$B,'20Ф'!AQ:AQ)*1.2</f>
        <v>0</v>
      </c>
      <c r="DI105" s="276">
        <f>SUMIF('20Ф'!$H:$H,$B:$B,'20Ф'!BA:BA)*1.2</f>
        <v>0</v>
      </c>
      <c r="DJ105" s="276">
        <f>SUMIF('20Ф'!$H:$H,$B:$B,'20Ф'!BB:BB)*1.2</f>
        <v>0</v>
      </c>
      <c r="DK105" s="276">
        <f>SUMIF('20Ф'!$H:$H,$B:$B,'20Ф'!BC:BC)*1.2</f>
        <v>0</v>
      </c>
      <c r="DL105" s="276">
        <f>$D105/$D$281*'20Ф'!$H$218</f>
        <v>26857.434523918469</v>
      </c>
      <c r="DM105" s="240">
        <f t="shared" si="13"/>
        <v>332169.43177952414</v>
      </c>
      <c r="DN105" s="276">
        <f>SUMIF('20Ф'!$H:$H,$B:$B,'20Ф'!AV:AV)*1.2</f>
        <v>0</v>
      </c>
      <c r="DO105" s="276">
        <f>SUMIF('20Ф'!$H:$H,$B:$B,'20Ф'!AW:AW)*1.2+$D105/$D$281*'26Ф'!$D$42</f>
        <v>14292.136401963555</v>
      </c>
      <c r="DP105" s="276">
        <f>SUMIF('20Ф'!$H:$H,$B:$B,'20Ф'!AX:AX)*1.2</f>
        <v>0</v>
      </c>
      <c r="DQ105" s="276">
        <f>SUMIF('20Ф'!$H:$H,$B:$B,'20Ф'!AY:AY)*1.2</f>
        <v>27793.007999999998</v>
      </c>
      <c r="DR105" s="276">
        <f>SUMIF('20Ф'!$H:$H,$B:$B,'20Ф'!AU:AU)*1.2</f>
        <v>0</v>
      </c>
      <c r="DS105" s="276">
        <f>SUMIF('20Ф'!$H:$H,$B:$B,'20Ф'!AS:AS)*1.2</f>
        <v>37973.303999999996</v>
      </c>
      <c r="DT105" s="276">
        <f>SUMIF('20Ф'!$H:$H,$B:$B,'20Ф'!AR:AR)*1.2</f>
        <v>0</v>
      </c>
      <c r="DU105" s="276">
        <f>SUMIF('20Ф'!$H:$H,$B:$B,'20Ф'!X:X)*1.2</f>
        <v>0</v>
      </c>
      <c r="DV105" s="276">
        <f>SUMIF('20Ф'!$H:$H,$B:$B,'20Ф'!AA:AA)*1.2</f>
        <v>0</v>
      </c>
      <c r="DW105" s="276">
        <f>SUMIF('20Ф'!$H:$H,$B:$B,'20Ф'!N:N)*1.2</f>
        <v>0</v>
      </c>
      <c r="DX105" s="276">
        <f>$D105/$D$281*('25Ф'!$D$37)</f>
        <v>240232.93311945573</v>
      </c>
      <c r="DY105" s="276">
        <f>$D105/$D$281*'25Ф'!$D$30</f>
        <v>7667.4810909859734</v>
      </c>
      <c r="DZ105" s="276">
        <f>$D105/$D$281*'25Ф'!$D$31</f>
        <v>4210.5691671188833</v>
      </c>
      <c r="EA105" s="276"/>
      <c r="EB105" s="276">
        <f t="shared" si="14"/>
        <v>151350.51833525285</v>
      </c>
      <c r="EC105" s="276">
        <f>$D105/$D$281*'26Ф'!$D$36</f>
        <v>78782.819000821546</v>
      </c>
      <c r="ED105" s="276">
        <f>$D105/$D$281*'26Ф'!$D$37</f>
        <v>9465.6715612577045</v>
      </c>
      <c r="EE105" s="276">
        <f>$D105/$D$281*'26Ф'!$D$38</f>
        <v>9562.7513374688842</v>
      </c>
      <c r="EF105" s="276">
        <f>$D105/$D$281*'26Ф'!$D$39</f>
        <v>6708.2613355370431</v>
      </c>
      <c r="EG105" s="276">
        <f>$D105/$D$281*'91Ф'!$D$10</f>
        <v>2069.4958320846908</v>
      </c>
      <c r="EH105" s="276">
        <f>$D105/$D$281*('20Ф'!$I$509+'26Ф'!$D$41+'20Ф'!$I$507)</f>
        <v>14641.00155927834</v>
      </c>
      <c r="EI105" s="276">
        <f>$D105/$D$281*'91Ф'!$D$31</f>
        <v>26839.106324085096</v>
      </c>
      <c r="EJ105" s="276">
        <f>$D105/$D$281*'20Ф'!$I$1316</f>
        <v>3281.4113847195536</v>
      </c>
      <c r="EK105" s="276">
        <f>$D105/$D$281*('20Ф'!$I$1105+'20Ф'!$I$1282+'91Ф'!$D$17+'91Ф'!$D$41)</f>
        <v>107765.20569509974</v>
      </c>
      <c r="EL105" s="276">
        <f>$D105/$D$281*отчёт!BX$294</f>
        <v>180150.55809958148</v>
      </c>
      <c r="EM105" s="276">
        <f>$D105/$D$281*отчёт!BY$294</f>
        <v>158432.74571975158</v>
      </c>
      <c r="EN105" s="276">
        <f>$D105/$D$283*отчёт!BZ$294</f>
        <v>28433.725342690846</v>
      </c>
      <c r="EO105" s="240">
        <f t="shared" ref="EO105:EO106" si="23">SUBTOTAL(9,EP105:ER105)</f>
        <v>91391.128750498989</v>
      </c>
      <c r="EP105" s="276">
        <f>SUMIF('20Ф'!$H:$H,$B:$B,'20Ф'!T:T)*1.2</f>
        <v>2459.424</v>
      </c>
      <c r="EQ105" s="276">
        <f>SUM(H105:I105)/SUM($H$284:$I$284)*SUM('60Ф'!$O$155:$P$155)</f>
        <v>86255.130878243508</v>
      </c>
      <c r="ER105" s="276">
        <f>SUM($H105:$I105)/SUM($H$284:$I$284)*SUM('60Ф'!$P$227)</f>
        <v>2676.5738722554888</v>
      </c>
      <c r="ES105" s="239">
        <f t="shared" si="17"/>
        <v>60296.460409192019</v>
      </c>
      <c r="ET105" s="276">
        <f>$D105/$D$282*'20Ф'!$I$381</f>
        <v>4608.516240489902</v>
      </c>
      <c r="EU105" s="276">
        <f>$D105/$D$282*('20Ф'!$I$75+'20Ф'!$I$1098)*1.2</f>
        <v>53230.408424324683</v>
      </c>
      <c r="EV105" s="276">
        <f>$D105/$D$282*('20Ф'!$I$1286)</f>
        <v>2457.5357443774333</v>
      </c>
      <c r="EW105" s="276">
        <f>SUMIF('91.1Ф'!$N:$N,$B:$B,'91.1Ф'!$F:$F)+$D105/$D$281*('91Ф'!$D$12+'91Ф'!$D$11+'91Ф'!$D$19+'91Ф'!$D$20)</f>
        <v>14202.927375194484</v>
      </c>
      <c r="EX105" s="276">
        <f t="shared" si="15"/>
        <v>29947.032099035783</v>
      </c>
      <c r="EY105" s="276">
        <f>SUMIF('20Ф'!$H:$H,$B:$B,'20Ф'!$AY:$AY)*1.2</f>
        <v>27793.007999999998</v>
      </c>
      <c r="EZ105" s="295">
        <f>D105/$D$286*'20Ф'!$I$1163</f>
        <v>2154.0240990357843</v>
      </c>
      <c r="FA105" s="277">
        <f>SUMIF(отчёт!$B:$B,$B:$B,отчёт!$CU:$CU)/отчёт!$CU$281*'20Ф'!$I$1341</f>
        <v>920.96385542168503</v>
      </c>
      <c r="FB105" s="276">
        <f>SUMIF(Сальдо!$A:$A,$B:$B,Сальдо!$H:$H)-SUMIF(Сальдо!$A:$A,$B:$B,Сальдо!$I:$I)</f>
        <v>364127.07</v>
      </c>
    </row>
    <row r="106" spans="1:158" ht="12" customHeight="1" x14ac:dyDescent="0.25">
      <c r="A106" s="3">
        <f t="shared" si="18"/>
        <v>102</v>
      </c>
      <c r="B106" s="4" t="s">
        <v>152</v>
      </c>
      <c r="C106" s="4" t="s">
        <v>152</v>
      </c>
      <c r="D106" s="5">
        <v>3035.1</v>
      </c>
      <c r="E106" s="6">
        <v>3035.1</v>
      </c>
      <c r="F106" s="6">
        <v>0</v>
      </c>
      <c r="G106" s="6">
        <v>546.67999999999995</v>
      </c>
      <c r="H106" s="5">
        <f>SUMIF(отчёт!$B:$B,$B:$B,отчёт!I:I)</f>
        <v>1</v>
      </c>
      <c r="I106" s="5">
        <f>SUMIF(отчёт!$B:$B,$B:$B,отчёт!J:J)</f>
        <v>0</v>
      </c>
      <c r="J106" s="3" t="s">
        <v>114</v>
      </c>
      <c r="K106" s="105">
        <v>3</v>
      </c>
      <c r="L106" s="105" t="s">
        <v>52</v>
      </c>
      <c r="M106" s="7">
        <v>45.06</v>
      </c>
      <c r="N106" s="8">
        <v>5.0999999999999996</v>
      </c>
      <c r="O106" s="8">
        <v>8.6300000000000008</v>
      </c>
      <c r="P106" s="8">
        <v>13.43</v>
      </c>
      <c r="Q106" s="8">
        <v>6.91</v>
      </c>
      <c r="R106" s="8">
        <v>3.15</v>
      </c>
      <c r="S106" s="8">
        <v>1.81</v>
      </c>
      <c r="T106" s="8">
        <v>5.77</v>
      </c>
      <c r="U106" s="8">
        <v>0.26</v>
      </c>
      <c r="V106" s="9">
        <v>40</v>
      </c>
      <c r="W106" s="9">
        <v>40</v>
      </c>
      <c r="X106" s="9">
        <v>2604.04</v>
      </c>
      <c r="Y106" s="8">
        <v>195.98199600000001</v>
      </c>
      <c r="Z106" s="9">
        <v>42.3</v>
      </c>
      <c r="AA106" s="9">
        <v>2604.04</v>
      </c>
      <c r="AB106" s="8">
        <v>7.85</v>
      </c>
      <c r="AC106" s="10">
        <v>0</v>
      </c>
      <c r="AD106" s="8">
        <v>6.73</v>
      </c>
      <c r="AE106" s="8">
        <v>10.67</v>
      </c>
      <c r="AF106" s="8">
        <v>14</v>
      </c>
      <c r="AG106" s="7">
        <v>820569.63599999994</v>
      </c>
      <c r="AH106" s="8">
        <v>92874.06</v>
      </c>
      <c r="AI106" s="8">
        <v>157157.478</v>
      </c>
      <c r="AJ106" s="8">
        <v>244568.35799999998</v>
      </c>
      <c r="AK106" s="8">
        <v>125835.24600000001</v>
      </c>
      <c r="AL106" s="8">
        <v>57363.389999999992</v>
      </c>
      <c r="AM106" s="8">
        <v>32961.186000000002</v>
      </c>
      <c r="AN106" s="8">
        <v>105075.16199999998</v>
      </c>
      <c r="AO106" s="8">
        <v>4734.7559999999994</v>
      </c>
      <c r="AQ106" s="104">
        <v>48.44</v>
      </c>
      <c r="AR106" s="375">
        <v>18.489999999999998</v>
      </c>
      <c r="AS106" s="376"/>
      <c r="AT106" s="104">
        <v>6.67</v>
      </c>
      <c r="AU106" s="104">
        <v>1.53</v>
      </c>
      <c r="AV106" s="104">
        <v>0.32</v>
      </c>
      <c r="AW106" s="104">
        <v>0.87</v>
      </c>
      <c r="AX106" s="104">
        <v>5.01</v>
      </c>
      <c r="AY106" s="104">
        <v>4.99</v>
      </c>
      <c r="AZ106" s="104">
        <v>2.7</v>
      </c>
      <c r="BA106" s="104">
        <v>6.46</v>
      </c>
      <c r="BB106" s="104">
        <v>0.47</v>
      </c>
      <c r="BC106" s="101">
        <v>0.93</v>
      </c>
      <c r="BD106" s="104">
        <v>54.88252</v>
      </c>
      <c r="BE106" s="375">
        <v>20.949169999999999</v>
      </c>
      <c r="BF106" s="376">
        <v>0</v>
      </c>
      <c r="BG106" s="104">
        <v>7.5571100000000007</v>
      </c>
      <c r="BH106" s="104">
        <v>1.7334900000000002</v>
      </c>
      <c r="BI106" s="104">
        <v>0.36256000000000005</v>
      </c>
      <c r="BJ106" s="104">
        <v>0.98571000000000009</v>
      </c>
      <c r="BK106" s="104">
        <v>5.6763300000000001</v>
      </c>
      <c r="BL106" s="104">
        <v>5.65367</v>
      </c>
      <c r="BM106" s="104">
        <v>3.0591000000000004</v>
      </c>
      <c r="BN106" s="104">
        <v>7.3191800000000002</v>
      </c>
      <c r="BO106" s="104">
        <v>0.53250999999999993</v>
      </c>
      <c r="BP106" s="101">
        <v>1.05369</v>
      </c>
      <c r="BQ106" s="103">
        <v>1959779.85252</v>
      </c>
      <c r="BR106" s="371">
        <v>748066.25666999992</v>
      </c>
      <c r="BS106" s="371">
        <v>0</v>
      </c>
      <c r="BT106" s="103">
        <v>269854.07961000002</v>
      </c>
      <c r="BU106" s="103">
        <v>61900.560989999998</v>
      </c>
      <c r="BV106" s="103">
        <v>12946.522559999999</v>
      </c>
      <c r="BW106" s="103">
        <v>35198.358210000006</v>
      </c>
      <c r="BX106" s="103">
        <v>202693.99382999999</v>
      </c>
      <c r="BY106" s="103">
        <v>201884.83617</v>
      </c>
      <c r="BZ106" s="103">
        <v>109236.28410000002</v>
      </c>
      <c r="CA106" s="103">
        <v>261357.92418</v>
      </c>
      <c r="CB106" s="103">
        <v>19015.205009999994</v>
      </c>
      <c r="CC106" s="103">
        <v>37625.831189999997</v>
      </c>
      <c r="CD106" s="1">
        <v>1</v>
      </c>
      <c r="CF106" s="277">
        <f>SUMIF(Оборот!$A:$A,$B:$B,Оборот!H:H)</f>
        <v>1682173.6000000003</v>
      </c>
      <c r="CG106" s="277">
        <f>SUMIF(Оборот!$A:$A,$B:$B,Оборот!I:I)</f>
        <v>1594930.44</v>
      </c>
      <c r="CH106" s="277">
        <f t="shared" si="12"/>
        <v>1146989.3919302002</v>
      </c>
      <c r="CI106" s="239">
        <f t="shared" si="16"/>
        <v>26694.720829036203</v>
      </c>
      <c r="CJ106" s="276">
        <f>SUMIF('20Ф'!$H:$H,$B:$B,'20Ф'!M:M)*1.2</f>
        <v>0</v>
      </c>
      <c r="CK106" s="276">
        <f>SUMIF('20Ф'!$H:$H,$B:$B,'20Ф'!O:O)*1.2</f>
        <v>0</v>
      </c>
      <c r="CL106" s="276">
        <f>SUMIF('20Ф'!$H:$H,$B:$B,'20Ф'!Q:Q)*1.2</f>
        <v>0</v>
      </c>
      <c r="CM106" s="276">
        <f>SUMIF('20Ф'!$H:$H,$B:$B,'20Ф'!R:R)*1.2</f>
        <v>0</v>
      </c>
      <c r="CN106" s="276">
        <f>SUMIF('20Ф'!$H:$H,$B:$B,'20Ф'!S:S)*1.2</f>
        <v>0</v>
      </c>
      <c r="CO106" s="276">
        <f>SUMIF('20Ф'!$H:$H,$B:$B,'20Ф'!W:W)*1.2</f>
        <v>0</v>
      </c>
      <c r="CP106" s="276">
        <f>SUMIF('20Ф'!$H:$H,$B:$B,'20Ф'!P:P)*1.2</f>
        <v>0</v>
      </c>
      <c r="CQ106" s="276">
        <f>SUMIF('20Ф'!$H:$H,$B:$B,'20Ф'!Y:Y)*1.2</f>
        <v>0</v>
      </c>
      <c r="CR106" s="276">
        <f>SUMIF('20Ф'!$H:$H,$B:$B,'20Ф'!Z:Z)*1.2</f>
        <v>0</v>
      </c>
      <c r="CS106" s="276">
        <f>SUMIF('20Ф'!$H:$H,$B:$B,'20Ф'!AB:AB)*1.2</f>
        <v>0</v>
      </c>
      <c r="CT106" s="276">
        <f>SUMIF('20Ф'!$H:$H,$B:$B,'20Ф'!AC:AC)*1.2</f>
        <v>0</v>
      </c>
      <c r="CU106" s="276">
        <f>SUMIF('20Ф'!$H:$H,$B:$B,'20Ф'!AD:AD)*1.2</f>
        <v>0</v>
      </c>
      <c r="CV106" s="276">
        <f>SUMIF('20Ф'!$H:$H,$B:$B,'20Ф'!AE:AE)*1.2</f>
        <v>0</v>
      </c>
      <c r="CW106" s="276">
        <f>SUMIF('20Ф'!$H:$H,$B:$B,'20Ф'!AF:AF)*1.2</f>
        <v>0</v>
      </c>
      <c r="CX106" s="276">
        <f>SUMIF('20Ф'!$H:$H,$B:$B,'20Ф'!AG:AG)*1.2</f>
        <v>0</v>
      </c>
      <c r="CY106" s="276">
        <f>SUMIF('20Ф'!$H:$H,$B:$B,'20Ф'!AH:AH)*1.2</f>
        <v>0</v>
      </c>
      <c r="CZ106" s="276">
        <f>SUMIF('20Ф'!$H:$H,$B:$B,'20Ф'!AI:AI)*1.2</f>
        <v>0</v>
      </c>
      <c r="DA106" s="276">
        <f>SUMIF('20Ф'!$H:$H,$B:$B,'20Ф'!AJ:AJ)*1.2</f>
        <v>0</v>
      </c>
      <c r="DB106" s="276">
        <f>SUMIF('20Ф'!$H:$H,$B:$B,'20Ф'!AK:AK)*1.2</f>
        <v>0</v>
      </c>
      <c r="DC106" s="276">
        <f>SUMIF('20Ф'!$H:$H,$B:$B,'20Ф'!AL:AL)*1.2</f>
        <v>0</v>
      </c>
      <c r="DD106" s="276">
        <f>SUMIF('20Ф'!$H:$H,$B:$B,'20Ф'!AM:AM)*1.2</f>
        <v>0</v>
      </c>
      <c r="DE106" s="276">
        <f>SUMIF('20Ф'!$H:$H,$B:$B,'20Ф'!AN:AN)*1.2</f>
        <v>0</v>
      </c>
      <c r="DF106" s="276">
        <f>SUMIF('20Ф'!$H:$H,$B:$B,'20Ф'!AO:AO)*1.2</f>
        <v>0</v>
      </c>
      <c r="DG106" s="276">
        <f>SUMIF('20Ф'!$H:$H,$B:$B,'20Ф'!AP:AP)*1.2</f>
        <v>0</v>
      </c>
      <c r="DH106" s="276">
        <f>SUMIF('20Ф'!$H:$H,$B:$B,'20Ф'!AQ:AQ)*1.2</f>
        <v>0</v>
      </c>
      <c r="DI106" s="276">
        <f>SUMIF('20Ф'!$H:$H,$B:$B,'20Ф'!BA:BA)*1.2</f>
        <v>0</v>
      </c>
      <c r="DJ106" s="276">
        <f>SUMIF('20Ф'!$H:$H,$B:$B,'20Ф'!BB:BB)*1.2</f>
        <v>0</v>
      </c>
      <c r="DK106" s="276">
        <f>SUMIF('20Ф'!$H:$H,$B:$B,'20Ф'!BC:BC)*1.2</f>
        <v>0</v>
      </c>
      <c r="DL106" s="276">
        <f>$D106/$D$281*'20Ф'!$H$218</f>
        <v>26694.720829036203</v>
      </c>
      <c r="DM106" s="240">
        <f t="shared" si="13"/>
        <v>292582.14503262826</v>
      </c>
      <c r="DN106" s="276">
        <f>SUMIF('20Ф'!$H:$H,$B:$B,'20Ф'!AV:AV)*1.2</f>
        <v>0</v>
      </c>
      <c r="DO106" s="276">
        <f>SUMIF('20Ф'!$H:$H,$B:$B,'20Ф'!AW:AW)*1.2+$D106/$D$281*'26Ф'!$D$42</f>
        <v>14205.548596279665</v>
      </c>
      <c r="DP106" s="276">
        <f>SUMIF('20Ф'!$H:$H,$B:$B,'20Ф'!AX:AX)*1.2</f>
        <v>0</v>
      </c>
      <c r="DQ106" s="276">
        <f>SUMIF('20Ф'!$H:$H,$B:$B,'20Ф'!AY:AY)*1.2</f>
        <v>27793.007999999998</v>
      </c>
      <c r="DR106" s="276">
        <f>SUMIF('20Ф'!$H:$H,$B:$B,'20Ф'!AU:AU)*1.2</f>
        <v>0</v>
      </c>
      <c r="DS106" s="276">
        <f>SUMIF('20Ф'!$H:$H,$B:$B,'20Ф'!AS:AS)*1.2</f>
        <v>0</v>
      </c>
      <c r="DT106" s="276">
        <f>SUMIF('20Ф'!$H:$H,$B:$B,'20Ф'!AR:AR)*1.2</f>
        <v>0</v>
      </c>
      <c r="DU106" s="276">
        <f>SUMIF('20Ф'!$H:$H,$B:$B,'20Ф'!X:X)*1.2</f>
        <v>0</v>
      </c>
      <c r="DV106" s="276">
        <f>SUMIF('20Ф'!$H:$H,$B:$B,'20Ф'!AA:AA)*1.2</f>
        <v>0</v>
      </c>
      <c r="DW106" s="276">
        <f>SUMIF('20Ф'!$H:$H,$B:$B,'20Ф'!N:N)*1.2</f>
        <v>0</v>
      </c>
      <c r="DX106" s="276">
        <f>$D106/$D$281*('25Ф'!$D$37)</f>
        <v>238777.50042928351</v>
      </c>
      <c r="DY106" s="276">
        <f>$D106/$D$281*'25Ф'!$D$30</f>
        <v>7621.0282483794626</v>
      </c>
      <c r="DZ106" s="276">
        <f>$D106/$D$281*'25Ф'!$D$31</f>
        <v>4185.0597586856575</v>
      </c>
      <c r="EA106" s="276"/>
      <c r="EB106" s="276">
        <f t="shared" si="14"/>
        <v>150433.57289734279</v>
      </c>
      <c r="EC106" s="276">
        <f>$D106/$D$281*'26Ф'!$D$36</f>
        <v>78305.519370380367</v>
      </c>
      <c r="ED106" s="276">
        <f>$D106/$D$281*'26Ф'!$D$37</f>
        <v>9408.3245204261402</v>
      </c>
      <c r="EE106" s="276">
        <f>$D106/$D$281*'26Ф'!$D$38</f>
        <v>9504.8161463033175</v>
      </c>
      <c r="EF106" s="276">
        <f>$D106/$D$281*'26Ф'!$D$39</f>
        <v>6667.6198518104793</v>
      </c>
      <c r="EG106" s="276">
        <f>$D106/$D$281*'91Ф'!$D$10</f>
        <v>2056.9579512576124</v>
      </c>
      <c r="EH106" s="276">
        <f>$D106/$D$281*('20Ф'!$I$509+'26Ф'!$D$41+'20Ф'!$I$507)</f>
        <v>14552.300180955492</v>
      </c>
      <c r="EI106" s="276">
        <f>$D106/$D$281*'91Ф'!$D$31</f>
        <v>26676.503669187408</v>
      </c>
      <c r="EJ106" s="276">
        <f>$D106/$D$281*'20Ф'!$I$1316</f>
        <v>3261.5312070219798</v>
      </c>
      <c r="EK106" s="276">
        <f>$D106/$D$281*('20Ф'!$I$1105+'20Ф'!$I$1282+'91Ф'!$D$17+'91Ф'!$D$41)</f>
        <v>107112.31851100249</v>
      </c>
      <c r="EL106" s="276">
        <f>$D106/$D$281*отчёт!BX$294</f>
        <v>179059.12984282151</v>
      </c>
      <c r="EM106" s="276">
        <f>$D106/$D$281*отчёт!BY$294</f>
        <v>157472.89315366061</v>
      </c>
      <c r="EN106" s="276">
        <f>$D106/$D$283*отчёт!BZ$294</f>
        <v>28261.4618115015</v>
      </c>
      <c r="EO106" s="240">
        <f t="shared" si="23"/>
        <v>91391.128750498989</v>
      </c>
      <c r="EP106" s="276">
        <f>SUMIF('20Ф'!$H:$H,$B:$B,'20Ф'!T:T)*1.2</f>
        <v>2459.424</v>
      </c>
      <c r="EQ106" s="276">
        <f>SUM(H106:I106)/SUM($H$284:$I$284)*SUM('60Ф'!$O$155:$P$155)</f>
        <v>86255.130878243508</v>
      </c>
      <c r="ER106" s="276">
        <f>SUM($H106:$I106)/SUM($H$284:$I$284)*SUM('60Ф'!$P$227)</f>
        <v>2676.5738722554888</v>
      </c>
      <c r="ES106" s="239">
        <f t="shared" si="17"/>
        <v>59931.158955966312</v>
      </c>
      <c r="ET106" s="276">
        <f>$D106/$D$282*'20Ф'!$I$381</f>
        <v>4580.5959004161987</v>
      </c>
      <c r="EU106" s="276">
        <f>$D106/$D$282*('20Ф'!$I$75+'20Ф'!$I$1098)*1.2</f>
        <v>52907.916101869225</v>
      </c>
      <c r="EV106" s="276">
        <f>$D106/$D$282*('20Ф'!$I$1286)</f>
        <v>2442.6469536808845</v>
      </c>
      <c r="EW106" s="276">
        <f>SUMIF('91.1Ф'!$N:$N,$B:$B,'91.1Ф'!$F:$F)+$D106/$D$281*('91Ф'!$D$12+'91Ф'!$D$11+'91Ф'!$D$19+'91Ф'!$D$20)</f>
        <v>24116.880035516369</v>
      </c>
      <c r="EX106" s="276">
        <f t="shared" si="15"/>
        <v>29933.982110225144</v>
      </c>
      <c r="EY106" s="276">
        <f>SUMIF('20Ф'!$H:$H,$B:$B,'20Ф'!$AY:$AY)*1.2</f>
        <v>27793.007999999998</v>
      </c>
      <c r="EZ106" s="295">
        <f>D106/$D$286*'20Ф'!$I$1163</f>
        <v>2140.9741102251464</v>
      </c>
      <c r="FA106" s="277">
        <f>SUMIF(отчёт!$B:$B,$B:$B,отчёт!$CU:$CU)/отчёт!$CU$281*'20Ф'!$I$1341</f>
        <v>920.96385542168503</v>
      </c>
      <c r="FB106" s="276">
        <f>SUMIF(Сальдо!$A:$A,$B:$B,Сальдо!$H:$H)-SUMIF(Сальдо!$A:$A,$B:$B,Сальдо!$I:$I)</f>
        <v>510286.39</v>
      </c>
    </row>
    <row r="107" spans="1:158" ht="12" customHeight="1" x14ac:dyDescent="0.25">
      <c r="A107" s="3">
        <f t="shared" si="18"/>
        <v>103</v>
      </c>
      <c r="B107" s="4" t="s">
        <v>153</v>
      </c>
      <c r="C107" s="4" t="s">
        <v>153</v>
      </c>
      <c r="D107" s="5">
        <v>4505.5999999999995</v>
      </c>
      <c r="E107" s="6">
        <v>4185.3999999999996</v>
      </c>
      <c r="F107" s="6">
        <v>320.2</v>
      </c>
      <c r="G107" s="6">
        <v>571.5</v>
      </c>
      <c r="H107" s="5">
        <f>SUMIF(отчёт!$B:$B,$B:$B,отчёт!I:I)</f>
        <v>0</v>
      </c>
      <c r="I107" s="5">
        <f>SUMIF(отчёт!$B:$B,$B:$B,отчёт!J:J)</f>
        <v>0</v>
      </c>
      <c r="J107" s="3" t="s">
        <v>114</v>
      </c>
      <c r="K107" s="105">
        <v>7</v>
      </c>
      <c r="L107" s="105" t="s">
        <v>52</v>
      </c>
      <c r="M107" s="7">
        <v>31</v>
      </c>
      <c r="N107" s="8">
        <v>5.0999999999999996</v>
      </c>
      <c r="O107" s="8">
        <v>6.59</v>
      </c>
      <c r="P107" s="8">
        <v>8.98</v>
      </c>
      <c r="Q107" s="8">
        <v>6.92</v>
      </c>
      <c r="R107" s="8">
        <v>3.15</v>
      </c>
      <c r="S107" s="8">
        <v>0</v>
      </c>
      <c r="T107" s="8">
        <v>0</v>
      </c>
      <c r="U107" s="8">
        <v>0.26</v>
      </c>
      <c r="V107" s="9">
        <v>40</v>
      </c>
      <c r="W107" s="9">
        <v>40</v>
      </c>
      <c r="X107" s="9">
        <v>2604.04</v>
      </c>
      <c r="Y107" s="8">
        <v>195.98199600000001</v>
      </c>
      <c r="Z107" s="9">
        <v>42.3</v>
      </c>
      <c r="AA107" s="9">
        <v>2604.04</v>
      </c>
      <c r="AB107" s="8">
        <v>7.85</v>
      </c>
      <c r="AC107" s="10">
        <v>0</v>
      </c>
      <c r="AD107" s="8">
        <v>6.73</v>
      </c>
      <c r="AE107" s="8">
        <v>10.67</v>
      </c>
      <c r="AF107" s="8">
        <v>14</v>
      </c>
      <c r="AG107" s="7">
        <v>838041.59999999986</v>
      </c>
      <c r="AH107" s="8">
        <v>137871.35999999996</v>
      </c>
      <c r="AI107" s="8">
        <v>178151.42399999997</v>
      </c>
      <c r="AJ107" s="8">
        <v>242761.728</v>
      </c>
      <c r="AK107" s="8">
        <v>187072.51199999999</v>
      </c>
      <c r="AL107" s="8">
        <v>85155.839999999982</v>
      </c>
      <c r="AM107" s="8">
        <v>0</v>
      </c>
      <c r="AN107" s="8">
        <v>0</v>
      </c>
      <c r="AO107" s="8">
        <v>7028.735999999999</v>
      </c>
      <c r="AQ107" s="104">
        <v>33.17</v>
      </c>
      <c r="AR107" s="375">
        <v>13.89</v>
      </c>
      <c r="AS107" s="376"/>
      <c r="AT107" s="104">
        <v>5.9</v>
      </c>
      <c r="AU107" s="104">
        <v>1.53</v>
      </c>
      <c r="AV107" s="104">
        <v>0.32</v>
      </c>
      <c r="AW107" s="104">
        <v>0.6</v>
      </c>
      <c r="AX107" s="104">
        <v>5.01</v>
      </c>
      <c r="AY107" s="104">
        <v>4.99</v>
      </c>
      <c r="AZ107" s="104">
        <v>0</v>
      </c>
      <c r="BA107" s="104">
        <v>0</v>
      </c>
      <c r="BB107" s="104">
        <v>0</v>
      </c>
      <c r="BC107" s="101">
        <v>0.93</v>
      </c>
      <c r="BD107" s="104">
        <v>37.581610000000005</v>
      </c>
      <c r="BE107" s="375">
        <v>15.737370000000004</v>
      </c>
      <c r="BF107" s="376">
        <v>0</v>
      </c>
      <c r="BG107" s="104">
        <v>6.6847000000000012</v>
      </c>
      <c r="BH107" s="104">
        <v>1.7334900000000002</v>
      </c>
      <c r="BI107" s="104">
        <v>0.36256000000000005</v>
      </c>
      <c r="BJ107" s="104">
        <v>0.67980000000000007</v>
      </c>
      <c r="BK107" s="104">
        <v>5.6763300000000001</v>
      </c>
      <c r="BL107" s="104">
        <v>5.65367</v>
      </c>
      <c r="BM107" s="104">
        <v>0</v>
      </c>
      <c r="BN107" s="104">
        <v>0</v>
      </c>
      <c r="BO107" s="104">
        <v>0</v>
      </c>
      <c r="BP107" s="101">
        <v>1.0536900000000002</v>
      </c>
      <c r="BQ107" s="103">
        <v>1992178.5241600003</v>
      </c>
      <c r="BR107" s="371">
        <v>834228.51072000014</v>
      </c>
      <c r="BS107" s="371">
        <v>0</v>
      </c>
      <c r="BT107" s="103">
        <v>354351.92319999996</v>
      </c>
      <c r="BU107" s="103">
        <v>91891.261439999987</v>
      </c>
      <c r="BV107" s="103">
        <v>19219.087359999998</v>
      </c>
      <c r="BW107" s="103">
        <v>36035.788800000002</v>
      </c>
      <c r="BX107" s="103">
        <v>300898.83647999994</v>
      </c>
      <c r="BY107" s="103">
        <v>299697.64351999998</v>
      </c>
      <c r="BZ107" s="103">
        <v>0</v>
      </c>
      <c r="CA107" s="103">
        <v>0</v>
      </c>
      <c r="CB107" s="103">
        <v>0</v>
      </c>
      <c r="CC107" s="103">
        <v>55855.47264</v>
      </c>
      <c r="CD107" s="1">
        <v>1</v>
      </c>
      <c r="CF107" s="277">
        <f>SUMIF(Оборот!$A:$A,$B:$B,Оборот!H:H)</f>
        <v>1593298.5599999998</v>
      </c>
      <c r="CG107" s="277">
        <f>SUMIF(Оборот!$A:$A,$B:$B,Оборот!I:I)</f>
        <v>1602276.23</v>
      </c>
      <c r="CH107" s="277">
        <f t="shared" si="12"/>
        <v>2121230.2514660344</v>
      </c>
      <c r="CI107" s="239">
        <f t="shared" si="16"/>
        <v>431144.83273846179</v>
      </c>
      <c r="CJ107" s="276">
        <f>SUMIF('20Ф'!$H:$H,$B:$B,'20Ф'!M:M)*1.2</f>
        <v>391516.57199999999</v>
      </c>
      <c r="CK107" s="276">
        <f>SUMIF('20Ф'!$H:$H,$B:$B,'20Ф'!O:O)*1.2</f>
        <v>0</v>
      </c>
      <c r="CL107" s="276">
        <f>SUMIF('20Ф'!$H:$H,$B:$B,'20Ф'!Q:Q)*1.2</f>
        <v>0</v>
      </c>
      <c r="CM107" s="276">
        <f>SUMIF('20Ф'!$H:$H,$B:$B,'20Ф'!R:R)*1.2</f>
        <v>0</v>
      </c>
      <c r="CN107" s="276">
        <f>SUMIF('20Ф'!$H:$H,$B:$B,'20Ф'!S:S)*1.2</f>
        <v>0</v>
      </c>
      <c r="CO107" s="276">
        <f>SUMIF('20Ф'!$H:$H,$B:$B,'20Ф'!W:W)*1.2</f>
        <v>0</v>
      </c>
      <c r="CP107" s="276">
        <f>SUMIF('20Ф'!$H:$H,$B:$B,'20Ф'!P:P)*1.2</f>
        <v>0</v>
      </c>
      <c r="CQ107" s="276">
        <f>SUMIF('20Ф'!$H:$H,$B:$B,'20Ф'!Y:Y)*1.2</f>
        <v>0</v>
      </c>
      <c r="CR107" s="276">
        <f>SUMIF('20Ф'!$H:$H,$B:$B,'20Ф'!Z:Z)*1.2</f>
        <v>0</v>
      </c>
      <c r="CS107" s="276">
        <f>SUMIF('20Ф'!$H:$H,$B:$B,'20Ф'!AB:AB)*1.2</f>
        <v>0</v>
      </c>
      <c r="CT107" s="276">
        <f>SUMIF('20Ф'!$H:$H,$B:$B,'20Ф'!AC:AC)*1.2</f>
        <v>0</v>
      </c>
      <c r="CU107" s="276">
        <f>SUMIF('20Ф'!$H:$H,$B:$B,'20Ф'!AD:AD)*1.2</f>
        <v>0</v>
      </c>
      <c r="CV107" s="276">
        <f>SUMIF('20Ф'!$H:$H,$B:$B,'20Ф'!AE:AE)*1.2</f>
        <v>0</v>
      </c>
      <c r="CW107" s="276">
        <f>SUMIF('20Ф'!$H:$H,$B:$B,'20Ф'!AF:AF)*1.2</f>
        <v>0</v>
      </c>
      <c r="CX107" s="276">
        <f>SUMIF('20Ф'!$H:$H,$B:$B,'20Ф'!AG:AG)*1.2</f>
        <v>0</v>
      </c>
      <c r="CY107" s="276">
        <f>SUMIF('20Ф'!$H:$H,$B:$B,'20Ф'!AH:AH)*1.2</f>
        <v>0</v>
      </c>
      <c r="CZ107" s="276">
        <f>SUMIF('20Ф'!$H:$H,$B:$B,'20Ф'!AI:AI)*1.2</f>
        <v>0</v>
      </c>
      <c r="DA107" s="276">
        <f>SUMIF('20Ф'!$H:$H,$B:$B,'20Ф'!AJ:AJ)*1.2</f>
        <v>0</v>
      </c>
      <c r="DB107" s="276">
        <f>SUMIF('20Ф'!$H:$H,$B:$B,'20Ф'!AK:AK)*1.2</f>
        <v>0</v>
      </c>
      <c r="DC107" s="276">
        <f>SUMIF('20Ф'!$H:$H,$B:$B,'20Ф'!AL:AL)*1.2</f>
        <v>0</v>
      </c>
      <c r="DD107" s="276">
        <f>SUMIF('20Ф'!$H:$H,$B:$B,'20Ф'!AM:AM)*1.2</f>
        <v>0</v>
      </c>
      <c r="DE107" s="276">
        <f>SUMIF('20Ф'!$H:$H,$B:$B,'20Ф'!AN:AN)*1.2</f>
        <v>0</v>
      </c>
      <c r="DF107" s="276">
        <f>SUMIF('20Ф'!$H:$H,$B:$B,'20Ф'!AO:AO)*1.2</f>
        <v>0</v>
      </c>
      <c r="DG107" s="276">
        <f>SUMIF('20Ф'!$H:$H,$B:$B,'20Ф'!AP:AP)*1.2</f>
        <v>0</v>
      </c>
      <c r="DH107" s="276">
        <f>SUMIF('20Ф'!$H:$H,$B:$B,'20Ф'!AQ:AQ)*1.2</f>
        <v>0</v>
      </c>
      <c r="DI107" s="276">
        <f>SUMIF('20Ф'!$H:$H,$B:$B,'20Ф'!BA:BA)*1.2</f>
        <v>0</v>
      </c>
      <c r="DJ107" s="276">
        <f>SUMIF('20Ф'!$H:$H,$B:$B,'20Ф'!BB:BB)*1.2</f>
        <v>0</v>
      </c>
      <c r="DK107" s="276">
        <f>SUMIF('20Ф'!$H:$H,$B:$B,'20Ф'!BC:BC)*1.2</f>
        <v>0</v>
      </c>
      <c r="DL107" s="276">
        <f>$D107/$D$281*'20Ф'!$H$218</f>
        <v>39628.260738461831</v>
      </c>
      <c r="DM107" s="240">
        <f t="shared" si="13"/>
        <v>657593.4788331883</v>
      </c>
      <c r="DN107" s="276">
        <f>SUMIF('20Ф'!$H:$H,$B:$B,'20Ф'!AV:AV)*1.2</f>
        <v>0</v>
      </c>
      <c r="DO107" s="276">
        <f>SUMIF('20Ф'!$H:$H,$B:$B,'20Ф'!AW:AW)*1.2+$D107/$D$281*'26Ф'!$D$42</f>
        <v>21088.109042666681</v>
      </c>
      <c r="DP107" s="276">
        <f>SUMIF('20Ф'!$H:$H,$B:$B,'20Ф'!AX:AX)*1.2</f>
        <v>0</v>
      </c>
      <c r="DQ107" s="276">
        <f>SUMIF('20Ф'!$H:$H,$B:$B,'20Ф'!AY:AY)*1.2</f>
        <v>37482</v>
      </c>
      <c r="DR107" s="276">
        <f>SUMIF('20Ф'!$H:$H,$B:$B,'20Ф'!AU:AU)*1.2</f>
        <v>0</v>
      </c>
      <c r="DS107" s="276">
        <f>SUMIF('20Ф'!$H:$H,$B:$B,'20Ф'!AS:AS)*1.2</f>
        <v>31244.531999999999</v>
      </c>
      <c r="DT107" s="276">
        <f>SUMIF('20Ф'!$H:$H,$B:$B,'20Ф'!AR:AR)*1.2</f>
        <v>0</v>
      </c>
      <c r="DU107" s="276">
        <f>SUMIF('20Ф'!$H:$H,$B:$B,'20Ф'!X:X)*1.2</f>
        <v>195787.992</v>
      </c>
      <c r="DV107" s="276">
        <f>SUMIF('20Ф'!$H:$H,$B:$B,'20Ф'!AA:AA)*1.2</f>
        <v>0</v>
      </c>
      <c r="DW107" s="276">
        <f>SUMIF('20Ф'!$H:$H,$B:$B,'20Ф'!N:N)*1.2</f>
        <v>0</v>
      </c>
      <c r="DX107" s="276">
        <f>$D107/$D$281*('25Ф'!$D$37)</f>
        <v>354464.73128864932</v>
      </c>
      <c r="DY107" s="276">
        <f>$D107/$D$281*'25Ф'!$D$30</f>
        <v>11313.401494480742</v>
      </c>
      <c r="DZ107" s="276">
        <f>$D107/$D$281*'25Ф'!$D$31</f>
        <v>6212.7130073915505</v>
      </c>
      <c r="EA107" s="276"/>
      <c r="EB107" s="276">
        <f t="shared" si="14"/>
        <v>223318.34405662664</v>
      </c>
      <c r="EC107" s="276">
        <f>$D107/$D$281*'26Ф'!$D$36</f>
        <v>116244.38999544848</v>
      </c>
      <c r="ED107" s="276">
        <f>$D107/$D$281*'26Ф'!$D$37</f>
        <v>13966.639306524334</v>
      </c>
      <c r="EE107" s="276">
        <f>$D107/$D$281*'26Ф'!$D$38</f>
        <v>14109.88093597714</v>
      </c>
      <c r="EF107" s="276">
        <f>$D107/$D$281*'26Ф'!$D$39</f>
        <v>9898.0685988327532</v>
      </c>
      <c r="EG107" s="276">
        <f>$D107/$D$281*'91Ф'!$D$10</f>
        <v>3053.5500461883621</v>
      </c>
      <c r="EH107" s="276">
        <f>$D107/$D$281*('20Ф'!$I$509+'26Ф'!$D$41+'20Ф'!$I$507)</f>
        <v>21602.861090347287</v>
      </c>
      <c r="EI107" s="276">
        <f>$D107/$D$281*'91Ф'!$D$31</f>
        <v>39601.217400379159</v>
      </c>
      <c r="EJ107" s="276">
        <f>$D107/$D$281*'20Ф'!$I$1316</f>
        <v>4841.7366829291395</v>
      </c>
      <c r="EK107" s="276">
        <f>$D107/$D$281*('20Ф'!$I$1105+'20Ф'!$I$1282+'91Ф'!$D$17+'91Ф'!$D$41)</f>
        <v>159008.02684694828</v>
      </c>
      <c r="EL107" s="276">
        <f>$D107/$D$281*отчёт!BX$294</f>
        <v>265812.92722474266</v>
      </c>
      <c r="EM107" s="276">
        <f>$D107/$D$281*отчёт!BY$294</f>
        <v>233768.2011772703</v>
      </c>
      <c r="EN107" s="276">
        <f>SUMIF(отчёт!$B:$B,$B:$B,отчёт!BZ:BZ)/отчёт!BZ$281*('60Ф'!$O$151+'60Ф'!$P$151)*отчёт!BZ$293</f>
        <v>0</v>
      </c>
      <c r="EO107" s="240">
        <f t="shared" si="19"/>
        <v>0</v>
      </c>
      <c r="EP107" s="276">
        <f>SUMIF('20Ф'!$H:$H,$B:$B,'20Ф'!T:T)*1.2</f>
        <v>0</v>
      </c>
      <c r="EQ107" s="276">
        <f>SUMIF('20Ф'!$H:$H,$B:$B,'20Ф'!U:U)*1.2</f>
        <v>0</v>
      </c>
      <c r="ER107" s="236"/>
      <c r="ES107" s="239">
        <f t="shared" si="17"/>
        <v>88967.687981286203</v>
      </c>
      <c r="ET107" s="276">
        <f>$D107/$D$282*'20Ф'!$I$381</f>
        <v>6799.8856343827947</v>
      </c>
      <c r="EU107" s="276">
        <f>$D107/$D$282*('20Ф'!$I$75+'20Ф'!$I$1098)*1.2</f>
        <v>78541.69773272115</v>
      </c>
      <c r="EV107" s="276">
        <f>$D107/$D$282*('20Ф'!$I$1286)</f>
        <v>3626.1046141822644</v>
      </c>
      <c r="EW107" s="276">
        <f>SUMIF('91.1Ф'!$N:$N,$B:$B,'91.1Ф'!$F:$F)+$D107/$D$281*('91Ф'!$D$12+'91Ф'!$D$11+'91Ф'!$D$19+'91Ф'!$D$20)</f>
        <v>20956.480738039121</v>
      </c>
      <c r="EX107" s="276">
        <f t="shared" si="15"/>
        <v>40660.271869470664</v>
      </c>
      <c r="EY107" s="276">
        <f>SUMIF('20Ф'!$H:$H,$B:$B,'20Ф'!$AY:$AY)*1.2</f>
        <v>37482</v>
      </c>
      <c r="EZ107" s="295">
        <f>D107/$D$286*'20Ф'!$I$1163</f>
        <v>3178.2718694706668</v>
      </c>
      <c r="FA107" s="277">
        <f>SUMIF(отчёт!$B:$B,$B:$B,отчёт!$CU:$CU)/отчёт!$CU$281*'20Ф'!$I$1341</f>
        <v>5525.7831325301113</v>
      </c>
      <c r="FB107" s="276">
        <f>SUMIF(Сальдо!$A:$A,$B:$B,Сальдо!$H:$H)-SUMIF(Сальдо!$A:$A,$B:$B,Сальдо!$I:$I)</f>
        <v>363764.22000000003</v>
      </c>
    </row>
    <row r="108" spans="1:158" ht="12" customHeight="1" x14ac:dyDescent="0.25">
      <c r="A108" s="3">
        <f t="shared" si="18"/>
        <v>104</v>
      </c>
      <c r="B108" s="4" t="s">
        <v>154</v>
      </c>
      <c r="C108" s="4" t="s">
        <v>154</v>
      </c>
      <c r="D108" s="5">
        <v>4500.9799999999996</v>
      </c>
      <c r="E108" s="6">
        <v>4500.9799999999996</v>
      </c>
      <c r="F108" s="6">
        <v>0</v>
      </c>
      <c r="G108" s="6">
        <v>571.5</v>
      </c>
      <c r="H108" s="5">
        <f>SUMIF(отчёт!$B:$B,$B:$B,отчёт!I:I)</f>
        <v>0</v>
      </c>
      <c r="I108" s="5">
        <f>SUMIF(отчёт!$B:$B,$B:$B,отчёт!J:J)</f>
        <v>0</v>
      </c>
      <c r="J108" s="3" t="s">
        <v>114</v>
      </c>
      <c r="K108" s="105">
        <v>7</v>
      </c>
      <c r="L108" s="105" t="s">
        <v>52</v>
      </c>
      <c r="M108" s="7">
        <v>31</v>
      </c>
      <c r="N108" s="8">
        <v>5.0999999999999996</v>
      </c>
      <c r="O108" s="8">
        <v>6.59</v>
      </c>
      <c r="P108" s="8">
        <v>8.98</v>
      </c>
      <c r="Q108" s="8">
        <v>6.92</v>
      </c>
      <c r="R108" s="8">
        <v>3.15</v>
      </c>
      <c r="S108" s="8">
        <v>0</v>
      </c>
      <c r="T108" s="8">
        <v>0</v>
      </c>
      <c r="U108" s="8">
        <v>0.26</v>
      </c>
      <c r="V108" s="9">
        <v>40</v>
      </c>
      <c r="W108" s="9">
        <v>40</v>
      </c>
      <c r="X108" s="9">
        <v>2604.04</v>
      </c>
      <c r="Y108" s="8">
        <v>195.98199600000001</v>
      </c>
      <c r="Z108" s="9">
        <v>42.3</v>
      </c>
      <c r="AA108" s="9">
        <v>2604.04</v>
      </c>
      <c r="AB108" s="8">
        <v>7.85</v>
      </c>
      <c r="AC108" s="10">
        <v>0</v>
      </c>
      <c r="AD108" s="8">
        <v>6.73</v>
      </c>
      <c r="AE108" s="8">
        <v>10.67</v>
      </c>
      <c r="AF108" s="8">
        <v>14</v>
      </c>
      <c r="AG108" s="7">
        <v>837182.2799999998</v>
      </c>
      <c r="AH108" s="8">
        <v>137729.98799999998</v>
      </c>
      <c r="AI108" s="8">
        <v>177968.74919999999</v>
      </c>
      <c r="AJ108" s="8">
        <v>242512.80239999999</v>
      </c>
      <c r="AK108" s="8">
        <v>186880.68959999998</v>
      </c>
      <c r="AL108" s="8">
        <v>85068.521999999983</v>
      </c>
      <c r="AM108" s="8">
        <v>0</v>
      </c>
      <c r="AN108" s="8">
        <v>0</v>
      </c>
      <c r="AO108" s="8">
        <v>7021.5288</v>
      </c>
      <c r="AQ108" s="104">
        <v>33.17</v>
      </c>
      <c r="AR108" s="375">
        <v>13.89</v>
      </c>
      <c r="AS108" s="376"/>
      <c r="AT108" s="104">
        <v>5.9</v>
      </c>
      <c r="AU108" s="104">
        <v>1.53</v>
      </c>
      <c r="AV108" s="104">
        <v>0.32</v>
      </c>
      <c r="AW108" s="104">
        <v>0.6</v>
      </c>
      <c r="AX108" s="104">
        <v>5.01</v>
      </c>
      <c r="AY108" s="104">
        <v>4.99</v>
      </c>
      <c r="AZ108" s="104">
        <v>0</v>
      </c>
      <c r="BA108" s="104">
        <v>0</v>
      </c>
      <c r="BB108" s="104">
        <v>0</v>
      </c>
      <c r="BC108" s="101">
        <v>0.93</v>
      </c>
      <c r="BD108" s="104">
        <v>37.581610000000005</v>
      </c>
      <c r="BE108" s="375">
        <v>15.737370000000004</v>
      </c>
      <c r="BF108" s="376">
        <v>0</v>
      </c>
      <c r="BG108" s="104">
        <v>6.6847000000000012</v>
      </c>
      <c r="BH108" s="104">
        <v>1.7334900000000002</v>
      </c>
      <c r="BI108" s="104">
        <v>0.36256000000000005</v>
      </c>
      <c r="BJ108" s="104">
        <v>0.67980000000000007</v>
      </c>
      <c r="BK108" s="104">
        <v>5.6763300000000001</v>
      </c>
      <c r="BL108" s="104">
        <v>5.65367</v>
      </c>
      <c r="BM108" s="104">
        <v>0</v>
      </c>
      <c r="BN108" s="104">
        <v>0</v>
      </c>
      <c r="BO108" s="104">
        <v>0</v>
      </c>
      <c r="BP108" s="101">
        <v>1.0536900000000002</v>
      </c>
      <c r="BQ108" s="103">
        <v>1990135.7629780001</v>
      </c>
      <c r="BR108" s="371">
        <v>833373.10062600009</v>
      </c>
      <c r="BS108" s="371">
        <v>0</v>
      </c>
      <c r="BT108" s="103">
        <v>353988.57406000001</v>
      </c>
      <c r="BU108" s="103">
        <v>91797.037001999997</v>
      </c>
      <c r="BV108" s="103">
        <v>19199.380287999997</v>
      </c>
      <c r="BW108" s="103">
        <v>35998.838040000002</v>
      </c>
      <c r="BX108" s="103">
        <v>300590.29763399996</v>
      </c>
      <c r="BY108" s="103">
        <v>299390.33636599994</v>
      </c>
      <c r="BZ108" s="103">
        <v>0</v>
      </c>
      <c r="CA108" s="103">
        <v>0</v>
      </c>
      <c r="CB108" s="103">
        <v>0</v>
      </c>
      <c r="CC108" s="103">
        <v>55798.198962000002</v>
      </c>
      <c r="CD108" s="1">
        <v>1</v>
      </c>
      <c r="CF108" s="277">
        <f>SUMIF(Оборот!$A:$A,$B:$B,Оборот!H:H)</f>
        <v>1678461.0899999999</v>
      </c>
      <c r="CG108" s="277">
        <f>SUMIF(Оборот!$A:$A,$B:$B,Оборот!I:I)</f>
        <v>1698042.0899999999</v>
      </c>
      <c r="CH108" s="277">
        <f t="shared" si="12"/>
        <v>2052948.3876796672</v>
      </c>
      <c r="CI108" s="239">
        <f t="shared" si="16"/>
        <v>437165.35029141553</v>
      </c>
      <c r="CJ108" s="276">
        <f>SUMIF('20Ф'!$H:$H,$B:$B,'20Ф'!M:M)*1.2</f>
        <v>391284.88799999998</v>
      </c>
      <c r="CK108" s="276">
        <f>SUMIF('20Ф'!$H:$H,$B:$B,'20Ф'!O:O)*1.2</f>
        <v>6292.8359999999993</v>
      </c>
      <c r="CL108" s="276">
        <f>SUMIF('20Ф'!$H:$H,$B:$B,'20Ф'!Q:Q)*1.2</f>
        <v>0</v>
      </c>
      <c r="CM108" s="276">
        <f>SUMIF('20Ф'!$H:$H,$B:$B,'20Ф'!R:R)*1.2</f>
        <v>0</v>
      </c>
      <c r="CN108" s="276">
        <f>SUMIF('20Ф'!$H:$H,$B:$B,'20Ф'!S:S)*1.2</f>
        <v>0</v>
      </c>
      <c r="CO108" s="276">
        <f>SUMIF('20Ф'!$H:$H,$B:$B,'20Ф'!W:W)*1.2</f>
        <v>0</v>
      </c>
      <c r="CP108" s="276">
        <f>SUMIF('20Ф'!$H:$H,$B:$B,'20Ф'!P:P)*1.2</f>
        <v>0</v>
      </c>
      <c r="CQ108" s="276">
        <f>SUMIF('20Ф'!$H:$H,$B:$B,'20Ф'!Y:Y)*1.2</f>
        <v>0</v>
      </c>
      <c r="CR108" s="276">
        <f>SUMIF('20Ф'!$H:$H,$B:$B,'20Ф'!Z:Z)*1.2</f>
        <v>0</v>
      </c>
      <c r="CS108" s="276">
        <f>SUMIF('20Ф'!$H:$H,$B:$B,'20Ф'!AB:AB)*1.2</f>
        <v>0</v>
      </c>
      <c r="CT108" s="276">
        <f>SUMIF('20Ф'!$H:$H,$B:$B,'20Ф'!AC:AC)*1.2</f>
        <v>0</v>
      </c>
      <c r="CU108" s="276">
        <f>SUMIF('20Ф'!$H:$H,$B:$B,'20Ф'!AD:AD)*1.2</f>
        <v>0</v>
      </c>
      <c r="CV108" s="276">
        <f>SUMIF('20Ф'!$H:$H,$B:$B,'20Ф'!AE:AE)*1.2</f>
        <v>0</v>
      </c>
      <c r="CW108" s="276">
        <f>SUMIF('20Ф'!$H:$H,$B:$B,'20Ф'!AF:AF)*1.2</f>
        <v>0</v>
      </c>
      <c r="CX108" s="276">
        <f>SUMIF('20Ф'!$H:$H,$B:$B,'20Ф'!AG:AG)*1.2</f>
        <v>0</v>
      </c>
      <c r="CY108" s="276">
        <f>SUMIF('20Ф'!$H:$H,$B:$B,'20Ф'!AH:AH)*1.2</f>
        <v>0</v>
      </c>
      <c r="CZ108" s="276">
        <f>SUMIF('20Ф'!$H:$H,$B:$B,'20Ф'!AI:AI)*1.2</f>
        <v>0</v>
      </c>
      <c r="DA108" s="276">
        <f>SUMIF('20Ф'!$H:$H,$B:$B,'20Ф'!AJ:AJ)*1.2</f>
        <v>0</v>
      </c>
      <c r="DB108" s="276">
        <f>SUMIF('20Ф'!$H:$H,$B:$B,'20Ф'!AK:AK)*1.2</f>
        <v>0</v>
      </c>
      <c r="DC108" s="276">
        <f>SUMIF('20Ф'!$H:$H,$B:$B,'20Ф'!AL:AL)*1.2</f>
        <v>0</v>
      </c>
      <c r="DD108" s="276">
        <f>SUMIF('20Ф'!$H:$H,$B:$B,'20Ф'!AM:AM)*1.2</f>
        <v>0</v>
      </c>
      <c r="DE108" s="276">
        <f>SUMIF('20Ф'!$H:$H,$B:$B,'20Ф'!AN:AN)*1.2</f>
        <v>0</v>
      </c>
      <c r="DF108" s="276">
        <f>SUMIF('20Ф'!$H:$H,$B:$B,'20Ф'!AO:AO)*1.2</f>
        <v>0</v>
      </c>
      <c r="DG108" s="276">
        <f>SUMIF('20Ф'!$H:$H,$B:$B,'20Ф'!AP:AP)*1.2</f>
        <v>0</v>
      </c>
      <c r="DH108" s="276">
        <f>SUMIF('20Ф'!$H:$H,$B:$B,'20Ф'!AQ:AQ)*1.2</f>
        <v>0</v>
      </c>
      <c r="DI108" s="276">
        <f>SUMIF('20Ф'!$H:$H,$B:$B,'20Ф'!BA:BA)*1.2</f>
        <v>0</v>
      </c>
      <c r="DJ108" s="276">
        <f>SUMIF('20Ф'!$H:$H,$B:$B,'20Ф'!BB:BB)*1.2</f>
        <v>0</v>
      </c>
      <c r="DK108" s="276">
        <f>SUMIF('20Ф'!$H:$H,$B:$B,'20Ф'!BC:BC)*1.2</f>
        <v>0</v>
      </c>
      <c r="DL108" s="276">
        <f>$D108/$D$281*'20Ф'!$H$218</f>
        <v>39587.62629141556</v>
      </c>
      <c r="DM108" s="240">
        <f t="shared" si="13"/>
        <v>584111.3673580176</v>
      </c>
      <c r="DN108" s="276">
        <f>SUMIF('20Ф'!$H:$H,$B:$B,'20Ф'!AV:AV)*1.2</f>
        <v>0</v>
      </c>
      <c r="DO108" s="276">
        <f>SUMIF('20Ф'!$H:$H,$B:$B,'20Ф'!AW:AW)*1.2+$D108/$D$281*'26Ф'!$D$42</f>
        <v>21066.485493355354</v>
      </c>
      <c r="DP108" s="276">
        <f>SUMIF('20Ф'!$H:$H,$B:$B,'20Ф'!AX:AX)*1.2</f>
        <v>0</v>
      </c>
      <c r="DQ108" s="276">
        <f>SUMIF('20Ф'!$H:$H,$B:$B,'20Ф'!AY:AY)*1.2</f>
        <v>37682.003999999994</v>
      </c>
      <c r="DR108" s="276">
        <f>SUMIF('20Ф'!$H:$H,$B:$B,'20Ф'!AU:AU)*1.2</f>
        <v>0</v>
      </c>
      <c r="DS108" s="276">
        <f>SUMIF('20Ф'!$H:$H,$B:$B,'20Ф'!AS:AS)*1.2</f>
        <v>131480.23199999999</v>
      </c>
      <c r="DT108" s="276">
        <f>SUMIF('20Ф'!$H:$H,$B:$B,'20Ф'!AR:AR)*1.2</f>
        <v>0</v>
      </c>
      <c r="DU108" s="276">
        <f>SUMIF('20Ф'!$H:$H,$B:$B,'20Ф'!X:X)*1.2</f>
        <v>22273.235999999997</v>
      </c>
      <c r="DV108" s="276">
        <f>SUMIF('20Ф'!$H:$H,$B:$B,'20Ф'!AA:AA)*1.2</f>
        <v>0</v>
      </c>
      <c r="DW108" s="276">
        <f>SUMIF('20Ф'!$H:$H,$B:$B,'20Ф'!N:N)*1.2</f>
        <v>0</v>
      </c>
      <c r="DX108" s="276">
        <f>$D108/$D$281*('25Ф'!$D$37)</f>
        <v>354101.2664762928</v>
      </c>
      <c r="DY108" s="276">
        <f>$D108/$D$281*'25Ф'!$D$30</f>
        <v>11301.800838651441</v>
      </c>
      <c r="DZ108" s="276">
        <f>$D108/$D$281*'25Ф'!$D$31</f>
        <v>6206.342549717956</v>
      </c>
      <c r="EA108" s="276"/>
      <c r="EB108" s="276">
        <f t="shared" si="14"/>
        <v>223089.3555202405</v>
      </c>
      <c r="EC108" s="276">
        <f>$D108/$D$281*'26Ф'!$D$36</f>
        <v>116125.19408773832</v>
      </c>
      <c r="ED108" s="276">
        <f>$D108/$D$281*'26Ф'!$D$37</f>
        <v>13952.318045516668</v>
      </c>
      <c r="EE108" s="276">
        <f>$D108/$D$281*'26Ф'!$D$38</f>
        <v>14095.412796345523</v>
      </c>
      <c r="EF108" s="276">
        <f>$D108/$D$281*'26Ф'!$D$39</f>
        <v>9887.9192120859043</v>
      </c>
      <c r="EG108" s="276">
        <f>$D108/$D$281*'91Ф'!$D$10</f>
        <v>3050.4189645980323</v>
      </c>
      <c r="EH108" s="276">
        <f>$D108/$D$281*('20Ф'!$I$509+'26Ф'!$D$41+'20Ф'!$I$507)</f>
        <v>21580.70971911207</v>
      </c>
      <c r="EI108" s="276">
        <f>$D108/$D$281*'91Ф'!$D$31</f>
        <v>39560.61068331822</v>
      </c>
      <c r="EJ108" s="276">
        <f>$D108/$D$281*'20Ф'!$I$1316</f>
        <v>4836.7720115257453</v>
      </c>
      <c r="EK108" s="276">
        <f>$D108/$D$281*('20Ф'!$I$1105+'20Ф'!$I$1282+'91Ф'!$D$17+'91Ф'!$D$41)</f>
        <v>158844.98150691969</v>
      </c>
      <c r="EL108" s="276">
        <f>$D108/$D$281*отчёт!BX$294</f>
        <v>265540.36514116265</v>
      </c>
      <c r="EM108" s="276">
        <f>$D108/$D$281*отчёт!BY$294</f>
        <v>233528.49745536002</v>
      </c>
      <c r="EN108" s="276">
        <f>SUMIF(отчёт!$B:$B,$B:$B,отчёт!BZ:BZ)/отчёт!BZ$281*('60Ф'!$O$151+'60Ф'!$P$151)*отчёт!BZ$293</f>
        <v>0</v>
      </c>
      <c r="EO108" s="240">
        <f t="shared" si="19"/>
        <v>0</v>
      </c>
      <c r="EP108" s="276">
        <f>SUMIF('20Ф'!$H:$H,$B:$B,'20Ф'!T:T)*1.2</f>
        <v>0</v>
      </c>
      <c r="EQ108" s="276">
        <f>SUMIF('20Ф'!$H:$H,$B:$B,'20Ф'!U:U)*1.2</f>
        <v>0</v>
      </c>
      <c r="ER108" s="236"/>
      <c r="ES108" s="239">
        <f t="shared" si="17"/>
        <v>88876.461348102268</v>
      </c>
      <c r="ET108" s="276">
        <f>$D108/$D$282*'20Ф'!$I$381</f>
        <v>6792.9130954022266</v>
      </c>
      <c r="EU108" s="276">
        <f>$D108/$D$282*('20Ф'!$I$75+'20Ф'!$I$1098)*1.2</f>
        <v>78461.161812194434</v>
      </c>
      <c r="EV108" s="276">
        <f>$D108/$D$282*('20Ф'!$I$1286)</f>
        <v>3622.3864405056129</v>
      </c>
      <c r="EW108" s="276">
        <f>SUMIF('91.1Ф'!$N:$N,$B:$B,'91.1Ф'!$F:$F)+$D108/$D$281*('91Ф'!$D$12+'91Ф'!$D$11+'91Ф'!$D$19+'91Ф'!$D$20)</f>
        <v>20934.992159157344</v>
      </c>
      <c r="EX108" s="276">
        <f t="shared" si="15"/>
        <v>40857.016899292001</v>
      </c>
      <c r="EY108" s="276">
        <f>SUMIF('20Ф'!$H:$H,$B:$B,'20Ф'!$AY:$AY)*1.2</f>
        <v>37682.003999999994</v>
      </c>
      <c r="EZ108" s="295">
        <f>D108/$D$286*'20Ф'!$I$1163</f>
        <v>3175.0128992920099</v>
      </c>
      <c r="FA108" s="277">
        <f>SUMIF(отчёт!$B:$B,$B:$B,отчёт!$CU:$CU)/отчёт!$CU$281*'20Ф'!$I$1341</f>
        <v>5525.7831325301113</v>
      </c>
      <c r="FB108" s="276">
        <f>SUMIF(Сальдо!$A:$A,$B:$B,Сальдо!$H:$H)-SUMIF(Сальдо!$A:$A,$B:$B,Сальдо!$I:$I)</f>
        <v>337140.92</v>
      </c>
    </row>
    <row r="109" spans="1:158" ht="12" customHeight="1" x14ac:dyDescent="0.25">
      <c r="A109" s="3">
        <f t="shared" si="18"/>
        <v>105</v>
      </c>
      <c r="B109" s="4" t="s">
        <v>155</v>
      </c>
      <c r="C109" s="4" t="s">
        <v>155</v>
      </c>
      <c r="D109" s="5">
        <v>6866.78</v>
      </c>
      <c r="E109" s="6">
        <v>6866.78</v>
      </c>
      <c r="F109" s="6">
        <v>0</v>
      </c>
      <c r="G109" s="6">
        <v>706.4</v>
      </c>
      <c r="H109" s="5">
        <f>SUMIF(отчёт!$B:$B,$B:$B,отчёт!I:I)</f>
        <v>0</v>
      </c>
      <c r="I109" s="5">
        <f>SUMIF(отчёт!$B:$B,$B:$B,отчёт!J:J)</f>
        <v>0</v>
      </c>
      <c r="J109" s="3" t="s">
        <v>114</v>
      </c>
      <c r="K109" s="105">
        <v>7</v>
      </c>
      <c r="L109" s="105" t="s">
        <v>52</v>
      </c>
      <c r="M109" s="7">
        <v>31</v>
      </c>
      <c r="N109" s="8">
        <v>5.0999999999999996</v>
      </c>
      <c r="O109" s="8">
        <v>6.59</v>
      </c>
      <c r="P109" s="8">
        <v>8.98</v>
      </c>
      <c r="Q109" s="8">
        <v>6.92</v>
      </c>
      <c r="R109" s="8">
        <v>3.15</v>
      </c>
      <c r="S109" s="8">
        <v>0</v>
      </c>
      <c r="T109" s="8">
        <v>0</v>
      </c>
      <c r="U109" s="8">
        <v>0.26</v>
      </c>
      <c r="V109" s="9">
        <v>40</v>
      </c>
      <c r="W109" s="9">
        <v>40</v>
      </c>
      <c r="X109" s="9">
        <v>2604.04</v>
      </c>
      <c r="Y109" s="8">
        <v>195.98199600000001</v>
      </c>
      <c r="Z109" s="9">
        <v>42.3</v>
      </c>
      <c r="AA109" s="9">
        <v>2604.04</v>
      </c>
      <c r="AB109" s="8">
        <v>7.85</v>
      </c>
      <c r="AC109" s="10">
        <v>0</v>
      </c>
      <c r="AD109" s="8">
        <v>6.73</v>
      </c>
      <c r="AE109" s="8">
        <v>10.67</v>
      </c>
      <c r="AF109" s="8">
        <v>14</v>
      </c>
      <c r="AG109" s="7">
        <v>1277221.08</v>
      </c>
      <c r="AH109" s="8">
        <v>210123.46799999996</v>
      </c>
      <c r="AI109" s="8">
        <v>271512.48119999998</v>
      </c>
      <c r="AJ109" s="8">
        <v>369982.10639999999</v>
      </c>
      <c r="AK109" s="8">
        <v>285108.70559999999</v>
      </c>
      <c r="AL109" s="8">
        <v>129782.14199999999</v>
      </c>
      <c r="AM109" s="8">
        <v>0</v>
      </c>
      <c r="AN109" s="8">
        <v>0</v>
      </c>
      <c r="AO109" s="8">
        <v>10712.176800000001</v>
      </c>
      <c r="AQ109" s="104">
        <v>33.17</v>
      </c>
      <c r="AR109" s="375">
        <v>13.89</v>
      </c>
      <c r="AS109" s="376"/>
      <c r="AT109" s="104">
        <v>5.9</v>
      </c>
      <c r="AU109" s="104">
        <v>1.53</v>
      </c>
      <c r="AV109" s="104">
        <v>0.32</v>
      </c>
      <c r="AW109" s="104">
        <v>0.6</v>
      </c>
      <c r="AX109" s="104">
        <v>5.01</v>
      </c>
      <c r="AY109" s="104">
        <v>4.99</v>
      </c>
      <c r="AZ109" s="104">
        <v>0</v>
      </c>
      <c r="BA109" s="104">
        <v>0</v>
      </c>
      <c r="BB109" s="104">
        <v>0</v>
      </c>
      <c r="BC109" s="101">
        <v>0.93</v>
      </c>
      <c r="BD109" s="104">
        <v>37.581610000000005</v>
      </c>
      <c r="BE109" s="375">
        <v>15.737370000000004</v>
      </c>
      <c r="BF109" s="376">
        <v>0</v>
      </c>
      <c r="BG109" s="104">
        <v>6.6847000000000012</v>
      </c>
      <c r="BH109" s="104">
        <v>1.7334900000000002</v>
      </c>
      <c r="BI109" s="104">
        <v>0.36256000000000005</v>
      </c>
      <c r="BJ109" s="104">
        <v>0.67980000000000007</v>
      </c>
      <c r="BK109" s="104">
        <v>5.6763300000000001</v>
      </c>
      <c r="BL109" s="104">
        <v>5.65367</v>
      </c>
      <c r="BM109" s="104">
        <v>0</v>
      </c>
      <c r="BN109" s="104">
        <v>0</v>
      </c>
      <c r="BO109" s="104">
        <v>0</v>
      </c>
      <c r="BP109" s="101">
        <v>1.0536900000000002</v>
      </c>
      <c r="BQ109" s="103">
        <v>3036188.6643579998</v>
      </c>
      <c r="BR109" s="371">
        <v>1271409.7240860004</v>
      </c>
      <c r="BS109" s="371">
        <v>0</v>
      </c>
      <c r="BT109" s="103">
        <v>540051.64665999997</v>
      </c>
      <c r="BU109" s="103">
        <v>140047.29142199998</v>
      </c>
      <c r="BV109" s="103">
        <v>29290.936768</v>
      </c>
      <c r="BW109" s="103">
        <v>54920.506440000005</v>
      </c>
      <c r="BX109" s="103">
        <v>458586.22877399996</v>
      </c>
      <c r="BY109" s="103">
        <v>456755.54522599996</v>
      </c>
      <c r="BZ109" s="103">
        <v>0</v>
      </c>
      <c r="CA109" s="103">
        <v>0</v>
      </c>
      <c r="CB109" s="103">
        <v>0</v>
      </c>
      <c r="CC109" s="103">
        <v>85126.784982000012</v>
      </c>
      <c r="CD109" s="1">
        <v>1</v>
      </c>
      <c r="CF109" s="277">
        <f>SUMIF(Оборот!$A:$A,$B:$B,Оборот!H:H)</f>
        <v>2585438.31</v>
      </c>
      <c r="CG109" s="277">
        <f>SUMIF(Оборот!$A:$A,$B:$B,Оборот!I:I)</f>
        <v>2633121.5999999996</v>
      </c>
      <c r="CH109" s="277">
        <f t="shared" si="12"/>
        <v>2866206.2417112608</v>
      </c>
      <c r="CI109" s="239">
        <f t="shared" si="16"/>
        <v>387980.62949965708</v>
      </c>
      <c r="CJ109" s="276">
        <f>SUMIF('20Ф'!$H:$H,$B:$B,'20Ф'!M:M)*1.2</f>
        <v>0</v>
      </c>
      <c r="CK109" s="276">
        <f>SUMIF('20Ф'!$H:$H,$B:$B,'20Ф'!O:O)*1.2</f>
        <v>0</v>
      </c>
      <c r="CL109" s="276">
        <f>SUMIF('20Ф'!$H:$H,$B:$B,'20Ф'!Q:Q)*1.2</f>
        <v>0</v>
      </c>
      <c r="CM109" s="276">
        <f>SUMIF('20Ф'!$H:$H,$B:$B,'20Ф'!R:R)*1.2</f>
        <v>0</v>
      </c>
      <c r="CN109" s="276">
        <f>SUMIF('20Ф'!$H:$H,$B:$B,'20Ф'!S:S)*1.2</f>
        <v>0</v>
      </c>
      <c r="CO109" s="276">
        <f>SUMIF('20Ф'!$H:$H,$B:$B,'20Ф'!W:W)*1.2</f>
        <v>0</v>
      </c>
      <c r="CP109" s="276">
        <f>SUMIF('20Ф'!$H:$H,$B:$B,'20Ф'!P:P)*1.2</f>
        <v>0</v>
      </c>
      <c r="CQ109" s="276">
        <f>SUMIF('20Ф'!$H:$H,$B:$B,'20Ф'!Y:Y)*1.2</f>
        <v>0</v>
      </c>
      <c r="CR109" s="276">
        <f>SUMIF('20Ф'!$H:$H,$B:$B,'20Ф'!Z:Z)*1.2</f>
        <v>0</v>
      </c>
      <c r="CS109" s="276">
        <f>SUMIF('20Ф'!$H:$H,$B:$B,'20Ф'!AB:AB)*1.2</f>
        <v>0</v>
      </c>
      <c r="CT109" s="276">
        <f>SUMIF('20Ф'!$H:$H,$B:$B,'20Ф'!AC:AC)*1.2</f>
        <v>0</v>
      </c>
      <c r="CU109" s="276">
        <f>SUMIF('20Ф'!$H:$H,$B:$B,'20Ф'!AD:AD)*1.2</f>
        <v>0</v>
      </c>
      <c r="CV109" s="276">
        <f>SUMIF('20Ф'!$H:$H,$B:$B,'20Ф'!AE:AE)*1.2</f>
        <v>0</v>
      </c>
      <c r="CW109" s="276">
        <f>SUMIF('20Ф'!$H:$H,$B:$B,'20Ф'!AF:AF)*1.2</f>
        <v>0</v>
      </c>
      <c r="CX109" s="276">
        <f>SUMIF('20Ф'!$H:$H,$B:$B,'20Ф'!AG:AG)*1.2</f>
        <v>0</v>
      </c>
      <c r="CY109" s="276">
        <f>SUMIF('20Ф'!$H:$H,$B:$B,'20Ф'!AH:AH)*1.2</f>
        <v>170640.02399999998</v>
      </c>
      <c r="CZ109" s="276">
        <f>SUMIF('20Ф'!$H:$H,$B:$B,'20Ф'!AI:AI)*1.2</f>
        <v>0</v>
      </c>
      <c r="DA109" s="276">
        <f>SUMIF('20Ф'!$H:$H,$B:$B,'20Ф'!AJ:AJ)*1.2</f>
        <v>156944.976</v>
      </c>
      <c r="DB109" s="276">
        <f>SUMIF('20Ф'!$H:$H,$B:$B,'20Ф'!AK:AK)*1.2</f>
        <v>0</v>
      </c>
      <c r="DC109" s="276">
        <f>SUMIF('20Ф'!$H:$H,$B:$B,'20Ф'!AL:AL)*1.2</f>
        <v>0</v>
      </c>
      <c r="DD109" s="276">
        <f>SUMIF('20Ф'!$H:$H,$B:$B,'20Ф'!AM:AM)*1.2</f>
        <v>0</v>
      </c>
      <c r="DE109" s="276">
        <f>SUMIF('20Ф'!$H:$H,$B:$B,'20Ф'!AN:AN)*1.2</f>
        <v>0</v>
      </c>
      <c r="DF109" s="276">
        <f>SUMIF('20Ф'!$H:$H,$B:$B,'20Ф'!AO:AO)*1.2</f>
        <v>0</v>
      </c>
      <c r="DG109" s="276">
        <f>SUMIF('20Ф'!$H:$H,$B:$B,'20Ф'!AP:AP)*1.2</f>
        <v>0</v>
      </c>
      <c r="DH109" s="276">
        <f>SUMIF('20Ф'!$H:$H,$B:$B,'20Ф'!AQ:AQ)*1.2</f>
        <v>0</v>
      </c>
      <c r="DI109" s="276">
        <f>SUMIF('20Ф'!$H:$H,$B:$B,'20Ф'!BA:BA)*1.2</f>
        <v>0</v>
      </c>
      <c r="DJ109" s="276">
        <f>SUMIF('20Ф'!$H:$H,$B:$B,'20Ф'!BB:BB)*1.2</f>
        <v>0</v>
      </c>
      <c r="DK109" s="276">
        <f>SUMIF('20Ф'!$H:$H,$B:$B,'20Ф'!BC:BC)*1.2</f>
        <v>0</v>
      </c>
      <c r="DL109" s="276">
        <f>$D109/$D$281*'20Ф'!$H$218</f>
        <v>60395.629499657094</v>
      </c>
      <c r="DM109" s="240">
        <f t="shared" si="13"/>
        <v>876395.21787727287</v>
      </c>
      <c r="DN109" s="276">
        <f>SUMIF('20Ф'!$H:$H,$B:$B,'20Ф'!AV:AV)*1.2</f>
        <v>0</v>
      </c>
      <c r="DO109" s="276">
        <f>SUMIF('20Ф'!$H:$H,$B:$B,'20Ф'!AW:AW)*1.2+$D109/$D$281*'26Ф'!$D$42</f>
        <v>32139.427692649759</v>
      </c>
      <c r="DP109" s="276">
        <f>SUMIF('20Ф'!$H:$H,$B:$B,'20Ф'!AX:AX)*1.2</f>
        <v>0</v>
      </c>
      <c r="DQ109" s="276">
        <f>SUMIF('20Ф'!$H:$H,$B:$B,'20Ф'!AY:AY)*1.2</f>
        <v>85381.007999999987</v>
      </c>
      <c r="DR109" s="276">
        <f>SUMIF('20Ф'!$H:$H,$B:$B,'20Ф'!AU:AU)*1.2</f>
        <v>0</v>
      </c>
      <c r="DS109" s="276">
        <f>SUMIF('20Ф'!$H:$H,$B:$B,'20Ф'!AS:AS)*1.2</f>
        <v>182503.81200000001</v>
      </c>
      <c r="DT109" s="276">
        <f>SUMIF('20Ф'!$H:$H,$B:$B,'20Ф'!AR:AR)*1.2</f>
        <v>0</v>
      </c>
      <c r="DU109" s="276">
        <f>SUMIF('20Ф'!$H:$H,$B:$B,'20Ф'!X:X)*1.2</f>
        <v>9436.6440000000002</v>
      </c>
      <c r="DV109" s="276">
        <f>SUMIF('20Ф'!$H:$H,$B:$B,'20Ф'!AA:AA)*1.2</f>
        <v>0</v>
      </c>
      <c r="DW109" s="276">
        <f>SUMIF('20Ф'!$H:$H,$B:$B,'20Ф'!N:N)*1.2</f>
        <v>0</v>
      </c>
      <c r="DX109" s="276">
        <f>$D109/$D$281*('25Ф'!$D$37)</f>
        <v>540223.57233626419</v>
      </c>
      <c r="DY109" s="276">
        <f>$D109/$D$281*'25Ф'!$D$30</f>
        <v>17242.240570461312</v>
      </c>
      <c r="DZ109" s="276">
        <f>$D109/$D$281*'25Ф'!$D$31</f>
        <v>9468.5132778977622</v>
      </c>
      <c r="EA109" s="276"/>
      <c r="EB109" s="276">
        <f t="shared" si="14"/>
        <v>340349.32941254508</v>
      </c>
      <c r="EC109" s="276">
        <f>$D109/$D$281*'26Ф'!$D$36</f>
        <v>177162.78682815738</v>
      </c>
      <c r="ED109" s="276">
        <f>$D109/$D$281*'26Ф'!$D$37</f>
        <v>21285.919623858128</v>
      </c>
      <c r="EE109" s="276">
        <f>$D109/$D$281*'26Ф'!$D$38</f>
        <v>21504.227675237289</v>
      </c>
      <c r="EF109" s="276">
        <f>$D109/$D$281*'26Ф'!$D$39</f>
        <v>15085.196087778051</v>
      </c>
      <c r="EG109" s="276">
        <f>$D109/$D$281*'91Ф'!$D$10</f>
        <v>4653.7767192305855</v>
      </c>
      <c r="EH109" s="276">
        <f>$D109/$D$281*('20Ф'!$I$509+'26Ф'!$D$41+'20Ф'!$I$507)</f>
        <v>32923.937872419876</v>
      </c>
      <c r="EI109" s="276">
        <f>$D109/$D$281*'91Ф'!$D$31</f>
        <v>60354.41397828827</v>
      </c>
      <c r="EJ109" s="276">
        <f>$D109/$D$281*'20Ф'!$I$1316</f>
        <v>7379.0706275754974</v>
      </c>
      <c r="EK109" s="276">
        <f>$D109/$D$281*('20Ф'!$I$1105+'20Ф'!$I$1282+'91Ф'!$D$17+'91Ф'!$D$41)</f>
        <v>242336.90043325812</v>
      </c>
      <c r="EL109" s="276">
        <f>$D109/$D$281*отчёт!BX$294</f>
        <v>405113.39053806796</v>
      </c>
      <c r="EM109" s="276">
        <f>$D109/$D$281*отчёт!BY$294</f>
        <v>356275.48128552391</v>
      </c>
      <c r="EN109" s="276">
        <f>SUMIF(отчёт!$B:$B,$B:$B,отчёт!BZ:BZ)/отчёт!BZ$281*('60Ф'!$O$151+'60Ф'!$P$151)*отчёт!BZ$293</f>
        <v>0</v>
      </c>
      <c r="EO109" s="240">
        <f t="shared" si="19"/>
        <v>0</v>
      </c>
      <c r="EP109" s="276">
        <f>SUMIF('20Ф'!$H:$H,$B:$B,'20Ф'!T:T)*1.2</f>
        <v>0</v>
      </c>
      <c r="EQ109" s="276">
        <f>SUMIF('20Ф'!$H:$H,$B:$B,'20Ф'!U:U)*1.2</f>
        <v>0</v>
      </c>
      <c r="ER109" s="236"/>
      <c r="ES109" s="239">
        <f t="shared" si="17"/>
        <v>135591.60610709709</v>
      </c>
      <c r="ET109" s="276">
        <f>$D109/$D$282*'20Ф'!$I$381</f>
        <v>10363.396368178954</v>
      </c>
      <c r="EU109" s="276">
        <f>$D109/$D$282*('20Ф'!$I$75+'20Ф'!$I$1098)*1.2</f>
        <v>119701.82864814786</v>
      </c>
      <c r="EV109" s="276">
        <f>$D109/$D$282*('20Ф'!$I$1286)</f>
        <v>5526.3810907702627</v>
      </c>
      <c r="EW109" s="276">
        <f>SUMIF('91.1Ф'!$N:$N,$B:$B,'91.1Ф'!$F:$F)+$D109/$D$281*('91Ф'!$D$12+'91Ф'!$D$11+'91Ф'!$D$19+'91Ф'!$D$20)</f>
        <v>31938.81898134595</v>
      </c>
      <c r="EX109" s="276">
        <f t="shared" si="15"/>
        <v>90224.86757649231</v>
      </c>
      <c r="EY109" s="276">
        <f>SUMIF('20Ф'!$H:$H,$B:$B,'20Ф'!$AY:$AY)*1.2</f>
        <v>85381.007999999987</v>
      </c>
      <c r="EZ109" s="295">
        <f>D109/$D$286*'20Ф'!$I$1163</f>
        <v>4843.8595764923175</v>
      </c>
      <c r="FA109" s="277">
        <f>SUMIF(отчёт!$B:$B,$B:$B,отчёт!$CU:$CU)/отчёт!$CU$281*'20Ф'!$I$1341</f>
        <v>0</v>
      </c>
      <c r="FB109" s="276">
        <f>SUMIF(Сальдо!$A:$A,$B:$B,Сальдо!$H:$H)-SUMIF(Сальдо!$A:$A,$B:$B,Сальдо!$I:$I)</f>
        <v>509768.43000000005</v>
      </c>
    </row>
    <row r="110" spans="1:158" ht="12" customHeight="1" x14ac:dyDescent="0.25">
      <c r="A110" s="3">
        <f t="shared" si="18"/>
        <v>106</v>
      </c>
      <c r="B110" s="4" t="s">
        <v>156</v>
      </c>
      <c r="C110" s="4" t="s">
        <v>156</v>
      </c>
      <c r="D110" s="5">
        <v>4577.38</v>
      </c>
      <c r="E110" s="6">
        <v>4577.38</v>
      </c>
      <c r="F110" s="6">
        <v>0</v>
      </c>
      <c r="G110" s="6">
        <v>565.79999999999995</v>
      </c>
      <c r="H110" s="5">
        <f>SUMIF(отчёт!$B:$B,$B:$B,отчёт!I:I)</f>
        <v>0</v>
      </c>
      <c r="I110" s="5">
        <f>SUMIF(отчёт!$B:$B,$B:$B,отчёт!J:J)</f>
        <v>0</v>
      </c>
      <c r="J110" s="3" t="s">
        <v>114</v>
      </c>
      <c r="K110" s="105">
        <v>7</v>
      </c>
      <c r="L110" s="105" t="s">
        <v>52</v>
      </c>
      <c r="M110" s="7">
        <v>31</v>
      </c>
      <c r="N110" s="8">
        <v>5.0999999999999996</v>
      </c>
      <c r="O110" s="8">
        <v>6.59</v>
      </c>
      <c r="P110" s="8">
        <v>8.98</v>
      </c>
      <c r="Q110" s="8">
        <v>6.92</v>
      </c>
      <c r="R110" s="8">
        <v>3.15</v>
      </c>
      <c r="S110" s="8">
        <v>0</v>
      </c>
      <c r="T110" s="8">
        <v>0</v>
      </c>
      <c r="U110" s="8">
        <v>0.26</v>
      </c>
      <c r="V110" s="9">
        <v>40</v>
      </c>
      <c r="W110" s="9">
        <v>40</v>
      </c>
      <c r="X110" s="9">
        <v>2604.04</v>
      </c>
      <c r="Y110" s="8">
        <v>195.98199600000001</v>
      </c>
      <c r="Z110" s="9">
        <v>42.3</v>
      </c>
      <c r="AA110" s="9">
        <v>2604.04</v>
      </c>
      <c r="AB110" s="8">
        <v>7.85</v>
      </c>
      <c r="AC110" s="10">
        <v>0</v>
      </c>
      <c r="AD110" s="8">
        <v>6.73</v>
      </c>
      <c r="AE110" s="8">
        <v>10.67</v>
      </c>
      <c r="AF110" s="8">
        <v>14</v>
      </c>
      <c r="AG110" s="7">
        <v>851392.67999999993</v>
      </c>
      <c r="AH110" s="8">
        <v>140067.82799999998</v>
      </c>
      <c r="AI110" s="8">
        <v>180989.60519999999</v>
      </c>
      <c r="AJ110" s="8">
        <v>246629.23440000002</v>
      </c>
      <c r="AK110" s="8">
        <v>190052.81760000001</v>
      </c>
      <c r="AL110" s="8">
        <v>86512.481999999989</v>
      </c>
      <c r="AM110" s="8">
        <v>0</v>
      </c>
      <c r="AN110" s="8">
        <v>0</v>
      </c>
      <c r="AO110" s="8">
        <v>7140.7127999999993</v>
      </c>
      <c r="AQ110" s="104">
        <v>33.17</v>
      </c>
      <c r="AR110" s="375">
        <v>13.89</v>
      </c>
      <c r="AS110" s="376"/>
      <c r="AT110" s="104">
        <v>5.9</v>
      </c>
      <c r="AU110" s="104">
        <v>1.53</v>
      </c>
      <c r="AV110" s="104">
        <v>0.32</v>
      </c>
      <c r="AW110" s="104">
        <v>0.6</v>
      </c>
      <c r="AX110" s="104">
        <v>5.01</v>
      </c>
      <c r="AY110" s="104">
        <v>4.99</v>
      </c>
      <c r="AZ110" s="104">
        <v>0</v>
      </c>
      <c r="BA110" s="104">
        <v>0</v>
      </c>
      <c r="BB110" s="104">
        <v>0</v>
      </c>
      <c r="BC110" s="101">
        <v>0.93</v>
      </c>
      <c r="BD110" s="104">
        <v>37.581610000000005</v>
      </c>
      <c r="BE110" s="375">
        <v>15.737370000000004</v>
      </c>
      <c r="BF110" s="376">
        <v>0</v>
      </c>
      <c r="BG110" s="104">
        <v>6.6847000000000012</v>
      </c>
      <c r="BH110" s="104">
        <v>1.7334900000000002</v>
      </c>
      <c r="BI110" s="104">
        <v>0.36256000000000005</v>
      </c>
      <c r="BJ110" s="104">
        <v>0.67980000000000007</v>
      </c>
      <c r="BK110" s="104">
        <v>5.6763300000000001</v>
      </c>
      <c r="BL110" s="104">
        <v>5.65367</v>
      </c>
      <c r="BM110" s="104">
        <v>0</v>
      </c>
      <c r="BN110" s="104">
        <v>0</v>
      </c>
      <c r="BO110" s="104">
        <v>0</v>
      </c>
      <c r="BP110" s="101">
        <v>1.0536900000000002</v>
      </c>
      <c r="BQ110" s="103">
        <v>2023916.4890180002</v>
      </c>
      <c r="BR110" s="371">
        <v>847518.84330600023</v>
      </c>
      <c r="BS110" s="371">
        <v>0</v>
      </c>
      <c r="BT110" s="103">
        <v>359997.20486000006</v>
      </c>
      <c r="BU110" s="103">
        <v>93355.207362000001</v>
      </c>
      <c r="BV110" s="103">
        <v>19525.272128000001</v>
      </c>
      <c r="BW110" s="103">
        <v>36609.885240000003</v>
      </c>
      <c r="BX110" s="103">
        <v>305692.54175400001</v>
      </c>
      <c r="BY110" s="103">
        <v>304472.21224600001</v>
      </c>
      <c r="BZ110" s="103">
        <v>0</v>
      </c>
      <c r="CA110" s="103">
        <v>0</v>
      </c>
      <c r="CB110" s="103">
        <v>0</v>
      </c>
      <c r="CC110" s="103">
        <v>56745.322122000012</v>
      </c>
      <c r="CD110" s="1">
        <v>1</v>
      </c>
      <c r="CF110" s="277">
        <f>SUMIF(Оборот!$A:$A,$B:$B,Оборот!H:H)</f>
        <v>1742517.2800000003</v>
      </c>
      <c r="CG110" s="277">
        <f>SUMIF(Оборот!$A:$A,$B:$B,Оборот!I:I)</f>
        <v>1716297.2300000002</v>
      </c>
      <c r="CH110" s="277">
        <f t="shared" si="12"/>
        <v>1786286.1370992358</v>
      </c>
      <c r="CI110" s="239">
        <f t="shared" si="16"/>
        <v>143616.11787460506</v>
      </c>
      <c r="CJ110" s="276">
        <f>SUMIF('20Ф'!$H:$H,$B:$B,'20Ф'!M:M)*1.2</f>
        <v>0</v>
      </c>
      <c r="CK110" s="276">
        <f>SUMIF('20Ф'!$H:$H,$B:$B,'20Ф'!O:O)*1.2</f>
        <v>0</v>
      </c>
      <c r="CL110" s="276">
        <f>SUMIF('20Ф'!$H:$H,$B:$B,'20Ф'!Q:Q)*1.2</f>
        <v>0</v>
      </c>
      <c r="CM110" s="276">
        <f>SUMIF('20Ф'!$H:$H,$B:$B,'20Ф'!R:R)*1.2</f>
        <v>0</v>
      </c>
      <c r="CN110" s="276">
        <f>SUMIF('20Ф'!$H:$H,$B:$B,'20Ф'!S:S)*1.2</f>
        <v>0</v>
      </c>
      <c r="CO110" s="276">
        <f>SUMIF('20Ф'!$H:$H,$B:$B,'20Ф'!W:W)*1.2</f>
        <v>0</v>
      </c>
      <c r="CP110" s="276">
        <f>SUMIF('20Ф'!$H:$H,$B:$B,'20Ф'!P:P)*1.2</f>
        <v>0</v>
      </c>
      <c r="CQ110" s="276">
        <f>SUMIF('20Ф'!$H:$H,$B:$B,'20Ф'!Y:Y)*1.2</f>
        <v>0</v>
      </c>
      <c r="CR110" s="276">
        <f>SUMIF('20Ф'!$H:$H,$B:$B,'20Ф'!Z:Z)*1.2</f>
        <v>0</v>
      </c>
      <c r="CS110" s="276">
        <f>SUMIF('20Ф'!$H:$H,$B:$B,'20Ф'!AB:AB)*1.2</f>
        <v>0</v>
      </c>
      <c r="CT110" s="276">
        <f>SUMIF('20Ф'!$H:$H,$B:$B,'20Ф'!AC:AC)*1.2</f>
        <v>0</v>
      </c>
      <c r="CU110" s="276">
        <f>SUMIF('20Ф'!$H:$H,$B:$B,'20Ф'!AD:AD)*1.2</f>
        <v>0</v>
      </c>
      <c r="CV110" s="276">
        <f>SUMIF('20Ф'!$H:$H,$B:$B,'20Ф'!AE:AE)*1.2</f>
        <v>0</v>
      </c>
      <c r="CW110" s="276">
        <f>SUMIF('20Ф'!$H:$H,$B:$B,'20Ф'!AF:AF)*1.2</f>
        <v>0</v>
      </c>
      <c r="CX110" s="276">
        <f>SUMIF('20Ф'!$H:$H,$B:$B,'20Ф'!AG:AG)*1.2</f>
        <v>0</v>
      </c>
      <c r="CY110" s="276">
        <f>SUMIF('20Ф'!$H:$H,$B:$B,'20Ф'!AH:AH)*1.2</f>
        <v>0</v>
      </c>
      <c r="CZ110" s="276">
        <f>SUMIF('20Ф'!$H:$H,$B:$B,'20Ф'!AI:AI)*1.2</f>
        <v>0</v>
      </c>
      <c r="DA110" s="276">
        <f>SUMIF('20Ф'!$H:$H,$B:$B,'20Ф'!AJ:AJ)*1.2</f>
        <v>103356.52800000001</v>
      </c>
      <c r="DB110" s="276">
        <f>SUMIF('20Ф'!$H:$H,$B:$B,'20Ф'!AK:AK)*1.2</f>
        <v>0</v>
      </c>
      <c r="DC110" s="276">
        <f>SUMIF('20Ф'!$H:$H,$B:$B,'20Ф'!AL:AL)*1.2</f>
        <v>0</v>
      </c>
      <c r="DD110" s="276">
        <f>SUMIF('20Ф'!$H:$H,$B:$B,'20Ф'!AM:AM)*1.2</f>
        <v>0</v>
      </c>
      <c r="DE110" s="276">
        <f>SUMIF('20Ф'!$H:$H,$B:$B,'20Ф'!AN:AN)*1.2</f>
        <v>0</v>
      </c>
      <c r="DF110" s="276">
        <f>SUMIF('20Ф'!$H:$H,$B:$B,'20Ф'!AO:AO)*1.2</f>
        <v>0</v>
      </c>
      <c r="DG110" s="276">
        <f>SUMIF('20Ф'!$H:$H,$B:$B,'20Ф'!AP:AP)*1.2</f>
        <v>0</v>
      </c>
      <c r="DH110" s="276">
        <f>SUMIF('20Ф'!$H:$H,$B:$B,'20Ф'!AQ:AQ)*1.2</f>
        <v>0</v>
      </c>
      <c r="DI110" s="276">
        <f>SUMIF('20Ф'!$H:$H,$B:$B,'20Ф'!BA:BA)*1.2</f>
        <v>0</v>
      </c>
      <c r="DJ110" s="276">
        <f>SUMIF('20Ф'!$H:$H,$B:$B,'20Ф'!BB:BB)*1.2</f>
        <v>0</v>
      </c>
      <c r="DK110" s="276">
        <f>SUMIF('20Ф'!$H:$H,$B:$B,'20Ф'!BC:BC)*1.2</f>
        <v>0</v>
      </c>
      <c r="DL110" s="276">
        <f>$D110/$D$281*'20Ф'!$H$218</f>
        <v>40259.589874605037</v>
      </c>
      <c r="DM110" s="240">
        <f t="shared" si="13"/>
        <v>594126.2878911444</v>
      </c>
      <c r="DN110" s="276">
        <f>SUMIF('20Ф'!$H:$H,$B:$B,'20Ф'!AV:AV)*1.2</f>
        <v>0</v>
      </c>
      <c r="DO110" s="276">
        <f>SUMIF('20Ф'!$H:$H,$B:$B,'20Ф'!AW:AW)*1.2+$D110/$D$281*'26Ф'!$D$42</f>
        <v>21424.06972872018</v>
      </c>
      <c r="DP110" s="276">
        <f>SUMIF('20Ф'!$H:$H,$B:$B,'20Ф'!AX:AX)*1.2</f>
        <v>10200</v>
      </c>
      <c r="DQ110" s="276">
        <f>SUMIF('20Ф'!$H:$H,$B:$B,'20Ф'!AY:AY)*1.2</f>
        <v>37682.003999999994</v>
      </c>
      <c r="DR110" s="276">
        <f>SUMIF('20Ф'!$H:$H,$B:$B,'20Ф'!AU:AU)*1.2</f>
        <v>0</v>
      </c>
      <c r="DS110" s="276">
        <f>SUMIF('20Ф'!$H:$H,$B:$B,'20Ф'!AS:AS)*1.2</f>
        <v>124629.84</v>
      </c>
      <c r="DT110" s="276">
        <f>SUMIF('20Ф'!$H:$H,$B:$B,'20Ф'!AR:AR)*1.2</f>
        <v>0</v>
      </c>
      <c r="DU110" s="276">
        <f>SUMIF('20Ф'!$H:$H,$B:$B,'20Ф'!X:X)*1.2</f>
        <v>22273.235999999997</v>
      </c>
      <c r="DV110" s="276">
        <f>SUMIF('20Ф'!$H:$H,$B:$B,'20Ф'!AA:AA)*1.2</f>
        <v>0</v>
      </c>
      <c r="DW110" s="276">
        <f>SUMIF('20Ф'!$H:$H,$B:$B,'20Ф'!N:N)*1.2</f>
        <v>0</v>
      </c>
      <c r="DX110" s="276">
        <f>$D110/$D$281*('25Ф'!$D$37)</f>
        <v>360111.81012651767</v>
      </c>
      <c r="DY110" s="276">
        <f>$D110/$D$281*'25Ф'!$D$30</f>
        <v>11493.638523794007</v>
      </c>
      <c r="DZ110" s="276">
        <f>$D110/$D$281*'25Ф'!$D$31</f>
        <v>6311.6895121124689</v>
      </c>
      <c r="EA110" s="276"/>
      <c r="EB110" s="276">
        <f t="shared" si="14"/>
        <v>226876.09235571776</v>
      </c>
      <c r="EC110" s="276">
        <f>$D110/$D$281*'26Ф'!$D$36</f>
        <v>118096.31256156031</v>
      </c>
      <c r="ED110" s="276">
        <f>$D110/$D$281*'26Ф'!$D$37</f>
        <v>14189.14582495081</v>
      </c>
      <c r="EE110" s="276">
        <f>$D110/$D$281*'26Ф'!$D$38</f>
        <v>14334.669477699543</v>
      </c>
      <c r="EF110" s="276">
        <f>$D110/$D$281*'26Ф'!$D$39</f>
        <v>10055.757555691824</v>
      </c>
      <c r="EG110" s="276">
        <f>$D110/$D$281*'91Ф'!$D$10</f>
        <v>3102.1970237974269</v>
      </c>
      <c r="EH110" s="276">
        <f>$D110/$D$281*('20Ф'!$I$509+'26Ф'!$D$41+'20Ф'!$I$507)</f>
        <v>21947.022438239943</v>
      </c>
      <c r="EI110" s="276">
        <f>$D110/$D$281*'91Ф'!$D$31</f>
        <v>40232.115701382187</v>
      </c>
      <c r="EJ110" s="276">
        <f>$D110/$D$281*'20Ф'!$I$1316</f>
        <v>4918.871772395727</v>
      </c>
      <c r="EK110" s="276">
        <f>$D110/$D$281*('20Ф'!$I$1105+'20Ф'!$I$1282+'91Ф'!$D$17+'91Ф'!$D$41)</f>
        <v>161541.22912124562</v>
      </c>
      <c r="EL110" s="276">
        <f>$D110/$D$281*отчёт!BX$294</f>
        <v>270047.66886097146</v>
      </c>
      <c r="EM110" s="276">
        <f>$D110/$D$281*отчёт!BY$294</f>
        <v>237492.42913370335</v>
      </c>
      <c r="EN110" s="276">
        <f>SUMIF(отчёт!$B:$B,$B:$B,отчёт!BZ:BZ)/отчёт!BZ$281*('60Ф'!$O$151+'60Ф'!$P$151)*отчёт!BZ$293</f>
        <v>0</v>
      </c>
      <c r="EO110" s="240">
        <f t="shared" si="19"/>
        <v>0</v>
      </c>
      <c r="EP110" s="276">
        <f>SUMIF('20Ф'!$H:$H,$B:$B,'20Ф'!T:T)*1.2</f>
        <v>0</v>
      </c>
      <c r="EQ110" s="276">
        <f>SUMIF('20Ф'!$H:$H,$B:$B,'20Ф'!U:U)*1.2</f>
        <v>0</v>
      </c>
      <c r="ER110" s="236"/>
      <c r="ES110" s="239">
        <f t="shared" si="17"/>
        <v>90385.057619802014</v>
      </c>
      <c r="ET110" s="276">
        <f>$D110/$D$282*'20Ф'!$I$381</f>
        <v>6908.2165538687686</v>
      </c>
      <c r="EU110" s="276">
        <f>$D110/$D$282*('20Ф'!$I$75+'20Ф'!$I$1098)*1.2</f>
        <v>79792.967943848373</v>
      </c>
      <c r="EV110" s="276">
        <f>$D110/$D$282*('20Ф'!$I$1286)</f>
        <v>3683.8731220848758</v>
      </c>
      <c r="EW110" s="276">
        <f>SUMIF('91.1Ф'!$N:$N,$B:$B,'91.1Ф'!$F:$F)+$D110/$D$281*('91Ф'!$D$12+'91Ф'!$D$11+'91Ф'!$D$19+'91Ф'!$D$20)</f>
        <v>21290.344415990221</v>
      </c>
      <c r="EX110" s="276">
        <f t="shared" si="15"/>
        <v>40910.909826055933</v>
      </c>
      <c r="EY110" s="276">
        <f>SUMIF('20Ф'!$H:$H,$B:$B,'20Ф'!$AY:$AY)*1.2</f>
        <v>37682.003999999994</v>
      </c>
      <c r="EZ110" s="295">
        <f>D110/$D$286*'20Ф'!$I$1163</f>
        <v>3228.9058260559395</v>
      </c>
      <c r="FA110" s="277">
        <f>SUMIF(отчёт!$B:$B,$B:$B,отчёт!$CU:$CU)/отчёт!$CU$281*'20Ф'!$I$1341</f>
        <v>5525.7831325301113</v>
      </c>
      <c r="FB110" s="276">
        <f>SUMIF(Сальдо!$A:$A,$B:$B,Сальдо!$H:$H)-SUMIF(Сальдо!$A:$A,$B:$B,Сальдо!$I:$I)</f>
        <v>404867.72</v>
      </c>
    </row>
    <row r="111" spans="1:158" ht="12" customHeight="1" x14ac:dyDescent="0.25">
      <c r="A111" s="3">
        <f t="shared" si="18"/>
        <v>107</v>
      </c>
      <c r="B111" s="4" t="s">
        <v>157</v>
      </c>
      <c r="C111" s="4" t="s">
        <v>157</v>
      </c>
      <c r="D111" s="5">
        <v>3516.8</v>
      </c>
      <c r="E111" s="6">
        <v>3516.8</v>
      </c>
      <c r="F111" s="6">
        <v>0</v>
      </c>
      <c r="G111" s="6">
        <v>353.2</v>
      </c>
      <c r="H111" s="5">
        <f>SUMIF(отчёт!$B:$B,$B:$B,отчёт!I:I)</f>
        <v>0</v>
      </c>
      <c r="I111" s="5">
        <f>SUMIF(отчёт!$B:$B,$B:$B,отчёт!J:J)</f>
        <v>0</v>
      </c>
      <c r="J111" s="3" t="s">
        <v>114</v>
      </c>
      <c r="K111" s="105">
        <v>7</v>
      </c>
      <c r="L111" s="105" t="s">
        <v>52</v>
      </c>
      <c r="M111" s="7">
        <v>31</v>
      </c>
      <c r="N111" s="8">
        <v>5.0999999999999996</v>
      </c>
      <c r="O111" s="8">
        <v>6.59</v>
      </c>
      <c r="P111" s="8">
        <v>8.98</v>
      </c>
      <c r="Q111" s="8">
        <v>6.92</v>
      </c>
      <c r="R111" s="8">
        <v>3.15</v>
      </c>
      <c r="S111" s="8">
        <v>0</v>
      </c>
      <c r="T111" s="8">
        <v>0</v>
      </c>
      <c r="U111" s="8">
        <v>0.26</v>
      </c>
      <c r="V111" s="9">
        <v>40</v>
      </c>
      <c r="W111" s="9">
        <v>40</v>
      </c>
      <c r="X111" s="9">
        <v>2604.04</v>
      </c>
      <c r="Y111" s="8">
        <v>195.98199600000001</v>
      </c>
      <c r="Z111" s="9">
        <v>42.3</v>
      </c>
      <c r="AA111" s="9">
        <v>2604.04</v>
      </c>
      <c r="AB111" s="8">
        <v>7.85</v>
      </c>
      <c r="AC111" s="10">
        <v>0</v>
      </c>
      <c r="AD111" s="8">
        <v>6.73</v>
      </c>
      <c r="AE111" s="8">
        <v>10.67</v>
      </c>
      <c r="AF111" s="8">
        <v>14</v>
      </c>
      <c r="AG111" s="7">
        <v>654124.80000000005</v>
      </c>
      <c r="AH111" s="8">
        <v>107614.08</v>
      </c>
      <c r="AI111" s="8">
        <v>139054.272</v>
      </c>
      <c r="AJ111" s="8">
        <v>189485.18400000001</v>
      </c>
      <c r="AK111" s="8">
        <v>146017.53600000002</v>
      </c>
      <c r="AL111" s="8">
        <v>66467.520000000004</v>
      </c>
      <c r="AM111" s="8">
        <v>0</v>
      </c>
      <c r="AN111" s="8">
        <v>0</v>
      </c>
      <c r="AO111" s="8">
        <v>5486.2080000000005</v>
      </c>
      <c r="AQ111" s="104">
        <v>33.17</v>
      </c>
      <c r="AR111" s="375">
        <v>13.89</v>
      </c>
      <c r="AS111" s="376"/>
      <c r="AT111" s="104">
        <v>5.9</v>
      </c>
      <c r="AU111" s="104">
        <v>1.53</v>
      </c>
      <c r="AV111" s="104">
        <v>0.32</v>
      </c>
      <c r="AW111" s="104">
        <v>0.6</v>
      </c>
      <c r="AX111" s="104">
        <v>5.01</v>
      </c>
      <c r="AY111" s="104">
        <v>4.99</v>
      </c>
      <c r="AZ111" s="104">
        <v>0</v>
      </c>
      <c r="BA111" s="104">
        <v>0</v>
      </c>
      <c r="BB111" s="104">
        <v>0</v>
      </c>
      <c r="BC111" s="101">
        <v>0.93</v>
      </c>
      <c r="BD111" s="104">
        <v>37.581610000000005</v>
      </c>
      <c r="BE111" s="375">
        <v>15.737370000000004</v>
      </c>
      <c r="BF111" s="376">
        <v>0</v>
      </c>
      <c r="BG111" s="104">
        <v>6.6847000000000012</v>
      </c>
      <c r="BH111" s="104">
        <v>1.7334900000000002</v>
      </c>
      <c r="BI111" s="104">
        <v>0.36256000000000005</v>
      </c>
      <c r="BJ111" s="104">
        <v>0.67980000000000007</v>
      </c>
      <c r="BK111" s="104">
        <v>5.6763300000000001</v>
      </c>
      <c r="BL111" s="104">
        <v>5.65367</v>
      </c>
      <c r="BM111" s="104">
        <v>0</v>
      </c>
      <c r="BN111" s="104">
        <v>0</v>
      </c>
      <c r="BO111" s="104">
        <v>0</v>
      </c>
      <c r="BP111" s="101">
        <v>1.0536900000000002</v>
      </c>
      <c r="BQ111" s="103">
        <v>1554974.5724800001</v>
      </c>
      <c r="BR111" s="371">
        <v>651148.53216000018</v>
      </c>
      <c r="BS111" s="371">
        <v>0</v>
      </c>
      <c r="BT111" s="103">
        <v>276585.76960000006</v>
      </c>
      <c r="BU111" s="103">
        <v>71724.784320000006</v>
      </c>
      <c r="BV111" s="103">
        <v>15001.26208</v>
      </c>
      <c r="BW111" s="103">
        <v>28127.366400000006</v>
      </c>
      <c r="BX111" s="103">
        <v>234863.50943999999</v>
      </c>
      <c r="BY111" s="103">
        <v>233925.93056000001</v>
      </c>
      <c r="BZ111" s="103">
        <v>0</v>
      </c>
      <c r="CA111" s="103">
        <v>0</v>
      </c>
      <c r="CB111" s="103">
        <v>0</v>
      </c>
      <c r="CC111" s="103">
        <v>43597.417920000007</v>
      </c>
      <c r="CD111" s="1">
        <v>1</v>
      </c>
      <c r="CF111" s="277">
        <f>SUMIF(Оборот!$A:$A,$B:$B,Оборот!H:H)</f>
        <v>1338775.8000000003</v>
      </c>
      <c r="CG111" s="277">
        <f>SUMIF(Оборот!$A:$A,$B:$B,Оборот!I:I)</f>
        <v>1398987.8699999999</v>
      </c>
      <c r="CH111" s="277">
        <f t="shared" si="12"/>
        <v>1682266.7440462871</v>
      </c>
      <c r="CI111" s="239">
        <f t="shared" si="16"/>
        <v>333602.71763037611</v>
      </c>
      <c r="CJ111" s="276">
        <f>SUMIF('20Ф'!$H:$H,$B:$B,'20Ф'!M:M)*1.2</f>
        <v>289556.80799999996</v>
      </c>
      <c r="CK111" s="276">
        <f>SUMIF('20Ф'!$H:$H,$B:$B,'20Ф'!O:O)*1.2</f>
        <v>0</v>
      </c>
      <c r="CL111" s="276">
        <f>SUMIF('20Ф'!$H:$H,$B:$B,'20Ф'!Q:Q)*1.2</f>
        <v>0</v>
      </c>
      <c r="CM111" s="276">
        <f>SUMIF('20Ф'!$H:$H,$B:$B,'20Ф'!R:R)*1.2</f>
        <v>0</v>
      </c>
      <c r="CN111" s="276">
        <f>SUMIF('20Ф'!$H:$H,$B:$B,'20Ф'!S:S)*1.2</f>
        <v>0</v>
      </c>
      <c r="CO111" s="276">
        <f>SUMIF('20Ф'!$H:$H,$B:$B,'20Ф'!W:W)*1.2</f>
        <v>0</v>
      </c>
      <c r="CP111" s="276">
        <f>SUMIF('20Ф'!$H:$H,$B:$B,'20Ф'!P:P)*1.2</f>
        <v>0</v>
      </c>
      <c r="CQ111" s="276">
        <f>SUMIF('20Ф'!$H:$H,$B:$B,'20Ф'!Y:Y)*1.2</f>
        <v>0</v>
      </c>
      <c r="CR111" s="276">
        <f>SUMIF('20Ф'!$H:$H,$B:$B,'20Ф'!Z:Z)*1.2</f>
        <v>0</v>
      </c>
      <c r="CS111" s="276">
        <f>SUMIF('20Ф'!$H:$H,$B:$B,'20Ф'!AB:AB)*1.2</f>
        <v>0</v>
      </c>
      <c r="CT111" s="276">
        <f>SUMIF('20Ф'!$H:$H,$B:$B,'20Ф'!AC:AC)*1.2</f>
        <v>0</v>
      </c>
      <c r="CU111" s="276">
        <f>SUMIF('20Ф'!$H:$H,$B:$B,'20Ф'!AD:AD)*1.2</f>
        <v>0</v>
      </c>
      <c r="CV111" s="276">
        <f>SUMIF('20Ф'!$H:$H,$B:$B,'20Ф'!AE:AE)*1.2</f>
        <v>0</v>
      </c>
      <c r="CW111" s="276">
        <f>SUMIF('20Ф'!$H:$H,$B:$B,'20Ф'!AF:AF)*1.2</f>
        <v>0</v>
      </c>
      <c r="CX111" s="276">
        <f>SUMIF('20Ф'!$H:$H,$B:$B,'20Ф'!AG:AG)*1.2</f>
        <v>8003.76</v>
      </c>
      <c r="CY111" s="276">
        <f>SUMIF('20Ф'!$H:$H,$B:$B,'20Ф'!AH:AH)*1.2</f>
        <v>0</v>
      </c>
      <c r="CZ111" s="276">
        <f>SUMIF('20Ф'!$H:$H,$B:$B,'20Ф'!AI:AI)*1.2</f>
        <v>0</v>
      </c>
      <c r="DA111" s="276">
        <f>SUMIF('20Ф'!$H:$H,$B:$B,'20Ф'!AJ:AJ)*1.2</f>
        <v>0</v>
      </c>
      <c r="DB111" s="276">
        <f>SUMIF('20Ф'!$H:$H,$B:$B,'20Ф'!AK:AK)*1.2</f>
        <v>0</v>
      </c>
      <c r="DC111" s="276">
        <f>SUMIF('20Ф'!$H:$H,$B:$B,'20Ф'!AL:AL)*1.2</f>
        <v>0</v>
      </c>
      <c r="DD111" s="276">
        <f>SUMIF('20Ф'!$H:$H,$B:$B,'20Ф'!AM:AM)*1.2</f>
        <v>0</v>
      </c>
      <c r="DE111" s="276">
        <f>SUMIF('20Ф'!$H:$H,$B:$B,'20Ф'!AN:AN)*1.2</f>
        <v>0</v>
      </c>
      <c r="DF111" s="276">
        <f>SUMIF('20Ф'!$H:$H,$B:$B,'20Ф'!AO:AO)*1.2</f>
        <v>0</v>
      </c>
      <c r="DG111" s="276">
        <f>SUMIF('20Ф'!$H:$H,$B:$B,'20Ф'!AP:AP)*1.2</f>
        <v>0</v>
      </c>
      <c r="DH111" s="276">
        <f>SUMIF('20Ф'!$H:$H,$B:$B,'20Ф'!AQ:AQ)*1.2</f>
        <v>5110.7160000000003</v>
      </c>
      <c r="DI111" s="276">
        <f>SUMIF('20Ф'!$H:$H,$B:$B,'20Ф'!BA:BA)*1.2</f>
        <v>0</v>
      </c>
      <c r="DJ111" s="276">
        <f>SUMIF('20Ф'!$H:$H,$B:$B,'20Ф'!BB:BB)*1.2</f>
        <v>0</v>
      </c>
      <c r="DK111" s="276">
        <f>SUMIF('20Ф'!$H:$H,$B:$B,'20Ф'!BC:BC)*1.2</f>
        <v>0</v>
      </c>
      <c r="DL111" s="276">
        <f>$D111/$D$281*'20Ф'!$H$218</f>
        <v>30931.433630376112</v>
      </c>
      <c r="DM111" s="240">
        <f t="shared" si="13"/>
        <v>514218.1940693708</v>
      </c>
      <c r="DN111" s="276">
        <f>SUMIF('20Ф'!$H:$H,$B:$B,'20Ф'!AV:AV)*1.2</f>
        <v>0</v>
      </c>
      <c r="DO111" s="276">
        <f>SUMIF('20Ф'!$H:$H,$B:$B,'20Ф'!AW:AW)*1.2+$D111/$D$281*'26Ф'!$D$42</f>
        <v>16460.107839411001</v>
      </c>
      <c r="DP111" s="276">
        <f>SUMIF('20Ф'!$H:$H,$B:$B,'20Ф'!AX:AX)*1.2</f>
        <v>0</v>
      </c>
      <c r="DQ111" s="276">
        <f>SUMIF('20Ф'!$H:$H,$B:$B,'20Ф'!AY:AY)*1.2</f>
        <v>57801</v>
      </c>
      <c r="DR111" s="276">
        <f>SUMIF('20Ф'!$H:$H,$B:$B,'20Ф'!AU:AU)*1.2</f>
        <v>0</v>
      </c>
      <c r="DS111" s="276">
        <f>SUMIF('20Ф'!$H:$H,$B:$B,'20Ф'!AS:AS)*1.2</f>
        <v>89343.936000000002</v>
      </c>
      <c r="DT111" s="276">
        <f>SUMIF('20Ф'!$H:$H,$B:$B,'20Ф'!AR:AR)*1.2</f>
        <v>0</v>
      </c>
      <c r="DU111" s="276">
        <f>SUMIF('20Ф'!$H:$H,$B:$B,'20Ф'!X:X)*1.2</f>
        <v>60259.5</v>
      </c>
      <c r="DV111" s="276">
        <f>SUMIF('20Ф'!$H:$H,$B:$B,'20Ф'!AA:AA)*1.2</f>
        <v>0</v>
      </c>
      <c r="DW111" s="276">
        <f>SUMIF('20Ф'!$H:$H,$B:$B,'20Ф'!N:N)*1.2</f>
        <v>0</v>
      </c>
      <c r="DX111" s="276">
        <f>$D111/$D$281*('25Ф'!$D$37)</f>
        <v>276673.82079987624</v>
      </c>
      <c r="DY111" s="276">
        <f>$D111/$D$281*'25Ф'!$D$30</f>
        <v>8830.5598312743896</v>
      </c>
      <c r="DZ111" s="276">
        <f>$D111/$D$281*'25Ф'!$D$31</f>
        <v>4849.2695988091737</v>
      </c>
      <c r="EA111" s="276"/>
      <c r="EB111" s="276">
        <f t="shared" si="14"/>
        <v>174308.84951579032</v>
      </c>
      <c r="EC111" s="276">
        <f>$D111/$D$281*'26Ф'!$D$36</f>
        <v>90733.369747867851</v>
      </c>
      <c r="ED111" s="276">
        <f>$D111/$D$281*'26Ф'!$D$37</f>
        <v>10901.517470078301</v>
      </c>
      <c r="EE111" s="276">
        <f>$D111/$D$281*'26Ф'!$D$38</f>
        <v>11013.323258976479</v>
      </c>
      <c r="EF111" s="276">
        <f>$D111/$D$281*'26Ф'!$D$39</f>
        <v>7725.8362145718747</v>
      </c>
      <c r="EG111" s="276">
        <f>$D111/$D$281*'91Ф'!$D$10</f>
        <v>2383.4172590632179</v>
      </c>
      <c r="EH111" s="276">
        <f>$D111/$D$281*('20Ф'!$I$509+'26Ф'!$D$41+'20Ф'!$I$507)</f>
        <v>16861.892285718521</v>
      </c>
      <c r="EI111" s="276">
        <f>$D111/$D$281*'91Ф'!$D$31</f>
        <v>30910.325229415273</v>
      </c>
      <c r="EJ111" s="276">
        <f>$D111/$D$281*'20Ф'!$I$1316</f>
        <v>3779.1680500988109</v>
      </c>
      <c r="EK111" s="276">
        <f>$D111/$D$281*('20Ф'!$I$1105+'20Ф'!$I$1282+'91Ф'!$D$17+'91Ф'!$D$41)</f>
        <v>124112.08913692913</v>
      </c>
      <c r="EL111" s="276">
        <f>$D111/$D$281*отчёт!BX$294</f>
        <v>207477.5618039718</v>
      </c>
      <c r="EM111" s="276">
        <f>$D111/$D$281*отчёт!BY$294</f>
        <v>182465.37861776998</v>
      </c>
      <c r="EN111" s="276">
        <f>SUMIF(отчёт!$B:$B,$B:$B,отчёт!BZ:BZ)/отчёт!BZ$281*('60Ф'!$O$151+'60Ф'!$P$151)*отчёт!BZ$293</f>
        <v>0</v>
      </c>
      <c r="EO111" s="240">
        <f t="shared" si="19"/>
        <v>0</v>
      </c>
      <c r="EP111" s="276">
        <f>SUMIF('20Ф'!$H:$H,$B:$B,'20Ф'!T:T)*1.2</f>
        <v>0</v>
      </c>
      <c r="EQ111" s="276">
        <f>SUMIF('20Ф'!$H:$H,$B:$B,'20Ф'!U:U)*1.2</f>
        <v>0</v>
      </c>
      <c r="ER111" s="236"/>
      <c r="ES111" s="239">
        <f t="shared" si="17"/>
        <v>69442.818956984062</v>
      </c>
      <c r="ET111" s="276">
        <f>$D111/$D$282*'20Ф'!$I$381</f>
        <v>5307.5811876325943</v>
      </c>
      <c r="EU111" s="276">
        <f>$D111/$D$282*('20Ф'!$I$75+'20Ф'!$I$1098)*1.2</f>
        <v>61304.918897912328</v>
      </c>
      <c r="EV111" s="276">
        <f>$D111/$D$282*('20Ф'!$I$1286)</f>
        <v>2830.3188714391404</v>
      </c>
      <c r="EW111" s="276">
        <f>SUMIF('91.1Ф'!$N:$N,$B:$B,'91.1Ф'!$F:$F)+$D111/$D$281*('91Ф'!$D$12+'91Ф'!$D$11+'91Ф'!$D$19+'91Ф'!$D$20)</f>
        <v>16357.366712432529</v>
      </c>
      <c r="EX111" s="276">
        <f t="shared" si="15"/>
        <v>60281.767602662119</v>
      </c>
      <c r="EY111" s="276">
        <f>SUMIF('20Ф'!$H:$H,$B:$B,'20Ф'!$AY:$AY)*1.2</f>
        <v>57801</v>
      </c>
      <c r="EZ111" s="295">
        <f>D111/$D$286*'20Ф'!$I$1163</f>
        <v>2480.7676026621189</v>
      </c>
      <c r="FA111" s="277">
        <f>SUMIF(отчёт!$B:$B,$B:$B,отчёт!$CU:$CU)/отчёт!$CU$281*'20Ф'!$I$1341</f>
        <v>2762.8915662650556</v>
      </c>
      <c r="FB111" s="276">
        <f>SUMIF(Сальдо!$A:$A,$B:$B,Сальдо!$H:$H)-SUMIF(Сальдо!$A:$A,$B:$B,Сальдо!$I:$I)</f>
        <v>237839.07</v>
      </c>
    </row>
    <row r="112" spans="1:158" ht="12" customHeight="1" x14ac:dyDescent="0.25">
      <c r="A112" s="3">
        <f t="shared" si="18"/>
        <v>108</v>
      </c>
      <c r="B112" s="4" t="s">
        <v>158</v>
      </c>
      <c r="C112" s="4" t="s">
        <v>158</v>
      </c>
      <c r="D112" s="5">
        <v>2721.6000000000008</v>
      </c>
      <c r="E112" s="6">
        <v>2721.6000000000008</v>
      </c>
      <c r="F112" s="6">
        <v>0</v>
      </c>
      <c r="G112" s="6">
        <v>355</v>
      </c>
      <c r="H112" s="5">
        <f>SUMIF(отчёт!$B:$B,$B:$B,отчёт!I:I)</f>
        <v>0</v>
      </c>
      <c r="I112" s="5">
        <f>SUMIF(отчёт!$B:$B,$B:$B,отчёт!J:J)</f>
        <v>0</v>
      </c>
      <c r="J112" s="3" t="s">
        <v>114</v>
      </c>
      <c r="K112" s="105">
        <v>7</v>
      </c>
      <c r="L112" s="105" t="s">
        <v>52</v>
      </c>
      <c r="M112" s="7">
        <v>31</v>
      </c>
      <c r="N112" s="8">
        <v>5.0999999999999996</v>
      </c>
      <c r="O112" s="8">
        <v>6.59</v>
      </c>
      <c r="P112" s="8">
        <v>8.98</v>
      </c>
      <c r="Q112" s="8">
        <v>6.92</v>
      </c>
      <c r="R112" s="8">
        <v>3.15</v>
      </c>
      <c r="S112" s="8">
        <v>0</v>
      </c>
      <c r="T112" s="8">
        <v>0</v>
      </c>
      <c r="U112" s="8">
        <v>0.26</v>
      </c>
      <c r="V112" s="9">
        <v>40</v>
      </c>
      <c r="W112" s="9">
        <v>40</v>
      </c>
      <c r="X112" s="9">
        <v>2604.04</v>
      </c>
      <c r="Y112" s="8">
        <v>195.98199600000001</v>
      </c>
      <c r="Z112" s="9">
        <v>42.3</v>
      </c>
      <c r="AA112" s="9">
        <v>2604.04</v>
      </c>
      <c r="AB112" s="8">
        <v>7.85</v>
      </c>
      <c r="AC112" s="10">
        <v>0</v>
      </c>
      <c r="AD112" s="8">
        <v>6.73</v>
      </c>
      <c r="AE112" s="8">
        <v>10.67</v>
      </c>
      <c r="AF112" s="8">
        <v>14</v>
      </c>
      <c r="AG112" s="7">
        <v>506217.60000000009</v>
      </c>
      <c r="AH112" s="8">
        <v>83280.960000000021</v>
      </c>
      <c r="AI112" s="8">
        <v>107612.06400000003</v>
      </c>
      <c r="AJ112" s="8">
        <v>146639.80800000005</v>
      </c>
      <c r="AK112" s="8">
        <v>113000.83200000002</v>
      </c>
      <c r="AL112" s="8">
        <v>51438.24000000002</v>
      </c>
      <c r="AM112" s="8">
        <v>0</v>
      </c>
      <c r="AN112" s="8">
        <v>0</v>
      </c>
      <c r="AO112" s="8">
        <v>4245.6960000000017</v>
      </c>
      <c r="AQ112" s="104">
        <v>33.17</v>
      </c>
      <c r="AR112" s="375">
        <v>13.89</v>
      </c>
      <c r="AS112" s="376"/>
      <c r="AT112" s="104">
        <v>5.9</v>
      </c>
      <c r="AU112" s="104">
        <v>1.53</v>
      </c>
      <c r="AV112" s="104">
        <v>0.32</v>
      </c>
      <c r="AW112" s="104">
        <v>0.6</v>
      </c>
      <c r="AX112" s="104">
        <v>5.01</v>
      </c>
      <c r="AY112" s="104">
        <v>4.99</v>
      </c>
      <c r="AZ112" s="104">
        <v>0</v>
      </c>
      <c r="BA112" s="104">
        <v>0</v>
      </c>
      <c r="BB112" s="104">
        <v>0</v>
      </c>
      <c r="BC112" s="101">
        <v>0.93</v>
      </c>
      <c r="BD112" s="104">
        <v>37.581610000000005</v>
      </c>
      <c r="BE112" s="375">
        <v>15.737370000000004</v>
      </c>
      <c r="BF112" s="376">
        <v>0</v>
      </c>
      <c r="BG112" s="104">
        <v>6.6847000000000012</v>
      </c>
      <c r="BH112" s="104">
        <v>1.7334900000000002</v>
      </c>
      <c r="BI112" s="104">
        <v>0.36256000000000005</v>
      </c>
      <c r="BJ112" s="104">
        <v>0.67980000000000007</v>
      </c>
      <c r="BK112" s="104">
        <v>5.6763300000000001</v>
      </c>
      <c r="BL112" s="104">
        <v>5.65367</v>
      </c>
      <c r="BM112" s="104">
        <v>0</v>
      </c>
      <c r="BN112" s="104">
        <v>0</v>
      </c>
      <c r="BO112" s="104">
        <v>0</v>
      </c>
      <c r="BP112" s="101">
        <v>1.0536900000000002</v>
      </c>
      <c r="BQ112" s="103">
        <v>1203372.0417600004</v>
      </c>
      <c r="BR112" s="371">
        <v>503914.30992000026</v>
      </c>
      <c r="BS112" s="371">
        <v>0</v>
      </c>
      <c r="BT112" s="103">
        <v>214045.67520000009</v>
      </c>
      <c r="BU112" s="103">
        <v>55506.759840000013</v>
      </c>
      <c r="BV112" s="103">
        <v>11609.256960000004</v>
      </c>
      <c r="BW112" s="103">
        <v>21767.356800000009</v>
      </c>
      <c r="BX112" s="103">
        <v>181757.42928000004</v>
      </c>
      <c r="BY112" s="103">
        <v>181031.85072000005</v>
      </c>
      <c r="BZ112" s="103">
        <v>0</v>
      </c>
      <c r="CA112" s="103">
        <v>0</v>
      </c>
      <c r="CB112" s="103">
        <v>0</v>
      </c>
      <c r="CC112" s="103">
        <v>33739.403040000019</v>
      </c>
      <c r="CD112" s="1">
        <v>1</v>
      </c>
      <c r="CF112" s="277">
        <f>SUMIF(Оборот!$A:$A,$B:$B,Оборот!H:H)</f>
        <v>1036058.5599999998</v>
      </c>
      <c r="CG112" s="277">
        <f>SUMIF(Оборот!$A:$A,$B:$B,Оборот!I:I)</f>
        <v>1057216.18</v>
      </c>
      <c r="CH112" s="277">
        <f t="shared" si="12"/>
        <v>1150685.6581504706</v>
      </c>
      <c r="CI112" s="239">
        <f t="shared" si="16"/>
        <v>34410.923350896162</v>
      </c>
      <c r="CJ112" s="276">
        <f>SUMIF('20Ф'!$H:$H,$B:$B,'20Ф'!M:M)*1.2</f>
        <v>0</v>
      </c>
      <c r="CK112" s="276">
        <f>SUMIF('20Ф'!$H:$H,$B:$B,'20Ф'!O:O)*1.2</f>
        <v>0</v>
      </c>
      <c r="CL112" s="276">
        <f>SUMIF('20Ф'!$H:$H,$B:$B,'20Ф'!Q:Q)*1.2</f>
        <v>0</v>
      </c>
      <c r="CM112" s="276">
        <f>SUMIF('20Ф'!$H:$H,$B:$B,'20Ф'!R:R)*1.2</f>
        <v>0</v>
      </c>
      <c r="CN112" s="276">
        <f>SUMIF('20Ф'!$H:$H,$B:$B,'20Ф'!S:S)*1.2</f>
        <v>0</v>
      </c>
      <c r="CO112" s="276">
        <f>SUMIF('20Ф'!$H:$H,$B:$B,'20Ф'!W:W)*1.2</f>
        <v>0</v>
      </c>
      <c r="CP112" s="276">
        <f>SUMIF('20Ф'!$H:$H,$B:$B,'20Ф'!P:P)*1.2</f>
        <v>0</v>
      </c>
      <c r="CQ112" s="276">
        <f>SUMIF('20Ф'!$H:$H,$B:$B,'20Ф'!Y:Y)*1.2</f>
        <v>0</v>
      </c>
      <c r="CR112" s="276">
        <f>SUMIF('20Ф'!$H:$H,$B:$B,'20Ф'!Z:Z)*1.2</f>
        <v>0</v>
      </c>
      <c r="CS112" s="276">
        <f>SUMIF('20Ф'!$H:$H,$B:$B,'20Ф'!AB:AB)*1.2</f>
        <v>0</v>
      </c>
      <c r="CT112" s="276">
        <f>SUMIF('20Ф'!$H:$H,$B:$B,'20Ф'!AC:AC)*1.2</f>
        <v>0</v>
      </c>
      <c r="CU112" s="276">
        <f>SUMIF('20Ф'!$H:$H,$B:$B,'20Ф'!AD:AD)*1.2</f>
        <v>0</v>
      </c>
      <c r="CV112" s="276">
        <f>SUMIF('20Ф'!$H:$H,$B:$B,'20Ф'!AE:AE)*1.2</f>
        <v>0</v>
      </c>
      <c r="CW112" s="276">
        <f>SUMIF('20Ф'!$H:$H,$B:$B,'20Ф'!AF:AF)*1.2</f>
        <v>10473.540000000001</v>
      </c>
      <c r="CX112" s="276">
        <f>SUMIF('20Ф'!$H:$H,$B:$B,'20Ф'!AG:AG)*1.2</f>
        <v>0</v>
      </c>
      <c r="CY112" s="276">
        <f>SUMIF('20Ф'!$H:$H,$B:$B,'20Ф'!AH:AH)*1.2</f>
        <v>0</v>
      </c>
      <c r="CZ112" s="276">
        <f>SUMIF('20Ф'!$H:$H,$B:$B,'20Ф'!AI:AI)*1.2</f>
        <v>0</v>
      </c>
      <c r="DA112" s="276">
        <f>SUMIF('20Ф'!$H:$H,$B:$B,'20Ф'!AJ:AJ)*1.2</f>
        <v>0</v>
      </c>
      <c r="DB112" s="276">
        <f>SUMIF('20Ф'!$H:$H,$B:$B,'20Ф'!AK:AK)*1.2</f>
        <v>0</v>
      </c>
      <c r="DC112" s="276">
        <f>SUMIF('20Ф'!$H:$H,$B:$B,'20Ф'!AL:AL)*1.2</f>
        <v>0</v>
      </c>
      <c r="DD112" s="276">
        <f>SUMIF('20Ф'!$H:$H,$B:$B,'20Ф'!AM:AM)*1.2</f>
        <v>0</v>
      </c>
      <c r="DE112" s="276">
        <f>SUMIF('20Ф'!$H:$H,$B:$B,'20Ф'!AN:AN)*1.2</f>
        <v>0</v>
      </c>
      <c r="DF112" s="276">
        <f>SUMIF('20Ф'!$H:$H,$B:$B,'20Ф'!AO:AO)*1.2</f>
        <v>0</v>
      </c>
      <c r="DG112" s="276">
        <f>SUMIF('20Ф'!$H:$H,$B:$B,'20Ф'!AP:AP)*1.2</f>
        <v>0</v>
      </c>
      <c r="DH112" s="276">
        <f>SUMIF('20Ф'!$H:$H,$B:$B,'20Ф'!AQ:AQ)*1.2</f>
        <v>0</v>
      </c>
      <c r="DI112" s="276">
        <f>SUMIF('20Ф'!$H:$H,$B:$B,'20Ф'!BA:BA)*1.2</f>
        <v>0</v>
      </c>
      <c r="DJ112" s="276">
        <f>SUMIF('20Ф'!$H:$H,$B:$B,'20Ф'!BB:BB)*1.2</f>
        <v>0</v>
      </c>
      <c r="DK112" s="276">
        <f>SUMIF('20Ф'!$H:$H,$B:$B,'20Ф'!BC:BC)*1.2</f>
        <v>0</v>
      </c>
      <c r="DL112" s="276">
        <f>$D112/$D$281*'20Ф'!$H$218</f>
        <v>23937.383350896165</v>
      </c>
      <c r="DM112" s="240">
        <f t="shared" si="13"/>
        <v>491618.6766460418</v>
      </c>
      <c r="DN112" s="276">
        <f>SUMIF('20Ф'!$H:$H,$B:$B,'20Ф'!AV:AV)*1.2</f>
        <v>0</v>
      </c>
      <c r="DO112" s="276">
        <f>SUMIF('20Ф'!$H:$H,$B:$B,'20Ф'!AW:AW)*1.2+$D112/$D$281*'26Ф'!$D$42</f>
        <v>12738.236321582401</v>
      </c>
      <c r="DP112" s="276">
        <f>SUMIF('20Ф'!$H:$H,$B:$B,'20Ф'!AX:AX)*1.2</f>
        <v>0</v>
      </c>
      <c r="DQ112" s="276">
        <f>SUMIF('20Ф'!$H:$H,$B:$B,'20Ф'!AY:AY)*1.2</f>
        <v>23622</v>
      </c>
      <c r="DR112" s="276">
        <f>SUMIF('20Ф'!$H:$H,$B:$B,'20Ф'!AU:AU)*1.2</f>
        <v>0</v>
      </c>
      <c r="DS112" s="276">
        <f>SUMIF('20Ф'!$H:$H,$B:$B,'20Ф'!AS:AS)*1.2</f>
        <v>84922.811999999991</v>
      </c>
      <c r="DT112" s="276">
        <f>SUMIF('20Ф'!$H:$H,$B:$B,'20Ф'!AR:AR)*1.2</f>
        <v>0</v>
      </c>
      <c r="DU112" s="276">
        <f>SUMIF('20Ф'!$H:$H,$B:$B,'20Ф'!X:X)*1.2</f>
        <v>145635.19200000001</v>
      </c>
      <c r="DV112" s="276">
        <f>SUMIF('20Ф'!$H:$H,$B:$B,'20Ф'!AA:AA)*1.2</f>
        <v>0</v>
      </c>
      <c r="DW112" s="276">
        <f>SUMIF('20Ф'!$H:$H,$B:$B,'20Ф'!N:N)*1.2</f>
        <v>0</v>
      </c>
      <c r="DX112" s="276">
        <f>$D112/$D$281*('25Ф'!$D$37)</f>
        <v>214113.81673366221</v>
      </c>
      <c r="DY112" s="276">
        <f>$D112/$D$281*'25Ф'!$D$30</f>
        <v>6833.8408885340032</v>
      </c>
      <c r="DZ112" s="276">
        <f>$D112/$D$281*'25Ф'!$D$31</f>
        <v>3752.7787022631505</v>
      </c>
      <c r="EA112" s="276"/>
      <c r="EB112" s="276">
        <f t="shared" si="14"/>
        <v>134895.0650711371</v>
      </c>
      <c r="EC112" s="276">
        <f>$D112/$D$281*'26Ф'!$D$36</f>
        <v>70217.225632904112</v>
      </c>
      <c r="ED112" s="276">
        <f>$D112/$D$281*'26Ф'!$D$37</f>
        <v>8436.5246663344824</v>
      </c>
      <c r="EE112" s="276">
        <f>$D112/$D$281*'26Ф'!$D$38</f>
        <v>8523.0495284435819</v>
      </c>
      <c r="EF112" s="276">
        <f>$D112/$D$281*'26Ф'!$D$39</f>
        <v>5978.9114654170889</v>
      </c>
      <c r="EG112" s="276">
        <f>$D112/$D$281*'91Ф'!$D$10</f>
        <v>1844.4917004852293</v>
      </c>
      <c r="EH112" s="276">
        <f>$D112/$D$281*('20Ф'!$I$509+'26Ф'!$D$41+'20Ф'!$I$507)</f>
        <v>13049.171418565609</v>
      </c>
      <c r="EI112" s="276">
        <f>$D112/$D$281*'91Ф'!$D$31</f>
        <v>23921.047868623926</v>
      </c>
      <c r="EJ112" s="276">
        <f>$D112/$D$281*'20Ф'!$I$1316</f>
        <v>2924.6427903630929</v>
      </c>
      <c r="EK112" s="276">
        <f>$D112/$D$281*('20Ф'!$I$1105+'20Ф'!$I$1282+'91Ф'!$D$17+'91Ф'!$D$41)</f>
        <v>96048.527580489754</v>
      </c>
      <c r="EL112" s="276">
        <f>$D112/$D$281*отчёт!BX$294</f>
        <v>160563.84559988903</v>
      </c>
      <c r="EM112" s="276">
        <f>$D112/$D$281*отчёт!BY$294</f>
        <v>141207.28345260545</v>
      </c>
      <c r="EN112" s="276">
        <f>SUMIF(отчёт!$B:$B,$B:$B,отчёт!BZ:BZ)/отчёт!BZ$281*('60Ф'!$O$151+'60Ф'!$P$151)*отчёт!BZ$293</f>
        <v>0</v>
      </c>
      <c r="EO112" s="240">
        <f t="shared" si="19"/>
        <v>0</v>
      </c>
      <c r="EP112" s="276">
        <f>SUMIF('20Ф'!$H:$H,$B:$B,'20Ф'!T:T)*1.2</f>
        <v>0</v>
      </c>
      <c r="EQ112" s="276">
        <f>SUMIF('20Ф'!$H:$H,$B:$B,'20Ф'!U:U)*1.2</f>
        <v>0</v>
      </c>
      <c r="ER112" s="236"/>
      <c r="ES112" s="239">
        <f t="shared" si="17"/>
        <v>53740.780275627811</v>
      </c>
      <c r="ET112" s="276">
        <f>$D112/$D$282*'20Ф'!$I$381</f>
        <v>4107.45932673478</v>
      </c>
      <c r="EU112" s="276">
        <f>$D112/$D$282*('20Ф'!$I$75+'20Ф'!$I$1098)*1.2</f>
        <v>47442.978637556371</v>
      </c>
      <c r="EV112" s="276">
        <f>$D112/$D$282*('20Ф'!$I$1286)</f>
        <v>2190.3423113366603</v>
      </c>
      <c r="EW112" s="276">
        <f>SUMIF('91.1Ф'!$N:$N,$B:$B,'91.1Ф'!$F:$F)+$D112/$D$281*('91Ф'!$D$12+'91Ф'!$D$11+'91Ф'!$D$19+'91Ф'!$D$20)</f>
        <v>12658.726468538551</v>
      </c>
      <c r="EX112" s="276">
        <f t="shared" si="15"/>
        <v>25541.829705244887</v>
      </c>
      <c r="EY112" s="276">
        <f>SUMIF('20Ф'!$H:$H,$B:$B,'20Ф'!$AY:$AY)*1.2</f>
        <v>23622</v>
      </c>
      <c r="EZ112" s="295">
        <f>D112/$D$286*'20Ф'!$I$1163</f>
        <v>1919.8297052448886</v>
      </c>
      <c r="FA112" s="277">
        <f>SUMIF(отчёт!$B:$B,$B:$B,отчёт!$CU:$CU)/отчёт!$CU$281*'20Ф'!$I$1341</f>
        <v>3683.8554216867401</v>
      </c>
      <c r="FB112" s="276">
        <f>SUMIF(Сальдо!$A:$A,$B:$B,Сальдо!$H:$H)-SUMIF(Сальдо!$A:$A,$B:$B,Сальдо!$I:$I)</f>
        <v>136435.12</v>
      </c>
    </row>
    <row r="113" spans="1:158" ht="12" customHeight="1" x14ac:dyDescent="0.25">
      <c r="A113" s="3">
        <f t="shared" si="18"/>
        <v>109</v>
      </c>
      <c r="B113" s="4" t="s">
        <v>159</v>
      </c>
      <c r="C113" s="4" t="s">
        <v>159</v>
      </c>
      <c r="D113" s="5">
        <v>3502</v>
      </c>
      <c r="E113" s="6">
        <v>3502</v>
      </c>
      <c r="F113" s="6">
        <v>0</v>
      </c>
      <c r="G113" s="6">
        <v>353.2</v>
      </c>
      <c r="H113" s="5">
        <f>SUMIF(отчёт!$B:$B,$B:$B,отчёт!I:I)</f>
        <v>0</v>
      </c>
      <c r="I113" s="5">
        <f>SUMIF(отчёт!$B:$B,$B:$B,отчёт!J:J)</f>
        <v>0</v>
      </c>
      <c r="J113" s="3" t="s">
        <v>114</v>
      </c>
      <c r="K113" s="105">
        <v>7</v>
      </c>
      <c r="L113" s="105" t="s">
        <v>52</v>
      </c>
      <c r="M113" s="7">
        <v>31</v>
      </c>
      <c r="N113" s="8">
        <v>5.0999999999999996</v>
      </c>
      <c r="O113" s="8">
        <v>6.59</v>
      </c>
      <c r="P113" s="8">
        <v>8.98</v>
      </c>
      <c r="Q113" s="8">
        <v>6.92</v>
      </c>
      <c r="R113" s="8">
        <v>3.15</v>
      </c>
      <c r="S113" s="8">
        <v>0</v>
      </c>
      <c r="T113" s="8">
        <v>0</v>
      </c>
      <c r="U113" s="8">
        <v>0.26</v>
      </c>
      <c r="V113" s="9">
        <v>40</v>
      </c>
      <c r="W113" s="9">
        <v>40</v>
      </c>
      <c r="X113" s="9">
        <v>2604.04</v>
      </c>
      <c r="Y113" s="8">
        <v>195.98199600000001</v>
      </c>
      <c r="Z113" s="9">
        <v>42.3</v>
      </c>
      <c r="AA113" s="9">
        <v>2604.04</v>
      </c>
      <c r="AB113" s="8">
        <v>7.85</v>
      </c>
      <c r="AC113" s="10">
        <v>0</v>
      </c>
      <c r="AD113" s="8">
        <v>6.73</v>
      </c>
      <c r="AE113" s="8">
        <v>10.67</v>
      </c>
      <c r="AF113" s="8">
        <v>14</v>
      </c>
      <c r="AG113" s="7">
        <v>651372</v>
      </c>
      <c r="AH113" s="8">
        <v>107161.19999999998</v>
      </c>
      <c r="AI113" s="8">
        <v>138469.08000000002</v>
      </c>
      <c r="AJ113" s="8">
        <v>188687.76</v>
      </c>
      <c r="AK113" s="8">
        <v>145403.04</v>
      </c>
      <c r="AL113" s="8">
        <v>66187.799999999988</v>
      </c>
      <c r="AM113" s="8">
        <v>0</v>
      </c>
      <c r="AN113" s="8">
        <v>0</v>
      </c>
      <c r="AO113" s="8">
        <v>5463.12</v>
      </c>
      <c r="AQ113" s="104">
        <v>33.17</v>
      </c>
      <c r="AR113" s="375">
        <v>13.89</v>
      </c>
      <c r="AS113" s="376"/>
      <c r="AT113" s="104">
        <v>5.9</v>
      </c>
      <c r="AU113" s="104">
        <v>1.53</v>
      </c>
      <c r="AV113" s="104">
        <v>0.32</v>
      </c>
      <c r="AW113" s="104">
        <v>0.6</v>
      </c>
      <c r="AX113" s="104">
        <v>5.01</v>
      </c>
      <c r="AY113" s="104">
        <v>4.99</v>
      </c>
      <c r="AZ113" s="104">
        <v>0</v>
      </c>
      <c r="BA113" s="104">
        <v>0</v>
      </c>
      <c r="BB113" s="104">
        <v>0</v>
      </c>
      <c r="BC113" s="101">
        <v>0.93</v>
      </c>
      <c r="BD113" s="104">
        <v>37.581610000000005</v>
      </c>
      <c r="BE113" s="375">
        <v>15.737370000000004</v>
      </c>
      <c r="BF113" s="376">
        <v>0</v>
      </c>
      <c r="BG113" s="104">
        <v>6.6847000000000012</v>
      </c>
      <c r="BH113" s="104">
        <v>1.7334900000000002</v>
      </c>
      <c r="BI113" s="104">
        <v>0.36256000000000005</v>
      </c>
      <c r="BJ113" s="104">
        <v>0.67980000000000007</v>
      </c>
      <c r="BK113" s="104">
        <v>5.6763300000000001</v>
      </c>
      <c r="BL113" s="104">
        <v>5.65367</v>
      </c>
      <c r="BM113" s="104">
        <v>0</v>
      </c>
      <c r="BN113" s="104">
        <v>0</v>
      </c>
      <c r="BO113" s="104">
        <v>0</v>
      </c>
      <c r="BP113" s="101">
        <v>1.0536900000000002</v>
      </c>
      <c r="BQ113" s="103">
        <v>1548430.6622000001</v>
      </c>
      <c r="BR113" s="371">
        <v>648408.25740000012</v>
      </c>
      <c r="BS113" s="371">
        <v>0</v>
      </c>
      <c r="BT113" s="103">
        <v>275421.79399999999</v>
      </c>
      <c r="BU113" s="103">
        <v>71422.939799999993</v>
      </c>
      <c r="BV113" s="103">
        <v>14938.1312</v>
      </c>
      <c r="BW113" s="103">
        <v>28008.996000000003</v>
      </c>
      <c r="BX113" s="103">
        <v>233875.11659999998</v>
      </c>
      <c r="BY113" s="103">
        <v>232941.4834</v>
      </c>
      <c r="BZ113" s="103">
        <v>0</v>
      </c>
      <c r="CA113" s="103">
        <v>0</v>
      </c>
      <c r="CB113" s="103">
        <v>0</v>
      </c>
      <c r="CC113" s="103">
        <v>43413.943800000008</v>
      </c>
      <c r="CD113" s="1">
        <v>1</v>
      </c>
      <c r="CF113" s="277">
        <f>SUMIF(Оборот!$A:$A,$B:$B,Оборот!H:H)</f>
        <v>1331976.9900000002</v>
      </c>
      <c r="CG113" s="277">
        <f>SUMIF(Оборот!$A:$A,$B:$B,Оборот!I:I)</f>
        <v>1384426.1700000002</v>
      </c>
      <c r="CH113" s="277">
        <f t="shared" si="12"/>
        <v>1734902.4411116058</v>
      </c>
      <c r="CI113" s="239">
        <f t="shared" si="16"/>
        <v>372632.80667447031</v>
      </c>
      <c r="CJ113" s="276">
        <f>SUMIF('20Ф'!$H:$H,$B:$B,'20Ф'!M:M)*1.2</f>
        <v>289958.54399999999</v>
      </c>
      <c r="CK113" s="276">
        <f>SUMIF('20Ф'!$H:$H,$B:$B,'20Ф'!O:O)*1.2</f>
        <v>0</v>
      </c>
      <c r="CL113" s="276">
        <f>SUMIF('20Ф'!$H:$H,$B:$B,'20Ф'!Q:Q)*1.2</f>
        <v>0</v>
      </c>
      <c r="CM113" s="276">
        <f>SUMIF('20Ф'!$H:$H,$B:$B,'20Ф'!R:R)*1.2</f>
        <v>0</v>
      </c>
      <c r="CN113" s="276">
        <f>SUMIF('20Ф'!$H:$H,$B:$B,'20Ф'!S:S)*1.2</f>
        <v>0</v>
      </c>
      <c r="CO113" s="276">
        <f>SUMIF('20Ф'!$H:$H,$B:$B,'20Ф'!W:W)*1.2</f>
        <v>0</v>
      </c>
      <c r="CP113" s="276">
        <f>SUMIF('20Ф'!$H:$H,$B:$B,'20Ф'!P:P)*1.2</f>
        <v>0</v>
      </c>
      <c r="CQ113" s="276">
        <f>SUMIF('20Ф'!$H:$H,$B:$B,'20Ф'!Y:Y)*1.2</f>
        <v>0</v>
      </c>
      <c r="CR113" s="276">
        <f>SUMIF('20Ф'!$H:$H,$B:$B,'20Ф'!Z:Z)*1.2</f>
        <v>0</v>
      </c>
      <c r="CS113" s="276">
        <f>SUMIF('20Ф'!$H:$H,$B:$B,'20Ф'!AB:AB)*1.2</f>
        <v>0</v>
      </c>
      <c r="CT113" s="276">
        <f>SUMIF('20Ф'!$H:$H,$B:$B,'20Ф'!AC:AC)*1.2</f>
        <v>0</v>
      </c>
      <c r="CU113" s="276">
        <f>SUMIF('20Ф'!$H:$H,$B:$B,'20Ф'!AD:AD)*1.2</f>
        <v>0</v>
      </c>
      <c r="CV113" s="276">
        <f>SUMIF('20Ф'!$H:$H,$B:$B,'20Ф'!AE:AE)*1.2</f>
        <v>0</v>
      </c>
      <c r="CW113" s="276">
        <f>SUMIF('20Ф'!$H:$H,$B:$B,'20Ф'!AF:AF)*1.2</f>
        <v>0</v>
      </c>
      <c r="CX113" s="276">
        <f>SUMIF('20Ф'!$H:$H,$B:$B,'20Ф'!AG:AG)*1.2</f>
        <v>0</v>
      </c>
      <c r="CY113" s="276">
        <f>SUMIF('20Ф'!$H:$H,$B:$B,'20Ф'!AH:AH)*1.2</f>
        <v>0</v>
      </c>
      <c r="CZ113" s="276">
        <f>SUMIF('20Ф'!$H:$H,$B:$B,'20Ф'!AI:AI)*1.2</f>
        <v>0</v>
      </c>
      <c r="DA113" s="276">
        <f>SUMIF('20Ф'!$H:$H,$B:$B,'20Ф'!AJ:AJ)*1.2</f>
        <v>0</v>
      </c>
      <c r="DB113" s="276">
        <f>SUMIF('20Ф'!$H:$H,$B:$B,'20Ф'!AK:AK)*1.2</f>
        <v>51873</v>
      </c>
      <c r="DC113" s="276">
        <f>SUMIF('20Ф'!$H:$H,$B:$B,'20Ф'!AL:AL)*1.2</f>
        <v>0</v>
      </c>
      <c r="DD113" s="276">
        <f>SUMIF('20Ф'!$H:$H,$B:$B,'20Ф'!AM:AM)*1.2</f>
        <v>0</v>
      </c>
      <c r="DE113" s="276">
        <f>SUMIF('20Ф'!$H:$H,$B:$B,'20Ф'!AN:AN)*1.2</f>
        <v>0</v>
      </c>
      <c r="DF113" s="276">
        <f>SUMIF('20Ф'!$H:$H,$B:$B,'20Ф'!AO:AO)*1.2</f>
        <v>0</v>
      </c>
      <c r="DG113" s="276">
        <f>SUMIF('20Ф'!$H:$H,$B:$B,'20Ф'!AP:AP)*1.2</f>
        <v>0</v>
      </c>
      <c r="DH113" s="276">
        <f>SUMIF('20Ф'!$H:$H,$B:$B,'20Ф'!AQ:AQ)*1.2</f>
        <v>0</v>
      </c>
      <c r="DI113" s="276">
        <f>SUMIF('20Ф'!$H:$H,$B:$B,'20Ф'!BA:BA)*1.2</f>
        <v>0</v>
      </c>
      <c r="DJ113" s="276">
        <f>SUMIF('20Ф'!$H:$H,$B:$B,'20Ф'!BB:BB)*1.2</f>
        <v>0</v>
      </c>
      <c r="DK113" s="276">
        <f>SUMIF('20Ф'!$H:$H,$B:$B,'20Ф'!BC:BC)*1.2</f>
        <v>0</v>
      </c>
      <c r="DL113" s="276">
        <f>$D113/$D$281*'20Ф'!$H$218</f>
        <v>30801.262674470294</v>
      </c>
      <c r="DM113" s="240">
        <f t="shared" si="13"/>
        <v>529796.21187185403</v>
      </c>
      <c r="DN113" s="276">
        <f>SUMIF('20Ф'!$H:$H,$B:$B,'20Ф'!AV:AV)*1.2</f>
        <v>0</v>
      </c>
      <c r="DO113" s="276">
        <f>SUMIF('20Ф'!$H:$H,$B:$B,'20Ф'!AW:AW)*1.2+$D113/$D$281*'26Ф'!$D$42</f>
        <v>16390.83759486389</v>
      </c>
      <c r="DP113" s="276">
        <f>SUMIF('20Ф'!$H:$H,$B:$B,'20Ф'!AX:AX)*1.2</f>
        <v>0</v>
      </c>
      <c r="DQ113" s="276">
        <f>SUMIF('20Ф'!$H:$H,$B:$B,'20Ф'!AY:AY)*1.2</f>
        <v>59097</v>
      </c>
      <c r="DR113" s="276">
        <f>SUMIF('20Ф'!$H:$H,$B:$B,'20Ф'!AU:AU)*1.2</f>
        <v>0</v>
      </c>
      <c r="DS113" s="276">
        <f>SUMIF('20Ф'!$H:$H,$B:$B,'20Ф'!AS:AS)*1.2</f>
        <v>68717.460000000006</v>
      </c>
      <c r="DT113" s="276">
        <f>SUMIF('20Ф'!$H:$H,$B:$B,'20Ф'!AR:AR)*1.2</f>
        <v>0</v>
      </c>
      <c r="DU113" s="276">
        <f>SUMIF('20Ф'!$H:$H,$B:$B,'20Ф'!X:X)*1.2</f>
        <v>96459.18</v>
      </c>
      <c r="DV113" s="276">
        <f>SUMIF('20Ф'!$H:$H,$B:$B,'20Ф'!AA:AA)*1.2</f>
        <v>0</v>
      </c>
      <c r="DW113" s="276">
        <f>SUMIF('20Ф'!$H:$H,$B:$B,'20Ф'!N:N)*1.2</f>
        <v>0</v>
      </c>
      <c r="DX113" s="276">
        <f>$D113/$D$281*('25Ф'!$D$37)</f>
        <v>275509.47464773839</v>
      </c>
      <c r="DY113" s="276">
        <f>$D113/$D$281*'25Ф'!$D$30</f>
        <v>8793.3975571891788</v>
      </c>
      <c r="DZ113" s="276">
        <f>$D113/$D$281*'25Ф'!$D$31</f>
        <v>4828.8620720625913</v>
      </c>
      <c r="EA113" s="276"/>
      <c r="EB113" s="276">
        <f t="shared" si="14"/>
        <v>173575.29316546224</v>
      </c>
      <c r="EC113" s="276">
        <f>$D113/$D$281*'26Ф'!$D$36</f>
        <v>90351.530043514882</v>
      </c>
      <c r="ED113" s="276">
        <f>$D113/$D$281*'26Ф'!$D$37</f>
        <v>10855.639837413048</v>
      </c>
      <c r="EE113" s="276">
        <f>$D113/$D$281*'26Ф'!$D$38</f>
        <v>10966.975106044023</v>
      </c>
      <c r="EF113" s="276">
        <f>$D113/$D$281*'26Ф'!$D$39</f>
        <v>7693.3230275906226</v>
      </c>
      <c r="EG113" s="276">
        <f>$D113/$D$281*'91Ф'!$D$10</f>
        <v>2373.3869544015547</v>
      </c>
      <c r="EH113" s="276">
        <f>$D113/$D$281*('20Ф'!$I$509+'26Ф'!$D$41+'20Ф'!$I$507)</f>
        <v>16790.931183060238</v>
      </c>
      <c r="EI113" s="276">
        <f>$D113/$D$281*'91Ф'!$D$31</f>
        <v>30780.24310549712</v>
      </c>
      <c r="EJ113" s="276">
        <f>$D113/$D$281*'20Ф'!$I$1316</f>
        <v>3763.2639079407513</v>
      </c>
      <c r="EK113" s="276">
        <f>$D113/$D$281*('20Ф'!$I$1105+'20Ф'!$I$1282+'91Ф'!$D$17+'91Ф'!$D$41)</f>
        <v>123589.77938965132</v>
      </c>
      <c r="EL113" s="276">
        <f>$D113/$D$281*отчёт!BX$294</f>
        <v>206604.41919856379</v>
      </c>
      <c r="EM113" s="276">
        <f>$D113/$D$281*отчёт!BY$294</f>
        <v>181697.49656489718</v>
      </c>
      <c r="EN113" s="276">
        <f>SUMIF(отчёт!$B:$B,$B:$B,отчёт!BZ:BZ)/отчёт!BZ$281*('60Ф'!$O$151+'60Ф'!$P$151)*отчёт!BZ$293</f>
        <v>0</v>
      </c>
      <c r="EO113" s="240">
        <f t="shared" si="19"/>
        <v>0</v>
      </c>
      <c r="EP113" s="276">
        <f>SUMIF('20Ф'!$H:$H,$B:$B,'20Ф'!T:T)*1.2</f>
        <v>0</v>
      </c>
      <c r="EQ113" s="276">
        <f>SUMIF('20Ф'!$H:$H,$B:$B,'20Ф'!U:U)*1.2</f>
        <v>0</v>
      </c>
      <c r="ER113" s="236"/>
      <c r="ES113" s="239">
        <f t="shared" si="17"/>
        <v>69150.577794403478</v>
      </c>
      <c r="ET113" s="276">
        <f>$D113/$D$282*'20Ф'!$I$381</f>
        <v>5285.2449155736304</v>
      </c>
      <c r="EU113" s="276">
        <f>$D113/$D$282*('20Ф'!$I$75+'20Ф'!$I$1098)*1.2</f>
        <v>61046.92503994795</v>
      </c>
      <c r="EV113" s="276">
        <f>$D113/$D$282*('20Ф'!$I$1286)</f>
        <v>2818.4078388819007</v>
      </c>
      <c r="EW113" s="276">
        <f>SUMIF('91.1Ф'!$N:$N,$B:$B,'91.1Ф'!$F:$F)+$D113/$D$281*('91Ф'!$D$12+'91Ф'!$D$11+'91Ф'!$D$19+'91Ф'!$D$20)</f>
        <v>16288.528840690033</v>
      </c>
      <c r="EX113" s="276">
        <f t="shared" si="15"/>
        <v>61567.327611613611</v>
      </c>
      <c r="EY113" s="276">
        <f>SUMIF('20Ф'!$H:$H,$B:$B,'20Ф'!$AY:$AY)*1.2</f>
        <v>59097</v>
      </c>
      <c r="EZ113" s="295">
        <f>D113/$D$286*'20Ф'!$I$1163</f>
        <v>2470.327611613609</v>
      </c>
      <c r="FA113" s="277">
        <f>SUMIF(отчёт!$B:$B,$B:$B,отчёт!$CU:$CU)/отчёт!$CU$281*'20Ф'!$I$1341</f>
        <v>0</v>
      </c>
      <c r="FB113" s="276">
        <f>SUMIF(Сальдо!$A:$A,$B:$B,Сальдо!$H:$H)-SUMIF(Сальдо!$A:$A,$B:$B,Сальдо!$I:$I)</f>
        <v>165376.56</v>
      </c>
    </row>
    <row r="114" spans="1:158" ht="12" customHeight="1" x14ac:dyDescent="0.25">
      <c r="A114" s="3">
        <f t="shared" si="18"/>
        <v>110</v>
      </c>
      <c r="B114" s="4" t="s">
        <v>160</v>
      </c>
      <c r="C114" s="4" t="s">
        <v>160</v>
      </c>
      <c r="D114" s="5">
        <v>3432.6</v>
      </c>
      <c r="E114" s="6">
        <v>3432.6</v>
      </c>
      <c r="F114" s="6">
        <v>0</v>
      </c>
      <c r="G114" s="6">
        <v>335.3</v>
      </c>
      <c r="H114" s="5">
        <f>SUMIF(отчёт!$B:$B,$B:$B,отчёт!I:I)</f>
        <v>0</v>
      </c>
      <c r="I114" s="5">
        <f>SUMIF(отчёт!$B:$B,$B:$B,отчёт!J:J)</f>
        <v>0</v>
      </c>
      <c r="J114" s="3" t="s">
        <v>111</v>
      </c>
      <c r="K114" s="105">
        <v>7</v>
      </c>
      <c r="L114" s="105" t="s">
        <v>52</v>
      </c>
      <c r="M114" s="7">
        <v>31</v>
      </c>
      <c r="N114" s="8">
        <v>5.0999999999999996</v>
      </c>
      <c r="O114" s="8">
        <v>6.59</v>
      </c>
      <c r="P114" s="8">
        <v>8.98</v>
      </c>
      <c r="Q114" s="8">
        <v>6.92</v>
      </c>
      <c r="R114" s="8">
        <v>3.15</v>
      </c>
      <c r="S114" s="8">
        <v>0</v>
      </c>
      <c r="T114" s="8">
        <v>0</v>
      </c>
      <c r="U114" s="8">
        <v>0.26</v>
      </c>
      <c r="V114" s="9">
        <v>40</v>
      </c>
      <c r="W114" s="9">
        <v>40</v>
      </c>
      <c r="X114" s="9">
        <v>2604.04</v>
      </c>
      <c r="Y114" s="8">
        <v>195.98199600000001</v>
      </c>
      <c r="Z114" s="9">
        <v>42.3</v>
      </c>
      <c r="AA114" s="9">
        <v>2604.04</v>
      </c>
      <c r="AB114" s="8">
        <v>7.85</v>
      </c>
      <c r="AC114" s="10">
        <v>0</v>
      </c>
      <c r="AD114" s="8">
        <v>6.73</v>
      </c>
      <c r="AE114" s="8">
        <v>10.67</v>
      </c>
      <c r="AF114" s="8">
        <v>14</v>
      </c>
      <c r="AG114" s="7">
        <v>638463.6</v>
      </c>
      <c r="AH114" s="8">
        <v>105037.56</v>
      </c>
      <c r="AI114" s="8">
        <v>135725.00399999999</v>
      </c>
      <c r="AJ114" s="8">
        <v>184948.48800000001</v>
      </c>
      <c r="AK114" s="8">
        <v>142521.552</v>
      </c>
      <c r="AL114" s="8">
        <v>64876.139999999992</v>
      </c>
      <c r="AM114" s="8">
        <v>0</v>
      </c>
      <c r="AN114" s="8">
        <v>0</v>
      </c>
      <c r="AO114" s="8">
        <v>5354.8559999999998</v>
      </c>
      <c r="AQ114" s="104">
        <v>33.17</v>
      </c>
      <c r="AR114" s="375">
        <v>13.89</v>
      </c>
      <c r="AS114" s="376"/>
      <c r="AT114" s="104">
        <v>5.9</v>
      </c>
      <c r="AU114" s="104">
        <v>1.53</v>
      </c>
      <c r="AV114" s="104">
        <v>0.32</v>
      </c>
      <c r="AW114" s="104">
        <v>0.6</v>
      </c>
      <c r="AX114" s="104">
        <v>5.01</v>
      </c>
      <c r="AY114" s="104">
        <v>4.99</v>
      </c>
      <c r="AZ114" s="104">
        <v>0</v>
      </c>
      <c r="BA114" s="104">
        <v>0</v>
      </c>
      <c r="BB114" s="104">
        <v>0</v>
      </c>
      <c r="BC114" s="101">
        <v>0.93</v>
      </c>
      <c r="BD114" s="104">
        <v>37.581610000000005</v>
      </c>
      <c r="BE114" s="375">
        <v>15.737370000000004</v>
      </c>
      <c r="BF114" s="376">
        <v>0</v>
      </c>
      <c r="BG114" s="104">
        <v>6.6847000000000012</v>
      </c>
      <c r="BH114" s="104">
        <v>1.7334900000000002</v>
      </c>
      <c r="BI114" s="104">
        <v>0.36256000000000005</v>
      </c>
      <c r="BJ114" s="104">
        <v>0.67980000000000007</v>
      </c>
      <c r="BK114" s="104">
        <v>5.6763300000000001</v>
      </c>
      <c r="BL114" s="104">
        <v>5.65367</v>
      </c>
      <c r="BM114" s="104">
        <v>0</v>
      </c>
      <c r="BN114" s="104">
        <v>0</v>
      </c>
      <c r="BO114" s="104">
        <v>0</v>
      </c>
      <c r="BP114" s="101">
        <v>1.0536900000000002</v>
      </c>
      <c r="BQ114" s="103">
        <v>1517745.02886</v>
      </c>
      <c r="BR114" s="371">
        <v>635558.59062000015</v>
      </c>
      <c r="BS114" s="371">
        <v>0</v>
      </c>
      <c r="BT114" s="103">
        <v>269963.69219999999</v>
      </c>
      <c r="BU114" s="103">
        <v>70007.533739999999</v>
      </c>
      <c r="BV114" s="103">
        <v>14642.09856</v>
      </c>
      <c r="BW114" s="103">
        <v>27453.934800000003</v>
      </c>
      <c r="BX114" s="103">
        <v>229240.35557999997</v>
      </c>
      <c r="BY114" s="103">
        <v>228325.22441999998</v>
      </c>
      <c r="BZ114" s="103">
        <v>0</v>
      </c>
      <c r="CA114" s="103">
        <v>0</v>
      </c>
      <c r="CB114" s="103">
        <v>0</v>
      </c>
      <c r="CC114" s="103">
        <v>42553.598940000003</v>
      </c>
      <c r="CD114" s="1">
        <v>1</v>
      </c>
      <c r="CF114" s="277">
        <f>SUMIF(Оборот!$A:$A,$B:$B,Оборот!H:H)</f>
        <v>1306722.1600000001</v>
      </c>
      <c r="CG114" s="277">
        <f>SUMIF(Оборот!$A:$A,$B:$B,Оборот!I:I)</f>
        <v>1298589.1200000001</v>
      </c>
      <c r="CH114" s="277">
        <f t="shared" si="12"/>
        <v>1290255.1207016844</v>
      </c>
      <c r="CI114" s="239">
        <f t="shared" si="16"/>
        <v>78870.834435290337</v>
      </c>
      <c r="CJ114" s="276">
        <f>SUMIF('20Ф'!$H:$H,$B:$B,'20Ф'!M:M)*1.2</f>
        <v>0</v>
      </c>
      <c r="CK114" s="276">
        <f>SUMIF('20Ф'!$H:$H,$B:$B,'20Ф'!O:O)*1.2</f>
        <v>0</v>
      </c>
      <c r="CL114" s="276">
        <f>SUMIF('20Ф'!$H:$H,$B:$B,'20Ф'!Q:Q)*1.2</f>
        <v>0</v>
      </c>
      <c r="CM114" s="276">
        <f>SUMIF('20Ф'!$H:$H,$B:$B,'20Ф'!R:R)*1.2</f>
        <v>0</v>
      </c>
      <c r="CN114" s="276">
        <f>SUMIF('20Ф'!$H:$H,$B:$B,'20Ф'!S:S)*1.2</f>
        <v>0</v>
      </c>
      <c r="CO114" s="276">
        <f>SUMIF('20Ф'!$H:$H,$B:$B,'20Ф'!W:W)*1.2</f>
        <v>0</v>
      </c>
      <c r="CP114" s="276">
        <f>SUMIF('20Ф'!$H:$H,$B:$B,'20Ф'!P:P)*1.2</f>
        <v>0</v>
      </c>
      <c r="CQ114" s="276">
        <f>SUMIF('20Ф'!$H:$H,$B:$B,'20Ф'!Y:Y)*1.2</f>
        <v>0</v>
      </c>
      <c r="CR114" s="276">
        <f>SUMIF('20Ф'!$H:$H,$B:$B,'20Ф'!Z:Z)*1.2</f>
        <v>0</v>
      </c>
      <c r="CS114" s="276">
        <f>SUMIF('20Ф'!$H:$H,$B:$B,'20Ф'!AB:AB)*1.2</f>
        <v>0</v>
      </c>
      <c r="CT114" s="276">
        <f>SUMIF('20Ф'!$H:$H,$B:$B,'20Ф'!AC:AC)*1.2</f>
        <v>0</v>
      </c>
      <c r="CU114" s="276">
        <f>SUMIF('20Ф'!$H:$H,$B:$B,'20Ф'!AD:AD)*1.2</f>
        <v>0</v>
      </c>
      <c r="CV114" s="276">
        <f>SUMIF('20Ф'!$H:$H,$B:$B,'20Ф'!AE:AE)*1.2</f>
        <v>0</v>
      </c>
      <c r="CW114" s="276">
        <f>SUMIF('20Ф'!$H:$H,$B:$B,'20Ф'!AF:AF)*1.2</f>
        <v>0</v>
      </c>
      <c r="CX114" s="276">
        <f>SUMIF('20Ф'!$H:$H,$B:$B,'20Ф'!AG:AG)*1.2</f>
        <v>0</v>
      </c>
      <c r="CY114" s="276">
        <f>SUMIF('20Ф'!$H:$H,$B:$B,'20Ф'!AH:AH)*1.2</f>
        <v>48679.968000000001</v>
      </c>
      <c r="CZ114" s="276">
        <f>SUMIF('20Ф'!$H:$H,$B:$B,'20Ф'!AI:AI)*1.2</f>
        <v>0</v>
      </c>
      <c r="DA114" s="276">
        <f>SUMIF('20Ф'!$H:$H,$B:$B,'20Ф'!AJ:AJ)*1.2</f>
        <v>0</v>
      </c>
      <c r="DB114" s="276">
        <f>SUMIF('20Ф'!$H:$H,$B:$B,'20Ф'!AK:AK)*1.2</f>
        <v>0</v>
      </c>
      <c r="DC114" s="276">
        <f>SUMIF('20Ф'!$H:$H,$B:$B,'20Ф'!AL:AL)*1.2</f>
        <v>0</v>
      </c>
      <c r="DD114" s="276">
        <f>SUMIF('20Ф'!$H:$H,$B:$B,'20Ф'!AM:AM)*1.2</f>
        <v>0</v>
      </c>
      <c r="DE114" s="276">
        <f>SUMIF('20Ф'!$H:$H,$B:$B,'20Ф'!AN:AN)*1.2</f>
        <v>0</v>
      </c>
      <c r="DF114" s="276">
        <f>SUMIF('20Ф'!$H:$H,$B:$B,'20Ф'!AO:AO)*1.2</f>
        <v>0</v>
      </c>
      <c r="DG114" s="276">
        <f>SUMIF('20Ф'!$H:$H,$B:$B,'20Ф'!AP:AP)*1.2</f>
        <v>0</v>
      </c>
      <c r="DH114" s="276">
        <f>SUMIF('20Ф'!$H:$H,$B:$B,'20Ф'!AQ:AQ)*1.2</f>
        <v>0</v>
      </c>
      <c r="DI114" s="276">
        <f>SUMIF('20Ф'!$H:$H,$B:$B,'20Ф'!BA:BA)*1.2</f>
        <v>0</v>
      </c>
      <c r="DJ114" s="276">
        <f>SUMIF('20Ф'!$H:$H,$B:$B,'20Ф'!BB:BB)*1.2</f>
        <v>0</v>
      </c>
      <c r="DK114" s="276">
        <f>SUMIF('20Ф'!$H:$H,$B:$B,'20Ф'!BC:BC)*1.2</f>
        <v>0</v>
      </c>
      <c r="DL114" s="276">
        <f>$D114/$D$281*'20Ф'!$H$218</f>
        <v>30190.866435290329</v>
      </c>
      <c r="DM114" s="240">
        <f t="shared" si="13"/>
        <v>427196.0635132285</v>
      </c>
      <c r="DN114" s="276">
        <f>SUMIF('20Ф'!$H:$H,$B:$B,'20Ф'!AV:AV)*1.2</f>
        <v>0</v>
      </c>
      <c r="DO114" s="276">
        <f>SUMIF('20Ф'!$H:$H,$B:$B,'20Ф'!AW:AW)*1.2+$D114/$D$281*'26Ф'!$D$42</f>
        <v>16066.016313001081</v>
      </c>
      <c r="DP114" s="276">
        <f>SUMIF('20Ф'!$H:$H,$B:$B,'20Ф'!AX:AX)*1.2</f>
        <v>0</v>
      </c>
      <c r="DQ114" s="276">
        <f>SUMIF('20Ф'!$H:$H,$B:$B,'20Ф'!AY:AY)*1.2</f>
        <v>26137.991999999998</v>
      </c>
      <c r="DR114" s="276">
        <f>SUMIF('20Ф'!$H:$H,$B:$B,'20Ф'!AU:AU)*1.2</f>
        <v>0</v>
      </c>
      <c r="DS114" s="276">
        <f>SUMIF('20Ф'!$H:$H,$B:$B,'20Ф'!AS:AS)*1.2</f>
        <v>55040.171999999999</v>
      </c>
      <c r="DT114" s="276">
        <f>SUMIF('20Ф'!$H:$H,$B:$B,'20Ф'!AR:AR)*1.2</f>
        <v>0</v>
      </c>
      <c r="DU114" s="276">
        <f>SUMIF('20Ф'!$H:$H,$B:$B,'20Ф'!X:X)*1.2</f>
        <v>46549.944000000003</v>
      </c>
      <c r="DV114" s="276">
        <f>SUMIF('20Ф'!$H:$H,$B:$B,'20Ф'!AA:AA)*1.2</f>
        <v>0</v>
      </c>
      <c r="DW114" s="276">
        <f>SUMIF('20Ф'!$H:$H,$B:$B,'20Ф'!N:N)*1.2</f>
        <v>0</v>
      </c>
      <c r="DX114" s="276">
        <f>$D114/$D$281*('25Ф'!$D$37)</f>
        <v>270049.6352586599</v>
      </c>
      <c r="DY114" s="276">
        <f>$D114/$D$281*'25Ф'!$D$30</f>
        <v>8619.1366233031349</v>
      </c>
      <c r="DZ114" s="276">
        <f>$D114/$D$281*'25Ф'!$D$31</f>
        <v>4733.1673182644354</v>
      </c>
      <c r="EA114" s="276"/>
      <c r="EB114" s="276">
        <f t="shared" si="14"/>
        <v>170135.50865784287</v>
      </c>
      <c r="EC114" s="276">
        <f>$D114/$D$281*'26Ф'!$D$36</f>
        <v>88561.011429859849</v>
      </c>
      <c r="ED114" s="276">
        <f>$D114/$D$281*'26Ф'!$D$37</f>
        <v>10640.510938293555</v>
      </c>
      <c r="EE114" s="276">
        <f>$D114/$D$281*'26Ф'!$D$38</f>
        <v>10749.639848374278</v>
      </c>
      <c r="EF114" s="276">
        <f>$D114/$D$281*'26Ф'!$D$39</f>
        <v>7540.8625426920544</v>
      </c>
      <c r="EG114" s="276">
        <f>$D114/$D$281*'91Ф'!$D$10</f>
        <v>2326.3529582178121</v>
      </c>
      <c r="EH114" s="276">
        <f>$D114/$D$281*('20Ф'!$I$509+'26Ф'!$D$41+'20Ф'!$I$507)</f>
        <v>16458.181147622097</v>
      </c>
      <c r="EI114" s="276">
        <f>$D114/$D$281*'91Ф'!$D$31</f>
        <v>30170.26341631337</v>
      </c>
      <c r="EJ114" s="276">
        <f>$D114/$D$281*'20Ф'!$I$1316</f>
        <v>3688.6863764698523</v>
      </c>
      <c r="EK114" s="276">
        <f>$D114/$D$281*('20Ф'!$I$1105+'20Ф'!$I$1282+'91Ф'!$D$17+'91Ф'!$D$41)</f>
        <v>121140.57016930815</v>
      </c>
      <c r="EL114" s="276">
        <f>$D114/$D$281*отчёт!BX$294</f>
        <v>202510.08833266422</v>
      </c>
      <c r="EM114" s="276">
        <f>$D114/$D$281*отчёт!BY$294</f>
        <v>178096.75234399375</v>
      </c>
      <c r="EN114" s="276">
        <f>SUMIF(отчёт!$B:$B,$B:$B,отчёт!BZ:BZ)/отчёт!BZ$281*('60Ф'!$O$151+'60Ф'!$P$151)*отчёт!BZ$293</f>
        <v>0</v>
      </c>
      <c r="EO114" s="240">
        <f t="shared" si="19"/>
        <v>0</v>
      </c>
      <c r="EP114" s="276">
        <f>SUMIF('20Ф'!$H:$H,$B:$B,'20Ф'!T:T)*1.2</f>
        <v>0</v>
      </c>
      <c r="EQ114" s="276">
        <f>SUMIF('20Ф'!$H:$H,$B:$B,'20Ф'!U:U)*1.2</f>
        <v>0</v>
      </c>
      <c r="ER114" s="236"/>
      <c r="ES114" s="239">
        <f t="shared" si="17"/>
        <v>67780.20369419457</v>
      </c>
      <c r="ET114" s="276">
        <f>$D114/$D$282*'20Ф'!$I$381</f>
        <v>5180.5059101079505</v>
      </c>
      <c r="EU114" s="276">
        <f>$D114/$D$282*('20Ф'!$I$75+'20Ф'!$I$1098)*1.2</f>
        <v>59837.1430303042</v>
      </c>
      <c r="EV114" s="276">
        <f>$D114/$D$282*('20Ф'!$I$1286)</f>
        <v>2762.5547537824132</v>
      </c>
      <c r="EW114" s="276">
        <f>SUMIF('91.1Ф'!$N:$N,$B:$B,'91.1Ф'!$F:$F)+$D114/$D$281*('91Ф'!$D$12+'91Ф'!$D$11+'91Ф'!$D$19+'91Ф'!$D$20)</f>
        <v>15965.735036708342</v>
      </c>
      <c r="EX114" s="276">
        <f t="shared" si="15"/>
        <v>28559.364518453702</v>
      </c>
      <c r="EY114" s="276">
        <f>SUMIF('20Ф'!$H:$H,$B:$B,'20Ф'!$AY:$AY)*1.2</f>
        <v>26137.991999999998</v>
      </c>
      <c r="EZ114" s="295">
        <f>D114/$D$286*'20Ф'!$I$1163</f>
        <v>2421.3725184537043</v>
      </c>
      <c r="FA114" s="277">
        <f>SUMIF(отчёт!$B:$B,$B:$B,отчёт!$CU:$CU)/отчёт!$CU$281*'20Ф'!$I$1341</f>
        <v>3683.8554216867401</v>
      </c>
      <c r="FB114" s="276">
        <f>SUMIF(Сальдо!$A:$A,$B:$B,Сальдо!$H:$H)-SUMIF(Сальдо!$A:$A,$B:$B,Сальдо!$I:$I)</f>
        <v>187238.62999999998</v>
      </c>
    </row>
    <row r="115" spans="1:158" ht="12" customHeight="1" x14ac:dyDescent="0.25">
      <c r="A115" s="3">
        <f t="shared" si="18"/>
        <v>111</v>
      </c>
      <c r="B115" s="4" t="s">
        <v>161</v>
      </c>
      <c r="C115" s="4" t="s">
        <v>161</v>
      </c>
      <c r="D115" s="5">
        <v>3485.23</v>
      </c>
      <c r="E115" s="6">
        <v>3485.23</v>
      </c>
      <c r="F115" s="6">
        <v>0</v>
      </c>
      <c r="G115" s="6">
        <v>291.60000000000002</v>
      </c>
      <c r="H115" s="5">
        <f>SUMIF(отчёт!$B:$B,$B:$B,отчёт!I:I)</f>
        <v>0</v>
      </c>
      <c r="I115" s="5">
        <f>SUMIF(отчёт!$B:$B,$B:$B,отчёт!J:J)</f>
        <v>0</v>
      </c>
      <c r="J115" s="3" t="s">
        <v>111</v>
      </c>
      <c r="K115" s="105">
        <v>7</v>
      </c>
      <c r="L115" s="105" t="s">
        <v>52</v>
      </c>
      <c r="M115" s="7">
        <v>31</v>
      </c>
      <c r="N115" s="8">
        <v>5.0999999999999996</v>
      </c>
      <c r="O115" s="8">
        <v>6.59</v>
      </c>
      <c r="P115" s="8">
        <v>8.98</v>
      </c>
      <c r="Q115" s="8">
        <v>6.92</v>
      </c>
      <c r="R115" s="8">
        <v>3.15</v>
      </c>
      <c r="S115" s="8">
        <v>0</v>
      </c>
      <c r="T115" s="8">
        <v>0</v>
      </c>
      <c r="U115" s="8">
        <v>0.26</v>
      </c>
      <c r="V115" s="9">
        <v>40</v>
      </c>
      <c r="W115" s="9">
        <v>40</v>
      </c>
      <c r="X115" s="9">
        <v>2604.04</v>
      </c>
      <c r="Y115" s="8">
        <v>195.98199600000001</v>
      </c>
      <c r="Z115" s="9">
        <v>42.3</v>
      </c>
      <c r="AA115" s="9">
        <v>2604.04</v>
      </c>
      <c r="AB115" s="8">
        <v>7.85</v>
      </c>
      <c r="AC115" s="10">
        <v>0</v>
      </c>
      <c r="AD115" s="8">
        <v>6.73</v>
      </c>
      <c r="AE115" s="8">
        <v>10.67</v>
      </c>
      <c r="AF115" s="8">
        <v>14</v>
      </c>
      <c r="AG115" s="7">
        <v>648252.78</v>
      </c>
      <c r="AH115" s="8">
        <v>106648.038</v>
      </c>
      <c r="AI115" s="8">
        <v>137805.99420000002</v>
      </c>
      <c r="AJ115" s="8">
        <v>187784.1924</v>
      </c>
      <c r="AK115" s="8">
        <v>144706.74960000001</v>
      </c>
      <c r="AL115" s="8">
        <v>65870.847000000009</v>
      </c>
      <c r="AM115" s="8">
        <v>0</v>
      </c>
      <c r="AN115" s="8">
        <v>0</v>
      </c>
      <c r="AO115" s="8">
        <v>5436.9588000000003</v>
      </c>
      <c r="AQ115" s="104">
        <v>33.17</v>
      </c>
      <c r="AR115" s="375">
        <v>13.89</v>
      </c>
      <c r="AS115" s="376"/>
      <c r="AT115" s="104">
        <v>5.9</v>
      </c>
      <c r="AU115" s="104">
        <v>1.53</v>
      </c>
      <c r="AV115" s="104">
        <v>0.32</v>
      </c>
      <c r="AW115" s="104">
        <v>0.6</v>
      </c>
      <c r="AX115" s="104">
        <v>5.01</v>
      </c>
      <c r="AY115" s="104">
        <v>4.99</v>
      </c>
      <c r="AZ115" s="104">
        <v>0</v>
      </c>
      <c r="BA115" s="104">
        <v>0</v>
      </c>
      <c r="BB115" s="104">
        <v>0</v>
      </c>
      <c r="BC115" s="101">
        <v>0.93</v>
      </c>
      <c r="BD115" s="104">
        <v>37.581610000000005</v>
      </c>
      <c r="BE115" s="375">
        <v>15.737370000000004</v>
      </c>
      <c r="BF115" s="376">
        <v>0</v>
      </c>
      <c r="BG115" s="104">
        <v>6.6847000000000012</v>
      </c>
      <c r="BH115" s="104">
        <v>1.7334900000000002</v>
      </c>
      <c r="BI115" s="104">
        <v>0.36256000000000005</v>
      </c>
      <c r="BJ115" s="104">
        <v>0.67980000000000007</v>
      </c>
      <c r="BK115" s="104">
        <v>5.6763300000000001</v>
      </c>
      <c r="BL115" s="104">
        <v>5.65367</v>
      </c>
      <c r="BM115" s="104">
        <v>0</v>
      </c>
      <c r="BN115" s="104">
        <v>0</v>
      </c>
      <c r="BO115" s="104">
        <v>0</v>
      </c>
      <c r="BP115" s="101">
        <v>1.0536900000000002</v>
      </c>
      <c r="BQ115" s="103">
        <v>1541015.704403</v>
      </c>
      <c r="BR115" s="371">
        <v>645303.22985100013</v>
      </c>
      <c r="BS115" s="371">
        <v>0</v>
      </c>
      <c r="BT115" s="103">
        <v>274102.88381000003</v>
      </c>
      <c r="BU115" s="103">
        <v>71080.917327000003</v>
      </c>
      <c r="BV115" s="103">
        <v>14866.597088</v>
      </c>
      <c r="BW115" s="103">
        <v>27874.869540000003</v>
      </c>
      <c r="BX115" s="103">
        <v>232755.16065899999</v>
      </c>
      <c r="BY115" s="103">
        <v>231825.998341</v>
      </c>
      <c r="BZ115" s="103">
        <v>0</v>
      </c>
      <c r="CA115" s="103">
        <v>0</v>
      </c>
      <c r="CB115" s="103">
        <v>0</v>
      </c>
      <c r="CC115" s="103">
        <v>43206.04778700001</v>
      </c>
      <c r="CD115" s="1">
        <v>1</v>
      </c>
      <c r="CF115" s="277">
        <f>SUMIF(Оборот!$A:$A,$B:$B,Оборот!H:H)</f>
        <v>1245168.53</v>
      </c>
      <c r="CG115" s="277">
        <f>SUMIF(Оборот!$A:$A,$B:$B,Оборот!I:I)</f>
        <v>1326132.6099999999</v>
      </c>
      <c r="CH115" s="277">
        <f t="shared" si="12"/>
        <v>1597055.1841727819</v>
      </c>
      <c r="CI115" s="239">
        <f t="shared" si="16"/>
        <v>128272.79290889324</v>
      </c>
      <c r="CJ115" s="276">
        <f>SUMIF('20Ф'!$H:$H,$B:$B,'20Ф'!M:M)*1.2</f>
        <v>0</v>
      </c>
      <c r="CK115" s="276">
        <f>SUMIF('20Ф'!$H:$H,$B:$B,'20Ф'!O:O)*1.2</f>
        <v>0</v>
      </c>
      <c r="CL115" s="276">
        <f>SUMIF('20Ф'!$H:$H,$B:$B,'20Ф'!Q:Q)*1.2</f>
        <v>0</v>
      </c>
      <c r="CM115" s="276">
        <f>SUMIF('20Ф'!$H:$H,$B:$B,'20Ф'!R:R)*1.2</f>
        <v>0</v>
      </c>
      <c r="CN115" s="276">
        <f>SUMIF('20Ф'!$H:$H,$B:$B,'20Ф'!S:S)*1.2</f>
        <v>0</v>
      </c>
      <c r="CO115" s="276">
        <f>SUMIF('20Ф'!$H:$H,$B:$B,'20Ф'!W:W)*1.2</f>
        <v>0</v>
      </c>
      <c r="CP115" s="276">
        <f>SUMIF('20Ф'!$H:$H,$B:$B,'20Ф'!P:P)*1.2</f>
        <v>0</v>
      </c>
      <c r="CQ115" s="276">
        <f>SUMIF('20Ф'!$H:$H,$B:$B,'20Ф'!Y:Y)*1.2</f>
        <v>0</v>
      </c>
      <c r="CR115" s="276">
        <f>SUMIF('20Ф'!$H:$H,$B:$B,'20Ф'!Z:Z)*1.2</f>
        <v>0</v>
      </c>
      <c r="CS115" s="276">
        <f>SUMIF('20Ф'!$H:$H,$B:$B,'20Ф'!AB:AB)*1.2</f>
        <v>0</v>
      </c>
      <c r="CT115" s="276">
        <f>SUMIF('20Ф'!$H:$H,$B:$B,'20Ф'!AC:AC)*1.2</f>
        <v>0</v>
      </c>
      <c r="CU115" s="276">
        <f>SUMIF('20Ф'!$H:$H,$B:$B,'20Ф'!AD:AD)*1.2</f>
        <v>0</v>
      </c>
      <c r="CV115" s="276">
        <f>SUMIF('20Ф'!$H:$H,$B:$B,'20Ф'!AE:AE)*1.2</f>
        <v>0</v>
      </c>
      <c r="CW115" s="276">
        <f>SUMIF('20Ф'!$H:$H,$B:$B,'20Ф'!AF:AF)*1.2</f>
        <v>0</v>
      </c>
      <c r="CX115" s="276">
        <f>SUMIF('20Ф'!$H:$H,$B:$B,'20Ф'!AG:AG)*1.2</f>
        <v>0</v>
      </c>
      <c r="CY115" s="276">
        <f>SUMIF('20Ф'!$H:$H,$B:$B,'20Ф'!AH:AH)*1.2</f>
        <v>0</v>
      </c>
      <c r="CZ115" s="276">
        <f>SUMIF('20Ф'!$H:$H,$B:$B,'20Ф'!AI:AI)*1.2</f>
        <v>0</v>
      </c>
      <c r="DA115" s="276">
        <f>SUMIF('20Ф'!$H:$H,$B:$B,'20Ф'!AJ:AJ)*1.2</f>
        <v>97619.028000000006</v>
      </c>
      <c r="DB115" s="276">
        <f>SUMIF('20Ф'!$H:$H,$B:$B,'20Ф'!AK:AK)*1.2</f>
        <v>0</v>
      </c>
      <c r="DC115" s="276">
        <f>SUMIF('20Ф'!$H:$H,$B:$B,'20Ф'!AL:AL)*1.2</f>
        <v>0</v>
      </c>
      <c r="DD115" s="276">
        <f>SUMIF('20Ф'!$H:$H,$B:$B,'20Ф'!AM:AM)*1.2</f>
        <v>0</v>
      </c>
      <c r="DE115" s="276">
        <f>SUMIF('20Ф'!$H:$H,$B:$B,'20Ф'!AN:AN)*1.2</f>
        <v>0</v>
      </c>
      <c r="DF115" s="276">
        <f>SUMIF('20Ф'!$H:$H,$B:$B,'20Ф'!AO:AO)*1.2</f>
        <v>0</v>
      </c>
      <c r="DG115" s="276">
        <f>SUMIF('20Ф'!$H:$H,$B:$B,'20Ф'!AP:AP)*1.2</f>
        <v>0</v>
      </c>
      <c r="DH115" s="276">
        <f>SUMIF('20Ф'!$H:$H,$B:$B,'20Ф'!AQ:AQ)*1.2</f>
        <v>0</v>
      </c>
      <c r="DI115" s="276">
        <f>SUMIF('20Ф'!$H:$H,$B:$B,'20Ф'!BA:BA)*1.2</f>
        <v>0</v>
      </c>
      <c r="DJ115" s="276">
        <f>SUMIF('20Ф'!$H:$H,$B:$B,'20Ф'!BB:BB)*1.2</f>
        <v>0</v>
      </c>
      <c r="DK115" s="276">
        <f>SUMIF('20Ф'!$H:$H,$B:$B,'20Ф'!BC:BC)*1.2</f>
        <v>0</v>
      </c>
      <c r="DL115" s="276">
        <f>$D115/$D$281*'20Ф'!$H$218</f>
        <v>30653.764908893234</v>
      </c>
      <c r="DM115" s="240">
        <f t="shared" si="13"/>
        <v>638878.43032237061</v>
      </c>
      <c r="DN115" s="276">
        <f>SUMIF('20Ф'!$H:$H,$B:$B,'20Ф'!AV:AV)*1.2</f>
        <v>0</v>
      </c>
      <c r="DO115" s="276">
        <f>SUMIF('20Ф'!$H:$H,$B:$B,'20Ф'!AW:AW)*1.2+$D115/$D$281*'26Ф'!$D$42</f>
        <v>16312.346919116926</v>
      </c>
      <c r="DP115" s="276">
        <f>SUMIF('20Ф'!$H:$H,$B:$B,'20Ф'!AX:AX)*1.2</f>
        <v>0</v>
      </c>
      <c r="DQ115" s="276">
        <f>SUMIF('20Ф'!$H:$H,$B:$B,'20Ф'!AY:AY)*1.2</f>
        <v>60231</v>
      </c>
      <c r="DR115" s="276">
        <f>SUMIF('20Ф'!$H:$H,$B:$B,'20Ф'!AU:AU)*1.2</f>
        <v>0</v>
      </c>
      <c r="DS115" s="276">
        <f>SUMIF('20Ф'!$H:$H,$B:$B,'20Ф'!AS:AS)*1.2</f>
        <v>255172.95600000001</v>
      </c>
      <c r="DT115" s="276">
        <f>SUMIF('20Ф'!$H:$H,$B:$B,'20Ф'!AR:AR)*1.2</f>
        <v>0</v>
      </c>
      <c r="DU115" s="276">
        <f>SUMIF('20Ф'!$H:$H,$B:$B,'20Ф'!X:X)*1.2</f>
        <v>19414.955999999998</v>
      </c>
      <c r="DV115" s="276">
        <f>SUMIF('20Ф'!$H:$H,$B:$B,'20Ф'!AA:AA)*1.2</f>
        <v>0</v>
      </c>
      <c r="DW115" s="276">
        <f>SUMIF('20Ф'!$H:$H,$B:$B,'20Ф'!N:N)*1.2</f>
        <v>0</v>
      </c>
      <c r="DX115" s="276">
        <f>$D115/$D$281*('25Ф'!$D$37)</f>
        <v>274190.14458210662</v>
      </c>
      <c r="DY115" s="276">
        <f>$D115/$D$281*'25Ф'!$D$30</f>
        <v>8751.2886831074957</v>
      </c>
      <c r="DZ115" s="276">
        <f>$D115/$D$281*'25Ф'!$D$31</f>
        <v>4805.7381380396082</v>
      </c>
      <c r="EA115" s="276"/>
      <c r="EB115" s="276">
        <f t="shared" si="14"/>
        <v>172744.0945171513</v>
      </c>
      <c r="EC115" s="276">
        <f>$D115/$D$281*'26Ф'!$D$36</f>
        <v>89918.864378514962</v>
      </c>
      <c r="ED115" s="276">
        <f>$D115/$D$281*'26Ф'!$D$37</f>
        <v>10803.655519859245</v>
      </c>
      <c r="EE115" s="276">
        <f>$D115/$D$281*'26Ф'!$D$38</f>
        <v>10914.457638160427</v>
      </c>
      <c r="EF115" s="276">
        <f>$D115/$D$281*'26Ф'!$D$39</f>
        <v>7656.4820718017327</v>
      </c>
      <c r="EG115" s="276">
        <f>$D115/$D$281*'91Ф'!$D$10</f>
        <v>2362.0215348626302</v>
      </c>
      <c r="EH115" s="276">
        <f>$D115/$D$281*('20Ф'!$I$509+'26Ф'!$D$41+'20Ф'!$I$507)</f>
        <v>16710.524582277852</v>
      </c>
      <c r="EI115" s="276">
        <f>$D115/$D$281*'91Ф'!$D$31</f>
        <v>30632.845996165546</v>
      </c>
      <c r="EJ115" s="276">
        <f>$D115/$D$281*'20Ф'!$I$1316</f>
        <v>3745.2427955089506</v>
      </c>
      <c r="EK115" s="276">
        <f>$D115/$D$281*('20Ф'!$I$1105+'20Ф'!$I$1282+'91Ф'!$D$17+'91Ф'!$D$41)</f>
        <v>122997.94598006697</v>
      </c>
      <c r="EL115" s="276">
        <f>$D115/$D$281*отчёт!BX$294</f>
        <v>205615.05423284139</v>
      </c>
      <c r="EM115" s="276">
        <f>$D115/$D$281*отчёт!BY$294</f>
        <v>180827.40318471636</v>
      </c>
      <c r="EN115" s="276">
        <f>SUMIF(отчёт!$B:$B,$B:$B,отчёт!BZ:BZ)/отчёт!BZ$281*('60Ф'!$O$151+'60Ф'!$P$151)*отчёт!BZ$293</f>
        <v>0</v>
      </c>
      <c r="EO115" s="240">
        <f t="shared" si="19"/>
        <v>0</v>
      </c>
      <c r="EP115" s="276">
        <f>SUMIF('20Ф'!$H:$H,$B:$B,'20Ф'!T:T)*1.2</f>
        <v>0</v>
      </c>
      <c r="EQ115" s="276">
        <f>SUMIF('20Ф'!$H:$H,$B:$B,'20Ф'!U:U)*1.2</f>
        <v>0</v>
      </c>
      <c r="ER115" s="236"/>
      <c r="ES115" s="239">
        <f t="shared" si="17"/>
        <v>68819.436963560496</v>
      </c>
      <c r="ET115" s="276">
        <f>$D115/$D$282*'20Ф'!$I$381</f>
        <v>5259.9355045987104</v>
      </c>
      <c r="EU115" s="276">
        <f>$D115/$D$282*('20Ф'!$I$75+'20Ф'!$I$1098)*1.2</f>
        <v>60754.590107646429</v>
      </c>
      <c r="EV115" s="276">
        <f>$D115/$D$282*('20Ф'!$I$1286)</f>
        <v>2804.9113513153529</v>
      </c>
      <c r="EW115" s="276">
        <f>SUMIF('91.1Ф'!$N:$N,$B:$B,'91.1Ф'!$F:$F)+$D115/$D$281*('91Ф'!$D$12+'91Ф'!$D$11+'91Ф'!$D$19+'91Ф'!$D$20)</f>
        <v>16210.528090073709</v>
      </c>
      <c r="EX115" s="276">
        <f t="shared" si="15"/>
        <v>62689.497973107966</v>
      </c>
      <c r="EY115" s="276">
        <f>SUMIF('20Ф'!$H:$H,$B:$B,'20Ф'!$AY:$AY)*1.2</f>
        <v>60231</v>
      </c>
      <c r="EZ115" s="295">
        <f>D115/$D$286*'20Ф'!$I$1163</f>
        <v>2458.4979731079661</v>
      </c>
      <c r="FA115" s="277">
        <f>SUMIF(отчёт!$B:$B,$B:$B,отчёт!$CU:$CU)/отчёт!$CU$281*'20Ф'!$I$1341</f>
        <v>3683.8554216867401</v>
      </c>
      <c r="FB115" s="276">
        <f>SUMIF(Сальдо!$A:$A,$B:$B,Сальдо!$H:$H)-SUMIF(Сальдо!$A:$A,$B:$B,Сальдо!$I:$I)</f>
        <v>253139.38</v>
      </c>
    </row>
    <row r="116" spans="1:158" ht="12" customHeight="1" x14ac:dyDescent="0.25">
      <c r="A116" s="3">
        <f t="shared" si="18"/>
        <v>112</v>
      </c>
      <c r="B116" s="4" t="s">
        <v>1332</v>
      </c>
      <c r="C116" s="4"/>
      <c r="D116" s="5">
        <f>SUM(E116:F116)</f>
        <v>13435.199999999999</v>
      </c>
      <c r="E116" s="6">
        <v>12914.4</v>
      </c>
      <c r="F116" s="6">
        <v>520.79999999999995</v>
      </c>
      <c r="G116" s="6">
        <v>3557.8</v>
      </c>
      <c r="H116" s="241">
        <v>2</v>
      </c>
      <c r="I116" s="241">
        <v>2</v>
      </c>
      <c r="J116" s="3" t="s">
        <v>111</v>
      </c>
      <c r="K116" s="105">
        <v>1</v>
      </c>
      <c r="L116" s="105" t="s">
        <v>75</v>
      </c>
      <c r="M116" s="7"/>
      <c r="N116" s="8"/>
      <c r="O116" s="8"/>
      <c r="P116" s="8"/>
      <c r="Q116" s="8"/>
      <c r="R116" s="8"/>
      <c r="S116" s="8"/>
      <c r="T116" s="8"/>
      <c r="U116" s="8"/>
      <c r="V116" s="9"/>
      <c r="W116" s="9"/>
      <c r="X116" s="9"/>
      <c r="Y116" s="8"/>
      <c r="Z116" s="9"/>
      <c r="AA116" s="9"/>
      <c r="AB116" s="8"/>
      <c r="AC116" s="10"/>
      <c r="AD116" s="8"/>
      <c r="AE116" s="8"/>
      <c r="AF116" s="8"/>
      <c r="AG116" s="7"/>
      <c r="AH116" s="8"/>
      <c r="AI116" s="8"/>
      <c r="AJ116" s="8"/>
      <c r="AK116" s="8"/>
      <c r="AL116" s="8"/>
      <c r="AM116" s="8"/>
      <c r="AN116" s="8"/>
      <c r="AO116" s="8"/>
      <c r="AQ116" s="104">
        <v>45.46</v>
      </c>
      <c r="AR116" s="101"/>
      <c r="AS116" s="102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1"/>
      <c r="BD116" s="104"/>
      <c r="BE116" s="101"/>
      <c r="BF116" s="102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1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F116" s="277">
        <v>480498.67</v>
      </c>
      <c r="CG116" s="277">
        <f>SUMIF(Оборот!$A:$A,$B:$B,Оборот!I:I)</f>
        <v>0</v>
      </c>
      <c r="CH116" s="277">
        <f t="shared" si="12"/>
        <v>831594.39382763463</v>
      </c>
      <c r="CI116" s="239">
        <f t="shared" si="16"/>
        <v>0</v>
      </c>
      <c r="CJ116" s="276">
        <f>SUMIF('20Ф'!$H:$H,$B:$B,'20Ф'!M:M)*1.2</f>
        <v>0</v>
      </c>
      <c r="CK116" s="276">
        <f>SUMIF('20Ф'!$H:$H,$B:$B,'20Ф'!O:O)*1.2</f>
        <v>0</v>
      </c>
      <c r="CL116" s="276">
        <f>SUMIF('20Ф'!$H:$H,$B:$B,'20Ф'!Q:Q)*1.2</f>
        <v>0</v>
      </c>
      <c r="CM116" s="276">
        <f>SUMIF('20Ф'!$H:$H,$B:$B,'20Ф'!R:R)*1.2</f>
        <v>0</v>
      </c>
      <c r="CN116" s="276">
        <f>SUMIF('20Ф'!$H:$H,$B:$B,'20Ф'!S:S)*1.2</f>
        <v>0</v>
      </c>
      <c r="CO116" s="276">
        <f>SUMIF('20Ф'!$H:$H,$B:$B,'20Ф'!W:W)*1.2</f>
        <v>0</v>
      </c>
      <c r="CP116" s="276">
        <f>SUMIF('20Ф'!$H:$H,$B:$B,'20Ф'!P:P)*1.2</f>
        <v>0</v>
      </c>
      <c r="CQ116" s="276">
        <f>SUMIF('20Ф'!$H:$H,$B:$B,'20Ф'!Y:Y)*1.2</f>
        <v>0</v>
      </c>
      <c r="CR116" s="276">
        <f>SUMIF('20Ф'!$H:$H,$B:$B,'20Ф'!Z:Z)*1.2</f>
        <v>0</v>
      </c>
      <c r="CS116" s="276">
        <f>SUMIF('20Ф'!$H:$H,$B:$B,'20Ф'!AB:AB)*1.2</f>
        <v>0</v>
      </c>
      <c r="CT116" s="276">
        <f>SUMIF('20Ф'!$H:$H,$B:$B,'20Ф'!AC:AC)*1.2</f>
        <v>0</v>
      </c>
      <c r="CU116" s="276">
        <f>SUMIF('20Ф'!$H:$H,$B:$B,'20Ф'!AD:AD)*1.2</f>
        <v>0</v>
      </c>
      <c r="CV116" s="276">
        <f>SUMIF('20Ф'!$H:$H,$B:$B,'20Ф'!AE:AE)*1.2</f>
        <v>0</v>
      </c>
      <c r="CW116" s="276">
        <f>SUMIF('20Ф'!$H:$H,$B:$B,'20Ф'!AF:AF)*1.2</f>
        <v>0</v>
      </c>
      <c r="CX116" s="276">
        <f>SUMIF('20Ф'!$H:$H,$B:$B,'20Ф'!AG:AG)*1.2</f>
        <v>0</v>
      </c>
      <c r="CY116" s="276">
        <f>SUMIF('20Ф'!$H:$H,$B:$B,'20Ф'!AH:AH)*1.2</f>
        <v>0</v>
      </c>
      <c r="CZ116" s="276">
        <f>SUMIF('20Ф'!$H:$H,$B:$B,'20Ф'!AI:AI)*1.2</f>
        <v>0</v>
      </c>
      <c r="DA116" s="276">
        <f>SUMIF('20Ф'!$H:$H,$B:$B,'20Ф'!AJ:AJ)*1.2</f>
        <v>0</v>
      </c>
      <c r="DB116" s="276">
        <f>SUMIF('20Ф'!$H:$H,$B:$B,'20Ф'!AK:AK)*1.2</f>
        <v>0</v>
      </c>
      <c r="DC116" s="276">
        <f>SUMIF('20Ф'!$H:$H,$B:$B,'20Ф'!AL:AL)*1.2</f>
        <v>0</v>
      </c>
      <c r="DD116" s="276">
        <f>SUMIF('20Ф'!$H:$H,$B:$B,'20Ф'!AM:AM)*1.2</f>
        <v>0</v>
      </c>
      <c r="DE116" s="276">
        <f>SUMIF('20Ф'!$H:$H,$B:$B,'20Ф'!AN:AN)*1.2</f>
        <v>0</v>
      </c>
      <c r="DF116" s="276">
        <f>SUMIF('20Ф'!$H:$H,$B:$B,'20Ф'!AO:AO)*1.2</f>
        <v>0</v>
      </c>
      <c r="DG116" s="276">
        <f>SUMIF('20Ф'!$H:$H,$B:$B,'20Ф'!AP:AP)*1.2</f>
        <v>0</v>
      </c>
      <c r="DH116" s="276">
        <f>SUMIF('20Ф'!$H:$H,$B:$B,'20Ф'!AQ:AQ)*1.2</f>
        <v>0</v>
      </c>
      <c r="DI116" s="276">
        <f>SUMIF('20Ф'!$H:$H,$B:$B,'20Ф'!BA:BA)*1.2</f>
        <v>0</v>
      </c>
      <c r="DJ116" s="276">
        <f>SUMIF('20Ф'!$H:$H,$B:$B,'20Ф'!BB:BB)*1.2</f>
        <v>0</v>
      </c>
      <c r="DK116" s="276">
        <f>SUMIF('20Ф'!$H:$H,$B:$B,'20Ф'!BC:BC)*1.2</f>
        <v>0</v>
      </c>
      <c r="DL116" s="276"/>
      <c r="DM116" s="240">
        <f t="shared" si="13"/>
        <v>259342.94848981139</v>
      </c>
      <c r="DN116" s="276">
        <f>SUMIF('20Ф'!$H:$H,$B:$B,'20Ф'!AV:AV)*1.2</f>
        <v>0</v>
      </c>
      <c r="DO116" s="276">
        <f>SUMIF('20Ф'!$H:$H,$B:$B,'20Ф'!AW:AW)*1.2+$D116/$D$281*'26Ф'!$D$42*2.5/12</f>
        <v>13100.500978876074</v>
      </c>
      <c r="DP116" s="276">
        <f>SUMIF('20Ф'!$H:$H,$B:$B,'20Ф'!AX:AX)*1.2</f>
        <v>0</v>
      </c>
      <c r="DQ116" s="276">
        <f>SUMIF('20Ф'!$H:$H,$B:$B,'20Ф'!AY:AY)*1.2</f>
        <v>0</v>
      </c>
      <c r="DR116" s="276">
        <f>SUMIF('20Ф'!$H:$H,$B:$B,'20Ф'!AU:AU)*1.2</f>
        <v>0</v>
      </c>
      <c r="DS116" s="276">
        <f>SUMIF('20Ф'!$H:$H,$B:$B,'20Ф'!AS:AS)*1.2*2.5/12</f>
        <v>6351.7249999999995</v>
      </c>
      <c r="DT116" s="276">
        <f>SUMIF('20Ф'!$H:$H,$B:$B,'20Ф'!AR:AR)*1.2</f>
        <v>0</v>
      </c>
      <c r="DU116" s="276">
        <f>SUMIF('20Ф'!$H:$H,$B:$B,'20Ф'!X:X)*1.2</f>
        <v>0</v>
      </c>
      <c r="DV116" s="276">
        <f>SUMIF('20Ф'!$H:$H,$B:$B,'20Ф'!AA:AA)*1.2</f>
        <v>0</v>
      </c>
      <c r="DW116" s="276">
        <f>SUMIF('20Ф'!$H:$H,$B:$B,'20Ф'!N:N)*1.2</f>
        <v>8799.9959999999992</v>
      </c>
      <c r="DX116" s="276">
        <f>$D116/$D$281*('25Ф'!$D$37)*2.5/12</f>
        <v>220203.03242119355</v>
      </c>
      <c r="DY116" s="276">
        <f>$D116/$D$281*'25Ф'!$D$30*2.5/12</f>
        <v>7028.1895381417789</v>
      </c>
      <c r="DZ116" s="276">
        <f>$D116/$D$281*'25Ф'!$D$31*2.5/12</f>
        <v>3859.5045515999973</v>
      </c>
      <c r="EA116" s="276"/>
      <c r="EB116" s="276">
        <f t="shared" si="14"/>
        <v>135723.54936944676</v>
      </c>
      <c r="EC116" s="276">
        <f>$D116/$D$281*'26Ф'!$D$36*2.5/12</f>
        <v>72214.14408674989</v>
      </c>
      <c r="ED116" s="276">
        <f>$D116/$D$281*'26Ф'!$D$37*2.5/12</f>
        <v>8676.4522858135697</v>
      </c>
      <c r="EE116" s="276">
        <f>$D116/$D$281*'26Ф'!$D$38*2.5/12</f>
        <v>8765.4378417524895</v>
      </c>
      <c r="EF116" s="276">
        <f>$D116/$D$281*'26Ф'!$D$39*2.5/12</f>
        <v>6148.9466459811965</v>
      </c>
      <c r="EG116" s="276">
        <f>$D116/$D$281*'91Ф'!$D$10*2.5/12</f>
        <v>1896.9474829725732</v>
      </c>
      <c r="EH116" s="276">
        <f>$D116/$D$281*('20Ф'!$I$509+'26Ф'!$D$41+'20Ф'!$I$507)*2.5/12</f>
        <v>13420.278806792005</v>
      </c>
      <c r="EI116" s="276">
        <f>$D116/$D$281*'91Ф'!$D$31*2.5/12</f>
        <v>24601.342219385046</v>
      </c>
      <c r="EJ116" s="276"/>
      <c r="EK116" s="276">
        <f>$D116/$D$281*('20Ф'!$I$1105+'20Ф'!$I$1282+'91Ф'!$D$17+'91Ф'!$D$41)*2.5/12</f>
        <v>98780.066393956033</v>
      </c>
      <c r="EL116" s="276">
        <f>$D116/$D$281*отчёт!BX$294*2.5/12</f>
        <v>165130.14544168476</v>
      </c>
      <c r="EM116" s="276">
        <f>$D116/$D$281*отчёт!BY$294*2.5/12</f>
        <v>145223.09905344009</v>
      </c>
      <c r="EN116" s="276">
        <f>SUMIF(отчёт!$B:$B,$B:$B,отчёт!BZ:BZ)/отчёт!BZ$281*('60Ф'!$O$151+'60Ф'!$P$151)*отчёт!BZ$293</f>
        <v>0</v>
      </c>
      <c r="EO116" s="240">
        <f t="shared" ref="EO116:EO121" si="24">SUBTOTAL(9,EP116:ER116)</f>
        <v>14375.855146373919</v>
      </c>
      <c r="EP116" s="276">
        <f>SUMIF('20Ф'!$H:$H,$B:$B,'20Ф'!T:T)*1.2</f>
        <v>0</v>
      </c>
      <c r="EQ116" s="276">
        <f>SUM(H116:I116)/SUM($H$284:$I$284)*SUM('60Ф'!$O$155:$P$155)*0.5/12</f>
        <v>14375.855146373919</v>
      </c>
      <c r="ER116" s="276"/>
      <c r="ES116" s="239">
        <f t="shared" si="17"/>
        <v>0</v>
      </c>
      <c r="ET116" s="276"/>
      <c r="EU116" s="276"/>
      <c r="EV116" s="276"/>
      <c r="EW116" s="276">
        <f>(SUMIF('91.1Ф'!$N:$N,$B:$B,'91.1Ф'!$F:$F)+$D116/$D$281*('91Ф'!$D$12+'91Ф'!$D$11+'91Ф'!$D$19+'91Ф'!$D$20))*2.5/12</f>
        <v>13018.729932921588</v>
      </c>
      <c r="EX116" s="276">
        <f t="shared" si="15"/>
        <v>0</v>
      </c>
      <c r="EY116" s="276">
        <f>SUMIF('20Ф'!$H:$H,$B:$B,'20Ф'!$AY:$AY)*1.2</f>
        <v>0</v>
      </c>
      <c r="EZ116" s="236"/>
      <c r="FA116" s="277">
        <f>SUMIF(отчёт!$B:$B,$B:$B,отчёт!$CU:$CU)/отчёт!$CU$281*'20Ф'!$I$1341</f>
        <v>0</v>
      </c>
      <c r="FB116" s="276">
        <f>SUMIF(Сальдо!$A:$A,$B:$B,Сальдо!$H:$H)-SUMIF(Сальдо!$A:$A,$B:$B,Сальдо!$I:$I)</f>
        <v>0</v>
      </c>
    </row>
    <row r="117" spans="1:158" ht="12" customHeight="1" x14ac:dyDescent="0.25">
      <c r="A117" s="3">
        <f t="shared" si="18"/>
        <v>113</v>
      </c>
      <c r="B117" s="4" t="s">
        <v>162</v>
      </c>
      <c r="C117" s="4" t="s">
        <v>162</v>
      </c>
      <c r="D117" s="5">
        <v>3012.52</v>
      </c>
      <c r="E117" s="6">
        <v>2702.9</v>
      </c>
      <c r="F117" s="6">
        <v>309.62</v>
      </c>
      <c r="G117" s="6">
        <v>314.25</v>
      </c>
      <c r="H117" s="5">
        <f>SUMIF(отчёт!$B:$B,$B:$B,отчёт!I:I)</f>
        <v>1</v>
      </c>
      <c r="I117" s="5">
        <f>SUMIF(отчёт!$B:$B,$B:$B,отчёт!J:J)</f>
        <v>0</v>
      </c>
      <c r="J117" s="3" t="s">
        <v>111</v>
      </c>
      <c r="K117" s="105">
        <v>3</v>
      </c>
      <c r="L117" s="105" t="s">
        <v>52</v>
      </c>
      <c r="M117" s="7">
        <v>45.06</v>
      </c>
      <c r="N117" s="8">
        <v>5.0999999999999996</v>
      </c>
      <c r="O117" s="8">
        <v>8.6300000000000008</v>
      </c>
      <c r="P117" s="8">
        <v>13.43</v>
      </c>
      <c r="Q117" s="8">
        <v>6.91</v>
      </c>
      <c r="R117" s="8">
        <v>3.15</v>
      </c>
      <c r="S117" s="8">
        <v>1.81</v>
      </c>
      <c r="T117" s="8">
        <v>5.77</v>
      </c>
      <c r="U117" s="8">
        <v>0.26</v>
      </c>
      <c r="V117" s="9">
        <v>40</v>
      </c>
      <c r="W117" s="9">
        <v>40</v>
      </c>
      <c r="X117" s="9">
        <v>2604.04</v>
      </c>
      <c r="Y117" s="8">
        <v>195.98199600000001</v>
      </c>
      <c r="Z117" s="9">
        <v>42.3</v>
      </c>
      <c r="AA117" s="9">
        <v>2604.04</v>
      </c>
      <c r="AB117" s="8">
        <v>7.85</v>
      </c>
      <c r="AC117" s="10">
        <v>0</v>
      </c>
      <c r="AD117" s="8">
        <v>6.73</v>
      </c>
      <c r="AE117" s="8">
        <v>10.67</v>
      </c>
      <c r="AF117" s="8">
        <v>14</v>
      </c>
      <c r="AG117" s="7">
        <v>814464.90720000002</v>
      </c>
      <c r="AH117" s="8">
        <v>92183.111999999994</v>
      </c>
      <c r="AI117" s="8">
        <v>155988.2856</v>
      </c>
      <c r="AJ117" s="8">
        <v>242748.86159999997</v>
      </c>
      <c r="AK117" s="8">
        <v>124899.07920000001</v>
      </c>
      <c r="AL117" s="8">
        <v>56936.627999999997</v>
      </c>
      <c r="AM117" s="8">
        <v>32715.967200000003</v>
      </c>
      <c r="AN117" s="8">
        <v>104293.4424</v>
      </c>
      <c r="AO117" s="8">
        <v>4699.5312000000004</v>
      </c>
      <c r="AQ117" s="104">
        <v>48.44</v>
      </c>
      <c r="AR117" s="375">
        <v>18.489999999999998</v>
      </c>
      <c r="AS117" s="376"/>
      <c r="AT117" s="104">
        <v>6.67</v>
      </c>
      <c r="AU117" s="104">
        <v>1.53</v>
      </c>
      <c r="AV117" s="104">
        <v>0.32</v>
      </c>
      <c r="AW117" s="104">
        <v>0.87</v>
      </c>
      <c r="AX117" s="104">
        <v>5.01</v>
      </c>
      <c r="AY117" s="104">
        <v>4.99</v>
      </c>
      <c r="AZ117" s="104">
        <v>2.7</v>
      </c>
      <c r="BA117" s="104">
        <v>6.46</v>
      </c>
      <c r="BB117" s="104">
        <v>0.47</v>
      </c>
      <c r="BC117" s="101">
        <v>0.93</v>
      </c>
      <c r="BD117" s="104">
        <v>54.88252</v>
      </c>
      <c r="BE117" s="375">
        <v>20.949169999999999</v>
      </c>
      <c r="BF117" s="376">
        <v>0</v>
      </c>
      <c r="BG117" s="104">
        <v>7.5571100000000007</v>
      </c>
      <c r="BH117" s="104">
        <v>1.7334900000000002</v>
      </c>
      <c r="BI117" s="104">
        <v>0.36256000000000005</v>
      </c>
      <c r="BJ117" s="104">
        <v>0.98571000000000009</v>
      </c>
      <c r="BK117" s="104">
        <v>5.6763300000000001</v>
      </c>
      <c r="BL117" s="104">
        <v>5.65367</v>
      </c>
      <c r="BM117" s="104">
        <v>3.0591000000000004</v>
      </c>
      <c r="BN117" s="104">
        <v>7.3191800000000002</v>
      </c>
      <c r="BO117" s="104">
        <v>0.53250999999999993</v>
      </c>
      <c r="BP117" s="101">
        <v>1.05369</v>
      </c>
      <c r="BQ117" s="103">
        <v>1945199.8291039998</v>
      </c>
      <c r="BR117" s="371">
        <v>742500.9256839999</v>
      </c>
      <c r="BS117" s="371">
        <v>0</v>
      </c>
      <c r="BT117" s="103">
        <v>267846.46697200002</v>
      </c>
      <c r="BU117" s="103">
        <v>61440.044148000001</v>
      </c>
      <c r="BV117" s="103">
        <v>12850.205312</v>
      </c>
      <c r="BW117" s="103">
        <v>34936.495692000004</v>
      </c>
      <c r="BX117" s="103">
        <v>201186.026916</v>
      </c>
      <c r="BY117" s="103">
        <v>200382.88908399999</v>
      </c>
      <c r="BZ117" s="103">
        <v>108423.60732000002</v>
      </c>
      <c r="CA117" s="103">
        <v>259413.51973600002</v>
      </c>
      <c r="CB117" s="103">
        <v>18873.739051999997</v>
      </c>
      <c r="CC117" s="103">
        <v>37345.909187999998</v>
      </c>
      <c r="CD117" s="1">
        <v>1</v>
      </c>
      <c r="CF117" s="277">
        <f>SUMIF(Оборот!$A:$A,$B:$B,Оборот!H:H)</f>
        <v>1497158.2899999996</v>
      </c>
      <c r="CG117" s="277">
        <f>SUMIF(Оборот!$A:$A,$B:$B,Оборот!I:I)</f>
        <v>1519080.7000000002</v>
      </c>
      <c r="CH117" s="277">
        <f t="shared" si="12"/>
        <v>1408618.3019698965</v>
      </c>
      <c r="CI117" s="239">
        <f t="shared" si="16"/>
        <v>26496.122167931251</v>
      </c>
      <c r="CJ117" s="276">
        <f>SUMIF('20Ф'!$H:$H,$B:$B,'20Ф'!M:M)*1.2</f>
        <v>0</v>
      </c>
      <c r="CK117" s="276">
        <f>SUMIF('20Ф'!$H:$H,$B:$B,'20Ф'!O:O)*1.2</f>
        <v>0</v>
      </c>
      <c r="CL117" s="276">
        <f>SUMIF('20Ф'!$H:$H,$B:$B,'20Ф'!Q:Q)*1.2</f>
        <v>0</v>
      </c>
      <c r="CM117" s="276">
        <f>SUMIF('20Ф'!$H:$H,$B:$B,'20Ф'!R:R)*1.2</f>
        <v>0</v>
      </c>
      <c r="CN117" s="276">
        <f>SUMIF('20Ф'!$H:$H,$B:$B,'20Ф'!S:S)*1.2</f>
        <v>0</v>
      </c>
      <c r="CO117" s="276">
        <f>SUMIF('20Ф'!$H:$H,$B:$B,'20Ф'!W:W)*1.2</f>
        <v>0</v>
      </c>
      <c r="CP117" s="276">
        <f>SUMIF('20Ф'!$H:$H,$B:$B,'20Ф'!P:P)*1.2</f>
        <v>0</v>
      </c>
      <c r="CQ117" s="276">
        <f>SUMIF('20Ф'!$H:$H,$B:$B,'20Ф'!Y:Y)*1.2</f>
        <v>0</v>
      </c>
      <c r="CR117" s="276">
        <f>SUMIF('20Ф'!$H:$H,$B:$B,'20Ф'!Z:Z)*1.2</f>
        <v>0</v>
      </c>
      <c r="CS117" s="276">
        <f>SUMIF('20Ф'!$H:$H,$B:$B,'20Ф'!AB:AB)*1.2</f>
        <v>0</v>
      </c>
      <c r="CT117" s="276">
        <f>SUMIF('20Ф'!$H:$H,$B:$B,'20Ф'!AC:AC)*1.2</f>
        <v>0</v>
      </c>
      <c r="CU117" s="276">
        <f>SUMIF('20Ф'!$H:$H,$B:$B,'20Ф'!AD:AD)*1.2</f>
        <v>0</v>
      </c>
      <c r="CV117" s="276">
        <f>SUMIF('20Ф'!$H:$H,$B:$B,'20Ф'!AE:AE)*1.2</f>
        <v>0</v>
      </c>
      <c r="CW117" s="276">
        <f>SUMIF('20Ф'!$H:$H,$B:$B,'20Ф'!AF:AF)*1.2</f>
        <v>0</v>
      </c>
      <c r="CX117" s="276">
        <f>SUMIF('20Ф'!$H:$H,$B:$B,'20Ф'!AG:AG)*1.2</f>
        <v>0</v>
      </c>
      <c r="CY117" s="276">
        <f>SUMIF('20Ф'!$H:$H,$B:$B,'20Ф'!AH:AH)*1.2</f>
        <v>0</v>
      </c>
      <c r="CZ117" s="276">
        <f>SUMIF('20Ф'!$H:$H,$B:$B,'20Ф'!AI:AI)*1.2</f>
        <v>0</v>
      </c>
      <c r="DA117" s="276">
        <f>SUMIF('20Ф'!$H:$H,$B:$B,'20Ф'!AJ:AJ)*1.2</f>
        <v>0</v>
      </c>
      <c r="DB117" s="276">
        <f>SUMIF('20Ф'!$H:$H,$B:$B,'20Ф'!AK:AK)*1.2</f>
        <v>0</v>
      </c>
      <c r="DC117" s="276">
        <f>SUMIF('20Ф'!$H:$H,$B:$B,'20Ф'!AL:AL)*1.2</f>
        <v>0</v>
      </c>
      <c r="DD117" s="276">
        <f>SUMIF('20Ф'!$H:$H,$B:$B,'20Ф'!AM:AM)*1.2</f>
        <v>0</v>
      </c>
      <c r="DE117" s="276">
        <f>SUMIF('20Ф'!$H:$H,$B:$B,'20Ф'!AN:AN)*1.2</f>
        <v>0</v>
      </c>
      <c r="DF117" s="276">
        <f>SUMIF('20Ф'!$H:$H,$B:$B,'20Ф'!AO:AO)*1.2</f>
        <v>0</v>
      </c>
      <c r="DG117" s="276">
        <f>SUMIF('20Ф'!$H:$H,$B:$B,'20Ф'!AP:AP)*1.2</f>
        <v>0</v>
      </c>
      <c r="DH117" s="276">
        <f>SUMIF('20Ф'!$H:$H,$B:$B,'20Ф'!AQ:AQ)*1.2</f>
        <v>0</v>
      </c>
      <c r="DI117" s="276">
        <f>SUMIF('20Ф'!$H:$H,$B:$B,'20Ф'!BA:BA)*1.2</f>
        <v>0</v>
      </c>
      <c r="DJ117" s="276">
        <f>SUMIF('20Ф'!$H:$H,$B:$B,'20Ф'!BB:BB)*1.2</f>
        <v>0</v>
      </c>
      <c r="DK117" s="276">
        <f>SUMIF('20Ф'!$H:$H,$B:$B,'20Ф'!BC:BC)*1.2</f>
        <v>0</v>
      </c>
      <c r="DL117" s="276">
        <f>$D117/$D$281*'20Ф'!$H$218</f>
        <v>26496.122167931251</v>
      </c>
      <c r="DM117" s="240">
        <f t="shared" si="13"/>
        <v>541622.00965830893</v>
      </c>
      <c r="DN117" s="276">
        <f>SUMIF('20Ф'!$H:$H,$B:$B,'20Ф'!AV:AV)*1.2</f>
        <v>0</v>
      </c>
      <c r="DO117" s="276">
        <f>SUMIF('20Ф'!$H:$H,$B:$B,'20Ф'!AW:AW)*1.2+$D117/$D$281*'26Ф'!$D$42</f>
        <v>14099.864669126029</v>
      </c>
      <c r="DP117" s="276">
        <f>SUMIF('20Ф'!$H:$H,$B:$B,'20Ф'!AX:AX)*1.2</f>
        <v>0</v>
      </c>
      <c r="DQ117" s="276">
        <f>SUMIF('20Ф'!$H:$H,$B:$B,'20Ф'!AY:AY)*1.2</f>
        <v>53318.015999999996</v>
      </c>
      <c r="DR117" s="276">
        <f>SUMIF('20Ф'!$H:$H,$B:$B,'20Ф'!AU:AU)*1.2</f>
        <v>0</v>
      </c>
      <c r="DS117" s="276">
        <f>SUMIF('20Ф'!$H:$H,$B:$B,'20Ф'!AS:AS)*1.2</f>
        <v>225484.78799999997</v>
      </c>
      <c r="DT117" s="276">
        <f>SUMIF('20Ф'!$H:$H,$B:$B,'20Ф'!AR:AR)*1.2</f>
        <v>0</v>
      </c>
      <c r="DU117" s="276">
        <f>SUMIF('20Ф'!$H:$H,$B:$B,'20Ф'!X:X)*1.2</f>
        <v>0</v>
      </c>
      <c r="DV117" s="276">
        <f>SUMIF('20Ф'!$H:$H,$B:$B,'20Ф'!AA:AA)*1.2</f>
        <v>0</v>
      </c>
      <c r="DW117" s="276">
        <f>SUMIF('20Ф'!$H:$H,$B:$B,'20Ф'!N:N)*1.2</f>
        <v>0</v>
      </c>
      <c r="DX117" s="276">
        <f>$D117/$D$281*('25Ф'!$D$37)</f>
        <v>237001.08582690029</v>
      </c>
      <c r="DY117" s="276">
        <f>$D117/$D$281*'25Ф'!$D$30</f>
        <v>7564.3306707548672</v>
      </c>
      <c r="DZ117" s="276">
        <f>$D117/$D$281*'25Ф'!$D$31</f>
        <v>4153.9244915276977</v>
      </c>
      <c r="EA117" s="276"/>
      <c r="EB117" s="276">
        <f t="shared" si="14"/>
        <v>149314.40381690985</v>
      </c>
      <c r="EC117" s="276">
        <f>$D117/$D$281*'26Ф'!$D$36</f>
        <v>77722.955821441879</v>
      </c>
      <c r="ED117" s="276">
        <f>$D117/$D$281*'26Ф'!$D$37</f>
        <v>9338.3301322111802</v>
      </c>
      <c r="EE117" s="276">
        <f>$D117/$D$281*'26Ф'!$D$38</f>
        <v>9434.1038967617769</v>
      </c>
      <c r="EF117" s="276">
        <f>$D117/$D$281*'26Ф'!$D$39</f>
        <v>6618.0152732944889</v>
      </c>
      <c r="EG117" s="276">
        <f>$D117/$D$281*'91Ф'!$D$10</f>
        <v>2041.654959415697</v>
      </c>
      <c r="EH117" s="276">
        <f>$D117/$D$281*('20Ф'!$I$509+'26Ф'!$D$41+'20Ф'!$I$507)</f>
        <v>14444.036552710631</v>
      </c>
      <c r="EI117" s="276">
        <f>$D117/$D$281*'91Ф'!$D$31</f>
        <v>26478.040536885259</v>
      </c>
      <c r="EJ117" s="276">
        <f>$D117/$D$281*'20Ф'!$I$1316</f>
        <v>3237.266644188941</v>
      </c>
      <c r="EK117" s="276">
        <f>$D117/$D$281*('20Ф'!$I$1105+'20Ф'!$I$1282+'91Ф'!$D$17+'91Ф'!$D$41)</f>
        <v>106315.44323441244</v>
      </c>
      <c r="EL117" s="276">
        <f>$D117/$D$281*отчёт!BX$294</f>
        <v>177726.99740835448</v>
      </c>
      <c r="EM117" s="276">
        <f>$D117/$D$281*отчёт!BY$294</f>
        <v>156301.35418380468</v>
      </c>
      <c r="EN117" s="276">
        <f>$D117/$D$283*отчёт!BZ$294</f>
        <v>28051.207188028238</v>
      </c>
      <c r="EO117" s="240">
        <f t="shared" si="24"/>
        <v>93850.552750498988</v>
      </c>
      <c r="EP117" s="276">
        <f>SUMIF('20Ф'!$H:$H,$B:$B,'20Ф'!T:T)*1.2</f>
        <v>4918.848</v>
      </c>
      <c r="EQ117" s="276">
        <f>SUM(H117:I117)/SUM($H$284:$I$284)*SUM('60Ф'!$O$155:$P$155)</f>
        <v>86255.130878243508</v>
      </c>
      <c r="ER117" s="276">
        <f>SUM($H117:$I117)/SUM($H$284:$I$284)*SUM('60Ф'!$P$227)</f>
        <v>2676.5738722554888</v>
      </c>
      <c r="ES117" s="239">
        <f t="shared" si="17"/>
        <v>59485.293722785937</v>
      </c>
      <c r="ET117" s="276">
        <f>$D117/$D$282*'20Ф'!$I$381</f>
        <v>4546.5179934505632</v>
      </c>
      <c r="EU117" s="276">
        <f>$D117/$D$282*('20Ф'!$I$75+'20Ф'!$I$1098)*1.2</f>
        <v>52514.301148299252</v>
      </c>
      <c r="EV117" s="276">
        <f>$D117/$D$282*('20Ф'!$I$1286)</f>
        <v>2424.4745810361228</v>
      </c>
      <c r="EW117" s="276">
        <f>SUMIF('91.1Ф'!$N:$N,$B:$B,'91.1Ф'!$F:$F)+$D117/$D$281*('91Ф'!$D$12+'91Ф'!$D$11+'91Ф'!$D$19+'91Ф'!$D$20)</f>
        <v>14011.855769033562</v>
      </c>
      <c r="EX117" s="276">
        <f t="shared" si="15"/>
        <v>55443.062069828156</v>
      </c>
      <c r="EY117" s="276">
        <f>SUMIF('20Ф'!$H:$H,$B:$B,'20Ф'!$AY:$AY)*1.2</f>
        <v>53318.015999999996</v>
      </c>
      <c r="EZ117" s="295">
        <f>D117/$D$286*'20Ф'!$I$1163</f>
        <v>2125.0460698281636</v>
      </c>
      <c r="FA117" s="277">
        <f>SUMIF(отчёт!$B:$B,$B:$B,отчёт!$CU:$CU)/отчёт!$CU$281*'20Ф'!$I$1341</f>
        <v>920.96385542168503</v>
      </c>
      <c r="FB117" s="276">
        <f>SUMIF(Сальдо!$A:$A,$B:$B,Сальдо!$H:$H)-SUMIF(Сальдо!$A:$A,$B:$B,Сальдо!$I:$I)</f>
        <v>164814.93000000002</v>
      </c>
    </row>
    <row r="118" spans="1:158" ht="12" customHeight="1" x14ac:dyDescent="0.25">
      <c r="A118" s="3">
        <f t="shared" si="18"/>
        <v>114</v>
      </c>
      <c r="B118" s="4" t="s">
        <v>163</v>
      </c>
      <c r="C118" s="4" t="s">
        <v>163</v>
      </c>
      <c r="D118" s="5">
        <v>3374</v>
      </c>
      <c r="E118" s="6">
        <v>3027.22</v>
      </c>
      <c r="F118" s="6">
        <v>346.78</v>
      </c>
      <c r="G118" s="6">
        <v>351.95</v>
      </c>
      <c r="H118" s="5">
        <f>SUMIF(отчёт!$B:$B,$B:$B,отчёт!I:I)</f>
        <v>1</v>
      </c>
      <c r="I118" s="5">
        <f>SUMIF(отчёт!$B:$B,$B:$B,отчёт!J:J)</f>
        <v>0</v>
      </c>
      <c r="J118" s="3" t="s">
        <v>111</v>
      </c>
      <c r="K118" s="105">
        <v>3</v>
      </c>
      <c r="L118" s="105" t="s">
        <v>52</v>
      </c>
      <c r="M118" s="7">
        <v>45.06</v>
      </c>
      <c r="N118" s="8">
        <v>5.0999999999999996</v>
      </c>
      <c r="O118" s="8">
        <v>8.6300000000000008</v>
      </c>
      <c r="P118" s="8">
        <v>13.43</v>
      </c>
      <c r="Q118" s="8">
        <v>6.91</v>
      </c>
      <c r="R118" s="8">
        <v>3.15</v>
      </c>
      <c r="S118" s="8">
        <v>1.81</v>
      </c>
      <c r="T118" s="8">
        <v>5.77</v>
      </c>
      <c r="U118" s="8">
        <v>0.26</v>
      </c>
      <c r="V118" s="9">
        <v>40</v>
      </c>
      <c r="W118" s="9">
        <v>40</v>
      </c>
      <c r="X118" s="9">
        <v>2604.04</v>
      </c>
      <c r="Y118" s="8">
        <v>195.98199600000001</v>
      </c>
      <c r="Z118" s="9">
        <v>42.3</v>
      </c>
      <c r="AA118" s="9">
        <v>2604.04</v>
      </c>
      <c r="AB118" s="8">
        <v>7.85</v>
      </c>
      <c r="AC118" s="10">
        <v>0</v>
      </c>
      <c r="AD118" s="8">
        <v>6.73</v>
      </c>
      <c r="AE118" s="8">
        <v>10.67</v>
      </c>
      <c r="AF118" s="8">
        <v>14</v>
      </c>
      <c r="AG118" s="7">
        <v>912194.64</v>
      </c>
      <c r="AH118" s="8">
        <v>103244.4</v>
      </c>
      <c r="AI118" s="8">
        <v>174705.72000000003</v>
      </c>
      <c r="AJ118" s="8">
        <v>271876.92</v>
      </c>
      <c r="AK118" s="8">
        <v>139886.04</v>
      </c>
      <c r="AL118" s="8">
        <v>63768.600000000006</v>
      </c>
      <c r="AM118" s="8">
        <v>36641.64</v>
      </c>
      <c r="AN118" s="8">
        <v>116807.88</v>
      </c>
      <c r="AO118" s="8">
        <v>5263.4400000000005</v>
      </c>
      <c r="AQ118" s="104">
        <v>48.44</v>
      </c>
      <c r="AR118" s="375">
        <v>18.489999999999998</v>
      </c>
      <c r="AS118" s="376"/>
      <c r="AT118" s="104">
        <v>6.67</v>
      </c>
      <c r="AU118" s="104">
        <v>1.53</v>
      </c>
      <c r="AV118" s="104">
        <v>0.32</v>
      </c>
      <c r="AW118" s="104">
        <v>0.87</v>
      </c>
      <c r="AX118" s="104">
        <v>5.01</v>
      </c>
      <c r="AY118" s="104">
        <v>4.99</v>
      </c>
      <c r="AZ118" s="104">
        <v>2.7</v>
      </c>
      <c r="BA118" s="104">
        <v>6.46</v>
      </c>
      <c r="BB118" s="104">
        <v>0.47</v>
      </c>
      <c r="BC118" s="101">
        <v>0.93</v>
      </c>
      <c r="BD118" s="104">
        <v>54.88252</v>
      </c>
      <c r="BE118" s="375">
        <v>20.949169999999999</v>
      </c>
      <c r="BF118" s="376">
        <v>0</v>
      </c>
      <c r="BG118" s="104">
        <v>7.5571100000000007</v>
      </c>
      <c r="BH118" s="104">
        <v>1.7334900000000002</v>
      </c>
      <c r="BI118" s="104">
        <v>0.36256000000000005</v>
      </c>
      <c r="BJ118" s="104">
        <v>0.98571000000000009</v>
      </c>
      <c r="BK118" s="104">
        <v>5.6763300000000001</v>
      </c>
      <c r="BL118" s="104">
        <v>5.65367</v>
      </c>
      <c r="BM118" s="104">
        <v>3.0591000000000004</v>
      </c>
      <c r="BN118" s="104">
        <v>7.3191800000000002</v>
      </c>
      <c r="BO118" s="104">
        <v>0.53250999999999993</v>
      </c>
      <c r="BP118" s="101">
        <v>1.05369</v>
      </c>
      <c r="BQ118" s="103">
        <v>2178609.3448000001</v>
      </c>
      <c r="BR118" s="371">
        <v>831595.51579999994</v>
      </c>
      <c r="BS118" s="371">
        <v>0</v>
      </c>
      <c r="BT118" s="103">
        <v>299986.0514</v>
      </c>
      <c r="BU118" s="103">
        <v>68812.392600000006</v>
      </c>
      <c r="BV118" s="103">
        <v>14392.134400000001</v>
      </c>
      <c r="BW118" s="103">
        <v>39128.615400000002</v>
      </c>
      <c r="BX118" s="103">
        <v>225326.8542</v>
      </c>
      <c r="BY118" s="103">
        <v>224427.34580000001</v>
      </c>
      <c r="BZ118" s="103">
        <v>121433.63400000002</v>
      </c>
      <c r="CA118" s="103">
        <v>290541.2132</v>
      </c>
      <c r="CB118" s="103">
        <v>21138.447399999994</v>
      </c>
      <c r="CC118" s="103">
        <v>41827.140599999999</v>
      </c>
      <c r="CD118" s="1">
        <v>1</v>
      </c>
      <c r="CF118" s="277">
        <f>SUMIF(Оборот!$A:$A,$B:$B,Оборот!H:H)</f>
        <v>1677806.5000000005</v>
      </c>
      <c r="CG118" s="277">
        <f>SUMIF(Оборот!$A:$A,$B:$B,Оборот!I:I)</f>
        <v>1642380.03</v>
      </c>
      <c r="CH118" s="277">
        <f t="shared" si="12"/>
        <v>1189488.9588720477</v>
      </c>
      <c r="CI118" s="239">
        <f t="shared" si="16"/>
        <v>29675.459812582176</v>
      </c>
      <c r="CJ118" s="276">
        <f>SUMIF('20Ф'!$H:$H,$B:$B,'20Ф'!M:M)*1.2</f>
        <v>0</v>
      </c>
      <c r="CK118" s="276">
        <f>SUMIF('20Ф'!$H:$H,$B:$B,'20Ф'!O:O)*1.2</f>
        <v>0</v>
      </c>
      <c r="CL118" s="276">
        <f>SUMIF('20Ф'!$H:$H,$B:$B,'20Ф'!Q:Q)*1.2</f>
        <v>0</v>
      </c>
      <c r="CM118" s="276">
        <f>SUMIF('20Ф'!$H:$H,$B:$B,'20Ф'!R:R)*1.2</f>
        <v>0</v>
      </c>
      <c r="CN118" s="276">
        <f>SUMIF('20Ф'!$H:$H,$B:$B,'20Ф'!S:S)*1.2</f>
        <v>0</v>
      </c>
      <c r="CO118" s="276">
        <f>SUMIF('20Ф'!$H:$H,$B:$B,'20Ф'!W:W)*1.2</f>
        <v>0</v>
      </c>
      <c r="CP118" s="276">
        <f>SUMIF('20Ф'!$H:$H,$B:$B,'20Ф'!P:P)*1.2</f>
        <v>0</v>
      </c>
      <c r="CQ118" s="276">
        <f>SUMIF('20Ф'!$H:$H,$B:$B,'20Ф'!Y:Y)*1.2</f>
        <v>0</v>
      </c>
      <c r="CR118" s="276">
        <f>SUMIF('20Ф'!$H:$H,$B:$B,'20Ф'!Z:Z)*1.2</f>
        <v>0</v>
      </c>
      <c r="CS118" s="276">
        <f>SUMIF('20Ф'!$H:$H,$B:$B,'20Ф'!AB:AB)*1.2</f>
        <v>0</v>
      </c>
      <c r="CT118" s="276">
        <f>SUMIF('20Ф'!$H:$H,$B:$B,'20Ф'!AC:AC)*1.2</f>
        <v>0</v>
      </c>
      <c r="CU118" s="276">
        <f>SUMIF('20Ф'!$H:$H,$B:$B,'20Ф'!AD:AD)*1.2</f>
        <v>0</v>
      </c>
      <c r="CV118" s="276">
        <f>SUMIF('20Ф'!$H:$H,$B:$B,'20Ф'!AE:AE)*1.2</f>
        <v>0</v>
      </c>
      <c r="CW118" s="276">
        <f>SUMIF('20Ф'!$H:$H,$B:$B,'20Ф'!AF:AF)*1.2</f>
        <v>0</v>
      </c>
      <c r="CX118" s="276">
        <f>SUMIF('20Ф'!$H:$H,$B:$B,'20Ф'!AG:AG)*1.2</f>
        <v>0</v>
      </c>
      <c r="CY118" s="276">
        <f>SUMIF('20Ф'!$H:$H,$B:$B,'20Ф'!AH:AH)*1.2</f>
        <v>0</v>
      </c>
      <c r="CZ118" s="276">
        <f>SUMIF('20Ф'!$H:$H,$B:$B,'20Ф'!AI:AI)*1.2</f>
        <v>0</v>
      </c>
      <c r="DA118" s="276">
        <f>SUMIF('20Ф'!$H:$H,$B:$B,'20Ф'!AJ:AJ)*1.2</f>
        <v>0</v>
      </c>
      <c r="DB118" s="276">
        <f>SUMIF('20Ф'!$H:$H,$B:$B,'20Ф'!AK:AK)*1.2</f>
        <v>0</v>
      </c>
      <c r="DC118" s="276">
        <f>SUMIF('20Ф'!$H:$H,$B:$B,'20Ф'!AL:AL)*1.2</f>
        <v>0</v>
      </c>
      <c r="DD118" s="276">
        <f>SUMIF('20Ф'!$H:$H,$B:$B,'20Ф'!AM:AM)*1.2</f>
        <v>0</v>
      </c>
      <c r="DE118" s="276">
        <f>SUMIF('20Ф'!$H:$H,$B:$B,'20Ф'!AN:AN)*1.2</f>
        <v>0</v>
      </c>
      <c r="DF118" s="276">
        <f>SUMIF('20Ф'!$H:$H,$B:$B,'20Ф'!AO:AO)*1.2</f>
        <v>0</v>
      </c>
      <c r="DG118" s="276">
        <f>SUMIF('20Ф'!$H:$H,$B:$B,'20Ф'!AP:AP)*1.2</f>
        <v>0</v>
      </c>
      <c r="DH118" s="276">
        <f>SUMIF('20Ф'!$H:$H,$B:$B,'20Ф'!AQ:AQ)*1.2</f>
        <v>0</v>
      </c>
      <c r="DI118" s="276">
        <f>SUMIF('20Ф'!$H:$H,$B:$B,'20Ф'!BA:BA)*1.2</f>
        <v>0</v>
      </c>
      <c r="DJ118" s="276">
        <f>SUMIF('20Ф'!$H:$H,$B:$B,'20Ф'!BB:BB)*1.2</f>
        <v>0</v>
      </c>
      <c r="DK118" s="276">
        <f>SUMIF('20Ф'!$H:$H,$B:$B,'20Ф'!BC:BC)*1.2</f>
        <v>0</v>
      </c>
      <c r="DL118" s="276">
        <f>$D118/$D$281*'20Ф'!$H$218</f>
        <v>29675.459812582176</v>
      </c>
      <c r="DM118" s="240">
        <f t="shared" si="13"/>
        <v>294355.55610954762</v>
      </c>
      <c r="DN118" s="276">
        <f>SUMIF('20Ф'!$H:$H,$B:$B,'20Ф'!AV:AV)*1.2</f>
        <v>0</v>
      </c>
      <c r="DO118" s="276">
        <f>SUMIF('20Ф'!$H:$H,$B:$B,'20Ф'!AW:AW)*1.2+$D118/$D$281*'26Ф'!$D$42</f>
        <v>15791.74358796995</v>
      </c>
      <c r="DP118" s="276">
        <f>SUMIF('20Ф'!$H:$H,$B:$B,'20Ф'!AX:AX)*1.2</f>
        <v>0</v>
      </c>
      <c r="DQ118" s="276">
        <f>SUMIF('20Ф'!$H:$H,$B:$B,'20Ф'!AY:AY)*1.2</f>
        <v>0</v>
      </c>
      <c r="DR118" s="276">
        <f>SUMIF('20Ф'!$H:$H,$B:$B,'20Ф'!AU:AU)*1.2</f>
        <v>0</v>
      </c>
      <c r="DS118" s="276">
        <f>SUMIF('20Ф'!$H:$H,$B:$B,'20Ф'!AS:AS)*1.2</f>
        <v>0</v>
      </c>
      <c r="DT118" s="276">
        <f>SUMIF('20Ф'!$H:$H,$B:$B,'20Ф'!AR:AR)*1.2</f>
        <v>0</v>
      </c>
      <c r="DU118" s="276">
        <f>SUMIF('20Ф'!$H:$H,$B:$B,'20Ф'!X:X)*1.2</f>
        <v>0</v>
      </c>
      <c r="DV118" s="276">
        <f>SUMIF('20Ф'!$H:$H,$B:$B,'20Ф'!AA:AA)*1.2</f>
        <v>0</v>
      </c>
      <c r="DW118" s="276">
        <f>SUMIF('20Ф'!$H:$H,$B:$B,'20Ф'!N:N)*1.2</f>
        <v>0</v>
      </c>
      <c r="DX118" s="276">
        <f>$D118/$D$281*('25Ф'!$D$37)</f>
        <v>265439.45387249271</v>
      </c>
      <c r="DY118" s="276">
        <f>$D118/$D$281*'25Ф'!$D$30</f>
        <v>8471.9941056414318</v>
      </c>
      <c r="DZ118" s="276">
        <f>$D118/$D$281*'25Ф'!$D$31</f>
        <v>4652.3645434435139</v>
      </c>
      <c r="EA118" s="276"/>
      <c r="EB118" s="276">
        <f t="shared" si="14"/>
        <v>167231.0220274899</v>
      </c>
      <c r="EC118" s="276">
        <f>$D118/$D$281*'26Ф'!$D$36</f>
        <v>87049.13260046237</v>
      </c>
      <c r="ED118" s="276">
        <f>$D118/$D$281*'26Ф'!$D$37</f>
        <v>10458.860311659517</v>
      </c>
      <c r="EE118" s="276">
        <f>$D118/$D$281*'26Ф'!$D$38</f>
        <v>10566.126215817401</v>
      </c>
      <c r="EF118" s="276">
        <f>$D118/$D$281*'26Ф'!$D$39</f>
        <v>7412.1278969419654</v>
      </c>
      <c r="EG118" s="276">
        <f>$D118/$D$281*'91Ф'!$D$10</f>
        <v>2286.6383735439308</v>
      </c>
      <c r="EH118" s="276">
        <f>$D118/$D$281*('20Ф'!$I$509+'26Ф'!$D$41+'20Ф'!$I$507)</f>
        <v>16177.213538448103</v>
      </c>
      <c r="EI118" s="276">
        <f>$D118/$D$281*'91Ф'!$D$31</f>
        <v>29655.208520259079</v>
      </c>
      <c r="EJ118" s="276">
        <f>$D118/$D$281*'20Ф'!$I$1316</f>
        <v>3625.714570357537</v>
      </c>
      <c r="EK118" s="276">
        <f>$D118/$D$281*('20Ф'!$I$1105+'20Ф'!$I$1282+'91Ф'!$D$17+'91Ф'!$D$41)</f>
        <v>119072.5058996812</v>
      </c>
      <c r="EL118" s="276">
        <f>$D118/$D$281*отчёт!BX$294</f>
        <v>199052.91558422451</v>
      </c>
      <c r="EM118" s="276">
        <f>$D118/$D$281*отчёт!BY$294</f>
        <v>175056.35448599746</v>
      </c>
      <c r="EN118" s="276">
        <f>$D118/$D$283*отчёт!BZ$294</f>
        <v>31417.143472045755</v>
      </c>
      <c r="EO118" s="240">
        <f t="shared" si="24"/>
        <v>88931.70475049899</v>
      </c>
      <c r="EP118" s="276">
        <f>SUMIF('20Ф'!$H:$H,$B:$B,'20Ф'!T:T)*1.2</f>
        <v>0</v>
      </c>
      <c r="EQ118" s="276">
        <f>SUM(H118:I118)/SUM($H$284:$I$284)*SUM('60Ф'!$O$155:$P$155)</f>
        <v>86255.130878243508</v>
      </c>
      <c r="ER118" s="276">
        <f>SUM($H118:$I118)/SUM($H$284:$I$284)*SUM('60Ф'!$P$227)</f>
        <v>2676.5738722554888</v>
      </c>
      <c r="ES118" s="239">
        <f t="shared" si="17"/>
        <v>66623.086658571483</v>
      </c>
      <c r="ET118" s="276">
        <f>$D118/$D$282*'20Ф'!$I$381</f>
        <v>5092.0663464150284</v>
      </c>
      <c r="EU118" s="276">
        <f>$D118/$D$282*('20Ф'!$I$75+'20Ф'!$I$1098)*1.2</f>
        <v>58815.62680890473</v>
      </c>
      <c r="EV118" s="276">
        <f>$D118/$D$282*('20Ф'!$I$1286)</f>
        <v>2715.3935032517224</v>
      </c>
      <c r="EW118" s="276">
        <f>SUMIF('91.1Ф'!$N:$N,$B:$B,'91.1Ф'!$F:$F)+$D118/$D$281*('91Ф'!$D$12+'91Ф'!$D$11+'91Ф'!$D$19+'91Ф'!$D$20)</f>
        <v>15693.174274268469</v>
      </c>
      <c r="EX118" s="276">
        <f t="shared" si="15"/>
        <v>2380.0357971400103</v>
      </c>
      <c r="EY118" s="276">
        <f>SUMIF('20Ф'!$H:$H,$B:$B,'20Ф'!$AY:$AY)*1.2</f>
        <v>0</v>
      </c>
      <c r="EZ118" s="295">
        <f>D118/$D$286*'20Ф'!$I$1163</f>
        <v>2380.0357971400103</v>
      </c>
      <c r="FA118" s="277">
        <f>SUMIF(отчёт!$B:$B,$B:$B,отчёт!$CU:$CU)/отчёт!$CU$281*'20Ф'!$I$1341</f>
        <v>920.96385542168503</v>
      </c>
      <c r="FB118" s="276">
        <f>SUMIF(Сальдо!$A:$A,$B:$B,Сальдо!$H:$H)-SUMIF(Сальдо!$A:$A,$B:$B,Сальдо!$I:$I)</f>
        <v>210710.6</v>
      </c>
    </row>
    <row r="119" spans="1:158" ht="12" customHeight="1" x14ac:dyDescent="0.25">
      <c r="A119" s="3">
        <f t="shared" si="18"/>
        <v>115</v>
      </c>
      <c r="B119" s="4" t="s">
        <v>164</v>
      </c>
      <c r="C119" s="4" t="s">
        <v>164</v>
      </c>
      <c r="D119" s="5">
        <v>3025.3999999999996</v>
      </c>
      <c r="E119" s="6">
        <v>2989.7</v>
      </c>
      <c r="F119" s="6">
        <v>35.700000000000003</v>
      </c>
      <c r="G119" s="6">
        <v>325.35000000000002</v>
      </c>
      <c r="H119" s="5">
        <f>SUMIF(отчёт!$B:$B,$B:$B,отчёт!I:I)</f>
        <v>1</v>
      </c>
      <c r="I119" s="5">
        <f>SUMIF(отчёт!$B:$B,$B:$B,отчёт!J:J)</f>
        <v>0</v>
      </c>
      <c r="J119" s="3" t="s">
        <v>111</v>
      </c>
      <c r="K119" s="105">
        <v>3</v>
      </c>
      <c r="L119" s="105" t="s">
        <v>52</v>
      </c>
      <c r="M119" s="7">
        <v>45.06</v>
      </c>
      <c r="N119" s="8">
        <v>5.0999999999999996</v>
      </c>
      <c r="O119" s="8">
        <v>8.6300000000000008</v>
      </c>
      <c r="P119" s="8">
        <v>13.43</v>
      </c>
      <c r="Q119" s="8">
        <v>6.91</v>
      </c>
      <c r="R119" s="8">
        <v>3.15</v>
      </c>
      <c r="S119" s="8">
        <v>1.81</v>
      </c>
      <c r="T119" s="8">
        <v>5.77</v>
      </c>
      <c r="U119" s="8">
        <v>0.26</v>
      </c>
      <c r="V119" s="9">
        <v>40</v>
      </c>
      <c r="W119" s="9">
        <v>40</v>
      </c>
      <c r="X119" s="9">
        <v>2604.04</v>
      </c>
      <c r="Y119" s="8">
        <v>195.98199600000001</v>
      </c>
      <c r="Z119" s="9">
        <v>42.3</v>
      </c>
      <c r="AA119" s="9">
        <v>2604.04</v>
      </c>
      <c r="AB119" s="8">
        <v>7.85</v>
      </c>
      <c r="AC119" s="10">
        <v>0</v>
      </c>
      <c r="AD119" s="8">
        <v>6.73</v>
      </c>
      <c r="AE119" s="8">
        <v>10.67</v>
      </c>
      <c r="AF119" s="8">
        <v>14</v>
      </c>
      <c r="AG119" s="7">
        <v>817947.14400000009</v>
      </c>
      <c r="AH119" s="8">
        <v>92577.239999999991</v>
      </c>
      <c r="AI119" s="8">
        <v>156655.212</v>
      </c>
      <c r="AJ119" s="8">
        <v>243786.73199999996</v>
      </c>
      <c r="AK119" s="8">
        <v>125433.084</v>
      </c>
      <c r="AL119" s="8">
        <v>57180.05999999999</v>
      </c>
      <c r="AM119" s="8">
        <v>32855.843999999997</v>
      </c>
      <c r="AN119" s="8">
        <v>104739.34799999998</v>
      </c>
      <c r="AO119" s="8">
        <v>4719.6239999999998</v>
      </c>
      <c r="AQ119" s="104">
        <v>48.44</v>
      </c>
      <c r="AR119" s="375">
        <v>18.489999999999998</v>
      </c>
      <c r="AS119" s="376"/>
      <c r="AT119" s="104">
        <v>6.67</v>
      </c>
      <c r="AU119" s="104">
        <v>1.53</v>
      </c>
      <c r="AV119" s="104">
        <v>0.32</v>
      </c>
      <c r="AW119" s="104">
        <v>0.87</v>
      </c>
      <c r="AX119" s="104">
        <v>5.01</v>
      </c>
      <c r="AY119" s="104">
        <v>4.99</v>
      </c>
      <c r="AZ119" s="104">
        <v>2.7</v>
      </c>
      <c r="BA119" s="104">
        <v>6.46</v>
      </c>
      <c r="BB119" s="104">
        <v>0.47</v>
      </c>
      <c r="BC119" s="101">
        <v>0.93</v>
      </c>
      <c r="BD119" s="104">
        <v>54.88252</v>
      </c>
      <c r="BE119" s="375">
        <v>20.949169999999999</v>
      </c>
      <c r="BF119" s="376">
        <v>0</v>
      </c>
      <c r="BG119" s="104">
        <v>7.5571100000000007</v>
      </c>
      <c r="BH119" s="104">
        <v>1.7334900000000002</v>
      </c>
      <c r="BI119" s="104">
        <v>0.36256000000000005</v>
      </c>
      <c r="BJ119" s="104">
        <v>0.98571000000000009</v>
      </c>
      <c r="BK119" s="104">
        <v>5.6763300000000001</v>
      </c>
      <c r="BL119" s="104">
        <v>5.65367</v>
      </c>
      <c r="BM119" s="104">
        <v>3.0591000000000004</v>
      </c>
      <c r="BN119" s="104">
        <v>7.3191800000000002</v>
      </c>
      <c r="BO119" s="104">
        <v>0.53250999999999993</v>
      </c>
      <c r="BP119" s="101">
        <v>1.05369</v>
      </c>
      <c r="BQ119" s="103">
        <v>1953516.5120799995</v>
      </c>
      <c r="BR119" s="371">
        <v>745675.48117999977</v>
      </c>
      <c r="BS119" s="371">
        <v>0</v>
      </c>
      <c r="BT119" s="103">
        <v>268991.64194</v>
      </c>
      <c r="BU119" s="103">
        <v>61702.730459999992</v>
      </c>
      <c r="BV119" s="103">
        <v>12905.146239999998</v>
      </c>
      <c r="BW119" s="103">
        <v>35085.86634</v>
      </c>
      <c r="BX119" s="103">
        <v>202046.19581999996</v>
      </c>
      <c r="BY119" s="103">
        <v>201239.62417999998</v>
      </c>
      <c r="BZ119" s="103">
        <v>108887.17140000001</v>
      </c>
      <c r="CA119" s="103">
        <v>260522.63971999998</v>
      </c>
      <c r="CB119" s="103">
        <v>18954.433539999995</v>
      </c>
      <c r="CC119" s="103">
        <v>37505.581259999992</v>
      </c>
      <c r="CD119" s="1">
        <v>1</v>
      </c>
      <c r="CF119" s="277">
        <f>SUMIF(Оборот!$A:$A,$B:$B,Оборот!H:H)</f>
        <v>1655902.8699999999</v>
      </c>
      <c r="CG119" s="277">
        <f>SUMIF(Оборот!$A:$A,$B:$B,Оборот!I:I)</f>
        <v>1787136.35</v>
      </c>
      <c r="CH119" s="277">
        <f t="shared" si="12"/>
        <v>1351143.6553715221</v>
      </c>
      <c r="CI119" s="239">
        <f t="shared" si="16"/>
        <v>26609.406080908746</v>
      </c>
      <c r="CJ119" s="276">
        <f>SUMIF('20Ф'!$H:$H,$B:$B,'20Ф'!M:M)*1.2</f>
        <v>0</v>
      </c>
      <c r="CK119" s="276">
        <f>SUMIF('20Ф'!$H:$H,$B:$B,'20Ф'!O:O)*1.2</f>
        <v>0</v>
      </c>
      <c r="CL119" s="276">
        <f>SUMIF('20Ф'!$H:$H,$B:$B,'20Ф'!Q:Q)*1.2</f>
        <v>0</v>
      </c>
      <c r="CM119" s="276">
        <f>SUMIF('20Ф'!$H:$H,$B:$B,'20Ф'!R:R)*1.2</f>
        <v>0</v>
      </c>
      <c r="CN119" s="276">
        <f>SUMIF('20Ф'!$H:$H,$B:$B,'20Ф'!S:S)*1.2</f>
        <v>0</v>
      </c>
      <c r="CO119" s="276">
        <f>SUMIF('20Ф'!$H:$H,$B:$B,'20Ф'!W:W)*1.2</f>
        <v>0</v>
      </c>
      <c r="CP119" s="276">
        <f>SUMIF('20Ф'!$H:$H,$B:$B,'20Ф'!P:P)*1.2</f>
        <v>0</v>
      </c>
      <c r="CQ119" s="276">
        <f>SUMIF('20Ф'!$H:$H,$B:$B,'20Ф'!Y:Y)*1.2</f>
        <v>0</v>
      </c>
      <c r="CR119" s="276">
        <f>SUMIF('20Ф'!$H:$H,$B:$B,'20Ф'!Z:Z)*1.2</f>
        <v>0</v>
      </c>
      <c r="CS119" s="276">
        <f>SUMIF('20Ф'!$H:$H,$B:$B,'20Ф'!AB:AB)*1.2</f>
        <v>0</v>
      </c>
      <c r="CT119" s="276">
        <f>SUMIF('20Ф'!$H:$H,$B:$B,'20Ф'!AC:AC)*1.2</f>
        <v>0</v>
      </c>
      <c r="CU119" s="276">
        <f>SUMIF('20Ф'!$H:$H,$B:$B,'20Ф'!AD:AD)*1.2</f>
        <v>0</v>
      </c>
      <c r="CV119" s="276">
        <f>SUMIF('20Ф'!$H:$H,$B:$B,'20Ф'!AE:AE)*1.2</f>
        <v>0</v>
      </c>
      <c r="CW119" s="276">
        <f>SUMIF('20Ф'!$H:$H,$B:$B,'20Ф'!AF:AF)*1.2</f>
        <v>0</v>
      </c>
      <c r="CX119" s="276">
        <f>SUMIF('20Ф'!$H:$H,$B:$B,'20Ф'!AG:AG)*1.2</f>
        <v>0</v>
      </c>
      <c r="CY119" s="276">
        <f>SUMIF('20Ф'!$H:$H,$B:$B,'20Ф'!AH:AH)*1.2</f>
        <v>0</v>
      </c>
      <c r="CZ119" s="276">
        <f>SUMIF('20Ф'!$H:$H,$B:$B,'20Ф'!AI:AI)*1.2</f>
        <v>0</v>
      </c>
      <c r="DA119" s="276">
        <f>SUMIF('20Ф'!$H:$H,$B:$B,'20Ф'!AJ:AJ)*1.2</f>
        <v>0</v>
      </c>
      <c r="DB119" s="276">
        <f>SUMIF('20Ф'!$H:$H,$B:$B,'20Ф'!AK:AK)*1.2</f>
        <v>0</v>
      </c>
      <c r="DC119" s="276">
        <f>SUMIF('20Ф'!$H:$H,$B:$B,'20Ф'!AL:AL)*1.2</f>
        <v>0</v>
      </c>
      <c r="DD119" s="276">
        <f>SUMIF('20Ф'!$H:$H,$B:$B,'20Ф'!AM:AM)*1.2</f>
        <v>0</v>
      </c>
      <c r="DE119" s="276">
        <f>SUMIF('20Ф'!$H:$H,$B:$B,'20Ф'!AN:AN)*1.2</f>
        <v>0</v>
      </c>
      <c r="DF119" s="276">
        <f>SUMIF('20Ф'!$H:$H,$B:$B,'20Ф'!AO:AO)*1.2</f>
        <v>0</v>
      </c>
      <c r="DG119" s="276">
        <f>SUMIF('20Ф'!$H:$H,$B:$B,'20Ф'!AP:AP)*1.2</f>
        <v>0</v>
      </c>
      <c r="DH119" s="276">
        <f>SUMIF('20Ф'!$H:$H,$B:$B,'20Ф'!AQ:AQ)*1.2</f>
        <v>0</v>
      </c>
      <c r="DI119" s="276">
        <f>SUMIF('20Ф'!$H:$H,$B:$B,'20Ф'!BA:BA)*1.2</f>
        <v>0</v>
      </c>
      <c r="DJ119" s="276">
        <f>SUMIF('20Ф'!$H:$H,$B:$B,'20Ф'!BB:BB)*1.2</f>
        <v>0</v>
      </c>
      <c r="DK119" s="276">
        <f>SUMIF('20Ф'!$H:$H,$B:$B,'20Ф'!BC:BC)*1.2</f>
        <v>0</v>
      </c>
      <c r="DL119" s="276">
        <f>$D119/$D$281*'20Ф'!$H$218</f>
        <v>26609.406080908746</v>
      </c>
      <c r="DM119" s="240">
        <f t="shared" si="13"/>
        <v>481393.74661939091</v>
      </c>
      <c r="DN119" s="276">
        <f>SUMIF('20Ф'!$H:$H,$B:$B,'20Ф'!AV:AV)*1.2</f>
        <v>0</v>
      </c>
      <c r="DO119" s="276">
        <f>SUMIF('20Ф'!$H:$H,$B:$B,'20Ф'!AW:AW)*1.2+$D119/$D$281*'26Ф'!$D$42</f>
        <v>14160.148503569733</v>
      </c>
      <c r="DP119" s="276">
        <f>SUMIF('20Ф'!$H:$H,$B:$B,'20Ф'!AX:AX)*1.2</f>
        <v>0</v>
      </c>
      <c r="DQ119" s="276">
        <f>SUMIF('20Ф'!$H:$H,$B:$B,'20Ф'!AY:AY)*1.2</f>
        <v>52994.015999999996</v>
      </c>
      <c r="DR119" s="276">
        <f>SUMIF('20Ф'!$H:$H,$B:$B,'20Ф'!AU:AU)*1.2</f>
        <v>0</v>
      </c>
      <c r="DS119" s="276">
        <f>SUMIF('20Ф'!$H:$H,$B:$B,'20Ф'!AS:AS)*1.2</f>
        <v>164456.84399999998</v>
      </c>
      <c r="DT119" s="276">
        <f>SUMIF('20Ф'!$H:$H,$B:$B,'20Ф'!AR:AR)*1.2</f>
        <v>0</v>
      </c>
      <c r="DU119" s="276">
        <f>SUMIF('20Ф'!$H:$H,$B:$B,'20Ф'!X:X)*1.2</f>
        <v>0</v>
      </c>
      <c r="DV119" s="276">
        <f>SUMIF('20Ф'!$H:$H,$B:$B,'20Ф'!AA:AA)*1.2</f>
        <v>0</v>
      </c>
      <c r="DW119" s="276">
        <f>SUMIF('20Ф'!$H:$H,$B:$B,'20Ф'!N:N)*1.2</f>
        <v>0</v>
      </c>
      <c r="DX119" s="276">
        <f>$D119/$D$281*('25Ф'!$D$37)</f>
        <v>238014.38166740941</v>
      </c>
      <c r="DY119" s="276">
        <f>$D119/$D$281*'25Ф'!$D$30</f>
        <v>7596.6718930668603</v>
      </c>
      <c r="DZ119" s="276">
        <f>$D119/$D$281*'25Ф'!$D$31</f>
        <v>4171.684555344993</v>
      </c>
      <c r="EA119" s="276"/>
      <c r="EB119" s="276">
        <f t="shared" si="14"/>
        <v>149952.79610016831</v>
      </c>
      <c r="EC119" s="276">
        <f>$D119/$D$281*'26Ф'!$D$36</f>
        <v>78055.259564149033</v>
      </c>
      <c r="ED119" s="276">
        <f>$D119/$D$281*'26Ф'!$D$37</f>
        <v>9378.2560719901303</v>
      </c>
      <c r="EE119" s="276">
        <f>$D119/$D$281*'26Ф'!$D$38</f>
        <v>9474.4393163408313</v>
      </c>
      <c r="EF119" s="276">
        <f>$D119/$D$281*'26Ф'!$D$39</f>
        <v>6646.3105333160111</v>
      </c>
      <c r="EG119" s="276">
        <f>$D119/$D$281*'91Ф'!$D$10</f>
        <v>2050.3840353644955</v>
      </c>
      <c r="EH119" s="276">
        <f>$D119/$D$281*('20Ф'!$I$509+'26Ф'!$D$41+'20Ф'!$I$507)</f>
        <v>14505.791890699727</v>
      </c>
      <c r="EI119" s="276">
        <f>$D119/$D$281*'91Ф'!$D$31</f>
        <v>26591.24714202484</v>
      </c>
      <c r="EJ119" s="276">
        <f>$D119/$D$281*'20Ф'!$I$1316</f>
        <v>3251.1075462832518</v>
      </c>
      <c r="EK119" s="276">
        <f>$D119/$D$281*('20Ф'!$I$1105+'20Ф'!$I$1282+'91Ф'!$D$17+'91Ф'!$D$41)</f>
        <v>106769.99387934069</v>
      </c>
      <c r="EL119" s="276">
        <f>$D119/$D$281*отчёт!BX$294</f>
        <v>178486.86745954736</v>
      </c>
      <c r="EM119" s="276">
        <f>$D119/$D$281*отчёт!BY$294</f>
        <v>156969.619105494</v>
      </c>
      <c r="EN119" s="276">
        <f>$D119/$D$283*отчёт!BZ$294</f>
        <v>28171.139851904925</v>
      </c>
      <c r="EO119" s="240">
        <f t="shared" si="24"/>
        <v>93850.552750498988</v>
      </c>
      <c r="EP119" s="276">
        <f>SUMIF('20Ф'!$H:$H,$B:$B,'20Ф'!T:T)*1.2</f>
        <v>4918.848</v>
      </c>
      <c r="EQ119" s="276">
        <f>SUM(H119:I119)/SUM($H$284:$I$284)*SUM('60Ф'!$O$155:$P$155)</f>
        <v>86255.130878243508</v>
      </c>
      <c r="ER119" s="276">
        <f>SUM($H119:$I119)/SUM($H$284:$I$284)*SUM('60Ф'!$P$227)</f>
        <v>2676.5738722554888</v>
      </c>
      <c r="ES119" s="239">
        <f t="shared" si="17"/>
        <v>59739.622518329037</v>
      </c>
      <c r="ET119" s="276">
        <f>$D119/$D$282*'20Ф'!$I$381</f>
        <v>4565.9565869721473</v>
      </c>
      <c r="EU119" s="276">
        <f>$D119/$D$282*('20Ф'!$I$75+'20Ф'!$I$1098)*1.2</f>
        <v>52738.825532797979</v>
      </c>
      <c r="EV119" s="276">
        <f>$D119/$D$282*('20Ф'!$I$1286)</f>
        <v>2434.8403985589098</v>
      </c>
      <c r="EW119" s="276">
        <f>SUMIF('91.1Ф'!$N:$N,$B:$B,'91.1Ф'!$F:$F)+$D119/$D$281*('91Ф'!$D$12+'91Ф'!$D$11+'91Ф'!$D$19+'91Ф'!$D$20)</f>
        <v>14071.763322279734</v>
      </c>
      <c r="EX119" s="276">
        <f t="shared" si="15"/>
        <v>55128.147683659568</v>
      </c>
      <c r="EY119" s="276">
        <f>SUMIF('20Ф'!$H:$H,$B:$B,'20Ф'!$AY:$AY)*1.2</f>
        <v>52994.015999999996</v>
      </c>
      <c r="EZ119" s="295">
        <f>D119/$D$286*'20Ф'!$I$1163</f>
        <v>2134.1316836595693</v>
      </c>
      <c r="FA119" s="277">
        <f>SUMIF(отчёт!$B:$B,$B:$B,отчёт!$CU:$CU)/отчёт!$CU$281*'20Ф'!$I$1341</f>
        <v>920.96385542168503</v>
      </c>
      <c r="FB119" s="276">
        <f>SUMIF(Сальдо!$A:$A,$B:$B,Сальдо!$H:$H)-SUMIF(Сальдо!$A:$A,$B:$B,Сальдо!$I:$I)</f>
        <v>233610.08</v>
      </c>
    </row>
    <row r="120" spans="1:158" ht="12" customHeight="1" x14ac:dyDescent="0.25">
      <c r="A120" s="3">
        <f t="shared" si="18"/>
        <v>116</v>
      </c>
      <c r="B120" s="4" t="s">
        <v>165</v>
      </c>
      <c r="C120" s="4" t="s">
        <v>165</v>
      </c>
      <c r="D120" s="5">
        <v>3054.3</v>
      </c>
      <c r="E120" s="6">
        <v>3054.3</v>
      </c>
      <c r="F120" s="6">
        <v>0</v>
      </c>
      <c r="G120" s="6">
        <v>328.45</v>
      </c>
      <c r="H120" s="5">
        <f>SUMIF(отчёт!$B:$B,$B:$B,отчёт!I:I)</f>
        <v>1</v>
      </c>
      <c r="I120" s="5">
        <f>SUMIF(отчёт!$B:$B,$B:$B,отчёт!J:J)</f>
        <v>0</v>
      </c>
      <c r="J120" s="3" t="s">
        <v>111</v>
      </c>
      <c r="K120" s="105">
        <v>3</v>
      </c>
      <c r="L120" s="105" t="s">
        <v>52</v>
      </c>
      <c r="M120" s="7">
        <v>45.06</v>
      </c>
      <c r="N120" s="8">
        <v>5.0999999999999996</v>
      </c>
      <c r="O120" s="8">
        <v>8.6300000000000008</v>
      </c>
      <c r="P120" s="8">
        <v>13.43</v>
      </c>
      <c r="Q120" s="8">
        <v>6.91</v>
      </c>
      <c r="R120" s="8">
        <v>3.15</v>
      </c>
      <c r="S120" s="8">
        <v>1.81</v>
      </c>
      <c r="T120" s="8">
        <v>5.77</v>
      </c>
      <c r="U120" s="8">
        <v>0.26</v>
      </c>
      <c r="V120" s="9">
        <v>40</v>
      </c>
      <c r="W120" s="9">
        <v>40</v>
      </c>
      <c r="X120" s="9">
        <v>2604.04</v>
      </c>
      <c r="Y120" s="8">
        <v>195.98199600000001</v>
      </c>
      <c r="Z120" s="9">
        <v>42.3</v>
      </c>
      <c r="AA120" s="9">
        <v>2604.04</v>
      </c>
      <c r="AB120" s="8">
        <v>7.85</v>
      </c>
      <c r="AC120" s="10">
        <v>0</v>
      </c>
      <c r="AD120" s="8">
        <v>6.73</v>
      </c>
      <c r="AE120" s="8">
        <v>10.67</v>
      </c>
      <c r="AF120" s="8">
        <v>14</v>
      </c>
      <c r="AG120" s="7">
        <v>825760.54799999995</v>
      </c>
      <c r="AH120" s="8">
        <v>93461.58</v>
      </c>
      <c r="AI120" s="8">
        <v>158151.65400000004</v>
      </c>
      <c r="AJ120" s="8">
        <v>246115.49400000001</v>
      </c>
      <c r="AK120" s="8">
        <v>126631.27800000002</v>
      </c>
      <c r="AL120" s="8">
        <v>57726.270000000004</v>
      </c>
      <c r="AM120" s="8">
        <v>33169.698000000004</v>
      </c>
      <c r="AN120" s="8">
        <v>105739.86600000001</v>
      </c>
      <c r="AO120" s="8">
        <v>4764.7080000000005</v>
      </c>
      <c r="AQ120" s="104">
        <v>48.44</v>
      </c>
      <c r="AR120" s="375">
        <v>18.489999999999998</v>
      </c>
      <c r="AS120" s="376"/>
      <c r="AT120" s="104">
        <v>6.67</v>
      </c>
      <c r="AU120" s="104">
        <v>1.53</v>
      </c>
      <c r="AV120" s="104">
        <v>0.32</v>
      </c>
      <c r="AW120" s="104">
        <v>0.87</v>
      </c>
      <c r="AX120" s="104">
        <v>5.01</v>
      </c>
      <c r="AY120" s="104">
        <v>4.99</v>
      </c>
      <c r="AZ120" s="104">
        <v>2.7</v>
      </c>
      <c r="BA120" s="104">
        <v>6.46</v>
      </c>
      <c r="BB120" s="104">
        <v>0.47</v>
      </c>
      <c r="BC120" s="101">
        <v>0.93</v>
      </c>
      <c r="BD120" s="104">
        <v>54.88252</v>
      </c>
      <c r="BE120" s="375">
        <v>20.949169999999999</v>
      </c>
      <c r="BF120" s="376">
        <v>0</v>
      </c>
      <c r="BG120" s="104">
        <v>7.5571100000000007</v>
      </c>
      <c r="BH120" s="104">
        <v>1.7334900000000002</v>
      </c>
      <c r="BI120" s="104">
        <v>0.36256000000000005</v>
      </c>
      <c r="BJ120" s="104">
        <v>0.98571000000000009</v>
      </c>
      <c r="BK120" s="104">
        <v>5.6763300000000001</v>
      </c>
      <c r="BL120" s="104">
        <v>5.65367</v>
      </c>
      <c r="BM120" s="104">
        <v>3.0591000000000004</v>
      </c>
      <c r="BN120" s="104">
        <v>7.3191800000000002</v>
      </c>
      <c r="BO120" s="104">
        <v>0.53250999999999993</v>
      </c>
      <c r="BP120" s="101">
        <v>1.05369</v>
      </c>
      <c r="BQ120" s="103">
        <v>1972177.3923599999</v>
      </c>
      <c r="BR120" s="371">
        <v>752798.51330999995</v>
      </c>
      <c r="BS120" s="371">
        <v>0</v>
      </c>
      <c r="BT120" s="103">
        <v>271561.17273000005</v>
      </c>
      <c r="BU120" s="103">
        <v>62292.143070000006</v>
      </c>
      <c r="BV120" s="103">
        <v>13028.42208</v>
      </c>
      <c r="BW120" s="103">
        <v>35421.022530000002</v>
      </c>
      <c r="BX120" s="103">
        <v>203976.23319</v>
      </c>
      <c r="BY120" s="103">
        <v>203161.95681</v>
      </c>
      <c r="BZ120" s="103">
        <v>109927.31130000003</v>
      </c>
      <c r="CA120" s="103">
        <v>263011.27074000001</v>
      </c>
      <c r="CB120" s="103">
        <v>19135.494929999997</v>
      </c>
      <c r="CC120" s="103">
        <v>37863.851669999996</v>
      </c>
      <c r="CD120" s="1">
        <v>1</v>
      </c>
      <c r="CF120" s="277">
        <f>SUMIF(Оборот!$A:$A,$B:$B,Оборот!H:H)</f>
        <v>1692815.4000000004</v>
      </c>
      <c r="CG120" s="277">
        <f>SUMIF(Оборот!$A:$A,$B:$B,Оборот!I:I)</f>
        <v>1631211.04</v>
      </c>
      <c r="CH120" s="277">
        <f t="shared" si="12"/>
        <v>1085206.7555102636</v>
      </c>
      <c r="CI120" s="239">
        <f t="shared" si="16"/>
        <v>26863.591258319426</v>
      </c>
      <c r="CJ120" s="276">
        <f>SUMIF('20Ф'!$H:$H,$B:$B,'20Ф'!M:M)*1.2</f>
        <v>0</v>
      </c>
      <c r="CK120" s="276">
        <f>SUMIF('20Ф'!$H:$H,$B:$B,'20Ф'!O:O)*1.2</f>
        <v>0</v>
      </c>
      <c r="CL120" s="276">
        <f>SUMIF('20Ф'!$H:$H,$B:$B,'20Ф'!Q:Q)*1.2</f>
        <v>0</v>
      </c>
      <c r="CM120" s="276">
        <f>SUMIF('20Ф'!$H:$H,$B:$B,'20Ф'!R:R)*1.2</f>
        <v>0</v>
      </c>
      <c r="CN120" s="276">
        <f>SUMIF('20Ф'!$H:$H,$B:$B,'20Ф'!S:S)*1.2</f>
        <v>0</v>
      </c>
      <c r="CO120" s="276">
        <f>SUMIF('20Ф'!$H:$H,$B:$B,'20Ф'!W:W)*1.2</f>
        <v>0</v>
      </c>
      <c r="CP120" s="276">
        <f>SUMIF('20Ф'!$H:$H,$B:$B,'20Ф'!P:P)*1.2</f>
        <v>0</v>
      </c>
      <c r="CQ120" s="276">
        <f>SUMIF('20Ф'!$H:$H,$B:$B,'20Ф'!Y:Y)*1.2</f>
        <v>0</v>
      </c>
      <c r="CR120" s="276">
        <f>SUMIF('20Ф'!$H:$H,$B:$B,'20Ф'!Z:Z)*1.2</f>
        <v>0</v>
      </c>
      <c r="CS120" s="276">
        <f>SUMIF('20Ф'!$H:$H,$B:$B,'20Ф'!AB:AB)*1.2</f>
        <v>0</v>
      </c>
      <c r="CT120" s="276">
        <f>SUMIF('20Ф'!$H:$H,$B:$B,'20Ф'!AC:AC)*1.2</f>
        <v>0</v>
      </c>
      <c r="CU120" s="276">
        <f>SUMIF('20Ф'!$H:$H,$B:$B,'20Ф'!AD:AD)*1.2</f>
        <v>0</v>
      </c>
      <c r="CV120" s="276">
        <f>SUMIF('20Ф'!$H:$H,$B:$B,'20Ф'!AE:AE)*1.2</f>
        <v>0</v>
      </c>
      <c r="CW120" s="276">
        <f>SUMIF('20Ф'!$H:$H,$B:$B,'20Ф'!AF:AF)*1.2</f>
        <v>0</v>
      </c>
      <c r="CX120" s="276">
        <f>SUMIF('20Ф'!$H:$H,$B:$B,'20Ф'!AG:AG)*1.2</f>
        <v>0</v>
      </c>
      <c r="CY120" s="276">
        <f>SUMIF('20Ф'!$H:$H,$B:$B,'20Ф'!AH:AH)*1.2</f>
        <v>0</v>
      </c>
      <c r="CZ120" s="276">
        <f>SUMIF('20Ф'!$H:$H,$B:$B,'20Ф'!AI:AI)*1.2</f>
        <v>0</v>
      </c>
      <c r="DA120" s="276">
        <f>SUMIF('20Ф'!$H:$H,$B:$B,'20Ф'!AJ:AJ)*1.2</f>
        <v>0</v>
      </c>
      <c r="DB120" s="276">
        <f>SUMIF('20Ф'!$H:$H,$B:$B,'20Ф'!AK:AK)*1.2</f>
        <v>0</v>
      </c>
      <c r="DC120" s="276">
        <f>SUMIF('20Ф'!$H:$H,$B:$B,'20Ф'!AL:AL)*1.2</f>
        <v>0</v>
      </c>
      <c r="DD120" s="276">
        <f>SUMIF('20Ф'!$H:$H,$B:$B,'20Ф'!AM:AM)*1.2</f>
        <v>0</v>
      </c>
      <c r="DE120" s="276">
        <f>SUMIF('20Ф'!$H:$H,$B:$B,'20Ф'!AN:AN)*1.2</f>
        <v>0</v>
      </c>
      <c r="DF120" s="276">
        <f>SUMIF('20Ф'!$H:$H,$B:$B,'20Ф'!AO:AO)*1.2</f>
        <v>0</v>
      </c>
      <c r="DG120" s="276">
        <f>SUMIF('20Ф'!$H:$H,$B:$B,'20Ф'!AP:AP)*1.2</f>
        <v>0</v>
      </c>
      <c r="DH120" s="276">
        <f>SUMIF('20Ф'!$H:$H,$B:$B,'20Ф'!AQ:AQ)*1.2</f>
        <v>0</v>
      </c>
      <c r="DI120" s="276">
        <f>SUMIF('20Ф'!$H:$H,$B:$B,'20Ф'!BA:BA)*1.2</f>
        <v>0</v>
      </c>
      <c r="DJ120" s="276">
        <f>SUMIF('20Ф'!$H:$H,$B:$B,'20Ф'!BB:BB)*1.2</f>
        <v>0</v>
      </c>
      <c r="DK120" s="276">
        <f>SUMIF('20Ф'!$H:$H,$B:$B,'20Ф'!BC:BC)*1.2</f>
        <v>0</v>
      </c>
      <c r="DL120" s="276">
        <f>$D120/$D$281*'20Ф'!$H$218</f>
        <v>26863.591258319426</v>
      </c>
      <c r="DM120" s="240">
        <f t="shared" si="13"/>
        <v>266464.18939697428</v>
      </c>
      <c r="DN120" s="276">
        <f>SUMIF('20Ф'!$H:$H,$B:$B,'20Ф'!AV:AV)*1.2</f>
        <v>0</v>
      </c>
      <c r="DO120" s="276">
        <f>SUMIF('20Ф'!$H:$H,$B:$B,'20Ф'!AW:AW)*1.2+$D120/$D$281*'26Ф'!$D$42</f>
        <v>14295.412697313757</v>
      </c>
      <c r="DP120" s="276">
        <f>SUMIF('20Ф'!$H:$H,$B:$B,'20Ф'!AX:AX)*1.2</f>
        <v>0</v>
      </c>
      <c r="DQ120" s="276">
        <f>SUMIF('20Ф'!$H:$H,$B:$B,'20Ф'!AY:AY)*1.2</f>
        <v>0</v>
      </c>
      <c r="DR120" s="276">
        <f>SUMIF('20Ф'!$H:$H,$B:$B,'20Ф'!AU:AU)*1.2</f>
        <v>0</v>
      </c>
      <c r="DS120" s="276">
        <f>SUMIF('20Ф'!$H:$H,$B:$B,'20Ф'!AS:AS)*1.2</f>
        <v>0</v>
      </c>
      <c r="DT120" s="276">
        <f>SUMIF('20Ф'!$H:$H,$B:$B,'20Ф'!AR:AR)*1.2</f>
        <v>0</v>
      </c>
      <c r="DU120" s="276">
        <f>SUMIF('20Ф'!$H:$H,$B:$B,'20Ф'!X:X)*1.2</f>
        <v>0</v>
      </c>
      <c r="DV120" s="276">
        <f>SUMIF('20Ф'!$H:$H,$B:$B,'20Ф'!AA:AA)*1.2</f>
        <v>0</v>
      </c>
      <c r="DW120" s="276">
        <f>SUMIF('20Ф'!$H:$H,$B:$B,'20Ф'!N:N)*1.2</f>
        <v>0</v>
      </c>
      <c r="DX120" s="276">
        <f>$D120/$D$281*('25Ф'!$D$37)</f>
        <v>240288.00354557039</v>
      </c>
      <c r="DY120" s="276">
        <f>$D120/$D$281*'25Ф'!$D$30</f>
        <v>7669.2387661116254</v>
      </c>
      <c r="DZ120" s="276">
        <f>$D120/$D$281*'25Ф'!$D$31</f>
        <v>4211.5343879785196</v>
      </c>
      <c r="EA120" s="276"/>
      <c r="EB120" s="276">
        <f t="shared" si="14"/>
        <v>151385.21356803866</v>
      </c>
      <c r="EC120" s="276">
        <f>$D120/$D$281*'26Ф'!$D$36</f>
        <v>78800.878986838245</v>
      </c>
      <c r="ED120" s="276">
        <f>$D120/$D$281*'26Ф'!$D$37</f>
        <v>9467.8414492891698</v>
      </c>
      <c r="EE120" s="276">
        <f>$D120/$D$281*'26Ф'!$D$38</f>
        <v>9564.9434798373113</v>
      </c>
      <c r="EF120" s="276">
        <f>$D120/$D$281*'26Ф'!$D$39</f>
        <v>6709.7991214077783</v>
      </c>
      <c r="EG120" s="276">
        <f>$D120/$D$281*'91Ф'!$D$10</f>
        <v>2069.9702383862564</v>
      </c>
      <c r="EH120" s="276">
        <f>$D120/$D$281*('20Ф'!$I$509+'26Ф'!$D$41+'20Ф'!$I$507)</f>
        <v>14644.357827647314</v>
      </c>
      <c r="EI120" s="276">
        <f>$D120/$D$281*'91Ф'!$D$31</f>
        <v>26845.258856973116</v>
      </c>
      <c r="EJ120" s="276">
        <f>$D120/$D$281*'20Ф'!$I$1316</f>
        <v>3282.1636076594623</v>
      </c>
      <c r="EK120" s="276">
        <f>$D120/$D$281*('20Ф'!$I$1105+'20Ф'!$I$1282+'91Ф'!$D$17+'91Ф'!$D$41)</f>
        <v>107789.90953449802</v>
      </c>
      <c r="EL120" s="276">
        <f>$D120/$D$281*отчёт!BX$294</f>
        <v>180191.85538497241</v>
      </c>
      <c r="EM120" s="276">
        <f>$D120/$D$281*отчёт!BY$294</f>
        <v>158469.06446549558</v>
      </c>
      <c r="EN120" s="276">
        <f>$D120/$D$283*отчёт!BZ$294</f>
        <v>28440.243422249365</v>
      </c>
      <c r="EO120" s="240">
        <f t="shared" si="24"/>
        <v>88931.70475049899</v>
      </c>
      <c r="EP120" s="276">
        <f>SUMIF('20Ф'!$H:$H,$B:$B,'20Ф'!T:T)*1.2</f>
        <v>0</v>
      </c>
      <c r="EQ120" s="276">
        <f>SUM(H120:I120)/SUM($H$284:$I$284)*SUM('60Ф'!$O$155:$P$155)</f>
        <v>86255.130878243508</v>
      </c>
      <c r="ER120" s="276">
        <f>SUM($H120:$I120)/SUM($H$284:$I$284)*SUM('60Ф'!$P$227)</f>
        <v>2676.5738722554888</v>
      </c>
      <c r="ES120" s="239">
        <f t="shared" si="17"/>
        <v>60310.282626341112</v>
      </c>
      <c r="ET120" s="276">
        <f>$D120/$D$282*'20Ф'!$I$381</f>
        <v>4609.572685789989</v>
      </c>
      <c r="EU120" s="276">
        <f>$D120/$D$282*('20Ф'!$I$75+'20Ф'!$I$1098)*1.2</f>
        <v>53242.610836525717</v>
      </c>
      <c r="EV120" s="276">
        <f>$D120/$D$282*('20Ф'!$I$1286)</f>
        <v>2458.0991040254112</v>
      </c>
      <c r="EW120" s="276">
        <f>SUMIF('91.1Ф'!$N:$N,$B:$B,'91.1Ф'!$F:$F)+$D120/$D$281*('91Ф'!$D$12+'91Ф'!$D$11+'91Ф'!$D$19+'91Ф'!$D$20)</f>
        <v>14206.183220479603</v>
      </c>
      <c r="EX120" s="276">
        <f t="shared" si="15"/>
        <v>2154.5178823961869</v>
      </c>
      <c r="EY120" s="276">
        <f>SUMIF('20Ф'!$H:$H,$B:$B,'20Ф'!$AY:$AY)*1.2</f>
        <v>0</v>
      </c>
      <c r="EZ120" s="295">
        <f>D120/$D$286*'20Ф'!$I$1163</f>
        <v>2154.5178823961869</v>
      </c>
      <c r="FA120" s="277">
        <f>SUMIF(отчёт!$B:$B,$B:$B,отчёт!$CU:$CU)/отчёт!$CU$281*'20Ф'!$I$1341</f>
        <v>920.96385542168503</v>
      </c>
      <c r="FB120" s="276">
        <f>SUMIF(Сальдо!$A:$A,$B:$B,Сальдо!$H:$H)-SUMIF(Сальдо!$A:$A,$B:$B,Сальдо!$I:$I)</f>
        <v>402992.35</v>
      </c>
    </row>
    <row r="121" spans="1:158" ht="12" customHeight="1" x14ac:dyDescent="0.25">
      <c r="A121" s="3">
        <f t="shared" si="18"/>
        <v>117</v>
      </c>
      <c r="B121" s="4" t="s">
        <v>166</v>
      </c>
      <c r="C121" s="4" t="s">
        <v>166</v>
      </c>
      <c r="D121" s="5">
        <v>7564.7</v>
      </c>
      <c r="E121" s="6">
        <v>6815.8</v>
      </c>
      <c r="F121" s="6">
        <v>748.9</v>
      </c>
      <c r="G121" s="6">
        <v>613.20000000000005</v>
      </c>
      <c r="H121" s="5">
        <f>SUMIF(отчёт!$B:$B,$B:$B,отчёт!I:I)</f>
        <v>4</v>
      </c>
      <c r="I121" s="5">
        <f>SUMIF(отчёт!$B:$B,$B:$B,отчёт!J:J)</f>
        <v>0</v>
      </c>
      <c r="J121" s="3" t="s">
        <v>111</v>
      </c>
      <c r="K121" s="105">
        <v>3</v>
      </c>
      <c r="L121" s="105" t="s">
        <v>52</v>
      </c>
      <c r="M121" s="7">
        <v>45.06</v>
      </c>
      <c r="N121" s="8">
        <v>5.0999999999999996</v>
      </c>
      <c r="O121" s="8">
        <v>8.6300000000000008</v>
      </c>
      <c r="P121" s="8">
        <v>13.43</v>
      </c>
      <c r="Q121" s="8">
        <v>6.91</v>
      </c>
      <c r="R121" s="8">
        <v>3.15</v>
      </c>
      <c r="S121" s="8">
        <v>1.81</v>
      </c>
      <c r="T121" s="8">
        <v>5.77</v>
      </c>
      <c r="U121" s="8">
        <v>0.26</v>
      </c>
      <c r="V121" s="9">
        <v>40</v>
      </c>
      <c r="W121" s="9">
        <v>40</v>
      </c>
      <c r="X121" s="9">
        <v>2604.04</v>
      </c>
      <c r="Y121" s="8">
        <v>195.98199600000001</v>
      </c>
      <c r="Z121" s="9">
        <v>42.3</v>
      </c>
      <c r="AA121" s="9">
        <v>2604.04</v>
      </c>
      <c r="AB121" s="8">
        <v>7.85</v>
      </c>
      <c r="AC121" s="10">
        <v>0</v>
      </c>
      <c r="AD121" s="8">
        <v>6.73</v>
      </c>
      <c r="AE121" s="8">
        <v>10.67</v>
      </c>
      <c r="AF121" s="8">
        <v>14</v>
      </c>
      <c r="AG121" s="7">
        <v>2045192.2919999999</v>
      </c>
      <c r="AH121" s="8">
        <v>231479.81999999995</v>
      </c>
      <c r="AI121" s="8">
        <v>391700.16600000003</v>
      </c>
      <c r="AJ121" s="8">
        <v>609563.52600000007</v>
      </c>
      <c r="AK121" s="8">
        <v>313632.462</v>
      </c>
      <c r="AL121" s="8">
        <v>142972.83000000002</v>
      </c>
      <c r="AM121" s="8">
        <v>82152.641999999993</v>
      </c>
      <c r="AN121" s="8">
        <v>261889.91399999999</v>
      </c>
      <c r="AO121" s="8">
        <v>11800.932000000001</v>
      </c>
      <c r="AQ121" s="104">
        <v>48.44</v>
      </c>
      <c r="AR121" s="375">
        <v>18.489999999999998</v>
      </c>
      <c r="AS121" s="376"/>
      <c r="AT121" s="104">
        <v>6.67</v>
      </c>
      <c r="AU121" s="104">
        <v>1.53</v>
      </c>
      <c r="AV121" s="104">
        <v>0.32</v>
      </c>
      <c r="AW121" s="104">
        <v>0.87</v>
      </c>
      <c r="AX121" s="104">
        <v>5.01</v>
      </c>
      <c r="AY121" s="104">
        <v>4.99</v>
      </c>
      <c r="AZ121" s="104">
        <v>2.7</v>
      </c>
      <c r="BA121" s="104">
        <v>6.46</v>
      </c>
      <c r="BB121" s="104">
        <v>0.47</v>
      </c>
      <c r="BC121" s="101">
        <v>0.93</v>
      </c>
      <c r="BD121" s="104">
        <v>54.88252</v>
      </c>
      <c r="BE121" s="375">
        <v>20.949169999999999</v>
      </c>
      <c r="BF121" s="376">
        <v>0</v>
      </c>
      <c r="BG121" s="104">
        <v>7.5571100000000007</v>
      </c>
      <c r="BH121" s="104">
        <v>1.7334900000000002</v>
      </c>
      <c r="BI121" s="104">
        <v>0.36256000000000005</v>
      </c>
      <c r="BJ121" s="104">
        <v>0.98571000000000009</v>
      </c>
      <c r="BK121" s="104">
        <v>5.6763300000000001</v>
      </c>
      <c r="BL121" s="104">
        <v>5.65367</v>
      </c>
      <c r="BM121" s="104">
        <v>3.0591000000000004</v>
      </c>
      <c r="BN121" s="104">
        <v>7.3191800000000002</v>
      </c>
      <c r="BO121" s="104">
        <v>0.53250999999999993</v>
      </c>
      <c r="BP121" s="101">
        <v>1.05369</v>
      </c>
      <c r="BQ121" s="103">
        <v>4884566.1264399998</v>
      </c>
      <c r="BR121" s="371">
        <v>1864484.4689899997</v>
      </c>
      <c r="BS121" s="371">
        <v>0</v>
      </c>
      <c r="BT121" s="103">
        <v>672585.79816999997</v>
      </c>
      <c r="BU121" s="103">
        <v>154281.30002999998</v>
      </c>
      <c r="BV121" s="103">
        <v>32267.98432</v>
      </c>
      <c r="BW121" s="103">
        <v>87728.582370000004</v>
      </c>
      <c r="BX121" s="103">
        <v>505195.62950999994</v>
      </c>
      <c r="BY121" s="103">
        <v>503178.88049000001</v>
      </c>
      <c r="BZ121" s="103">
        <v>272261.11770000006</v>
      </c>
      <c r="CA121" s="103">
        <v>651409.93345999997</v>
      </c>
      <c r="CB121" s="103">
        <v>47393.601969999989</v>
      </c>
      <c r="CC121" s="103">
        <v>93778.829429999983</v>
      </c>
      <c r="CD121" s="1">
        <v>1</v>
      </c>
      <c r="CF121" s="277">
        <f>SUMIF(Оборот!$A:$A,$B:$B,Оборот!H:H)</f>
        <v>3381678.1500000004</v>
      </c>
      <c r="CG121" s="277">
        <f>SUMIF(Оборот!$A:$A,$B:$B,Оборот!I:I)</f>
        <v>3430061.2700000005</v>
      </c>
      <c r="CH121" s="277">
        <f t="shared" si="12"/>
        <v>3560568.4787783083</v>
      </c>
      <c r="CI121" s="239">
        <f t="shared" si="16"/>
        <v>523421.25360410201</v>
      </c>
      <c r="CJ121" s="276">
        <f>SUMIF('20Ф'!$H:$H,$B:$B,'20Ф'!M:M)*1.2</f>
        <v>0</v>
      </c>
      <c r="CK121" s="276">
        <f>SUMIF('20Ф'!$H:$H,$B:$B,'20Ф'!O:O)*1.2</f>
        <v>0</v>
      </c>
      <c r="CL121" s="276">
        <f>SUMIF('20Ф'!$H:$H,$B:$B,'20Ф'!Q:Q)*1.2</f>
        <v>0</v>
      </c>
      <c r="CM121" s="276">
        <f>SUMIF('20Ф'!$H:$H,$B:$B,'20Ф'!R:R)*1.2</f>
        <v>0</v>
      </c>
      <c r="CN121" s="276">
        <f>SUMIF('20Ф'!$H:$H,$B:$B,'20Ф'!S:S)*1.2</f>
        <v>0</v>
      </c>
      <c r="CO121" s="276">
        <f>SUMIF('20Ф'!$H:$H,$B:$B,'20Ф'!W:W)*1.2</f>
        <v>0</v>
      </c>
      <c r="CP121" s="276">
        <f>SUMIF('20Ф'!$H:$H,$B:$B,'20Ф'!P:P)*1.2</f>
        <v>0</v>
      </c>
      <c r="CQ121" s="276">
        <f>SUMIF('20Ф'!$H:$H,$B:$B,'20Ф'!Y:Y)*1.2</f>
        <v>0</v>
      </c>
      <c r="CR121" s="276">
        <f>SUMIF('20Ф'!$H:$H,$B:$B,'20Ф'!Z:Z)*1.2</f>
        <v>0</v>
      </c>
      <c r="CS121" s="276">
        <f>SUMIF('20Ф'!$H:$H,$B:$B,'20Ф'!AB:AB)*1.2</f>
        <v>0</v>
      </c>
      <c r="CT121" s="276">
        <f>SUMIF('20Ф'!$H:$H,$B:$B,'20Ф'!AC:AC)*1.2</f>
        <v>0</v>
      </c>
      <c r="CU121" s="276">
        <f>SUMIF('20Ф'!$H:$H,$B:$B,'20Ф'!AD:AD)*1.2</f>
        <v>0</v>
      </c>
      <c r="CV121" s="276">
        <f>SUMIF('20Ф'!$H:$H,$B:$B,'20Ф'!AE:AE)*1.2</f>
        <v>0</v>
      </c>
      <c r="CW121" s="276">
        <f>SUMIF('20Ф'!$H:$H,$B:$B,'20Ф'!AF:AF)*1.2</f>
        <v>0</v>
      </c>
      <c r="CX121" s="276">
        <f>SUMIF('20Ф'!$H:$H,$B:$B,'20Ф'!AG:AG)*1.2</f>
        <v>0</v>
      </c>
      <c r="CY121" s="276">
        <f>SUMIF('20Ф'!$H:$H,$B:$B,'20Ф'!AH:AH)*1.2</f>
        <v>0</v>
      </c>
      <c r="CZ121" s="276">
        <f>SUMIF('20Ф'!$H:$H,$B:$B,'20Ф'!AI:AI)*1.2</f>
        <v>0</v>
      </c>
      <c r="DA121" s="276">
        <f>SUMIF('20Ф'!$H:$H,$B:$B,'20Ф'!AJ:AJ)*1.2</f>
        <v>63300.275999999998</v>
      </c>
      <c r="DB121" s="276">
        <f>SUMIF('20Ф'!$H:$H,$B:$B,'20Ф'!AK:AK)*1.2</f>
        <v>0</v>
      </c>
      <c r="DC121" s="276">
        <f>SUMIF('20Ф'!$H:$H,$B:$B,'20Ф'!AL:AL)*1.2</f>
        <v>124893.42</v>
      </c>
      <c r="DD121" s="276">
        <f>SUMIF('20Ф'!$H:$H,$B:$B,'20Ф'!AM:AM)*1.2</f>
        <v>0</v>
      </c>
      <c r="DE121" s="276">
        <f>SUMIF('20Ф'!$H:$H,$B:$B,'20Ф'!AN:AN)*1.2</f>
        <v>268693.48799999995</v>
      </c>
      <c r="DF121" s="276">
        <f>SUMIF('20Ф'!$H:$H,$B:$B,'20Ф'!AO:AO)*1.2</f>
        <v>0</v>
      </c>
      <c r="DG121" s="276">
        <f>SUMIF('20Ф'!$H:$H,$B:$B,'20Ф'!AP:AP)*1.2</f>
        <v>0</v>
      </c>
      <c r="DH121" s="276">
        <f>SUMIF('20Ф'!$H:$H,$B:$B,'20Ф'!AQ:AQ)*1.2</f>
        <v>0</v>
      </c>
      <c r="DI121" s="276">
        <f>SUMIF('20Ф'!$H:$H,$B:$B,'20Ф'!BA:BA)*1.2</f>
        <v>0</v>
      </c>
      <c r="DJ121" s="276">
        <f>SUMIF('20Ф'!$H:$H,$B:$B,'20Ф'!BB:BB)*1.2</f>
        <v>0</v>
      </c>
      <c r="DK121" s="276">
        <f>SUMIF('20Ф'!$H:$H,$B:$B,'20Ф'!BC:BC)*1.2</f>
        <v>0</v>
      </c>
      <c r="DL121" s="276">
        <f>$D121/$D$281*'20Ф'!$H$218</f>
        <v>66534.069604102071</v>
      </c>
      <c r="DM121" s="240">
        <f t="shared" si="13"/>
        <v>882784.83132124925</v>
      </c>
      <c r="DN121" s="276">
        <f>SUMIF('20Ф'!$H:$H,$B:$B,'20Ф'!AV:AV)*1.2</f>
        <v>0</v>
      </c>
      <c r="DO121" s="276">
        <f>SUMIF('20Ф'!$H:$H,$B:$B,'20Ф'!AW:AW)*1.2+$D121/$D$281*'26Ф'!$D$42</f>
        <v>35405.98776523897</v>
      </c>
      <c r="DP121" s="276">
        <f>SUMIF('20Ф'!$H:$H,$B:$B,'20Ф'!AX:AX)*1.2</f>
        <v>0</v>
      </c>
      <c r="DQ121" s="276">
        <f>SUMIF('20Ф'!$H:$H,$B:$B,'20Ф'!AY:AY)*1.2</f>
        <v>47235</v>
      </c>
      <c r="DR121" s="276">
        <f>SUMIF('20Ф'!$H:$H,$B:$B,'20Ф'!AU:AU)*1.2</f>
        <v>0</v>
      </c>
      <c r="DS121" s="276">
        <f>SUMIF('20Ф'!$H:$H,$B:$B,'20Ф'!AS:AS)*1.2</f>
        <v>175587.92399999997</v>
      </c>
      <c r="DT121" s="276">
        <f>SUMIF('20Ф'!$H:$H,$B:$B,'20Ф'!AR:AR)*1.2</f>
        <v>0</v>
      </c>
      <c r="DU121" s="276">
        <f>SUMIF('20Ф'!$H:$H,$B:$B,'20Ф'!X:X)*1.2</f>
        <v>0</v>
      </c>
      <c r="DV121" s="276">
        <f>SUMIF('20Ф'!$H:$H,$B:$B,'20Ф'!AA:AA)*1.2</f>
        <v>0</v>
      </c>
      <c r="DW121" s="276">
        <f>SUMIF('20Ф'!$H:$H,$B:$B,'20Ф'!N:N)*1.2</f>
        <v>0</v>
      </c>
      <c r="DX121" s="276">
        <f>$D121/$D$281*('25Ф'!$D$37)</f>
        <v>595130.3606132915</v>
      </c>
      <c r="DY121" s="276">
        <f>$D121/$D$281*'25Ф'!$D$30</f>
        <v>18994.69289002541</v>
      </c>
      <c r="DZ121" s="276">
        <f>$D121/$D$281*'25Ф'!$D$31</f>
        <v>10430.866052693285</v>
      </c>
      <c r="EA121" s="276"/>
      <c r="EB121" s="276">
        <f t="shared" si="14"/>
        <v>374941.46779233927</v>
      </c>
      <c r="EC121" s="276">
        <f>$D121/$D$281*'26Ф'!$D$36</f>
        <v>195169.10888640123</v>
      </c>
      <c r="ED121" s="276">
        <f>$D121/$D$281*'26Ф'!$D$37</f>
        <v>23449.359988029264</v>
      </c>
      <c r="EE121" s="276">
        <f>$D121/$D$281*'26Ф'!$D$38</f>
        <v>23689.856249197954</v>
      </c>
      <c r="EF121" s="276">
        <f>$D121/$D$281*'26Ф'!$D$39</f>
        <v>16618.412537639859</v>
      </c>
      <c r="EG121" s="276">
        <f>$D121/$D$281*'91Ф'!$D$10</f>
        <v>5126.7733563567799</v>
      </c>
      <c r="EH121" s="276">
        <f>$D121/$D$281*('20Ф'!$I$509+'26Ф'!$D$41+'20Ф'!$I$507)</f>
        <v>36270.233329667564</v>
      </c>
      <c r="EI121" s="276">
        <f>$D121/$D$281*'91Ф'!$D$31</f>
        <v>66488.665054298704</v>
      </c>
      <c r="EJ121" s="276">
        <f>$D121/$D$281*'20Ф'!$I$1316</f>
        <v>8129.0583907479731</v>
      </c>
      <c r="EK121" s="276">
        <f>$D121/$D$281*('20Ф'!$I$1105+'20Ф'!$I$1282+'91Ф'!$D$17+'91Ф'!$D$41)</f>
        <v>266967.33413732023</v>
      </c>
      <c r="EL121" s="276">
        <f>$D121/$D$281*отчёт!BX$294</f>
        <v>446287.96399525285</v>
      </c>
      <c r="EM121" s="276">
        <f>$D121/$D$281*отчёт!BY$294</f>
        <v>392486.30847072467</v>
      </c>
      <c r="EN121" s="276">
        <f>$D121/$D$283*отчёт!BZ$294</f>
        <v>70439.023480434058</v>
      </c>
      <c r="EO121" s="240">
        <f t="shared" si="24"/>
        <v>366111.37900199601</v>
      </c>
      <c r="EP121" s="276">
        <f>SUMIF('20Ф'!$H:$H,$B:$B,'20Ф'!T:T)*1.2</f>
        <v>10384.56</v>
      </c>
      <c r="EQ121" s="276">
        <f>SUM(H121:I121)/SUM($H$284:$I$284)*SUM('60Ф'!$O$155:$P$155)</f>
        <v>345020.52351297403</v>
      </c>
      <c r="ER121" s="276">
        <f>SUM($H121:$I121)/SUM($H$284:$I$284)*SUM('60Ф'!$P$227)</f>
        <v>10706.295489021955</v>
      </c>
      <c r="ES121" s="239">
        <f t="shared" si="17"/>
        <v>149372.75152522101</v>
      </c>
      <c r="ET121" s="276">
        <f>$D121/$D$282*'20Ф'!$I$381</f>
        <v>11416.70251651623</v>
      </c>
      <c r="EU121" s="276">
        <f>$D121/$D$282*('20Ф'!$I$75+'20Ф'!$I$1098)*1.2</f>
        <v>131867.98225291097</v>
      </c>
      <c r="EV121" s="276">
        <f>$D121/$D$282*('20Ф'!$I$1286)</f>
        <v>6088.0667557938068</v>
      </c>
      <c r="EW121" s="276">
        <f>SUMIF('91.1Ф'!$N:$N,$B:$B,'91.1Ф'!$F:$F)+$D121/$D$281*('91Ф'!$D$12+'91Ф'!$D$11+'91Ф'!$D$19+'91Ф'!$D$20)</f>
        <v>35184.989754759539</v>
      </c>
      <c r="EX121" s="276">
        <f t="shared" si="15"/>
        <v>52571.175694909616</v>
      </c>
      <c r="EY121" s="276">
        <f>SUMIF('20Ф'!$H:$H,$B:$B,'20Ф'!$AY:$AY)*1.2</f>
        <v>47235</v>
      </c>
      <c r="EZ121" s="295">
        <f>D121/$D$286*'20Ф'!$I$1163</f>
        <v>5336.1756949096134</v>
      </c>
      <c r="FA121" s="277">
        <f>SUMIF(отчёт!$B:$B,$B:$B,отчёт!$CU:$CU)/отчёт!$CU$281*'20Ф'!$I$1341</f>
        <v>3683.8554216867401</v>
      </c>
      <c r="FB121" s="276">
        <f>SUMIF(Сальдо!$A:$A,$B:$B,Сальдо!$H:$H)-SUMIF(Сальдо!$A:$A,$B:$B,Сальдо!$I:$I)</f>
        <v>552097.82999999996</v>
      </c>
    </row>
    <row r="122" spans="1:158" ht="12" customHeight="1" x14ac:dyDescent="0.25">
      <c r="A122" s="3">
        <f t="shared" si="18"/>
        <v>118</v>
      </c>
      <c r="B122" s="4" t="s">
        <v>167</v>
      </c>
      <c r="C122" s="4" t="s">
        <v>167</v>
      </c>
      <c r="D122" s="5">
        <v>3463.8</v>
      </c>
      <c r="E122" s="6">
        <v>3463.8</v>
      </c>
      <c r="F122" s="6">
        <v>0</v>
      </c>
      <c r="G122" s="6">
        <v>299.2</v>
      </c>
      <c r="H122" s="5">
        <f>SUMIF(отчёт!$B:$B,$B:$B,отчёт!I:I)</f>
        <v>0</v>
      </c>
      <c r="I122" s="5">
        <f>SUMIF(отчёт!$B:$B,$B:$B,отчёт!J:J)</f>
        <v>0</v>
      </c>
      <c r="J122" s="3" t="s">
        <v>111</v>
      </c>
      <c r="K122" s="105">
        <v>7</v>
      </c>
      <c r="L122" s="105" t="s">
        <v>52</v>
      </c>
      <c r="M122" s="7">
        <v>31</v>
      </c>
      <c r="N122" s="8">
        <v>5.0999999999999996</v>
      </c>
      <c r="O122" s="8">
        <v>6.59</v>
      </c>
      <c r="P122" s="8">
        <v>8.98</v>
      </c>
      <c r="Q122" s="8">
        <v>6.92</v>
      </c>
      <c r="R122" s="8">
        <v>3.15</v>
      </c>
      <c r="S122" s="8">
        <v>0</v>
      </c>
      <c r="T122" s="8">
        <v>0</v>
      </c>
      <c r="U122" s="8">
        <v>0.26</v>
      </c>
      <c r="V122" s="9">
        <v>40</v>
      </c>
      <c r="W122" s="9">
        <v>40</v>
      </c>
      <c r="X122" s="9">
        <v>2604.04</v>
      </c>
      <c r="Y122" s="8">
        <v>195.98199600000001</v>
      </c>
      <c r="Z122" s="9">
        <v>42.3</v>
      </c>
      <c r="AA122" s="9">
        <v>2604.04</v>
      </c>
      <c r="AB122" s="8">
        <v>7.85</v>
      </c>
      <c r="AC122" s="10">
        <v>0</v>
      </c>
      <c r="AD122" s="8">
        <v>6.73</v>
      </c>
      <c r="AE122" s="8">
        <v>10.67</v>
      </c>
      <c r="AF122" s="8">
        <v>14</v>
      </c>
      <c r="AG122" s="7">
        <v>644266.80000000005</v>
      </c>
      <c r="AH122" s="8">
        <v>105992.28</v>
      </c>
      <c r="AI122" s="8">
        <v>136958.652</v>
      </c>
      <c r="AJ122" s="8">
        <v>186629.54400000002</v>
      </c>
      <c r="AK122" s="8">
        <v>143816.97600000002</v>
      </c>
      <c r="AL122" s="8">
        <v>65465.820000000007</v>
      </c>
      <c r="AM122" s="8">
        <v>0</v>
      </c>
      <c r="AN122" s="8">
        <v>0</v>
      </c>
      <c r="AO122" s="8">
        <v>5403.5280000000002</v>
      </c>
      <c r="AQ122" s="104">
        <v>33.17</v>
      </c>
      <c r="AR122" s="375">
        <v>13.89</v>
      </c>
      <c r="AS122" s="376"/>
      <c r="AT122" s="104">
        <v>5.9</v>
      </c>
      <c r="AU122" s="104">
        <v>1.53</v>
      </c>
      <c r="AV122" s="104">
        <v>0.32</v>
      </c>
      <c r="AW122" s="104">
        <v>0.6</v>
      </c>
      <c r="AX122" s="104">
        <v>5.01</v>
      </c>
      <c r="AY122" s="104">
        <v>4.99</v>
      </c>
      <c r="AZ122" s="104">
        <v>0</v>
      </c>
      <c r="BA122" s="104">
        <v>0</v>
      </c>
      <c r="BB122" s="104">
        <v>0</v>
      </c>
      <c r="BC122" s="101">
        <v>0.93</v>
      </c>
      <c r="BD122" s="104">
        <v>37.581610000000005</v>
      </c>
      <c r="BE122" s="375">
        <v>15.737370000000004</v>
      </c>
      <c r="BF122" s="376">
        <v>0</v>
      </c>
      <c r="BG122" s="104">
        <v>6.6847000000000012</v>
      </c>
      <c r="BH122" s="104">
        <v>1.7334900000000002</v>
      </c>
      <c r="BI122" s="104">
        <v>0.36256000000000005</v>
      </c>
      <c r="BJ122" s="104">
        <v>0.67980000000000007</v>
      </c>
      <c r="BK122" s="104">
        <v>5.6763300000000001</v>
      </c>
      <c r="BL122" s="104">
        <v>5.65367</v>
      </c>
      <c r="BM122" s="104">
        <v>0</v>
      </c>
      <c r="BN122" s="104">
        <v>0</v>
      </c>
      <c r="BO122" s="104">
        <v>0</v>
      </c>
      <c r="BP122" s="101">
        <v>1.0536900000000002</v>
      </c>
      <c r="BQ122" s="103">
        <v>1531540.2991800001</v>
      </c>
      <c r="BR122" s="371">
        <v>641335.38606000016</v>
      </c>
      <c r="BS122" s="371">
        <v>0</v>
      </c>
      <c r="BT122" s="103">
        <v>272417.47860000003</v>
      </c>
      <c r="BU122" s="103">
        <v>70643.854619999998</v>
      </c>
      <c r="BV122" s="103">
        <v>14775.185280000002</v>
      </c>
      <c r="BW122" s="103">
        <v>27703.472400000006</v>
      </c>
      <c r="BX122" s="103">
        <v>231323.99454000001</v>
      </c>
      <c r="BY122" s="103">
        <v>230400.54546000002</v>
      </c>
      <c r="BZ122" s="103">
        <v>0</v>
      </c>
      <c r="CA122" s="103">
        <v>0</v>
      </c>
      <c r="CB122" s="103">
        <v>0</v>
      </c>
      <c r="CC122" s="103">
        <v>42940.382220000007</v>
      </c>
      <c r="CD122" s="1">
        <v>1</v>
      </c>
      <c r="CF122" s="277">
        <f>SUMIF(Оборот!$A:$A,$B:$B,Оборот!H:H)</f>
        <v>1317620.1600000001</v>
      </c>
      <c r="CG122" s="277">
        <f>SUMIF(Оборот!$A:$A,$B:$B,Оборот!I:I)</f>
        <v>1263542.6000000001</v>
      </c>
      <c r="CH122" s="277">
        <f t="shared" si="12"/>
        <v>1709879.2684018221</v>
      </c>
      <c r="CI122" s="239">
        <f t="shared" si="16"/>
        <v>467390.16488287551</v>
      </c>
      <c r="CJ122" s="276">
        <f>SUMIF('20Ф'!$H:$H,$B:$B,'20Ф'!M:M)*1.2</f>
        <v>0</v>
      </c>
      <c r="CK122" s="276">
        <f>SUMIF('20Ф'!$H:$H,$B:$B,'20Ф'!O:O)*1.2</f>
        <v>0</v>
      </c>
      <c r="CL122" s="276">
        <f>SUMIF('20Ф'!$H:$H,$B:$B,'20Ф'!Q:Q)*1.2</f>
        <v>0</v>
      </c>
      <c r="CM122" s="276">
        <f>SUMIF('20Ф'!$H:$H,$B:$B,'20Ф'!R:R)*1.2</f>
        <v>0</v>
      </c>
      <c r="CN122" s="276">
        <f>SUMIF('20Ф'!$H:$H,$B:$B,'20Ф'!S:S)*1.2</f>
        <v>0</v>
      </c>
      <c r="CO122" s="276">
        <f>SUMIF('20Ф'!$H:$H,$B:$B,'20Ф'!W:W)*1.2</f>
        <v>0</v>
      </c>
      <c r="CP122" s="276">
        <f>SUMIF('20Ф'!$H:$H,$B:$B,'20Ф'!P:P)*1.2</f>
        <v>0</v>
      </c>
      <c r="CQ122" s="276">
        <f>SUMIF('20Ф'!$H:$H,$B:$B,'20Ф'!Y:Y)*1.2</f>
        <v>0</v>
      </c>
      <c r="CR122" s="276">
        <f>SUMIF('20Ф'!$H:$H,$B:$B,'20Ф'!Z:Z)*1.2</f>
        <v>0</v>
      </c>
      <c r="CS122" s="276">
        <f>SUMIF('20Ф'!$H:$H,$B:$B,'20Ф'!AB:AB)*1.2</f>
        <v>0</v>
      </c>
      <c r="CT122" s="276">
        <f>SUMIF('20Ф'!$H:$H,$B:$B,'20Ф'!AC:AC)*1.2</f>
        <v>0</v>
      </c>
      <c r="CU122" s="276">
        <f>SUMIF('20Ф'!$H:$H,$B:$B,'20Ф'!AD:AD)*1.2</f>
        <v>0</v>
      </c>
      <c r="CV122" s="276">
        <f>SUMIF('20Ф'!$H:$H,$B:$B,'20Ф'!AE:AE)*1.2</f>
        <v>0</v>
      </c>
      <c r="CW122" s="276">
        <f>SUMIF('20Ф'!$H:$H,$B:$B,'20Ф'!AF:AF)*1.2</f>
        <v>0</v>
      </c>
      <c r="CX122" s="276">
        <f>SUMIF('20Ф'!$H:$H,$B:$B,'20Ф'!AG:AG)*1.2</f>
        <v>4559.3760000000002</v>
      </c>
      <c r="CY122" s="276">
        <f>SUMIF('20Ф'!$H:$H,$B:$B,'20Ф'!AH:AH)*1.2</f>
        <v>0</v>
      </c>
      <c r="CZ122" s="276">
        <f>SUMIF('20Ф'!$H:$H,$B:$B,'20Ф'!AI:AI)*1.2</f>
        <v>0</v>
      </c>
      <c r="DA122" s="276">
        <f>SUMIF('20Ф'!$H:$H,$B:$B,'20Ф'!AJ:AJ)*1.2</f>
        <v>90877.092000000004</v>
      </c>
      <c r="DB122" s="276">
        <f>SUMIF('20Ф'!$H:$H,$B:$B,'20Ф'!AK:AK)*1.2</f>
        <v>0</v>
      </c>
      <c r="DC122" s="276">
        <f>SUMIF('20Ф'!$H:$H,$B:$B,'20Ф'!AL:AL)*1.2</f>
        <v>0</v>
      </c>
      <c r="DD122" s="276">
        <f>SUMIF('20Ф'!$H:$H,$B:$B,'20Ф'!AM:AM)*1.2</f>
        <v>0</v>
      </c>
      <c r="DE122" s="276">
        <f>SUMIF('20Ф'!$H:$H,$B:$B,'20Ф'!AN:AN)*1.2</f>
        <v>0</v>
      </c>
      <c r="DF122" s="276">
        <f>SUMIF('20Ф'!$H:$H,$B:$B,'20Ф'!AO:AO)*1.2</f>
        <v>0</v>
      </c>
      <c r="DG122" s="276">
        <f>SUMIF('20Ф'!$H:$H,$B:$B,'20Ф'!AP:AP)*1.2</f>
        <v>341488.41599999997</v>
      </c>
      <c r="DH122" s="276">
        <f>SUMIF('20Ф'!$H:$H,$B:$B,'20Ф'!AQ:AQ)*1.2</f>
        <v>0</v>
      </c>
      <c r="DI122" s="276">
        <f>SUMIF('20Ф'!$H:$H,$B:$B,'20Ф'!BA:BA)*1.2</f>
        <v>0</v>
      </c>
      <c r="DJ122" s="276">
        <f>SUMIF('20Ф'!$H:$H,$B:$B,'20Ф'!BB:BB)*1.2</f>
        <v>0</v>
      </c>
      <c r="DK122" s="276">
        <f>SUMIF('20Ф'!$H:$H,$B:$B,'20Ф'!BC:BC)*1.2</f>
        <v>0</v>
      </c>
      <c r="DL122" s="276">
        <f>$D122/$D$281*'20Ф'!$H$218</f>
        <v>30465.280882875562</v>
      </c>
      <c r="DM122" s="240">
        <f t="shared" si="13"/>
        <v>418127.71160529077</v>
      </c>
      <c r="DN122" s="276">
        <f>SUMIF('20Ф'!$H:$H,$B:$B,'20Ф'!AV:AV)*1.2</f>
        <v>0</v>
      </c>
      <c r="DO122" s="276">
        <f>SUMIF('20Ф'!$H:$H,$B:$B,'20Ф'!AW:AW)*1.2+$D122/$D$281*'26Ф'!$D$42</f>
        <v>16212.04547718148</v>
      </c>
      <c r="DP122" s="276">
        <f>SUMIF('20Ф'!$H:$H,$B:$B,'20Ф'!AX:AX)*1.2</f>
        <v>0</v>
      </c>
      <c r="DQ122" s="276">
        <f>SUMIF('20Ф'!$H:$H,$B:$B,'20Ф'!AY:AY)*1.2</f>
        <v>59421</v>
      </c>
      <c r="DR122" s="276">
        <f>SUMIF('20Ф'!$H:$H,$B:$B,'20Ф'!AU:AU)*1.2</f>
        <v>0</v>
      </c>
      <c r="DS122" s="276">
        <f>SUMIF('20Ф'!$H:$H,$B:$B,'20Ф'!AS:AS)*1.2</f>
        <v>44819.915999999997</v>
      </c>
      <c r="DT122" s="276">
        <f>SUMIF('20Ф'!$H:$H,$B:$B,'20Ф'!AR:AR)*1.2</f>
        <v>0</v>
      </c>
      <c r="DU122" s="276">
        <f>SUMIF('20Ф'!$H:$H,$B:$B,'20Ф'!X:X)*1.2</f>
        <v>11696.88</v>
      </c>
      <c r="DV122" s="276">
        <f>SUMIF('20Ф'!$H:$H,$B:$B,'20Ф'!AA:AA)*1.2</f>
        <v>0</v>
      </c>
      <c r="DW122" s="276">
        <f>SUMIF('20Ф'!$H:$H,$B:$B,'20Ф'!N:N)*1.2</f>
        <v>0</v>
      </c>
      <c r="DX122" s="276">
        <f>$D122/$D$281*('25Ф'!$D$37)</f>
        <v>272504.20282262604</v>
      </c>
      <c r="DY122" s="276">
        <f>$D122/$D$281*'25Ф'!$D$30</f>
        <v>8697.4787146178987</v>
      </c>
      <c r="DZ122" s="276">
        <f>$D122/$D$281*'25Ф'!$D$31</f>
        <v>4776.1885908653358</v>
      </c>
      <c r="EA122" s="276"/>
      <c r="EB122" s="276">
        <f t="shared" si="14"/>
        <v>171681.92474772368</v>
      </c>
      <c r="EC122" s="276">
        <f>$D122/$D$281*'26Ф'!$D$36</f>
        <v>89365.970806603917</v>
      </c>
      <c r="ED122" s="276">
        <f>$D122/$D$281*'26Ф'!$D$37</f>
        <v>10737.225947695979</v>
      </c>
      <c r="EE122" s="276">
        <f>$D122/$D$281*'26Ф'!$D$38</f>
        <v>10847.346765367018</v>
      </c>
      <c r="EF122" s="276">
        <f>$D122/$D$281*'26Ф'!$D$39</f>
        <v>7609.4038557876647</v>
      </c>
      <c r="EG122" s="276">
        <f>$D122/$D$281*'91Ф'!$D$10</f>
        <v>2347.4979248018581</v>
      </c>
      <c r="EH122" s="276">
        <f>$D122/$D$281*('20Ф'!$I$509+'26Ф'!$D$41+'20Ф'!$I$507)</f>
        <v>16607.774823496307</v>
      </c>
      <c r="EI122" s="276">
        <f>$D122/$D$281*'91Ф'!$D$31</f>
        <v>30444.490596465144</v>
      </c>
      <c r="EJ122" s="276">
        <f>$D122/$D$281*'20Ф'!$I$1316</f>
        <v>3722.2140275057614</v>
      </c>
      <c r="EK122" s="276">
        <f>$D122/$D$281*('20Ф'!$I$1105+'20Ф'!$I$1282+'91Ф'!$D$17+'91Ф'!$D$41)</f>
        <v>122241.65558248838</v>
      </c>
      <c r="EL122" s="276">
        <f>$D122/$D$281*отчёт!BX$294</f>
        <v>204350.76733865944</v>
      </c>
      <c r="EM122" s="276">
        <f>$D122/$D$281*отчёт!BY$294</f>
        <v>179715.53072572558</v>
      </c>
      <c r="EN122" s="276">
        <f>SUMIF(отчёт!$B:$B,$B:$B,отчёт!BZ:BZ)/отчёт!BZ$281*('60Ф'!$O$151+'60Ф'!$P$151)*отчёт!BZ$293</f>
        <v>0</v>
      </c>
      <c r="EO122" s="240">
        <f t="shared" si="19"/>
        <v>0</v>
      </c>
      <c r="EP122" s="276">
        <f>SUMIF('20Ф'!$H:$H,$B:$B,'20Ф'!T:T)*1.2</f>
        <v>0</v>
      </c>
      <c r="EQ122" s="276">
        <f>SUMIF('20Ф'!$H:$H,$B:$B,'20Ф'!U:U)*1.2</f>
        <v>0</v>
      </c>
      <c r="ER122" s="236"/>
      <c r="ES122" s="239">
        <f t="shared" si="17"/>
        <v>68396.279658553627</v>
      </c>
      <c r="ET122" s="276">
        <f>$D122/$D$282*'20Ф'!$I$381</f>
        <v>5227.5931863403603</v>
      </c>
      <c r="EU122" s="276">
        <f>$D122/$D$282*('20Ф'!$I$75+'20Ф'!$I$1098)*1.2</f>
        <v>60381.021974120995</v>
      </c>
      <c r="EV122" s="276">
        <f>$D122/$D$282*('20Ф'!$I$1286)</f>
        <v>2787.6644980922697</v>
      </c>
      <c r="EW122" s="276">
        <f>SUMIF('91.1Ф'!$N:$N,$B:$B,'91.1Ф'!$F:$F)+$D122/$D$281*('91Ф'!$D$12+'91Ф'!$D$11+'91Ф'!$D$19+'91Ф'!$D$20)</f>
        <v>16110.8527122736</v>
      </c>
      <c r="EX122" s="276">
        <f t="shared" si="15"/>
        <v>61864.381148231645</v>
      </c>
      <c r="EY122" s="276">
        <f>SUMIF('20Ф'!$H:$H,$B:$B,'20Ф'!$AY:$AY)*1.2</f>
        <v>59421</v>
      </c>
      <c r="EZ122" s="295">
        <f>D122/$D$286*'20Ф'!$I$1163</f>
        <v>2443.3811482316441</v>
      </c>
      <c r="FA122" s="277">
        <f>SUMIF(отчёт!$B:$B,$B:$B,отчёт!$CU:$CU)/отчёт!$CU$281*'20Ф'!$I$1341</f>
        <v>3683.8554216867401</v>
      </c>
      <c r="FB122" s="276">
        <f>SUMIF(Сальдо!$A:$A,$B:$B,Сальдо!$H:$H)-SUMIF(Сальдо!$A:$A,$B:$B,Сальдо!$I:$I)</f>
        <v>305423.09999999998</v>
      </c>
    </row>
    <row r="123" spans="1:158" ht="12" customHeight="1" x14ac:dyDescent="0.25">
      <c r="A123" s="3">
        <f t="shared" si="18"/>
        <v>119</v>
      </c>
      <c r="B123" s="4" t="s">
        <v>168</v>
      </c>
      <c r="C123" s="4" t="s">
        <v>168</v>
      </c>
      <c r="D123" s="5">
        <v>3497.98</v>
      </c>
      <c r="E123" s="6">
        <v>3497.98</v>
      </c>
      <c r="F123" s="6">
        <v>0</v>
      </c>
      <c r="G123" s="6">
        <v>483</v>
      </c>
      <c r="H123" s="5">
        <f>SUMIF(отчёт!$B:$B,$B:$B,отчёт!I:I)</f>
        <v>0</v>
      </c>
      <c r="I123" s="5">
        <f>SUMIF(отчёт!$B:$B,$B:$B,отчёт!J:J)</f>
        <v>0</v>
      </c>
      <c r="J123" s="3" t="s">
        <v>111</v>
      </c>
      <c r="K123" s="105">
        <v>7</v>
      </c>
      <c r="L123" s="105" t="s">
        <v>52</v>
      </c>
      <c r="M123" s="7">
        <v>31</v>
      </c>
      <c r="N123" s="8">
        <v>5.0999999999999996</v>
      </c>
      <c r="O123" s="8">
        <v>6.59</v>
      </c>
      <c r="P123" s="8">
        <v>8.98</v>
      </c>
      <c r="Q123" s="8">
        <v>6.92</v>
      </c>
      <c r="R123" s="8">
        <v>3.15</v>
      </c>
      <c r="S123" s="8">
        <v>0</v>
      </c>
      <c r="T123" s="8">
        <v>0</v>
      </c>
      <c r="U123" s="8">
        <v>0.26</v>
      </c>
      <c r="V123" s="9">
        <v>40</v>
      </c>
      <c r="W123" s="9">
        <v>40</v>
      </c>
      <c r="X123" s="9">
        <v>2604.04</v>
      </c>
      <c r="Y123" s="8">
        <v>195.98199600000001</v>
      </c>
      <c r="Z123" s="9">
        <v>42.3</v>
      </c>
      <c r="AA123" s="9">
        <v>2604.04</v>
      </c>
      <c r="AB123" s="8">
        <v>7.85</v>
      </c>
      <c r="AC123" s="10">
        <v>0</v>
      </c>
      <c r="AD123" s="8">
        <v>6.73</v>
      </c>
      <c r="AE123" s="8">
        <v>10.67</v>
      </c>
      <c r="AF123" s="8">
        <v>14</v>
      </c>
      <c r="AG123" s="7">
        <v>650624.28</v>
      </c>
      <c r="AH123" s="8">
        <v>107038.18799999999</v>
      </c>
      <c r="AI123" s="8">
        <v>138310.1292</v>
      </c>
      <c r="AJ123" s="8">
        <v>188471.1624</v>
      </c>
      <c r="AK123" s="8">
        <v>145236.12959999999</v>
      </c>
      <c r="AL123" s="8">
        <v>66111.822</v>
      </c>
      <c r="AM123" s="8">
        <v>0</v>
      </c>
      <c r="AN123" s="8">
        <v>0</v>
      </c>
      <c r="AO123" s="8">
        <v>5456.8488000000007</v>
      </c>
      <c r="AQ123" s="104">
        <v>33.17</v>
      </c>
      <c r="AR123" s="375">
        <v>13.89</v>
      </c>
      <c r="AS123" s="376"/>
      <c r="AT123" s="104">
        <v>5.9</v>
      </c>
      <c r="AU123" s="104">
        <v>1.53</v>
      </c>
      <c r="AV123" s="104">
        <v>0.32</v>
      </c>
      <c r="AW123" s="104">
        <v>0.6</v>
      </c>
      <c r="AX123" s="104">
        <v>5.01</v>
      </c>
      <c r="AY123" s="104">
        <v>4.99</v>
      </c>
      <c r="AZ123" s="104">
        <v>0</v>
      </c>
      <c r="BA123" s="104">
        <v>0</v>
      </c>
      <c r="BB123" s="104">
        <v>0</v>
      </c>
      <c r="BC123" s="101">
        <v>0.93</v>
      </c>
      <c r="BD123" s="104">
        <v>37.581610000000005</v>
      </c>
      <c r="BE123" s="375">
        <v>15.737370000000004</v>
      </c>
      <c r="BF123" s="376">
        <v>0</v>
      </c>
      <c r="BG123" s="104">
        <v>6.6847000000000012</v>
      </c>
      <c r="BH123" s="104">
        <v>1.7334900000000002</v>
      </c>
      <c r="BI123" s="104">
        <v>0.36256000000000005</v>
      </c>
      <c r="BJ123" s="104">
        <v>0.67980000000000007</v>
      </c>
      <c r="BK123" s="104">
        <v>5.6763300000000001</v>
      </c>
      <c r="BL123" s="104">
        <v>5.65367</v>
      </c>
      <c r="BM123" s="104">
        <v>0</v>
      </c>
      <c r="BN123" s="104">
        <v>0</v>
      </c>
      <c r="BO123" s="104">
        <v>0</v>
      </c>
      <c r="BP123" s="101">
        <v>1.0536900000000002</v>
      </c>
      <c r="BQ123" s="103">
        <v>1546653.1946780002</v>
      </c>
      <c r="BR123" s="371">
        <v>647663.93952600018</v>
      </c>
      <c r="BS123" s="371">
        <v>0</v>
      </c>
      <c r="BT123" s="103">
        <v>275105.63306000002</v>
      </c>
      <c r="BU123" s="103">
        <v>71340.952302000005</v>
      </c>
      <c r="BV123" s="103">
        <v>14920.983488</v>
      </c>
      <c r="BW123" s="103">
        <v>27976.844040000004</v>
      </c>
      <c r="BX123" s="103">
        <v>233606.647734</v>
      </c>
      <c r="BY123" s="103">
        <v>232674.086266</v>
      </c>
      <c r="BZ123" s="103">
        <v>0</v>
      </c>
      <c r="CA123" s="103">
        <v>0</v>
      </c>
      <c r="CB123" s="103">
        <v>0</v>
      </c>
      <c r="CC123" s="103">
        <v>43364.108262000009</v>
      </c>
      <c r="CD123" s="1">
        <v>1</v>
      </c>
      <c r="CF123" s="277">
        <f>SUMIF(Оборот!$A:$A,$B:$B,Оборот!H:H)</f>
        <v>1331611.2799999998</v>
      </c>
      <c r="CG123" s="277">
        <f>SUMIF(Оборот!$A:$A,$B:$B,Оборот!I:I)</f>
        <v>1355246.7100000002</v>
      </c>
      <c r="CH123" s="277">
        <f t="shared" si="12"/>
        <v>1408737.3230117806</v>
      </c>
      <c r="CI123" s="239">
        <f t="shared" si="16"/>
        <v>81441.42542833912</v>
      </c>
      <c r="CJ123" s="276">
        <f>SUMIF('20Ф'!$H:$H,$B:$B,'20Ф'!M:M)*1.2</f>
        <v>0</v>
      </c>
      <c r="CK123" s="276">
        <f>SUMIF('20Ф'!$H:$H,$B:$B,'20Ф'!O:O)*1.2</f>
        <v>0</v>
      </c>
      <c r="CL123" s="276">
        <f>SUMIF('20Ф'!$H:$H,$B:$B,'20Ф'!Q:Q)*1.2</f>
        <v>0</v>
      </c>
      <c r="CM123" s="276">
        <f>SUMIF('20Ф'!$H:$H,$B:$B,'20Ф'!R:R)*1.2</f>
        <v>0</v>
      </c>
      <c r="CN123" s="276">
        <f>SUMIF('20Ф'!$H:$H,$B:$B,'20Ф'!S:S)*1.2</f>
        <v>0</v>
      </c>
      <c r="CO123" s="276">
        <f>SUMIF('20Ф'!$H:$H,$B:$B,'20Ф'!W:W)*1.2</f>
        <v>0</v>
      </c>
      <c r="CP123" s="276">
        <f>SUMIF('20Ф'!$H:$H,$B:$B,'20Ф'!P:P)*1.2</f>
        <v>0</v>
      </c>
      <c r="CQ123" s="276">
        <f>SUMIF('20Ф'!$H:$H,$B:$B,'20Ф'!Y:Y)*1.2</f>
        <v>0</v>
      </c>
      <c r="CR123" s="276">
        <f>SUMIF('20Ф'!$H:$H,$B:$B,'20Ф'!Z:Z)*1.2</f>
        <v>0</v>
      </c>
      <c r="CS123" s="276">
        <f>SUMIF('20Ф'!$H:$H,$B:$B,'20Ф'!AB:AB)*1.2</f>
        <v>0</v>
      </c>
      <c r="CT123" s="276">
        <f>SUMIF('20Ф'!$H:$H,$B:$B,'20Ф'!AC:AC)*1.2</f>
        <v>0</v>
      </c>
      <c r="CU123" s="276">
        <f>SUMIF('20Ф'!$H:$H,$B:$B,'20Ф'!AD:AD)*1.2</f>
        <v>0</v>
      </c>
      <c r="CV123" s="276">
        <f>SUMIF('20Ф'!$H:$H,$B:$B,'20Ф'!AE:AE)*1.2</f>
        <v>0</v>
      </c>
      <c r="CW123" s="276">
        <f>SUMIF('20Ф'!$H:$H,$B:$B,'20Ф'!AF:AF)*1.2</f>
        <v>0</v>
      </c>
      <c r="CX123" s="276">
        <f>SUMIF('20Ф'!$H:$H,$B:$B,'20Ф'!AG:AG)*1.2</f>
        <v>10503.659999999998</v>
      </c>
      <c r="CY123" s="276">
        <f>SUMIF('20Ф'!$H:$H,$B:$B,'20Ф'!AH:AH)*1.2</f>
        <v>0</v>
      </c>
      <c r="CZ123" s="276">
        <f>SUMIF('20Ф'!$H:$H,$B:$B,'20Ф'!AI:AI)*1.2</f>
        <v>40171.86</v>
      </c>
      <c r="DA123" s="276">
        <f>SUMIF('20Ф'!$H:$H,$B:$B,'20Ф'!AJ:AJ)*1.2</f>
        <v>0</v>
      </c>
      <c r="DB123" s="276">
        <f>SUMIF('20Ф'!$H:$H,$B:$B,'20Ф'!AK:AK)*1.2</f>
        <v>0</v>
      </c>
      <c r="DC123" s="276">
        <f>SUMIF('20Ф'!$H:$H,$B:$B,'20Ф'!AL:AL)*1.2</f>
        <v>0</v>
      </c>
      <c r="DD123" s="276">
        <f>SUMIF('20Ф'!$H:$H,$B:$B,'20Ф'!AM:AM)*1.2</f>
        <v>0</v>
      </c>
      <c r="DE123" s="276">
        <f>SUMIF('20Ф'!$H:$H,$B:$B,'20Ф'!AN:AN)*1.2</f>
        <v>0</v>
      </c>
      <c r="DF123" s="276">
        <f>SUMIF('20Ф'!$H:$H,$B:$B,'20Ф'!AO:AO)*1.2</f>
        <v>0</v>
      </c>
      <c r="DG123" s="276">
        <f>SUMIF('20Ф'!$H:$H,$B:$B,'20Ф'!AP:AP)*1.2</f>
        <v>0</v>
      </c>
      <c r="DH123" s="276">
        <f>SUMIF('20Ф'!$H:$H,$B:$B,'20Ф'!AQ:AQ)*1.2</f>
        <v>0</v>
      </c>
      <c r="DI123" s="276">
        <f>SUMIF('20Ф'!$H:$H,$B:$B,'20Ф'!BA:BA)*1.2</f>
        <v>0</v>
      </c>
      <c r="DJ123" s="276">
        <f>SUMIF('20Ф'!$H:$H,$B:$B,'20Ф'!BB:BB)*1.2</f>
        <v>0</v>
      </c>
      <c r="DK123" s="276">
        <f>SUMIF('20Ф'!$H:$H,$B:$B,'20Ф'!BC:BC)*1.2</f>
        <v>0</v>
      </c>
      <c r="DL123" s="276">
        <f>$D123/$D$281*'20Ф'!$H$218</f>
        <v>30765.90542833912</v>
      </c>
      <c r="DM123" s="240">
        <f t="shared" si="13"/>
        <v>495386.24578306911</v>
      </c>
      <c r="DN123" s="276">
        <f>SUMIF('20Ф'!$H:$H,$B:$B,'20Ф'!AV:AV)*1.2</f>
        <v>0</v>
      </c>
      <c r="DO123" s="276">
        <f>SUMIF('20Ф'!$H:$H,$B:$B,'20Ф'!AW:AW)*1.2+$D123/$D$281*'26Ф'!$D$42</f>
        <v>16372.022298709875</v>
      </c>
      <c r="DP123" s="276">
        <f>SUMIF('20Ф'!$H:$H,$B:$B,'20Ф'!AX:AX)*1.2</f>
        <v>0</v>
      </c>
      <c r="DQ123" s="276">
        <f>SUMIF('20Ф'!$H:$H,$B:$B,'20Ф'!AY:AY)*1.2</f>
        <v>59421</v>
      </c>
      <c r="DR123" s="276">
        <f>SUMIF('20Ф'!$H:$H,$B:$B,'20Ф'!AU:AU)*1.2</f>
        <v>0</v>
      </c>
      <c r="DS123" s="276">
        <f>SUMIF('20Ф'!$H:$H,$B:$B,'20Ф'!AS:AS)*1.2</f>
        <v>29812.367999999999</v>
      </c>
      <c r="DT123" s="276">
        <f>SUMIF('20Ф'!$H:$H,$B:$B,'20Ф'!AR:AR)*1.2</f>
        <v>0</v>
      </c>
      <c r="DU123" s="276">
        <f>SUMIF('20Ф'!$H:$H,$B:$B,'20Ф'!X:X)*1.2</f>
        <v>100981.02</v>
      </c>
      <c r="DV123" s="276">
        <f>SUMIF('20Ф'!$H:$H,$B:$B,'20Ф'!AA:AA)*1.2</f>
        <v>0</v>
      </c>
      <c r="DW123" s="276">
        <f>SUMIF('20Ф'!$H:$H,$B:$B,'20Ф'!N:N)*1.2</f>
        <v>0</v>
      </c>
      <c r="DX123" s="276">
        <f>$D123/$D$281*('25Ф'!$D$37)</f>
        <v>275193.21305776585</v>
      </c>
      <c r="DY123" s="276">
        <f>$D123/$D$281*'25Ф'!$D$30</f>
        <v>8783.3034800390087</v>
      </c>
      <c r="DZ123" s="276">
        <f>$D123/$D$281*'25Ф'!$D$31</f>
        <v>4823.3189465543983</v>
      </c>
      <c r="EA123" s="276"/>
      <c r="EB123" s="276">
        <f t="shared" si="14"/>
        <v>173376.0434000353</v>
      </c>
      <c r="EC123" s="276">
        <f>$D123/$D$281*'26Ф'!$D$36</f>
        <v>90247.814123819015</v>
      </c>
      <c r="ED123" s="276">
        <f>$D123/$D$281*'26Ф'!$D$37</f>
        <v>10843.178480432351</v>
      </c>
      <c r="EE123" s="276">
        <f>$D123/$D$281*'26Ф'!$D$38</f>
        <v>10954.385945585344</v>
      </c>
      <c r="EF123" s="276">
        <f>$D123/$D$281*'26Ф'!$D$39</f>
        <v>7684.4917430186879</v>
      </c>
      <c r="EG123" s="276">
        <f>$D123/$D$281*'91Ф'!$D$10</f>
        <v>2370.662506783995</v>
      </c>
      <c r="EH123" s="276">
        <f>$D123/$D$281*('20Ф'!$I$509+'26Ф'!$D$41+'20Ф'!$I$507)</f>
        <v>16771.65661328414</v>
      </c>
      <c r="EI123" s="276">
        <f>$D123/$D$281*'91Ф'!$D$31</f>
        <v>30744.909988054485</v>
      </c>
      <c r="EJ123" s="276">
        <f>$D123/$D$281*'20Ф'!$I$1316</f>
        <v>3758.9439990572782</v>
      </c>
      <c r="EK123" s="276">
        <f>$D123/$D$281*('20Ф'!$I$1105+'20Ф'!$I$1282+'91Ф'!$D$17+'91Ф'!$D$41)</f>
        <v>123447.90876910694</v>
      </c>
      <c r="EL123" s="276">
        <f>$D123/$D$281*отчёт!BX$294</f>
        <v>206367.25478817595</v>
      </c>
      <c r="EM123" s="276">
        <f>$D123/$D$281*отчёт!BY$294</f>
        <v>181488.92319648174</v>
      </c>
      <c r="EN123" s="276">
        <f>SUMIF(отчёт!$B:$B,$B:$B,отчёт!BZ:BZ)/отчёт!BZ$281*('60Ф'!$O$151+'60Ф'!$P$151)*отчёт!BZ$293</f>
        <v>0</v>
      </c>
      <c r="EO123" s="240">
        <f t="shared" si="19"/>
        <v>0</v>
      </c>
      <c r="EP123" s="276">
        <f>SUMIF('20Ф'!$H:$H,$B:$B,'20Ф'!T:T)*1.2</f>
        <v>0</v>
      </c>
      <c r="EQ123" s="276">
        <f>SUMIF('20Ф'!$H:$H,$B:$B,'20Ф'!U:U)*1.2</f>
        <v>0</v>
      </c>
      <c r="ER123" s="236"/>
      <c r="ES123" s="239">
        <f t="shared" si="17"/>
        <v>69071.198775918761</v>
      </c>
      <c r="ET123" s="276">
        <f>$D123/$D$282*'20Ф'!$I$381</f>
        <v>5279.1779011359931</v>
      </c>
      <c r="EU123" s="276">
        <f>$D123/$D$282*('20Ф'!$I$75+'20Ф'!$I$1098)*1.2</f>
        <v>60976.848329879256</v>
      </c>
      <c r="EV123" s="276">
        <f>$D123/$D$282*('20Ф'!$I$1286)</f>
        <v>2815.1725449035157</v>
      </c>
      <c r="EW123" s="276">
        <f>SUMIF('91.1Ф'!$N:$N,$B:$B,'91.1Ф'!$F:$F)+$D123/$D$281*('91Ф'!$D$12+'91Ф'!$D$11+'91Ф'!$D$19+'91Ф'!$D$20)</f>
        <v>16269.830986338357</v>
      </c>
      <c r="EX123" s="276">
        <f t="shared" si="15"/>
        <v>61888.491884315299</v>
      </c>
      <c r="EY123" s="276">
        <f>SUMIF('20Ф'!$H:$H,$B:$B,'20Ф'!$AY:$AY)*1.2</f>
        <v>59421</v>
      </c>
      <c r="EZ123" s="295">
        <f>D123/$D$286*'20Ф'!$I$1163</f>
        <v>2467.4918843152973</v>
      </c>
      <c r="FA123" s="277">
        <f>SUMIF(отчёт!$B:$B,$B:$B,отчёт!$CU:$CU)/отчёт!$CU$281*'20Ф'!$I$1341</f>
        <v>0</v>
      </c>
      <c r="FB123" s="276">
        <f>SUMIF(Сальдо!$A:$A,$B:$B,Сальдо!$H:$H)-SUMIF(Сальдо!$A:$A,$B:$B,Сальдо!$I:$I)</f>
        <v>406758.38</v>
      </c>
    </row>
    <row r="124" spans="1:158" ht="12" customHeight="1" x14ac:dyDescent="0.25">
      <c r="A124" s="3">
        <f t="shared" si="18"/>
        <v>120</v>
      </c>
      <c r="B124" s="4" t="s">
        <v>169</v>
      </c>
      <c r="C124" s="4" t="s">
        <v>169</v>
      </c>
      <c r="D124" s="5">
        <v>7018.23</v>
      </c>
      <c r="E124" s="6">
        <v>7018.23</v>
      </c>
      <c r="F124" s="6">
        <v>0</v>
      </c>
      <c r="G124" s="6">
        <v>983.6</v>
      </c>
      <c r="H124" s="5">
        <f>SUMIF(отчёт!$B:$B,$B:$B,отчёт!I:I)</f>
        <v>0</v>
      </c>
      <c r="I124" s="5">
        <f>SUMIF(отчёт!$B:$B,$B:$B,отчёт!J:J)</f>
        <v>0</v>
      </c>
      <c r="J124" s="3" t="s">
        <v>111</v>
      </c>
      <c r="K124" s="105">
        <v>7</v>
      </c>
      <c r="L124" s="105" t="s">
        <v>52</v>
      </c>
      <c r="M124" s="7">
        <v>31</v>
      </c>
      <c r="N124" s="8">
        <v>5.0999999999999996</v>
      </c>
      <c r="O124" s="8">
        <v>6.59</v>
      </c>
      <c r="P124" s="8">
        <v>8.98</v>
      </c>
      <c r="Q124" s="8">
        <v>6.92</v>
      </c>
      <c r="R124" s="8">
        <v>3.15</v>
      </c>
      <c r="S124" s="8">
        <v>0</v>
      </c>
      <c r="T124" s="8">
        <v>0</v>
      </c>
      <c r="U124" s="8">
        <v>0.26</v>
      </c>
      <c r="V124" s="9">
        <v>40</v>
      </c>
      <c r="W124" s="9">
        <v>40</v>
      </c>
      <c r="X124" s="9">
        <v>2604.04</v>
      </c>
      <c r="Y124" s="8">
        <v>195.98199600000001</v>
      </c>
      <c r="Z124" s="9">
        <v>42.3</v>
      </c>
      <c r="AA124" s="9">
        <v>2604.04</v>
      </c>
      <c r="AB124" s="8">
        <v>7.85</v>
      </c>
      <c r="AC124" s="10">
        <v>0</v>
      </c>
      <c r="AD124" s="8">
        <v>6.73</v>
      </c>
      <c r="AE124" s="8">
        <v>10.67</v>
      </c>
      <c r="AF124" s="8">
        <v>14</v>
      </c>
      <c r="AG124" s="7">
        <v>1305390.7799999998</v>
      </c>
      <c r="AH124" s="8">
        <v>214757.83799999999</v>
      </c>
      <c r="AI124" s="8">
        <v>277500.81420000002</v>
      </c>
      <c r="AJ124" s="8">
        <v>378142.23239999998</v>
      </c>
      <c r="AK124" s="8">
        <v>291396.90960000001</v>
      </c>
      <c r="AL124" s="8">
        <v>132644.54699999999</v>
      </c>
      <c r="AM124" s="8">
        <v>0</v>
      </c>
      <c r="AN124" s="8">
        <v>0</v>
      </c>
      <c r="AO124" s="8">
        <v>10948.4388</v>
      </c>
      <c r="AQ124" s="104">
        <v>33.17</v>
      </c>
      <c r="AR124" s="375">
        <v>13.89</v>
      </c>
      <c r="AS124" s="376"/>
      <c r="AT124" s="104">
        <v>5.9</v>
      </c>
      <c r="AU124" s="104">
        <v>1.53</v>
      </c>
      <c r="AV124" s="104">
        <v>0.32</v>
      </c>
      <c r="AW124" s="104">
        <v>0.6</v>
      </c>
      <c r="AX124" s="104">
        <v>5.01</v>
      </c>
      <c r="AY124" s="104">
        <v>4.99</v>
      </c>
      <c r="AZ124" s="104">
        <v>0</v>
      </c>
      <c r="BA124" s="104">
        <v>0</v>
      </c>
      <c r="BB124" s="104">
        <v>0</v>
      </c>
      <c r="BC124" s="101">
        <v>0.93</v>
      </c>
      <c r="BD124" s="104">
        <v>37.581610000000005</v>
      </c>
      <c r="BE124" s="375">
        <v>15.737370000000004</v>
      </c>
      <c r="BF124" s="376">
        <v>0</v>
      </c>
      <c r="BG124" s="104">
        <v>6.6847000000000012</v>
      </c>
      <c r="BH124" s="104">
        <v>1.7334900000000002</v>
      </c>
      <c r="BI124" s="104">
        <v>0.36256000000000005</v>
      </c>
      <c r="BJ124" s="104">
        <v>0.67980000000000007</v>
      </c>
      <c r="BK124" s="104">
        <v>5.6763300000000001</v>
      </c>
      <c r="BL124" s="104">
        <v>5.65367</v>
      </c>
      <c r="BM124" s="104">
        <v>0</v>
      </c>
      <c r="BN124" s="104">
        <v>0</v>
      </c>
      <c r="BO124" s="104">
        <v>0</v>
      </c>
      <c r="BP124" s="101">
        <v>1.0536900000000002</v>
      </c>
      <c r="BQ124" s="103">
        <v>3103153.2057030005</v>
      </c>
      <c r="BR124" s="371">
        <v>1299451.2519510002</v>
      </c>
      <c r="BS124" s="371">
        <v>0</v>
      </c>
      <c r="BT124" s="103">
        <v>551962.73481000005</v>
      </c>
      <c r="BU124" s="103">
        <v>143136.09902699999</v>
      </c>
      <c r="BV124" s="103">
        <v>29936.961887999998</v>
      </c>
      <c r="BW124" s="103">
        <v>56131.803540000001</v>
      </c>
      <c r="BX124" s="103">
        <v>468700.55955899996</v>
      </c>
      <c r="BY124" s="103">
        <v>466829.49944099999</v>
      </c>
      <c r="BZ124" s="103">
        <v>0</v>
      </c>
      <c r="CA124" s="103">
        <v>0</v>
      </c>
      <c r="CB124" s="103">
        <v>0</v>
      </c>
      <c r="CC124" s="103">
        <v>87004.29548700001</v>
      </c>
      <c r="CD124" s="1">
        <v>1</v>
      </c>
      <c r="CF124" s="277">
        <f>SUMIF(Оборот!$A:$A,$B:$B,Оборот!H:H)</f>
        <v>2671700.0799999991</v>
      </c>
      <c r="CG124" s="277">
        <f>SUMIF(Оборот!$A:$A,$B:$B,Оборот!I:I)</f>
        <v>2640015.67</v>
      </c>
      <c r="CH124" s="277">
        <f t="shared" si="12"/>
        <v>2447679.9377556783</v>
      </c>
      <c r="CI124" s="239">
        <f t="shared" si="16"/>
        <v>68510.466963977058</v>
      </c>
      <c r="CJ124" s="276">
        <f>SUMIF('20Ф'!$H:$H,$B:$B,'20Ф'!M:M)*1.2</f>
        <v>0</v>
      </c>
      <c r="CK124" s="276">
        <f>SUMIF('20Ф'!$H:$H,$B:$B,'20Ф'!O:O)*1.2</f>
        <v>0</v>
      </c>
      <c r="CL124" s="276">
        <f>SUMIF('20Ф'!$H:$H,$B:$B,'20Ф'!Q:Q)*1.2</f>
        <v>0</v>
      </c>
      <c r="CM124" s="276">
        <f>SUMIF('20Ф'!$H:$H,$B:$B,'20Ф'!R:R)*1.2</f>
        <v>0</v>
      </c>
      <c r="CN124" s="276">
        <f>SUMIF('20Ф'!$H:$H,$B:$B,'20Ф'!S:S)*1.2</f>
        <v>0</v>
      </c>
      <c r="CO124" s="276">
        <f>SUMIF('20Ф'!$H:$H,$B:$B,'20Ф'!W:W)*1.2</f>
        <v>0</v>
      </c>
      <c r="CP124" s="276">
        <f>SUMIF('20Ф'!$H:$H,$B:$B,'20Ф'!P:P)*1.2</f>
        <v>0</v>
      </c>
      <c r="CQ124" s="276">
        <f>SUMIF('20Ф'!$H:$H,$B:$B,'20Ф'!Y:Y)*1.2</f>
        <v>0</v>
      </c>
      <c r="CR124" s="276">
        <f>SUMIF('20Ф'!$H:$H,$B:$B,'20Ф'!Z:Z)*1.2</f>
        <v>0</v>
      </c>
      <c r="CS124" s="276">
        <f>SUMIF('20Ф'!$H:$H,$B:$B,'20Ф'!AB:AB)*1.2</f>
        <v>0</v>
      </c>
      <c r="CT124" s="276">
        <f>SUMIF('20Ф'!$H:$H,$B:$B,'20Ф'!AC:AC)*1.2</f>
        <v>0</v>
      </c>
      <c r="CU124" s="276">
        <f>SUMIF('20Ф'!$H:$H,$B:$B,'20Ф'!AD:AD)*1.2</f>
        <v>0</v>
      </c>
      <c r="CV124" s="276">
        <f>SUMIF('20Ф'!$H:$H,$B:$B,'20Ф'!AE:AE)*1.2</f>
        <v>0</v>
      </c>
      <c r="CW124" s="276">
        <f>SUMIF('20Ф'!$H:$H,$B:$B,'20Ф'!AF:AF)*1.2</f>
        <v>0</v>
      </c>
      <c r="CX124" s="276">
        <f>SUMIF('20Ф'!$H:$H,$B:$B,'20Ф'!AG:AG)*1.2</f>
        <v>6782.7839999999997</v>
      </c>
      <c r="CY124" s="276">
        <f>SUMIF('20Ф'!$H:$H,$B:$B,'20Ф'!AH:AH)*1.2</f>
        <v>0</v>
      </c>
      <c r="CZ124" s="276">
        <f>SUMIF('20Ф'!$H:$H,$B:$B,'20Ф'!AI:AI)*1.2</f>
        <v>0</v>
      </c>
      <c r="DA124" s="276">
        <f>SUMIF('20Ф'!$H:$H,$B:$B,'20Ф'!AJ:AJ)*1.2</f>
        <v>0</v>
      </c>
      <c r="DB124" s="276">
        <f>SUMIF('20Ф'!$H:$H,$B:$B,'20Ф'!AK:AK)*1.2</f>
        <v>0</v>
      </c>
      <c r="DC124" s="276">
        <f>SUMIF('20Ф'!$H:$H,$B:$B,'20Ф'!AL:AL)*1.2</f>
        <v>0</v>
      </c>
      <c r="DD124" s="276">
        <f>SUMIF('20Ф'!$H:$H,$B:$B,'20Ф'!AM:AM)*1.2</f>
        <v>0</v>
      </c>
      <c r="DE124" s="276">
        <f>SUMIF('20Ф'!$H:$H,$B:$B,'20Ф'!AN:AN)*1.2</f>
        <v>0</v>
      </c>
      <c r="DF124" s="276">
        <f>SUMIF('20Ф'!$H:$H,$B:$B,'20Ф'!AO:AO)*1.2</f>
        <v>0</v>
      </c>
      <c r="DG124" s="276">
        <f>SUMIF('20Ф'!$H:$H,$B:$B,'20Ф'!AP:AP)*1.2</f>
        <v>0</v>
      </c>
      <c r="DH124" s="276">
        <f>SUMIF('20Ф'!$H:$H,$B:$B,'20Ф'!AQ:AQ)*1.2</f>
        <v>0</v>
      </c>
      <c r="DI124" s="276">
        <f>SUMIF('20Ф'!$H:$H,$B:$B,'20Ф'!BA:BA)*1.2</f>
        <v>0</v>
      </c>
      <c r="DJ124" s="276">
        <f>SUMIF('20Ф'!$H:$H,$B:$B,'20Ф'!BB:BB)*1.2</f>
        <v>0</v>
      </c>
      <c r="DK124" s="276">
        <f>SUMIF('20Ф'!$H:$H,$B:$B,'20Ф'!BC:BC)*1.2</f>
        <v>0</v>
      </c>
      <c r="DL124" s="276">
        <f>$D124/$D$281*'20Ф'!$H$218</f>
        <v>61727.682963977051</v>
      </c>
      <c r="DM124" s="240">
        <f t="shared" si="13"/>
        <v>775275.08982415823</v>
      </c>
      <c r="DN124" s="276">
        <f>SUMIF('20Ф'!$H:$H,$B:$B,'20Ф'!AV:AV)*1.2</f>
        <v>0</v>
      </c>
      <c r="DO124" s="276">
        <f>SUMIF('20Ф'!$H:$H,$B:$B,'20Ф'!AW:AW)*1.2+$D124/$D$281*'26Ф'!$D$42</f>
        <v>32848.277593775434</v>
      </c>
      <c r="DP124" s="276">
        <f>SUMIF('20Ф'!$H:$H,$B:$B,'20Ф'!AX:AX)*1.2</f>
        <v>0</v>
      </c>
      <c r="DQ124" s="276">
        <f>SUMIF('20Ф'!$H:$H,$B:$B,'20Ф'!AY:AY)*1.2</f>
        <v>53999.003999999994</v>
      </c>
      <c r="DR124" s="276">
        <f>SUMIF('20Ф'!$H:$H,$B:$B,'20Ф'!AU:AU)*1.2</f>
        <v>0</v>
      </c>
      <c r="DS124" s="276">
        <f>SUMIF('20Ф'!$H:$H,$B:$B,'20Ф'!AS:AS)*1.2</f>
        <v>448.00799999999998</v>
      </c>
      <c r="DT124" s="276">
        <f>SUMIF('20Ф'!$H:$H,$B:$B,'20Ф'!AR:AR)*1.2</f>
        <v>0</v>
      </c>
      <c r="DU124" s="276">
        <f>SUMIF('20Ф'!$H:$H,$B:$B,'20Ф'!X:X)*1.2</f>
        <v>108541.476</v>
      </c>
      <c r="DV124" s="276">
        <f>SUMIF('20Ф'!$H:$H,$B:$B,'20Ф'!AA:AA)*1.2</f>
        <v>0</v>
      </c>
      <c r="DW124" s="276">
        <f>SUMIF('20Ф'!$H:$H,$B:$B,'20Ф'!N:N)*1.2</f>
        <v>0</v>
      </c>
      <c r="DX124" s="276">
        <f>$D124/$D$281*('25Ф'!$D$37)</f>
        <v>552138.45238634979</v>
      </c>
      <c r="DY124" s="276">
        <f>$D124/$D$281*'25Ф'!$D$30</f>
        <v>17622.526138718393</v>
      </c>
      <c r="DZ124" s="276">
        <f>$D124/$D$281*'25Ф'!$D$31</f>
        <v>9677.3457053146321</v>
      </c>
      <c r="EA124" s="276"/>
      <c r="EB124" s="276">
        <f t="shared" si="14"/>
        <v>347855.89084884123</v>
      </c>
      <c r="EC124" s="276">
        <f>$D124/$D$281*'26Ф'!$D$36</f>
        <v>181070.19380276912</v>
      </c>
      <c r="ED124" s="276">
        <f>$D124/$D$281*'26Ф'!$D$37</f>
        <v>21755.390398665724</v>
      </c>
      <c r="EE124" s="276">
        <f>$D124/$D$281*'26Ф'!$D$38</f>
        <v>21978.513334806208</v>
      </c>
      <c r="EF124" s="276">
        <f>$D124/$D$281*'26Ф'!$D$39</f>
        <v>15417.907045096326</v>
      </c>
      <c r="EG124" s="276">
        <f>$D124/$D$281*'91Ф'!$D$10</f>
        <v>4756.4179111906406</v>
      </c>
      <c r="EH124" s="276">
        <f>$D124/$D$281*('20Ф'!$I$509+'26Ф'!$D$41+'20Ф'!$I$507)</f>
        <v>33650.09050739259</v>
      </c>
      <c r="EI124" s="276">
        <f>$D124/$D$281*'91Ф'!$D$31</f>
        <v>61685.558415274994</v>
      </c>
      <c r="EJ124" s="276">
        <f>$D124/$D$281*'20Ф'!$I$1316</f>
        <v>7541.8194336456354</v>
      </c>
      <c r="EK124" s="276">
        <f>$D124/$D$281*('20Ф'!$I$1105+'20Ф'!$I$1282+'91Ф'!$D$17+'91Ф'!$D$41)</f>
        <v>247681.75254307041</v>
      </c>
      <c r="EL124" s="276">
        <f>$D124/$D$281*отчёт!BX$294</f>
        <v>414048.35321300291</v>
      </c>
      <c r="EM124" s="276">
        <f>$D124/$D$281*отчёт!BY$294</f>
        <v>364133.30134684703</v>
      </c>
      <c r="EN124" s="276">
        <f>SUMIF(отчёт!$B:$B,$B:$B,отчёт!BZ:BZ)/отчёт!BZ$281*('60Ф'!$O$151+'60Ф'!$P$151)*отчёт!BZ$293</f>
        <v>0</v>
      </c>
      <c r="EO124" s="240">
        <f t="shared" si="19"/>
        <v>0</v>
      </c>
      <c r="EP124" s="276">
        <f>SUMIF('20Ф'!$H:$H,$B:$B,'20Ф'!T:T)*1.2</f>
        <v>0</v>
      </c>
      <c r="EQ124" s="276">
        <f>SUMIF('20Ф'!$H:$H,$B:$B,'20Ф'!U:U)*1.2</f>
        <v>0</v>
      </c>
      <c r="ER124" s="236"/>
      <c r="ES124" s="239">
        <f t="shared" si="17"/>
        <v>138582.14151742327</v>
      </c>
      <c r="ET124" s="276">
        <f>$D124/$D$282*'20Ф'!$I$381</f>
        <v>10591.965854890439</v>
      </c>
      <c r="EU124" s="276">
        <f>$D124/$D$282*('20Ф'!$I$75+'20Ф'!$I$1098)*1.2</f>
        <v>122341.90768792515</v>
      </c>
      <c r="EV124" s="276">
        <f>$D124/$D$282*('20Ф'!$I$1286)</f>
        <v>5648.2679746076865</v>
      </c>
      <c r="EW124" s="276">
        <f>SUMIF('91.1Ф'!$N:$N,$B:$B,'91.1Ф'!$F:$F)+$D124/$D$281*('91Ф'!$D$12+'91Ф'!$D$11+'91Ф'!$D$19+'91Ф'!$D$20)</f>
        <v>32643.244364818962</v>
      </c>
      <c r="EX124" s="276">
        <f t="shared" si="15"/>
        <v>58949.69713353939</v>
      </c>
      <c r="EY124" s="276">
        <f>SUMIF('20Ф'!$H:$H,$B:$B,'20Ф'!$AY:$AY)*1.2</f>
        <v>53999.003999999994</v>
      </c>
      <c r="EZ124" s="295">
        <f>D124/$D$286*'20Ф'!$I$1163</f>
        <v>4950.6931335393992</v>
      </c>
      <c r="FA124" s="277">
        <f>SUMIF(отчёт!$B:$B,$B:$B,отчёт!$CU:$CU)/отчёт!$CU$281*'20Ф'!$I$1341</f>
        <v>0</v>
      </c>
      <c r="FB124" s="276">
        <f>SUMIF(Сальдо!$A:$A,$B:$B,Сальдо!$H:$H)-SUMIF(Сальдо!$A:$A,$B:$B,Сальдо!$I:$I)</f>
        <v>305793.44</v>
      </c>
    </row>
    <row r="125" spans="1:158" ht="12" customHeight="1" x14ac:dyDescent="0.25">
      <c r="A125" s="3">
        <f t="shared" si="18"/>
        <v>121</v>
      </c>
      <c r="B125" s="4" t="s">
        <v>170</v>
      </c>
      <c r="C125" s="4" t="s">
        <v>170</v>
      </c>
      <c r="D125" s="5">
        <v>3521.8</v>
      </c>
      <c r="E125" s="6">
        <v>3521.8</v>
      </c>
      <c r="F125" s="6">
        <v>0</v>
      </c>
      <c r="G125" s="6">
        <v>491.8</v>
      </c>
      <c r="H125" s="5">
        <f>SUMIF(отчёт!$B:$B,$B:$B,отчёт!I:I)</f>
        <v>0</v>
      </c>
      <c r="I125" s="5">
        <f>SUMIF(отчёт!$B:$B,$B:$B,отчёт!J:J)</f>
        <v>0</v>
      </c>
      <c r="J125" s="3" t="s">
        <v>111</v>
      </c>
      <c r="K125" s="105">
        <v>7</v>
      </c>
      <c r="L125" s="105" t="s">
        <v>52</v>
      </c>
      <c r="M125" s="7">
        <v>31</v>
      </c>
      <c r="N125" s="8">
        <v>5.0999999999999996</v>
      </c>
      <c r="O125" s="8">
        <v>6.59</v>
      </c>
      <c r="P125" s="8">
        <v>8.98</v>
      </c>
      <c r="Q125" s="8">
        <v>6.92</v>
      </c>
      <c r="R125" s="8">
        <v>3.15</v>
      </c>
      <c r="S125" s="8">
        <v>0</v>
      </c>
      <c r="T125" s="8">
        <v>0</v>
      </c>
      <c r="U125" s="8">
        <v>0.26</v>
      </c>
      <c r="V125" s="9">
        <v>40</v>
      </c>
      <c r="W125" s="9">
        <v>40</v>
      </c>
      <c r="X125" s="9">
        <v>2604.04</v>
      </c>
      <c r="Y125" s="8">
        <v>195.98199600000001</v>
      </c>
      <c r="Z125" s="9">
        <v>42.3</v>
      </c>
      <c r="AA125" s="9">
        <v>2604.04</v>
      </c>
      <c r="AB125" s="8">
        <v>7.85</v>
      </c>
      <c r="AC125" s="10">
        <v>0</v>
      </c>
      <c r="AD125" s="8">
        <v>6.73</v>
      </c>
      <c r="AE125" s="8">
        <v>10.67</v>
      </c>
      <c r="AF125" s="8">
        <v>14</v>
      </c>
      <c r="AG125" s="7">
        <v>655054.80000000005</v>
      </c>
      <c r="AH125" s="8">
        <v>107767.08</v>
      </c>
      <c r="AI125" s="8">
        <v>139251.97200000001</v>
      </c>
      <c r="AJ125" s="8">
        <v>189754.58400000003</v>
      </c>
      <c r="AK125" s="8">
        <v>146225.136</v>
      </c>
      <c r="AL125" s="8">
        <v>66562.02</v>
      </c>
      <c r="AM125" s="8">
        <v>0</v>
      </c>
      <c r="AN125" s="8">
        <v>0</v>
      </c>
      <c r="AO125" s="8">
        <v>5494.0080000000007</v>
      </c>
      <c r="AQ125" s="104">
        <v>33.17</v>
      </c>
      <c r="AR125" s="375">
        <v>13.89</v>
      </c>
      <c r="AS125" s="376"/>
      <c r="AT125" s="104">
        <v>5.9</v>
      </c>
      <c r="AU125" s="104">
        <v>1.53</v>
      </c>
      <c r="AV125" s="104">
        <v>0.32</v>
      </c>
      <c r="AW125" s="104">
        <v>0.6</v>
      </c>
      <c r="AX125" s="104">
        <v>5.01</v>
      </c>
      <c r="AY125" s="104">
        <v>4.99</v>
      </c>
      <c r="AZ125" s="104">
        <v>0</v>
      </c>
      <c r="BA125" s="104">
        <v>0</v>
      </c>
      <c r="BB125" s="104">
        <v>0</v>
      </c>
      <c r="BC125" s="101">
        <v>0.93</v>
      </c>
      <c r="BD125" s="104">
        <v>37.581610000000005</v>
      </c>
      <c r="BE125" s="375">
        <v>15.737370000000004</v>
      </c>
      <c r="BF125" s="376">
        <v>0</v>
      </c>
      <c r="BG125" s="104">
        <v>6.6847000000000012</v>
      </c>
      <c r="BH125" s="104">
        <v>1.7334900000000002</v>
      </c>
      <c r="BI125" s="104">
        <v>0.36256000000000005</v>
      </c>
      <c r="BJ125" s="104">
        <v>0.67980000000000007</v>
      </c>
      <c r="BK125" s="104">
        <v>5.6763300000000001</v>
      </c>
      <c r="BL125" s="104">
        <v>5.65367</v>
      </c>
      <c r="BM125" s="104">
        <v>0</v>
      </c>
      <c r="BN125" s="104">
        <v>0</v>
      </c>
      <c r="BO125" s="104">
        <v>0</v>
      </c>
      <c r="BP125" s="101">
        <v>1.0536900000000002</v>
      </c>
      <c r="BQ125" s="103">
        <v>1557185.3529800002</v>
      </c>
      <c r="BR125" s="371">
        <v>652074.30066000018</v>
      </c>
      <c r="BS125" s="371">
        <v>0</v>
      </c>
      <c r="BT125" s="103">
        <v>276979.00460000004</v>
      </c>
      <c r="BU125" s="103">
        <v>71826.758820000003</v>
      </c>
      <c r="BV125" s="103">
        <v>15022.590080000002</v>
      </c>
      <c r="BW125" s="103">
        <v>28167.356400000004</v>
      </c>
      <c r="BX125" s="103">
        <v>235197.42594000002</v>
      </c>
      <c r="BY125" s="103">
        <v>234258.51406000002</v>
      </c>
      <c r="BZ125" s="103">
        <v>0</v>
      </c>
      <c r="CA125" s="103">
        <v>0</v>
      </c>
      <c r="CB125" s="103">
        <v>0</v>
      </c>
      <c r="CC125" s="103">
        <v>43659.402420000013</v>
      </c>
      <c r="CD125" s="1">
        <v>1</v>
      </c>
      <c r="CF125" s="277">
        <f>SUMIF(Оборот!$A:$A,$B:$B,Оборот!H:H)</f>
        <v>1340678.9600000002</v>
      </c>
      <c r="CG125" s="277">
        <f>SUMIF(Оборот!$A:$A,$B:$B,Оборот!I:I)</f>
        <v>1290629.47</v>
      </c>
      <c r="CH125" s="277">
        <f t="shared" si="12"/>
        <v>1266742.1767674629</v>
      </c>
      <c r="CI125" s="239">
        <f t="shared" si="16"/>
        <v>83329.802304668614</v>
      </c>
      <c r="CJ125" s="276">
        <f>SUMIF('20Ф'!$H:$H,$B:$B,'20Ф'!M:M)*1.2</f>
        <v>0</v>
      </c>
      <c r="CK125" s="276">
        <f>SUMIF('20Ф'!$H:$H,$B:$B,'20Ф'!O:O)*1.2</f>
        <v>0</v>
      </c>
      <c r="CL125" s="276">
        <f>SUMIF('20Ф'!$H:$H,$B:$B,'20Ф'!Q:Q)*1.2</f>
        <v>0</v>
      </c>
      <c r="CM125" s="276">
        <f>SUMIF('20Ф'!$H:$H,$B:$B,'20Ф'!R:R)*1.2</f>
        <v>0</v>
      </c>
      <c r="CN125" s="276">
        <f>SUMIF('20Ф'!$H:$H,$B:$B,'20Ф'!S:S)*1.2</f>
        <v>0</v>
      </c>
      <c r="CO125" s="276">
        <f>SUMIF('20Ф'!$H:$H,$B:$B,'20Ф'!W:W)*1.2</f>
        <v>0</v>
      </c>
      <c r="CP125" s="276">
        <f>SUMIF('20Ф'!$H:$H,$B:$B,'20Ф'!P:P)*1.2</f>
        <v>0</v>
      </c>
      <c r="CQ125" s="276">
        <f>SUMIF('20Ф'!$H:$H,$B:$B,'20Ф'!Y:Y)*1.2</f>
        <v>0</v>
      </c>
      <c r="CR125" s="276">
        <f>SUMIF('20Ф'!$H:$H,$B:$B,'20Ф'!Z:Z)*1.2</f>
        <v>0</v>
      </c>
      <c r="CS125" s="276">
        <f>SUMIF('20Ф'!$H:$H,$B:$B,'20Ф'!AB:AB)*1.2</f>
        <v>0</v>
      </c>
      <c r="CT125" s="276">
        <f>SUMIF('20Ф'!$H:$H,$B:$B,'20Ф'!AC:AC)*1.2</f>
        <v>0</v>
      </c>
      <c r="CU125" s="276">
        <f>SUMIF('20Ф'!$H:$H,$B:$B,'20Ф'!AD:AD)*1.2</f>
        <v>0</v>
      </c>
      <c r="CV125" s="276">
        <f>SUMIF('20Ф'!$H:$H,$B:$B,'20Ф'!AE:AE)*1.2</f>
        <v>0</v>
      </c>
      <c r="CW125" s="276">
        <f>SUMIF('20Ф'!$H:$H,$B:$B,'20Ф'!AF:AF)*1.2</f>
        <v>0</v>
      </c>
      <c r="CX125" s="276">
        <f>SUMIF('20Ф'!$H:$H,$B:$B,'20Ф'!AG:AG)*1.2</f>
        <v>0</v>
      </c>
      <c r="CY125" s="276">
        <f>SUMIF('20Ф'!$H:$H,$B:$B,'20Ф'!AH:AH)*1.2</f>
        <v>0</v>
      </c>
      <c r="CZ125" s="276">
        <f>SUMIF('20Ф'!$H:$H,$B:$B,'20Ф'!AI:AI)*1.2</f>
        <v>0</v>
      </c>
      <c r="DA125" s="276">
        <f>SUMIF('20Ф'!$H:$H,$B:$B,'20Ф'!AJ:AJ)*1.2</f>
        <v>52354.392</v>
      </c>
      <c r="DB125" s="276">
        <f>SUMIF('20Ф'!$H:$H,$B:$B,'20Ф'!AK:AK)*1.2</f>
        <v>0</v>
      </c>
      <c r="DC125" s="276">
        <f>SUMIF('20Ф'!$H:$H,$B:$B,'20Ф'!AL:AL)*1.2</f>
        <v>0</v>
      </c>
      <c r="DD125" s="276">
        <f>SUMIF('20Ф'!$H:$H,$B:$B,'20Ф'!AM:AM)*1.2</f>
        <v>0</v>
      </c>
      <c r="DE125" s="276">
        <f>SUMIF('20Ф'!$H:$H,$B:$B,'20Ф'!AN:AN)*1.2</f>
        <v>0</v>
      </c>
      <c r="DF125" s="276">
        <f>SUMIF('20Ф'!$H:$H,$B:$B,'20Ф'!AO:AO)*1.2</f>
        <v>0</v>
      </c>
      <c r="DG125" s="276">
        <f>SUMIF('20Ф'!$H:$H,$B:$B,'20Ф'!AP:AP)*1.2</f>
        <v>0</v>
      </c>
      <c r="DH125" s="276">
        <f>SUMIF('20Ф'!$H:$H,$B:$B,'20Ф'!AQ:AQ)*1.2</f>
        <v>0</v>
      </c>
      <c r="DI125" s="276">
        <f>SUMIF('20Ф'!$H:$H,$B:$B,'20Ф'!BA:BA)*1.2</f>
        <v>0</v>
      </c>
      <c r="DJ125" s="276">
        <f>SUMIF('20Ф'!$H:$H,$B:$B,'20Ф'!BB:BB)*1.2</f>
        <v>0</v>
      </c>
      <c r="DK125" s="276">
        <f>SUMIF('20Ф'!$H:$H,$B:$B,'20Ф'!BC:BC)*1.2</f>
        <v>0</v>
      </c>
      <c r="DL125" s="276">
        <f>$D125/$D$281*'20Ф'!$H$218</f>
        <v>30975.410304668614</v>
      </c>
      <c r="DM125" s="240">
        <f t="shared" si="13"/>
        <v>379613.35362258588</v>
      </c>
      <c r="DN125" s="276">
        <f>SUMIF('20Ф'!$H:$H,$B:$B,'20Ф'!AV:AV)*1.2</f>
        <v>0</v>
      </c>
      <c r="DO125" s="276">
        <f>SUMIF('20Ф'!$H:$H,$B:$B,'20Ф'!AW:AW)*1.2+$D125/$D$281*'26Ф'!$D$42</f>
        <v>16483.509949055293</v>
      </c>
      <c r="DP125" s="276">
        <f>SUMIF('20Ф'!$H:$H,$B:$B,'20Ф'!AX:AX)*1.2</f>
        <v>0</v>
      </c>
      <c r="DQ125" s="276">
        <f>SUMIF('20Ф'!$H:$H,$B:$B,'20Ф'!AY:AY)*1.2</f>
        <v>26049.996000000003</v>
      </c>
      <c r="DR125" s="276">
        <f>SUMIF('20Ф'!$H:$H,$B:$B,'20Ф'!AU:AU)*1.2</f>
        <v>0</v>
      </c>
      <c r="DS125" s="276">
        <f>SUMIF('20Ф'!$H:$H,$B:$B,'20Ф'!AS:AS)*1.2</f>
        <v>9199.152</v>
      </c>
      <c r="DT125" s="276">
        <f>SUMIF('20Ф'!$H:$H,$B:$B,'20Ф'!AR:AR)*1.2</f>
        <v>0</v>
      </c>
      <c r="DU125" s="276">
        <f>SUMIF('20Ф'!$H:$H,$B:$B,'20Ф'!X:X)*1.2</f>
        <v>37114.235999999997</v>
      </c>
      <c r="DV125" s="276">
        <f>SUMIF('20Ф'!$H:$H,$B:$B,'20Ф'!AA:AA)*1.2</f>
        <v>0</v>
      </c>
      <c r="DW125" s="276">
        <f>SUMIF('20Ф'!$H:$H,$B:$B,'20Ф'!N:N)*1.2</f>
        <v>0</v>
      </c>
      <c r="DX125" s="276">
        <f>$D125/$D$281*('25Ф'!$D$37)</f>
        <v>277067.18098640925</v>
      </c>
      <c r="DY125" s="276">
        <f>$D125/$D$281*'25Ф'!$D$30</f>
        <v>8843.1146536004726</v>
      </c>
      <c r="DZ125" s="276">
        <f>$D125/$D$281*'25Ф'!$D$31</f>
        <v>4856.1640335208549</v>
      </c>
      <c r="EA125" s="276"/>
      <c r="EB125" s="276">
        <f t="shared" si="14"/>
        <v>174556.67260711733</v>
      </c>
      <c r="EC125" s="276">
        <f>$D125/$D$281*'26Ф'!$D$36</f>
        <v>90862.36964798707</v>
      </c>
      <c r="ED125" s="276">
        <f>$D125/$D$281*'26Ф'!$D$37</f>
        <v>10917.016670303046</v>
      </c>
      <c r="EE125" s="276">
        <f>$D125/$D$281*'26Ф'!$D$38</f>
        <v>11028.981418750955</v>
      </c>
      <c r="EF125" s="276">
        <f>$D125/$D$281*'26Ф'!$D$39</f>
        <v>7736.8203993628367</v>
      </c>
      <c r="EG125" s="276">
        <f>$D125/$D$281*'91Ф'!$D$10</f>
        <v>2386.8058755029683</v>
      </c>
      <c r="EH125" s="276">
        <f>$D125/$D$281*('20Ф'!$I$509+'26Ф'!$D$41+'20Ф'!$I$507)</f>
        <v>16885.865631211182</v>
      </c>
      <c r="EI125" s="276">
        <f>$D125/$D$281*'91Ф'!$D$31</f>
        <v>30954.271892901132</v>
      </c>
      <c r="EJ125" s="276">
        <f>$D125/$D$281*'20Ф'!$I$1316</f>
        <v>3784.5410710981546</v>
      </c>
      <c r="EK125" s="276">
        <f>$D125/$D$281*('20Ф'!$I$1105+'20Ф'!$I$1282+'91Ф'!$D$17+'91Ф'!$D$41)</f>
        <v>124288.54513263107</v>
      </c>
      <c r="EL125" s="276">
        <f>$D125/$D$281*отчёт!BX$294</f>
        <v>207772.54241390689</v>
      </c>
      <c r="EM125" s="276">
        <f>$D125/$D$281*отчёт!BY$294</f>
        <v>182724.798230227</v>
      </c>
      <c r="EN125" s="276">
        <f>SUMIF(отчёт!$B:$B,$B:$B,отчёт!BZ:BZ)/отчёт!BZ$281*('60Ф'!$O$151+'60Ф'!$P$151)*отчёт!BZ$293</f>
        <v>0</v>
      </c>
      <c r="EO125" s="240">
        <f t="shared" si="19"/>
        <v>0</v>
      </c>
      <c r="EP125" s="276">
        <f>SUMIF('20Ф'!$H:$H,$B:$B,'20Ф'!T:T)*1.2</f>
        <v>0</v>
      </c>
      <c r="EQ125" s="276">
        <f>SUMIF('20Ф'!$H:$H,$B:$B,'20Ф'!U:U)*1.2</f>
        <v>0</v>
      </c>
      <c r="ER125" s="236"/>
      <c r="ES125" s="239">
        <f t="shared" si="17"/>
        <v>69541.549079477496</v>
      </c>
      <c r="ET125" s="276">
        <f>$D125/$D$282*'20Ф'!$I$381</f>
        <v>5315.1272254903524</v>
      </c>
      <c r="EU125" s="276">
        <f>$D125/$D$282*('20Ф'!$I$75+'20Ф'!$I$1098)*1.2</f>
        <v>61392.07898506245</v>
      </c>
      <c r="EV125" s="276">
        <f>$D125/$D$282*('20Ф'!$I$1286)</f>
        <v>2834.3428689246939</v>
      </c>
      <c r="EW125" s="276">
        <f>SUMIF('91.1Ф'!$N:$N,$B:$B,'91.1Ф'!$F:$F)+$D125/$D$281*('91Ф'!$D$12+'91Ф'!$D$11+'91Ф'!$D$19+'91Ф'!$D$20)</f>
        <v>16380.622750183369</v>
      </c>
      <c r="EX125" s="276">
        <f t="shared" si="15"/>
        <v>28534.290626664995</v>
      </c>
      <c r="EY125" s="276">
        <f>SUMIF('20Ф'!$H:$H,$B:$B,'20Ф'!$AY:$AY)*1.2</f>
        <v>26049.996000000003</v>
      </c>
      <c r="EZ125" s="295">
        <f>D125/$D$286*'20Ф'!$I$1163</f>
        <v>2484.2946266649938</v>
      </c>
      <c r="FA125" s="277">
        <f>SUMIF(отчёт!$B:$B,$B:$B,отчёт!$CU:$CU)/отчёт!$CU$281*'20Ф'!$I$1341</f>
        <v>0</v>
      </c>
      <c r="FB125" s="276">
        <f>SUMIF(Сальдо!$A:$A,$B:$B,Сальдо!$H:$H)-SUMIF(Сальдо!$A:$A,$B:$B,Сальдо!$I:$I)</f>
        <v>504466.63</v>
      </c>
    </row>
    <row r="126" spans="1:158" ht="12" customHeight="1" x14ac:dyDescent="0.25">
      <c r="A126" s="3">
        <f t="shared" si="18"/>
        <v>122</v>
      </c>
      <c r="B126" s="4" t="s">
        <v>171</v>
      </c>
      <c r="C126" s="4" t="s">
        <v>171</v>
      </c>
      <c r="D126" s="5">
        <v>3540.1</v>
      </c>
      <c r="E126" s="6">
        <v>3540.1</v>
      </c>
      <c r="F126" s="6">
        <v>0</v>
      </c>
      <c r="G126" s="6">
        <v>317.60000000000002</v>
      </c>
      <c r="H126" s="5">
        <f>SUMIF(отчёт!$B:$B,$B:$B,отчёт!I:I)</f>
        <v>0</v>
      </c>
      <c r="I126" s="5">
        <f>SUMIF(отчёт!$B:$B,$B:$B,отчёт!J:J)</f>
        <v>0</v>
      </c>
      <c r="J126" s="3" t="s">
        <v>111</v>
      </c>
      <c r="K126" s="105">
        <v>7</v>
      </c>
      <c r="L126" s="105" t="s">
        <v>52</v>
      </c>
      <c r="M126" s="7">
        <v>31</v>
      </c>
      <c r="N126" s="8">
        <v>5.0999999999999996</v>
      </c>
      <c r="O126" s="8">
        <v>6.59</v>
      </c>
      <c r="P126" s="8">
        <v>8.98</v>
      </c>
      <c r="Q126" s="8">
        <v>6.92</v>
      </c>
      <c r="R126" s="8">
        <v>3.15</v>
      </c>
      <c r="S126" s="8">
        <v>0</v>
      </c>
      <c r="T126" s="8">
        <v>0</v>
      </c>
      <c r="U126" s="8">
        <v>0.26</v>
      </c>
      <c r="V126" s="9">
        <v>40</v>
      </c>
      <c r="W126" s="9">
        <v>40</v>
      </c>
      <c r="X126" s="9">
        <v>2604.04</v>
      </c>
      <c r="Y126" s="8">
        <v>195.98199600000001</v>
      </c>
      <c r="Z126" s="9">
        <v>42.3</v>
      </c>
      <c r="AA126" s="9">
        <v>2604.04</v>
      </c>
      <c r="AB126" s="8">
        <v>7.85</v>
      </c>
      <c r="AC126" s="10">
        <v>0</v>
      </c>
      <c r="AD126" s="8">
        <v>6.73</v>
      </c>
      <c r="AE126" s="8">
        <v>10.67</v>
      </c>
      <c r="AF126" s="8">
        <v>14</v>
      </c>
      <c r="AG126" s="7">
        <v>658458.6</v>
      </c>
      <c r="AH126" s="8">
        <v>108327.06</v>
      </c>
      <c r="AI126" s="8">
        <v>139975.554</v>
      </c>
      <c r="AJ126" s="8">
        <v>190740.58800000002</v>
      </c>
      <c r="AK126" s="8">
        <v>146984.95199999999</v>
      </c>
      <c r="AL126" s="8">
        <v>66907.889999999985</v>
      </c>
      <c r="AM126" s="8">
        <v>0</v>
      </c>
      <c r="AN126" s="8">
        <v>0</v>
      </c>
      <c r="AO126" s="8">
        <v>5522.5560000000005</v>
      </c>
      <c r="AQ126" s="104">
        <v>33.17</v>
      </c>
      <c r="AR126" s="375">
        <v>13.89</v>
      </c>
      <c r="AS126" s="376"/>
      <c r="AT126" s="104">
        <v>5.9</v>
      </c>
      <c r="AU126" s="104">
        <v>1.53</v>
      </c>
      <c r="AV126" s="104">
        <v>0.32</v>
      </c>
      <c r="AW126" s="104">
        <v>0.6</v>
      </c>
      <c r="AX126" s="104">
        <v>5.01</v>
      </c>
      <c r="AY126" s="104">
        <v>4.99</v>
      </c>
      <c r="AZ126" s="104">
        <v>0</v>
      </c>
      <c r="BA126" s="104">
        <v>0</v>
      </c>
      <c r="BB126" s="104">
        <v>0</v>
      </c>
      <c r="BC126" s="101">
        <v>0.93</v>
      </c>
      <c r="BD126" s="104">
        <v>37.581610000000005</v>
      </c>
      <c r="BE126" s="375">
        <v>15.737370000000004</v>
      </c>
      <c r="BF126" s="376">
        <v>0</v>
      </c>
      <c r="BG126" s="104">
        <v>6.6847000000000012</v>
      </c>
      <c r="BH126" s="104">
        <v>1.7334900000000002</v>
      </c>
      <c r="BI126" s="104">
        <v>0.36256000000000005</v>
      </c>
      <c r="BJ126" s="104">
        <v>0.67980000000000007</v>
      </c>
      <c r="BK126" s="104">
        <v>5.6763300000000001</v>
      </c>
      <c r="BL126" s="104">
        <v>5.65367</v>
      </c>
      <c r="BM126" s="104">
        <v>0</v>
      </c>
      <c r="BN126" s="104">
        <v>0</v>
      </c>
      <c r="BO126" s="104">
        <v>0</v>
      </c>
      <c r="BP126" s="101">
        <v>1.0536900000000002</v>
      </c>
      <c r="BQ126" s="103">
        <v>1565276.8096100003</v>
      </c>
      <c r="BR126" s="371">
        <v>655462.61337000015</v>
      </c>
      <c r="BS126" s="371">
        <v>0</v>
      </c>
      <c r="BT126" s="103">
        <v>278418.24470000004</v>
      </c>
      <c r="BU126" s="103">
        <v>72199.985489999992</v>
      </c>
      <c r="BV126" s="103">
        <v>15100.65056</v>
      </c>
      <c r="BW126" s="103">
        <v>28313.719800000003</v>
      </c>
      <c r="BX126" s="103">
        <v>236419.56032999998</v>
      </c>
      <c r="BY126" s="103">
        <v>235475.76967000001</v>
      </c>
      <c r="BZ126" s="103">
        <v>0</v>
      </c>
      <c r="CA126" s="103">
        <v>0</v>
      </c>
      <c r="CB126" s="103">
        <v>0</v>
      </c>
      <c r="CC126" s="103">
        <v>43886.265690000007</v>
      </c>
      <c r="CD126" s="1">
        <v>1</v>
      </c>
      <c r="CF126" s="277">
        <f>SUMIF(Оборот!$A:$A,$B:$B,Оборот!H:H)</f>
        <v>1324559.4099999999</v>
      </c>
      <c r="CG126" s="277">
        <f>SUMIF(Оборот!$A:$A,$B:$B,Оборот!I:I)</f>
        <v>1364595.3900000004</v>
      </c>
      <c r="CH126" s="277">
        <f t="shared" si="12"/>
        <v>3505633.8062069654</v>
      </c>
      <c r="CI126" s="239">
        <f t="shared" si="16"/>
        <v>2283837.2649325789</v>
      </c>
      <c r="CJ126" s="276">
        <f>SUMIF('20Ф'!$H:$H,$B:$B,'20Ф'!M:M)*1.2</f>
        <v>0</v>
      </c>
      <c r="CK126" s="276">
        <f>SUMIF('20Ф'!$H:$H,$B:$B,'20Ф'!O:O)*1.2</f>
        <v>0</v>
      </c>
      <c r="CL126" s="276">
        <f>SUMIF('20Ф'!$H:$H,$B:$B,'20Ф'!Q:Q)*1.2</f>
        <v>0</v>
      </c>
      <c r="CM126" s="276">
        <f>SUMIF('20Ф'!$H:$H,$B:$B,'20Ф'!R:R)*1.2</f>
        <v>0</v>
      </c>
      <c r="CN126" s="276">
        <f>SUMIF('20Ф'!$H:$H,$B:$B,'20Ф'!S:S)*1.2</f>
        <v>0</v>
      </c>
      <c r="CO126" s="276">
        <f>SUMIF('20Ф'!$H:$H,$B:$B,'20Ф'!W:W)*1.2</f>
        <v>0</v>
      </c>
      <c r="CP126" s="276">
        <f>SUMIF('20Ф'!$H:$H,$B:$B,'20Ф'!P:P)*1.2</f>
        <v>0</v>
      </c>
      <c r="CQ126" s="276">
        <f>SUMIF('20Ф'!$H:$H,$B:$B,'20Ф'!Y:Y)*1.2</f>
        <v>0</v>
      </c>
      <c r="CR126" s="276">
        <f>SUMIF('20Ф'!$H:$H,$B:$B,'20Ф'!Z:Z)*1.2</f>
        <v>0</v>
      </c>
      <c r="CS126" s="276">
        <f>SUMIF('20Ф'!$H:$H,$B:$B,'20Ф'!AB:AB)*1.2</f>
        <v>0</v>
      </c>
      <c r="CT126" s="276">
        <f>SUMIF('20Ф'!$H:$H,$B:$B,'20Ф'!AC:AC)*1.2</f>
        <v>0</v>
      </c>
      <c r="CU126" s="276">
        <f>SUMIF('20Ф'!$H:$H,$B:$B,'20Ф'!AD:AD)*1.2</f>
        <v>0</v>
      </c>
      <c r="CV126" s="276">
        <f>SUMIF('20Ф'!$H:$H,$B:$B,'20Ф'!AE:AE)*1.2</f>
        <v>0</v>
      </c>
      <c r="CW126" s="276">
        <f>SUMIF('20Ф'!$H:$H,$B:$B,'20Ф'!AF:AF)*1.2</f>
        <v>0</v>
      </c>
      <c r="CX126" s="276">
        <f>SUMIF('20Ф'!$H:$H,$B:$B,'20Ф'!AG:AG)*1.2</f>
        <v>0</v>
      </c>
      <c r="CY126" s="276">
        <f>SUMIF('20Ф'!$H:$H,$B:$B,'20Ф'!AH:AH)*1.2</f>
        <v>0</v>
      </c>
      <c r="CZ126" s="276">
        <f>SUMIF('20Ф'!$H:$H,$B:$B,'20Ф'!AI:AI)*1.2</f>
        <v>0</v>
      </c>
      <c r="DA126" s="276">
        <f>SUMIF('20Ф'!$H:$H,$B:$B,'20Ф'!AJ:AJ)*1.2</f>
        <v>0</v>
      </c>
      <c r="DB126" s="276">
        <f>SUMIF('20Ф'!$H:$H,$B:$B,'20Ф'!AK:AK)*1.2</f>
        <v>0</v>
      </c>
      <c r="DC126" s="276">
        <f>SUMIF('20Ф'!$H:$H,$B:$B,'20Ф'!AL:AL)*1.2</f>
        <v>2252700.9</v>
      </c>
      <c r="DD126" s="276">
        <f>SUMIF('20Ф'!$H:$H,$B:$B,'20Ф'!AM:AM)*1.2</f>
        <v>0</v>
      </c>
      <c r="DE126" s="276">
        <f>SUMIF('20Ф'!$H:$H,$B:$B,'20Ф'!AN:AN)*1.2</f>
        <v>0</v>
      </c>
      <c r="DF126" s="276">
        <f>SUMIF('20Ф'!$H:$H,$B:$B,'20Ф'!AO:AO)*1.2</f>
        <v>0</v>
      </c>
      <c r="DG126" s="276">
        <f>SUMIF('20Ф'!$H:$H,$B:$B,'20Ф'!AP:AP)*1.2</f>
        <v>0</v>
      </c>
      <c r="DH126" s="276">
        <f>SUMIF('20Ф'!$H:$H,$B:$B,'20Ф'!AQ:AQ)*1.2</f>
        <v>0</v>
      </c>
      <c r="DI126" s="276">
        <f>SUMIF('20Ф'!$H:$H,$B:$B,'20Ф'!BA:BA)*1.2</f>
        <v>0</v>
      </c>
      <c r="DJ126" s="276">
        <f>SUMIF('20Ф'!$H:$H,$B:$B,'20Ф'!BB:BB)*1.2</f>
        <v>0</v>
      </c>
      <c r="DK126" s="276">
        <f>SUMIF('20Ф'!$H:$H,$B:$B,'20Ф'!BC:BC)*1.2</f>
        <v>0</v>
      </c>
      <c r="DL126" s="276">
        <f>$D126/$D$281*'20Ф'!$H$218</f>
        <v>31136.364932579181</v>
      </c>
      <c r="DM126" s="240">
        <f t="shared" si="13"/>
        <v>403956.17590735311</v>
      </c>
      <c r="DN126" s="276">
        <f>SUMIF('20Ф'!$H:$H,$B:$B,'20Ф'!AV:AV)*1.2</f>
        <v>0</v>
      </c>
      <c r="DO126" s="276">
        <f>SUMIF('20Ф'!$H:$H,$B:$B,'20Ф'!AW:AW)*1.2+$D126/$D$281*'26Ф'!$D$42</f>
        <v>16569.161670353413</v>
      </c>
      <c r="DP126" s="276">
        <f>SUMIF('20Ф'!$H:$H,$B:$B,'20Ф'!AX:AX)*1.2</f>
        <v>0</v>
      </c>
      <c r="DQ126" s="276">
        <f>SUMIF('20Ф'!$H:$H,$B:$B,'20Ф'!AY:AY)*1.2</f>
        <v>26049.996000000003</v>
      </c>
      <c r="DR126" s="276">
        <f>SUMIF('20Ф'!$H:$H,$B:$B,'20Ф'!AU:AU)*1.2</f>
        <v>0</v>
      </c>
      <c r="DS126" s="276">
        <f>SUMIF('20Ф'!$H:$H,$B:$B,'20Ф'!AS:AS)*1.2</f>
        <v>69059.676000000007</v>
      </c>
      <c r="DT126" s="276">
        <f>SUMIF('20Ф'!$H:$H,$B:$B,'20Ф'!AR:AR)*1.2</f>
        <v>0</v>
      </c>
      <c r="DU126" s="276">
        <f>SUMIF('20Ф'!$H:$H,$B:$B,'20Ф'!X:X)*1.2</f>
        <v>0</v>
      </c>
      <c r="DV126" s="276">
        <f>SUMIF('20Ф'!$H:$H,$B:$B,'20Ф'!AA:AA)*1.2</f>
        <v>0</v>
      </c>
      <c r="DW126" s="276">
        <f>SUMIF('20Ф'!$H:$H,$B:$B,'20Ф'!N:N)*1.2</f>
        <v>0</v>
      </c>
      <c r="DX126" s="276">
        <f>$D126/$D$281*('25Ф'!$D$37)</f>
        <v>278506.87926912017</v>
      </c>
      <c r="DY126" s="276">
        <f>$D126/$D$281*'25Ф'!$D$30</f>
        <v>8889.0653033139388</v>
      </c>
      <c r="DZ126" s="276">
        <f>$D126/$D$281*'25Ф'!$D$31</f>
        <v>4881.3976645656139</v>
      </c>
      <c r="EA126" s="276"/>
      <c r="EB126" s="276">
        <f t="shared" si="14"/>
        <v>175463.70512137437</v>
      </c>
      <c r="EC126" s="276">
        <f>$D126/$D$281*'26Ф'!$D$36</f>
        <v>91334.509282423489</v>
      </c>
      <c r="ED126" s="276">
        <f>$D126/$D$281*'26Ф'!$D$37</f>
        <v>10973.743743125624</v>
      </c>
      <c r="EE126" s="276">
        <f>$D126/$D$281*'26Ф'!$D$38</f>
        <v>11086.290283525543</v>
      </c>
      <c r="EF126" s="276">
        <f>$D126/$D$281*'26Ф'!$D$39</f>
        <v>7777.0225156977631</v>
      </c>
      <c r="EG126" s="276">
        <f>$D126/$D$281*'91Ф'!$D$10</f>
        <v>2399.2082116724569</v>
      </c>
      <c r="EH126" s="276">
        <f>$D126/$D$281*('20Ф'!$I$509+'26Ф'!$D$41+'20Ф'!$I$507)</f>
        <v>16973.608075714321</v>
      </c>
      <c r="EI126" s="276">
        <f>$D126/$D$281*'91Ф'!$D$31</f>
        <v>31115.116681259384</v>
      </c>
      <c r="EJ126" s="276">
        <f>$D126/$D$281*'20Ф'!$I$1316</f>
        <v>3804.2063279557551</v>
      </c>
      <c r="EK126" s="276">
        <f>$D126/$D$281*('20Ф'!$I$1105+'20Ф'!$I$1282+'91Ф'!$D$17+'91Ф'!$D$41)</f>
        <v>124934.37407690025</v>
      </c>
      <c r="EL126" s="276">
        <f>$D126/$D$281*отчёт!BX$294</f>
        <v>208852.17144626947</v>
      </c>
      <c r="EM126" s="276">
        <f>$D126/$D$281*отчёт!BY$294</f>
        <v>183674.27401181968</v>
      </c>
      <c r="EN126" s="276">
        <f>SUMIF(отчёт!$B:$B,$B:$B,отчёт!BZ:BZ)/отчёт!BZ$281*('60Ф'!$O$151+'60Ф'!$P$151)*отчёт!BZ$293</f>
        <v>0</v>
      </c>
      <c r="EO126" s="240">
        <f t="shared" si="19"/>
        <v>0</v>
      </c>
      <c r="EP126" s="276">
        <f>SUMIF('20Ф'!$H:$H,$B:$B,'20Ф'!T:T)*1.2</f>
        <v>0</v>
      </c>
      <c r="EQ126" s="276">
        <f>SUMIF('20Ф'!$H:$H,$B:$B,'20Ф'!U:U)*1.2</f>
        <v>0</v>
      </c>
      <c r="ER126" s="236"/>
      <c r="ES126" s="239">
        <f t="shared" si="17"/>
        <v>69902.901327803469</v>
      </c>
      <c r="ET126" s="276">
        <f>$D126/$D$282*'20Ф'!$I$381</f>
        <v>5342.7457240497451</v>
      </c>
      <c r="EU126" s="276">
        <f>$D126/$D$282*('20Ф'!$I$75+'20Ф'!$I$1098)*1.2</f>
        <v>61711.084904031901</v>
      </c>
      <c r="EV126" s="276">
        <f>$D126/$D$282*('20Ф'!$I$1286)</f>
        <v>2849.0706997218208</v>
      </c>
      <c r="EW126" s="276">
        <f>SUMIF('91.1Ф'!$N:$N,$B:$B,'91.1Ф'!$F:$F)+$D126/$D$281*('91Ф'!$D$12+'91Ф'!$D$11+'91Ф'!$D$19+'91Ф'!$D$20)</f>
        <v>26465.739848351455</v>
      </c>
      <c r="EX126" s="276">
        <f t="shared" si="15"/>
        <v>28547.199534515519</v>
      </c>
      <c r="EY126" s="276">
        <f>SUMIF('20Ф'!$H:$H,$B:$B,'20Ф'!$AY:$AY)*1.2</f>
        <v>26049.996000000003</v>
      </c>
      <c r="EZ126" s="295">
        <f>D126/$D$286*'20Ф'!$I$1163</f>
        <v>2497.2035345155155</v>
      </c>
      <c r="FA126" s="277">
        <f>SUMIF(отчёт!$B:$B,$B:$B,отчёт!$CU:$CU)/отчёт!$CU$281*'20Ф'!$I$1341</f>
        <v>3683.8554216867401</v>
      </c>
      <c r="FB126" s="276">
        <f>SUMIF(Сальдо!$A:$A,$B:$B,Сальдо!$H:$H)-SUMIF(Сальдо!$A:$A,$B:$B,Сальдо!$I:$I)</f>
        <v>337841.26</v>
      </c>
    </row>
    <row r="127" spans="1:158" ht="12" customHeight="1" x14ac:dyDescent="0.25">
      <c r="A127" s="3">
        <f t="shared" si="18"/>
        <v>123</v>
      </c>
      <c r="B127" s="4" t="s">
        <v>172</v>
      </c>
      <c r="C127" s="4" t="s">
        <v>172</v>
      </c>
      <c r="D127" s="5">
        <v>3334.9</v>
      </c>
      <c r="E127" s="6">
        <v>3334.9</v>
      </c>
      <c r="F127" s="6">
        <v>0</v>
      </c>
      <c r="G127" s="6">
        <v>327.10000000000002</v>
      </c>
      <c r="H127" s="5">
        <f>SUMIF(отчёт!$B:$B,$B:$B,отчёт!I:I)</f>
        <v>0</v>
      </c>
      <c r="I127" s="5">
        <f>SUMIF(отчёт!$B:$B,$B:$B,отчёт!J:J)</f>
        <v>0</v>
      </c>
      <c r="J127" s="3" t="s">
        <v>111</v>
      </c>
      <c r="K127" s="105">
        <v>7</v>
      </c>
      <c r="L127" s="105" t="s">
        <v>52</v>
      </c>
      <c r="M127" s="7">
        <v>31</v>
      </c>
      <c r="N127" s="8">
        <v>5.0999999999999996</v>
      </c>
      <c r="O127" s="8">
        <v>6.59</v>
      </c>
      <c r="P127" s="8">
        <v>8.98</v>
      </c>
      <c r="Q127" s="8">
        <v>6.92</v>
      </c>
      <c r="R127" s="8">
        <v>3.15</v>
      </c>
      <c r="S127" s="8">
        <v>0</v>
      </c>
      <c r="T127" s="8">
        <v>0</v>
      </c>
      <c r="U127" s="8">
        <v>0.26</v>
      </c>
      <c r="V127" s="9">
        <v>40</v>
      </c>
      <c r="W127" s="9">
        <v>40</v>
      </c>
      <c r="X127" s="9">
        <v>2604.04</v>
      </c>
      <c r="Y127" s="8">
        <v>195.98199600000001</v>
      </c>
      <c r="Z127" s="9">
        <v>42.3</v>
      </c>
      <c r="AA127" s="9">
        <v>2604.04</v>
      </c>
      <c r="AB127" s="8">
        <v>7.85</v>
      </c>
      <c r="AC127" s="10">
        <v>0</v>
      </c>
      <c r="AD127" s="8">
        <v>6.73</v>
      </c>
      <c r="AE127" s="8">
        <v>10.67</v>
      </c>
      <c r="AF127" s="8">
        <v>14</v>
      </c>
      <c r="AG127" s="7">
        <v>620291.4</v>
      </c>
      <c r="AH127" s="8">
        <v>102047.93999999999</v>
      </c>
      <c r="AI127" s="8">
        <v>131861.946</v>
      </c>
      <c r="AJ127" s="8">
        <v>179684.41200000001</v>
      </c>
      <c r="AK127" s="8">
        <v>138465.04800000001</v>
      </c>
      <c r="AL127" s="8">
        <v>63029.61</v>
      </c>
      <c r="AM127" s="8">
        <v>0</v>
      </c>
      <c r="AN127" s="8">
        <v>0</v>
      </c>
      <c r="AO127" s="8">
        <v>5202.4440000000004</v>
      </c>
      <c r="AQ127" s="104">
        <v>33.17</v>
      </c>
      <c r="AR127" s="375">
        <v>13.89</v>
      </c>
      <c r="AS127" s="376"/>
      <c r="AT127" s="104">
        <v>5.9</v>
      </c>
      <c r="AU127" s="104">
        <v>1.53</v>
      </c>
      <c r="AV127" s="104">
        <v>0.32</v>
      </c>
      <c r="AW127" s="104">
        <v>0.6</v>
      </c>
      <c r="AX127" s="104">
        <v>5.01</v>
      </c>
      <c r="AY127" s="104">
        <v>4.99</v>
      </c>
      <c r="AZ127" s="104">
        <v>0</v>
      </c>
      <c r="BA127" s="104">
        <v>0</v>
      </c>
      <c r="BB127" s="104">
        <v>0</v>
      </c>
      <c r="BC127" s="101">
        <v>0.93</v>
      </c>
      <c r="BD127" s="104">
        <v>37.581610000000005</v>
      </c>
      <c r="BE127" s="375">
        <v>15.737370000000004</v>
      </c>
      <c r="BF127" s="376">
        <v>0</v>
      </c>
      <c r="BG127" s="104">
        <v>6.6847000000000012</v>
      </c>
      <c r="BH127" s="104">
        <v>1.7334900000000002</v>
      </c>
      <c r="BI127" s="104">
        <v>0.36256000000000005</v>
      </c>
      <c r="BJ127" s="104">
        <v>0.67980000000000007</v>
      </c>
      <c r="BK127" s="104">
        <v>5.6763300000000001</v>
      </c>
      <c r="BL127" s="104">
        <v>5.65367</v>
      </c>
      <c r="BM127" s="104">
        <v>0</v>
      </c>
      <c r="BN127" s="104">
        <v>0</v>
      </c>
      <c r="BO127" s="104">
        <v>0</v>
      </c>
      <c r="BP127" s="101">
        <v>1.0536900000000002</v>
      </c>
      <c r="BQ127" s="103">
        <v>1474546.3778900001</v>
      </c>
      <c r="BR127" s="371">
        <v>617469.0741300002</v>
      </c>
      <c r="BS127" s="371">
        <v>0</v>
      </c>
      <c r="BT127" s="103">
        <v>262279.88030000002</v>
      </c>
      <c r="BU127" s="103">
        <v>68014.952010000008</v>
      </c>
      <c r="BV127" s="103">
        <v>14225.34944</v>
      </c>
      <c r="BW127" s="103">
        <v>26672.530200000005</v>
      </c>
      <c r="BX127" s="103">
        <v>222715.62716999999</v>
      </c>
      <c r="BY127" s="103">
        <v>221826.54283000002</v>
      </c>
      <c r="BZ127" s="103">
        <v>0</v>
      </c>
      <c r="CA127" s="103">
        <v>0</v>
      </c>
      <c r="CB127" s="103">
        <v>0</v>
      </c>
      <c r="CC127" s="103">
        <v>41342.421810000007</v>
      </c>
      <c r="CD127" s="1">
        <v>1</v>
      </c>
      <c r="CF127" s="277">
        <f>SUMIF(Оборот!$A:$A,$B:$B,Оборот!H:H)</f>
        <v>1268692.5999999996</v>
      </c>
      <c r="CG127" s="277">
        <f>SUMIF(Оборот!$A:$A,$B:$B,Оборот!I:I)</f>
        <v>1299973.5</v>
      </c>
      <c r="CH127" s="277">
        <f t="shared" si="12"/>
        <v>1354234.537409907</v>
      </c>
      <c r="CI127" s="239">
        <f t="shared" si="16"/>
        <v>29331.562219614789</v>
      </c>
      <c r="CJ127" s="276">
        <f>SUMIF('20Ф'!$H:$H,$B:$B,'20Ф'!M:M)*1.2</f>
        <v>0</v>
      </c>
      <c r="CK127" s="276">
        <f>SUMIF('20Ф'!$H:$H,$B:$B,'20Ф'!O:O)*1.2</f>
        <v>0</v>
      </c>
      <c r="CL127" s="276">
        <f>SUMIF('20Ф'!$H:$H,$B:$B,'20Ф'!Q:Q)*1.2</f>
        <v>0</v>
      </c>
      <c r="CM127" s="276">
        <f>SUMIF('20Ф'!$H:$H,$B:$B,'20Ф'!R:R)*1.2</f>
        <v>0</v>
      </c>
      <c r="CN127" s="276">
        <f>SUMIF('20Ф'!$H:$H,$B:$B,'20Ф'!S:S)*1.2</f>
        <v>0</v>
      </c>
      <c r="CO127" s="276">
        <f>SUMIF('20Ф'!$H:$H,$B:$B,'20Ф'!W:W)*1.2</f>
        <v>0</v>
      </c>
      <c r="CP127" s="276">
        <f>SUMIF('20Ф'!$H:$H,$B:$B,'20Ф'!P:P)*1.2</f>
        <v>0</v>
      </c>
      <c r="CQ127" s="276">
        <f>SUMIF('20Ф'!$H:$H,$B:$B,'20Ф'!Y:Y)*1.2</f>
        <v>0</v>
      </c>
      <c r="CR127" s="276">
        <f>SUMIF('20Ф'!$H:$H,$B:$B,'20Ф'!Z:Z)*1.2</f>
        <v>0</v>
      </c>
      <c r="CS127" s="276">
        <f>SUMIF('20Ф'!$H:$H,$B:$B,'20Ф'!AB:AB)*1.2</f>
        <v>0</v>
      </c>
      <c r="CT127" s="276">
        <f>SUMIF('20Ф'!$H:$H,$B:$B,'20Ф'!AC:AC)*1.2</f>
        <v>0</v>
      </c>
      <c r="CU127" s="276">
        <f>SUMIF('20Ф'!$H:$H,$B:$B,'20Ф'!AD:AD)*1.2</f>
        <v>0</v>
      </c>
      <c r="CV127" s="276">
        <f>SUMIF('20Ф'!$H:$H,$B:$B,'20Ф'!AE:AE)*1.2</f>
        <v>0</v>
      </c>
      <c r="CW127" s="276">
        <f>SUMIF('20Ф'!$H:$H,$B:$B,'20Ф'!AF:AF)*1.2</f>
        <v>0</v>
      </c>
      <c r="CX127" s="276">
        <f>SUMIF('20Ф'!$H:$H,$B:$B,'20Ф'!AG:AG)*1.2</f>
        <v>0</v>
      </c>
      <c r="CY127" s="276">
        <f>SUMIF('20Ф'!$H:$H,$B:$B,'20Ф'!AH:AH)*1.2</f>
        <v>0</v>
      </c>
      <c r="CZ127" s="276">
        <f>SUMIF('20Ф'!$H:$H,$B:$B,'20Ф'!AI:AI)*1.2</f>
        <v>0</v>
      </c>
      <c r="DA127" s="276">
        <f>SUMIF('20Ф'!$H:$H,$B:$B,'20Ф'!AJ:AJ)*1.2</f>
        <v>0</v>
      </c>
      <c r="DB127" s="276">
        <f>SUMIF('20Ф'!$H:$H,$B:$B,'20Ф'!AK:AK)*1.2</f>
        <v>0</v>
      </c>
      <c r="DC127" s="276">
        <f>SUMIF('20Ф'!$H:$H,$B:$B,'20Ф'!AL:AL)*1.2</f>
        <v>0</v>
      </c>
      <c r="DD127" s="276">
        <f>SUMIF('20Ф'!$H:$H,$B:$B,'20Ф'!AM:AM)*1.2</f>
        <v>0</v>
      </c>
      <c r="DE127" s="276">
        <f>SUMIF('20Ф'!$H:$H,$B:$B,'20Ф'!AN:AN)*1.2</f>
        <v>0</v>
      </c>
      <c r="DF127" s="276">
        <f>SUMIF('20Ф'!$H:$H,$B:$B,'20Ф'!AO:AO)*1.2</f>
        <v>0</v>
      </c>
      <c r="DG127" s="276">
        <f>SUMIF('20Ф'!$H:$H,$B:$B,'20Ф'!AP:AP)*1.2</f>
        <v>0</v>
      </c>
      <c r="DH127" s="276">
        <f>SUMIF('20Ф'!$H:$H,$B:$B,'20Ф'!AQ:AQ)*1.2</f>
        <v>0</v>
      </c>
      <c r="DI127" s="276">
        <f>SUMIF('20Ф'!$H:$H,$B:$B,'20Ф'!BA:BA)*1.2</f>
        <v>0</v>
      </c>
      <c r="DJ127" s="276">
        <f>SUMIF('20Ф'!$H:$H,$B:$B,'20Ф'!BB:BB)*1.2</f>
        <v>0</v>
      </c>
      <c r="DK127" s="276">
        <f>SUMIF('20Ф'!$H:$H,$B:$B,'20Ф'!BC:BC)*1.2</f>
        <v>0</v>
      </c>
      <c r="DL127" s="276">
        <f>$D127/$D$281*'20Ф'!$H$218</f>
        <v>29331.562219614789</v>
      </c>
      <c r="DM127" s="240">
        <f t="shared" si="13"/>
        <v>561730.66976340546</v>
      </c>
      <c r="DN127" s="276">
        <f>SUMIF('20Ф'!$H:$H,$B:$B,'20Ф'!AV:AV)*1.2</f>
        <v>0</v>
      </c>
      <c r="DO127" s="276">
        <f>SUMIF('20Ф'!$H:$H,$B:$B,'20Ф'!AW:AW)*1.2+$D127/$D$281*'26Ф'!$D$42</f>
        <v>15608.739090551566</v>
      </c>
      <c r="DP127" s="276">
        <f>SUMIF('20Ф'!$H:$H,$B:$B,'20Ф'!AX:AX)*1.2</f>
        <v>0</v>
      </c>
      <c r="DQ127" s="276">
        <f>SUMIF('20Ф'!$H:$H,$B:$B,'20Ф'!AY:AY)*1.2</f>
        <v>26697.996000000003</v>
      </c>
      <c r="DR127" s="276">
        <f>SUMIF('20Ф'!$H:$H,$B:$B,'20Ф'!AU:AU)*1.2</f>
        <v>0</v>
      </c>
      <c r="DS127" s="276">
        <f>SUMIF('20Ф'!$H:$H,$B:$B,'20Ф'!AS:AS)*1.2</f>
        <v>54100.02</v>
      </c>
      <c r="DT127" s="276">
        <f>SUMIF('20Ф'!$H:$H,$B:$B,'20Ф'!AR:AR)*1.2</f>
        <v>0</v>
      </c>
      <c r="DU127" s="276">
        <f>SUMIF('20Ф'!$H:$H,$B:$B,'20Ф'!X:X)*1.2</f>
        <v>189988.272</v>
      </c>
      <c r="DV127" s="276">
        <f>SUMIF('20Ф'!$H:$H,$B:$B,'20Ф'!AA:AA)*1.2</f>
        <v>0</v>
      </c>
      <c r="DW127" s="276">
        <f>SUMIF('20Ф'!$H:$H,$B:$B,'20Ф'!N:N)*1.2</f>
        <v>0</v>
      </c>
      <c r="DX127" s="276">
        <f>$D127/$D$281*('25Ф'!$D$37)</f>
        <v>262363.37721380434</v>
      </c>
      <c r="DY127" s="276">
        <f>$D127/$D$281*'25Ф'!$D$30</f>
        <v>8373.8153950514552</v>
      </c>
      <c r="DZ127" s="276">
        <f>$D127/$D$281*'25Ф'!$D$31</f>
        <v>4598.4500639981543</v>
      </c>
      <c r="EA127" s="276"/>
      <c r="EB127" s="276">
        <f t="shared" si="14"/>
        <v>165293.0454533124</v>
      </c>
      <c r="EC127" s="276">
        <f>$D127/$D$281*'26Ф'!$D$36</f>
        <v>86040.353381529931</v>
      </c>
      <c r="ED127" s="276">
        <f>$D127/$D$281*'26Ф'!$D$37</f>
        <v>10337.656565901991</v>
      </c>
      <c r="EE127" s="276">
        <f>$D127/$D$281*'26Ф'!$D$38</f>
        <v>10443.679406380987</v>
      </c>
      <c r="EF127" s="276">
        <f>$D127/$D$281*'26Ф'!$D$39</f>
        <v>7326.2315718766331</v>
      </c>
      <c r="EG127" s="276">
        <f>$D127/$D$281*'91Ф'!$D$10</f>
        <v>2260.1393929850788</v>
      </c>
      <c r="EH127" s="276">
        <f>$D127/$D$281*('20Ф'!$I$509+'26Ф'!$D$41+'20Ф'!$I$507)</f>
        <v>15989.741976695486</v>
      </c>
      <c r="EI127" s="276">
        <f>$D127/$D$281*'91Ф'!$D$31</f>
        <v>29311.545611799644</v>
      </c>
      <c r="EJ127" s="276">
        <f>$D127/$D$281*'20Ф'!$I$1316</f>
        <v>3583.6975461426646</v>
      </c>
      <c r="EK127" s="276">
        <f>$D127/$D$281*('20Ф'!$I$1105+'20Ф'!$I$1282+'91Ф'!$D$17+'91Ф'!$D$41)</f>
        <v>117692.62001329189</v>
      </c>
      <c r="EL127" s="276">
        <f>$D127/$D$281*отчёт!BX$294</f>
        <v>196746.1672145318</v>
      </c>
      <c r="EM127" s="276">
        <f>$D127/$D$281*отчёт!BY$294</f>
        <v>173027.69311658357</v>
      </c>
      <c r="EN127" s="276">
        <f>SUMIF(отчёт!$B:$B,$B:$B,отчёт!BZ:BZ)/отчёт!BZ$281*('60Ф'!$O$151+'60Ф'!$P$151)*отчёт!BZ$293</f>
        <v>0</v>
      </c>
      <c r="EO127" s="240">
        <f t="shared" si="19"/>
        <v>0</v>
      </c>
      <c r="EP127" s="276">
        <f>SUMIF('20Ф'!$H:$H,$B:$B,'20Ф'!T:T)*1.2</f>
        <v>0</v>
      </c>
      <c r="EQ127" s="276">
        <f>SUMIF('20Ф'!$H:$H,$B:$B,'20Ф'!U:U)*1.2</f>
        <v>0</v>
      </c>
      <c r="ER127" s="236"/>
      <c r="ES127" s="239">
        <f t="shared" si="17"/>
        <v>65851.017100672805</v>
      </c>
      <c r="ET127" s="276">
        <f>$D127/$D$282*'20Ф'!$I$381</f>
        <v>5033.0563303673625</v>
      </c>
      <c r="EU127" s="276">
        <f>$D127/$D$282*('20Ф'!$I$75+'20Ф'!$I$1098)*1.2</f>
        <v>58134.034927390756</v>
      </c>
      <c r="EV127" s="276">
        <f>$D127/$D$282*('20Ф'!$I$1286)</f>
        <v>2683.9258429146921</v>
      </c>
      <c r="EW127" s="276">
        <f>SUMIF('91.1Ф'!$N:$N,$B:$B,'91.1Ф'!$F:$F)+$D127/$D$281*('91Ф'!$D$12+'91Ф'!$D$11+'91Ф'!$D$19+'91Ф'!$D$20)</f>
        <v>15511.31205905688</v>
      </c>
      <c r="EX127" s="276">
        <f t="shared" si="15"/>
        <v>29050.450469437532</v>
      </c>
      <c r="EY127" s="276">
        <f>SUMIF('20Ф'!$H:$H,$B:$B,'20Ф'!$AY:$AY)*1.2</f>
        <v>26697.996000000003</v>
      </c>
      <c r="EZ127" s="295">
        <f>D127/$D$286*'20Ф'!$I$1163</f>
        <v>2352.4544694375281</v>
      </c>
      <c r="FA127" s="277">
        <f>SUMIF(отчёт!$B:$B,$B:$B,отчёт!$CU:$CU)/отчёт!$CU$281*'20Ф'!$I$1341</f>
        <v>3683.8554216867401</v>
      </c>
      <c r="FB127" s="276">
        <f>SUMIF(Сальдо!$A:$A,$B:$B,Сальдо!$H:$H)-SUMIF(Сальдо!$A:$A,$B:$B,Сальдо!$I:$I)</f>
        <v>503043.39</v>
      </c>
    </row>
    <row r="128" spans="1:158" ht="12" customHeight="1" x14ac:dyDescent="0.25">
      <c r="A128" s="3">
        <f t="shared" si="18"/>
        <v>124</v>
      </c>
      <c r="B128" s="4" t="s">
        <v>173</v>
      </c>
      <c r="C128" s="4" t="s">
        <v>173</v>
      </c>
      <c r="D128" s="5">
        <v>3185.2</v>
      </c>
      <c r="E128" s="6">
        <v>3185.2</v>
      </c>
      <c r="F128" s="6">
        <v>0</v>
      </c>
      <c r="G128" s="6">
        <v>255.5</v>
      </c>
      <c r="H128" s="5">
        <f>SUMIF(отчёт!$B:$B,$B:$B,отчёт!I:I)</f>
        <v>0</v>
      </c>
      <c r="I128" s="5">
        <f>SUMIF(отчёт!$B:$B,$B:$B,отчёт!J:J)</f>
        <v>0</v>
      </c>
      <c r="J128" s="3" t="s">
        <v>111</v>
      </c>
      <c r="K128" s="105">
        <v>7</v>
      </c>
      <c r="L128" s="105" t="s">
        <v>52</v>
      </c>
      <c r="M128" s="7">
        <v>31</v>
      </c>
      <c r="N128" s="8">
        <v>5.0999999999999996</v>
      </c>
      <c r="O128" s="8">
        <v>6.59</v>
      </c>
      <c r="P128" s="8">
        <v>8.98</v>
      </c>
      <c r="Q128" s="8">
        <v>6.92</v>
      </c>
      <c r="R128" s="8">
        <v>3.15</v>
      </c>
      <c r="S128" s="8">
        <v>0</v>
      </c>
      <c r="T128" s="8">
        <v>0</v>
      </c>
      <c r="U128" s="8">
        <v>0.26</v>
      </c>
      <c r="V128" s="9">
        <v>40</v>
      </c>
      <c r="W128" s="9">
        <v>40</v>
      </c>
      <c r="X128" s="9">
        <v>2604.04</v>
      </c>
      <c r="Y128" s="8">
        <v>195.98199600000001</v>
      </c>
      <c r="Z128" s="9">
        <v>42.3</v>
      </c>
      <c r="AA128" s="9">
        <v>2604.04</v>
      </c>
      <c r="AB128" s="8">
        <v>7.85</v>
      </c>
      <c r="AC128" s="10">
        <v>0</v>
      </c>
      <c r="AD128" s="8">
        <v>6.73</v>
      </c>
      <c r="AE128" s="8">
        <v>10.67</v>
      </c>
      <c r="AF128" s="8">
        <v>14</v>
      </c>
      <c r="AG128" s="7">
        <v>592447.19999999995</v>
      </c>
      <c r="AH128" s="8">
        <v>97467.12</v>
      </c>
      <c r="AI128" s="8">
        <v>125942.80799999999</v>
      </c>
      <c r="AJ128" s="8">
        <v>171618.576</v>
      </c>
      <c r="AK128" s="8">
        <v>132249.50399999999</v>
      </c>
      <c r="AL128" s="8">
        <v>60200.28</v>
      </c>
      <c r="AM128" s="8">
        <v>0</v>
      </c>
      <c r="AN128" s="8">
        <v>0</v>
      </c>
      <c r="AO128" s="8">
        <v>4968.9119999999994</v>
      </c>
      <c r="AQ128" s="104">
        <v>33.17</v>
      </c>
      <c r="AR128" s="375">
        <v>13.89</v>
      </c>
      <c r="AS128" s="376"/>
      <c r="AT128" s="104">
        <v>5.9</v>
      </c>
      <c r="AU128" s="104">
        <v>1.53</v>
      </c>
      <c r="AV128" s="104">
        <v>0.32</v>
      </c>
      <c r="AW128" s="104">
        <v>0.6</v>
      </c>
      <c r="AX128" s="104">
        <v>5.01</v>
      </c>
      <c r="AY128" s="104">
        <v>4.99</v>
      </c>
      <c r="AZ128" s="104">
        <v>0</v>
      </c>
      <c r="BA128" s="104">
        <v>0</v>
      </c>
      <c r="BB128" s="104">
        <v>0</v>
      </c>
      <c r="BC128" s="101">
        <v>0.93</v>
      </c>
      <c r="BD128" s="104">
        <v>37.581610000000005</v>
      </c>
      <c r="BE128" s="375">
        <v>15.737370000000004</v>
      </c>
      <c r="BF128" s="376">
        <v>0</v>
      </c>
      <c r="BG128" s="104">
        <v>6.6847000000000012</v>
      </c>
      <c r="BH128" s="104">
        <v>1.7334900000000002</v>
      </c>
      <c r="BI128" s="104">
        <v>0.36256000000000005</v>
      </c>
      <c r="BJ128" s="104">
        <v>0.67980000000000007</v>
      </c>
      <c r="BK128" s="104">
        <v>5.6763300000000001</v>
      </c>
      <c r="BL128" s="104">
        <v>5.65367</v>
      </c>
      <c r="BM128" s="104">
        <v>0</v>
      </c>
      <c r="BN128" s="104">
        <v>0</v>
      </c>
      <c r="BO128" s="104">
        <v>0</v>
      </c>
      <c r="BP128" s="101">
        <v>1.0536900000000002</v>
      </c>
      <c r="BQ128" s="103">
        <v>1408355.6097200001</v>
      </c>
      <c r="BR128" s="371">
        <v>589751.56524000014</v>
      </c>
      <c r="BS128" s="371">
        <v>0</v>
      </c>
      <c r="BT128" s="103">
        <v>250506.42439999999</v>
      </c>
      <c r="BU128" s="103">
        <v>64961.835479999994</v>
      </c>
      <c r="BV128" s="103">
        <v>13586.789119999999</v>
      </c>
      <c r="BW128" s="103">
        <v>25475.229600000002</v>
      </c>
      <c r="BX128" s="103">
        <v>212718.16715999998</v>
      </c>
      <c r="BY128" s="103">
        <v>211868.99283999999</v>
      </c>
      <c r="BZ128" s="103">
        <v>0</v>
      </c>
      <c r="CA128" s="103">
        <v>0</v>
      </c>
      <c r="CB128" s="103">
        <v>0</v>
      </c>
      <c r="CC128" s="103">
        <v>39486.605880000003</v>
      </c>
      <c r="CD128" s="1">
        <v>1</v>
      </c>
      <c r="CF128" s="277">
        <f>SUMIF(Оборот!$A:$A,$B:$B,Оборот!H:H)</f>
        <v>1205329.3900000001</v>
      </c>
      <c r="CG128" s="277">
        <f>SUMIF(Оборот!$A:$A,$B:$B,Оборот!I:I)</f>
        <v>1100011.31</v>
      </c>
      <c r="CH128" s="277">
        <f t="shared" si="12"/>
        <v>2202988.0466179</v>
      </c>
      <c r="CI128" s="239">
        <f t="shared" si="16"/>
        <v>974711.43659129716</v>
      </c>
      <c r="CJ128" s="276">
        <f>SUMIF('20Ф'!$H:$H,$B:$B,'20Ф'!M:M)*1.2</f>
        <v>0</v>
      </c>
      <c r="CK128" s="276">
        <f>SUMIF('20Ф'!$H:$H,$B:$B,'20Ф'!O:O)*1.2</f>
        <v>0</v>
      </c>
      <c r="CL128" s="276">
        <f>SUMIF('20Ф'!$H:$H,$B:$B,'20Ф'!Q:Q)*1.2</f>
        <v>0</v>
      </c>
      <c r="CM128" s="276">
        <f>SUMIF('20Ф'!$H:$H,$B:$B,'20Ф'!R:R)*1.2</f>
        <v>0</v>
      </c>
      <c r="CN128" s="276">
        <f>SUMIF('20Ф'!$H:$H,$B:$B,'20Ф'!S:S)*1.2</f>
        <v>0</v>
      </c>
      <c r="CO128" s="276">
        <f>SUMIF('20Ф'!$H:$H,$B:$B,'20Ф'!W:W)*1.2</f>
        <v>0</v>
      </c>
      <c r="CP128" s="276">
        <f>SUMIF('20Ф'!$H:$H,$B:$B,'20Ф'!P:P)*1.2</f>
        <v>0</v>
      </c>
      <c r="CQ128" s="276">
        <f>SUMIF('20Ф'!$H:$H,$B:$B,'20Ф'!Y:Y)*1.2</f>
        <v>0</v>
      </c>
      <c r="CR128" s="276">
        <f>SUMIF('20Ф'!$H:$H,$B:$B,'20Ф'!Z:Z)*1.2</f>
        <v>0</v>
      </c>
      <c r="CS128" s="276">
        <f>SUMIF('20Ф'!$H:$H,$B:$B,'20Ф'!AB:AB)*1.2</f>
        <v>0</v>
      </c>
      <c r="CT128" s="276">
        <f>SUMIF('20Ф'!$H:$H,$B:$B,'20Ф'!AC:AC)*1.2</f>
        <v>0</v>
      </c>
      <c r="CU128" s="276">
        <f>SUMIF('20Ф'!$H:$H,$B:$B,'20Ф'!AD:AD)*1.2</f>
        <v>0</v>
      </c>
      <c r="CV128" s="276">
        <f>SUMIF('20Ф'!$H:$H,$B:$B,'20Ф'!AE:AE)*1.2</f>
        <v>0</v>
      </c>
      <c r="CW128" s="276">
        <f>SUMIF('20Ф'!$H:$H,$B:$B,'20Ф'!AF:AF)*1.2</f>
        <v>0</v>
      </c>
      <c r="CX128" s="276">
        <f>SUMIF('20Ф'!$H:$H,$B:$B,'20Ф'!AG:AG)*1.2</f>
        <v>0</v>
      </c>
      <c r="CY128" s="276">
        <f>SUMIF('20Ф'!$H:$H,$B:$B,'20Ф'!AH:AH)*1.2</f>
        <v>0</v>
      </c>
      <c r="CZ128" s="276">
        <f>SUMIF('20Ф'!$H:$H,$B:$B,'20Ф'!AI:AI)*1.2</f>
        <v>0</v>
      </c>
      <c r="DA128" s="276">
        <f>SUMIF('20Ф'!$H:$H,$B:$B,'20Ф'!AJ:AJ)*1.2</f>
        <v>0</v>
      </c>
      <c r="DB128" s="276">
        <f>SUMIF('20Ф'!$H:$H,$B:$B,'20Ф'!AK:AK)*1.2</f>
        <v>0</v>
      </c>
      <c r="DC128" s="276">
        <f>SUMIF('20Ф'!$H:$H,$B:$B,'20Ф'!AL:AL)*1.2</f>
        <v>946696.53599999996</v>
      </c>
      <c r="DD128" s="276">
        <f>SUMIF('20Ф'!$H:$H,$B:$B,'20Ф'!AM:AM)*1.2</f>
        <v>0</v>
      </c>
      <c r="DE128" s="276">
        <f>SUMIF('20Ф'!$H:$H,$B:$B,'20Ф'!AN:AN)*1.2</f>
        <v>0</v>
      </c>
      <c r="DF128" s="276">
        <f>SUMIF('20Ф'!$H:$H,$B:$B,'20Ф'!AO:AO)*1.2</f>
        <v>0</v>
      </c>
      <c r="DG128" s="276">
        <f>SUMIF('20Ф'!$H:$H,$B:$B,'20Ф'!AP:AP)*1.2</f>
        <v>0</v>
      </c>
      <c r="DH128" s="276">
        <f>SUMIF('20Ф'!$H:$H,$B:$B,'20Ф'!AQ:AQ)*1.2</f>
        <v>0</v>
      </c>
      <c r="DI128" s="276">
        <f>SUMIF('20Ф'!$H:$H,$B:$B,'20Ф'!BA:BA)*1.2</f>
        <v>0</v>
      </c>
      <c r="DJ128" s="276">
        <f>SUMIF('20Ф'!$H:$H,$B:$B,'20Ф'!BB:BB)*1.2</f>
        <v>0</v>
      </c>
      <c r="DK128" s="276">
        <f>SUMIF('20Ф'!$H:$H,$B:$B,'20Ф'!BC:BC)*1.2</f>
        <v>0</v>
      </c>
      <c r="DL128" s="276">
        <f>$D128/$D$281*'20Ф'!$H$218</f>
        <v>28014.900591297195</v>
      </c>
      <c r="DM128" s="240">
        <f t="shared" si="13"/>
        <v>498163.82786014542</v>
      </c>
      <c r="DN128" s="276">
        <f>SUMIF('20Ф'!$H:$H,$B:$B,'20Ф'!AV:AV)*1.2</f>
        <v>0</v>
      </c>
      <c r="DO128" s="276">
        <f>SUMIF('20Ф'!$H:$H,$B:$B,'20Ф'!AW:AW)*1.2+$D128/$D$281*'26Ф'!$D$42</f>
        <v>14908.079927801386</v>
      </c>
      <c r="DP128" s="276">
        <f>SUMIF('20Ф'!$H:$H,$B:$B,'20Ф'!AX:AX)*1.2</f>
        <v>0</v>
      </c>
      <c r="DQ128" s="276">
        <f>SUMIF('20Ф'!$H:$H,$B:$B,'20Ф'!AY:AY)*1.2</f>
        <v>26697.996000000003</v>
      </c>
      <c r="DR128" s="276">
        <f>SUMIF('20Ф'!$H:$H,$B:$B,'20Ф'!AU:AU)*1.2</f>
        <v>0</v>
      </c>
      <c r="DS128" s="276">
        <f>SUMIF('20Ф'!$H:$H,$B:$B,'20Ф'!AS:AS)*1.2</f>
        <v>24869.759999999998</v>
      </c>
      <c r="DT128" s="276">
        <f>SUMIF('20Ф'!$H:$H,$B:$B,'20Ф'!AR:AR)*1.2</f>
        <v>0</v>
      </c>
      <c r="DU128" s="276">
        <f>SUMIF('20Ф'!$H:$H,$B:$B,'20Ф'!X:X)*1.2</f>
        <v>168711.864</v>
      </c>
      <c r="DV128" s="276">
        <f>SUMIF('20Ф'!$H:$H,$B:$B,'20Ф'!AA:AA)*1.2</f>
        <v>0</v>
      </c>
      <c r="DW128" s="276">
        <f>SUMIF('20Ф'!$H:$H,$B:$B,'20Ф'!N:N)*1.2</f>
        <v>0</v>
      </c>
      <c r="DX128" s="276">
        <f>$D128/$D$281*('25Ф'!$D$37)</f>
        <v>250586.17322900522</v>
      </c>
      <c r="DY128" s="276">
        <f>$D128/$D$281*'25Ф'!$D$30</f>
        <v>7997.9240146085012</v>
      </c>
      <c r="DZ128" s="276">
        <f>$D128/$D$281*'25Ф'!$D$31</f>
        <v>4392.0306887303732</v>
      </c>
      <c r="EA128" s="276"/>
      <c r="EB128" s="276">
        <f t="shared" si="14"/>
        <v>157873.22209898065</v>
      </c>
      <c r="EC128" s="276">
        <f>$D128/$D$281*'26Ф'!$D$36</f>
        <v>82178.096371959909</v>
      </c>
      <c r="ED128" s="276">
        <f>$D128/$D$281*'26Ф'!$D$37</f>
        <v>9873.610511173054</v>
      </c>
      <c r="EE128" s="276">
        <f>$D128/$D$281*'26Ф'!$D$38</f>
        <v>9974.8741027331307</v>
      </c>
      <c r="EF128" s="276">
        <f>$D128/$D$281*'26Ф'!$D$39</f>
        <v>6997.3650792351937</v>
      </c>
      <c r="EG128" s="276">
        <f>$D128/$D$281*'91Ф'!$D$10</f>
        <v>2158.6842167789355</v>
      </c>
      <c r="EH128" s="276">
        <f>$D128/$D$281*('20Ф'!$I$509+'26Ф'!$D$41+'20Ф'!$I$507)</f>
        <v>15271.980012645194</v>
      </c>
      <c r="EI128" s="276">
        <f>$D128/$D$281*'91Ф'!$D$31</f>
        <v>27995.782507032956</v>
      </c>
      <c r="EJ128" s="276">
        <f>$D128/$D$281*'20Ф'!$I$1316</f>
        <v>3422.8292974222959</v>
      </c>
      <c r="EK128" s="276">
        <f>$D128/$D$281*('20Ф'!$I$1105+'20Ф'!$I$1282+'91Ф'!$D$17+'91Ф'!$D$41)</f>
        <v>112409.52750197526</v>
      </c>
      <c r="EL128" s="276">
        <f>$D128/$D$281*отчёт!BX$294</f>
        <v>187914.44775307406</v>
      </c>
      <c r="EM128" s="276">
        <f>$D128/$D$281*отчёт!BY$294</f>
        <v>165260.66991962036</v>
      </c>
      <c r="EN128" s="276">
        <f>SUMIF(отчёт!$B:$B,$B:$B,отчёт!BZ:BZ)/отчёт!BZ$281*('60Ф'!$O$151+'60Ф'!$P$151)*отчёт!BZ$293</f>
        <v>0</v>
      </c>
      <c r="EO128" s="240">
        <f t="shared" si="19"/>
        <v>0</v>
      </c>
      <c r="EP128" s="276">
        <f>SUMIF('20Ф'!$H:$H,$B:$B,'20Ф'!T:T)*1.2</f>
        <v>0</v>
      </c>
      <c r="EQ128" s="276">
        <f>SUMIF('20Ф'!$H:$H,$B:$B,'20Ф'!U:U)*1.2</f>
        <v>0</v>
      </c>
      <c r="ER128" s="236"/>
      <c r="ES128" s="239">
        <f t="shared" si="17"/>
        <v>62895.0372332193</v>
      </c>
      <c r="ET128" s="276">
        <f>$D128/$D$282*'20Ф'!$I$381</f>
        <v>4807.1279569060907</v>
      </c>
      <c r="EU128" s="276">
        <f>$D128/$D$282*('20Ф'!$I$75+'20Ф'!$I$1098)*1.2</f>
        <v>55524.461918115994</v>
      </c>
      <c r="EV128" s="276">
        <f>$D128/$D$282*('20Ф'!$I$1286)</f>
        <v>2563.4473581972102</v>
      </c>
      <c r="EW128" s="276">
        <f>SUMIF('91.1Ф'!$N:$N,$B:$B,'91.1Ф'!$F:$F)+$D128/$D$281*('91Ф'!$D$12+'91Ф'!$D$11+'91Ф'!$D$19+'91Ф'!$D$20)</f>
        <v>14815.026288796656</v>
      </c>
      <c r="EX128" s="276">
        <f t="shared" si="15"/>
        <v>28944.851370791454</v>
      </c>
      <c r="EY128" s="276">
        <f>SUMIF('20Ф'!$H:$H,$B:$B,'20Ф'!$AY:$AY)*1.2</f>
        <v>26697.996000000003</v>
      </c>
      <c r="EZ128" s="295">
        <f>D128/$D$286*'20Ф'!$I$1163</f>
        <v>2246.8553707914525</v>
      </c>
      <c r="FA128" s="277">
        <f>SUMIF(отчёт!$B:$B,$B:$B,отчёт!$CU:$CU)/отчёт!$CU$281*'20Ф'!$I$1341</f>
        <v>3683.8554216867401</v>
      </c>
      <c r="FB128" s="276">
        <f>SUMIF(Сальдо!$A:$A,$B:$B,Сальдо!$H:$H)-SUMIF(Сальдо!$A:$A,$B:$B,Сальдо!$I:$I)</f>
        <v>743863.3</v>
      </c>
    </row>
    <row r="129" spans="1:158" ht="12" customHeight="1" x14ac:dyDescent="0.25">
      <c r="A129" s="3">
        <f t="shared" si="18"/>
        <v>125</v>
      </c>
      <c r="B129" s="4" t="s">
        <v>174</v>
      </c>
      <c r="C129" s="4" t="s">
        <v>174</v>
      </c>
      <c r="D129" s="5">
        <v>6130.9800000000005</v>
      </c>
      <c r="E129" s="6">
        <v>5060.8</v>
      </c>
      <c r="F129" s="6">
        <v>1070.18</v>
      </c>
      <c r="G129" s="6">
        <v>1137.2</v>
      </c>
      <c r="H129" s="5">
        <f>SUMIF(отчёт!$B:$B,$B:$B,отчёт!I:I)</f>
        <v>1</v>
      </c>
      <c r="I129" s="5">
        <f>SUMIF(отчёт!$B:$B,$B:$B,отчёт!J:J)</f>
        <v>1</v>
      </c>
      <c r="J129" s="3" t="s">
        <v>111</v>
      </c>
      <c r="K129" s="105">
        <v>1</v>
      </c>
      <c r="L129" s="105" t="s">
        <v>52</v>
      </c>
      <c r="M129" s="7">
        <v>44.8</v>
      </c>
      <c r="N129" s="8">
        <v>5.0999999999999996</v>
      </c>
      <c r="O129" s="8">
        <v>8.6300000000000008</v>
      </c>
      <c r="P129" s="8">
        <v>13.43</v>
      </c>
      <c r="Q129" s="8">
        <v>6.91</v>
      </c>
      <c r="R129" s="8">
        <v>3.15</v>
      </c>
      <c r="S129" s="8">
        <v>1.81</v>
      </c>
      <c r="T129" s="8">
        <v>5.77</v>
      </c>
      <c r="U129" s="8">
        <v>0</v>
      </c>
      <c r="V129" s="9">
        <v>40</v>
      </c>
      <c r="W129" s="9">
        <v>40</v>
      </c>
      <c r="X129" s="9">
        <v>2604.04</v>
      </c>
      <c r="Y129" s="8">
        <v>195.98199600000001</v>
      </c>
      <c r="Z129" s="9">
        <v>42.3</v>
      </c>
      <c r="AA129" s="9">
        <v>2604.04</v>
      </c>
      <c r="AB129" s="8">
        <v>0</v>
      </c>
      <c r="AC129" s="10">
        <v>0</v>
      </c>
      <c r="AD129" s="8">
        <v>5.05</v>
      </c>
      <c r="AE129" s="8">
        <v>10.67</v>
      </c>
      <c r="AF129" s="8">
        <v>14</v>
      </c>
      <c r="AG129" s="7">
        <v>1648007.4239999999</v>
      </c>
      <c r="AH129" s="8">
        <v>187607.98800000001</v>
      </c>
      <c r="AI129" s="8">
        <v>317462.14440000005</v>
      </c>
      <c r="AJ129" s="8">
        <v>494034.36840000004</v>
      </c>
      <c r="AK129" s="8">
        <v>254190.43080000003</v>
      </c>
      <c r="AL129" s="8">
        <v>115875.522</v>
      </c>
      <c r="AM129" s="8">
        <v>66582.442800000019</v>
      </c>
      <c r="AN129" s="8">
        <v>212254.5276</v>
      </c>
      <c r="AO129" s="8">
        <v>0</v>
      </c>
      <c r="AQ129" s="104">
        <v>48.16</v>
      </c>
      <c r="AR129" s="375">
        <v>18.649999999999999</v>
      </c>
      <c r="AS129" s="376"/>
      <c r="AT129" s="104">
        <v>7.16</v>
      </c>
      <c r="AU129" s="104">
        <v>1.53</v>
      </c>
      <c r="AV129" s="104">
        <v>0.32</v>
      </c>
      <c r="AW129" s="104">
        <v>0.87</v>
      </c>
      <c r="AX129" s="104">
        <v>5.01</v>
      </c>
      <c r="AY129" s="104">
        <v>4.99</v>
      </c>
      <c r="AZ129" s="104">
        <v>2.7</v>
      </c>
      <c r="BA129" s="104">
        <v>6.46</v>
      </c>
      <c r="BB129" s="104">
        <v>0.47</v>
      </c>
      <c r="BC129" s="101">
        <v>0</v>
      </c>
      <c r="BD129" s="104">
        <v>54.565279999999994</v>
      </c>
      <c r="BE129" s="375">
        <v>21.130449999999996</v>
      </c>
      <c r="BF129" s="376">
        <v>0</v>
      </c>
      <c r="BG129" s="104">
        <v>8.1122800000000002</v>
      </c>
      <c r="BH129" s="104">
        <v>1.7334900000000002</v>
      </c>
      <c r="BI129" s="104">
        <v>0.36255999999999999</v>
      </c>
      <c r="BJ129" s="104">
        <v>0.98570999999999998</v>
      </c>
      <c r="BK129" s="104">
        <v>5.6763299999999992</v>
      </c>
      <c r="BL129" s="104">
        <v>5.6536700000000009</v>
      </c>
      <c r="BM129" s="104">
        <v>3.0591000000000004</v>
      </c>
      <c r="BN129" s="104">
        <v>7.3191800000000002</v>
      </c>
      <c r="BO129" s="104">
        <v>0.53250999999999993</v>
      </c>
      <c r="BP129" s="101">
        <v>0</v>
      </c>
      <c r="BQ129" s="103">
        <v>3935922.3973440002</v>
      </c>
      <c r="BR129" s="371">
        <v>1524189.21741</v>
      </c>
      <c r="BS129" s="371">
        <v>0</v>
      </c>
      <c r="BT129" s="103">
        <v>585157.89794400008</v>
      </c>
      <c r="BU129" s="103">
        <v>125040.724002</v>
      </c>
      <c r="BV129" s="103">
        <v>26152.308288000004</v>
      </c>
      <c r="BW129" s="103">
        <v>71101.588157999999</v>
      </c>
      <c r="BX129" s="103">
        <v>409447.076634</v>
      </c>
      <c r="BY129" s="103">
        <v>407812.55736600014</v>
      </c>
      <c r="BZ129" s="103">
        <v>220660.10118000006</v>
      </c>
      <c r="CA129" s="103">
        <v>527949.7235640001</v>
      </c>
      <c r="CB129" s="103">
        <v>38411.202797999991</v>
      </c>
      <c r="CC129" s="103">
        <v>0</v>
      </c>
      <c r="CD129" s="1">
        <v>1</v>
      </c>
      <c r="CF129" s="277">
        <f>SUMIF(Оборот!$A:$A,$B:$B,Оборот!H:H)</f>
        <v>2792629.6</v>
      </c>
      <c r="CG129" s="277">
        <f>SUMIF(Оборот!$A:$A,$B:$B,Оборот!I:I)</f>
        <v>2781768.1399999997</v>
      </c>
      <c r="CH129" s="277">
        <f t="shared" si="12"/>
        <v>2428843.2327193096</v>
      </c>
      <c r="CI129" s="239">
        <f t="shared" si="16"/>
        <v>156408.1621107721</v>
      </c>
      <c r="CJ129" s="276">
        <f>SUMIF('20Ф'!$H:$H,$B:$B,'20Ф'!M:M)*1.2</f>
        <v>0</v>
      </c>
      <c r="CK129" s="276">
        <f>SUMIF('20Ф'!$H:$H,$B:$B,'20Ф'!O:O)*1.2</f>
        <v>53801.675999999999</v>
      </c>
      <c r="CL129" s="276">
        <f>SUMIF('20Ф'!$H:$H,$B:$B,'20Ф'!Q:Q)*1.2</f>
        <v>0</v>
      </c>
      <c r="CM129" s="276">
        <f>SUMIF('20Ф'!$H:$H,$B:$B,'20Ф'!R:R)*1.2</f>
        <v>0</v>
      </c>
      <c r="CN129" s="276">
        <f>SUMIF('20Ф'!$H:$H,$B:$B,'20Ф'!S:S)*1.2</f>
        <v>0</v>
      </c>
      <c r="CO129" s="276">
        <f>SUMIF('20Ф'!$H:$H,$B:$B,'20Ф'!W:W)*1.2</f>
        <v>0</v>
      </c>
      <c r="CP129" s="276">
        <f>SUMIF('20Ф'!$H:$H,$B:$B,'20Ф'!P:P)*1.2</f>
        <v>0</v>
      </c>
      <c r="CQ129" s="276">
        <f>SUMIF('20Ф'!$H:$H,$B:$B,'20Ф'!Y:Y)*1.2</f>
        <v>0</v>
      </c>
      <c r="CR129" s="276">
        <f>SUMIF('20Ф'!$H:$H,$B:$B,'20Ф'!Z:Z)*1.2</f>
        <v>0</v>
      </c>
      <c r="CS129" s="276">
        <f>SUMIF('20Ф'!$H:$H,$B:$B,'20Ф'!AB:AB)*1.2</f>
        <v>0</v>
      </c>
      <c r="CT129" s="276">
        <f>SUMIF('20Ф'!$H:$H,$B:$B,'20Ф'!AC:AC)*1.2</f>
        <v>0</v>
      </c>
      <c r="CU129" s="276">
        <f>SUMIF('20Ф'!$H:$H,$B:$B,'20Ф'!AD:AD)*1.2</f>
        <v>0</v>
      </c>
      <c r="CV129" s="276">
        <f>SUMIF('20Ф'!$H:$H,$B:$B,'20Ф'!AE:AE)*1.2</f>
        <v>0</v>
      </c>
      <c r="CW129" s="276">
        <f>SUMIF('20Ф'!$H:$H,$B:$B,'20Ф'!AF:AF)*1.2</f>
        <v>0</v>
      </c>
      <c r="CX129" s="276">
        <f>SUMIF('20Ф'!$H:$H,$B:$B,'20Ф'!AG:AG)*1.2</f>
        <v>0</v>
      </c>
      <c r="CY129" s="276">
        <f>SUMIF('20Ф'!$H:$H,$B:$B,'20Ф'!AH:AH)*1.2</f>
        <v>0</v>
      </c>
      <c r="CZ129" s="276">
        <f>SUMIF('20Ф'!$H:$H,$B:$B,'20Ф'!AI:AI)*1.2</f>
        <v>0</v>
      </c>
      <c r="DA129" s="276">
        <f>SUMIF('20Ф'!$H:$H,$B:$B,'20Ф'!AJ:AJ)*1.2</f>
        <v>48682.464</v>
      </c>
      <c r="DB129" s="276">
        <f>SUMIF('20Ф'!$H:$H,$B:$B,'20Ф'!AK:AK)*1.2</f>
        <v>0</v>
      </c>
      <c r="DC129" s="276">
        <f>SUMIF('20Ф'!$H:$H,$B:$B,'20Ф'!AL:AL)*1.2</f>
        <v>0</v>
      </c>
      <c r="DD129" s="276">
        <f>SUMIF('20Ф'!$H:$H,$B:$B,'20Ф'!AM:AM)*1.2</f>
        <v>0</v>
      </c>
      <c r="DE129" s="276">
        <f>SUMIF('20Ф'!$H:$H,$B:$B,'20Ф'!AN:AN)*1.2</f>
        <v>0</v>
      </c>
      <c r="DF129" s="276">
        <f>SUMIF('20Ф'!$H:$H,$B:$B,'20Ф'!AO:AO)*1.2</f>
        <v>0</v>
      </c>
      <c r="DG129" s="276">
        <f>SUMIF('20Ф'!$H:$H,$B:$B,'20Ф'!AP:AP)*1.2</f>
        <v>0</v>
      </c>
      <c r="DH129" s="276">
        <f>SUMIF('20Ф'!$H:$H,$B:$B,'20Ф'!AQ:AQ)*1.2</f>
        <v>0</v>
      </c>
      <c r="DI129" s="276">
        <f>SUMIF('20Ф'!$H:$H,$B:$B,'20Ф'!BA:BA)*1.2</f>
        <v>0</v>
      </c>
      <c r="DJ129" s="276">
        <f>SUMIF('20Ф'!$H:$H,$B:$B,'20Ф'!BB:BB)*1.2</f>
        <v>0</v>
      </c>
      <c r="DK129" s="276">
        <f>SUMIF('20Ф'!$H:$H,$B:$B,'20Ф'!BC:BC)*1.2</f>
        <v>0</v>
      </c>
      <c r="DL129" s="276">
        <f>$D129/$D$281*'20Ф'!$H$218</f>
        <v>53924.022110772101</v>
      </c>
      <c r="DM129" s="240">
        <f t="shared" si="13"/>
        <v>680744.80970613949</v>
      </c>
      <c r="DN129" s="276">
        <f>SUMIF('20Ф'!$H:$H,$B:$B,'20Ф'!AV:AV)*1.2</f>
        <v>0</v>
      </c>
      <c r="DO129" s="276">
        <f>SUMIF('20Ф'!$H:$H,$B:$B,'20Ф'!AW:AW)*1.2+$D129/$D$281*'26Ф'!$D$42</f>
        <v>28695.573237395376</v>
      </c>
      <c r="DP129" s="276">
        <f>SUMIF('20Ф'!$H:$H,$B:$B,'20Ф'!AX:AX)*1.2</f>
        <v>0</v>
      </c>
      <c r="DQ129" s="276">
        <f>SUMIF('20Ф'!$H:$H,$B:$B,'20Ф'!AY:AY)*1.2</f>
        <v>0</v>
      </c>
      <c r="DR129" s="276">
        <f>SUMIF('20Ф'!$H:$H,$B:$B,'20Ф'!AU:AU)*1.2</f>
        <v>0</v>
      </c>
      <c r="DS129" s="276">
        <f>SUMIF('20Ф'!$H:$H,$B:$B,'20Ф'!AS:AS)*1.2</f>
        <v>145863.94799999997</v>
      </c>
      <c r="DT129" s="276">
        <f>SUMIF('20Ф'!$H:$H,$B:$B,'20Ф'!AR:AR)*1.2</f>
        <v>0</v>
      </c>
      <c r="DU129" s="276">
        <f>SUMIF('20Ф'!$H:$H,$B:$B,'20Ф'!X:X)*1.2</f>
        <v>0</v>
      </c>
      <c r="DV129" s="276">
        <f>SUMIF('20Ф'!$H:$H,$B:$B,'20Ф'!AA:AA)*1.2</f>
        <v>0</v>
      </c>
      <c r="DW129" s="276">
        <f>SUMIF('20Ф'!$H:$H,$B:$B,'20Ф'!N:N)*1.2</f>
        <v>0</v>
      </c>
      <c r="DX129" s="276">
        <f>$D129/$D$281*('25Ф'!$D$37)</f>
        <v>482336.68728606269</v>
      </c>
      <c r="DY129" s="276">
        <f>$D129/$D$281*'25Ф'!$D$30</f>
        <v>15394.672916954803</v>
      </c>
      <c r="DZ129" s="276">
        <f>$D129/$D$281*'25Ф'!$D$31</f>
        <v>8453.9282657265303</v>
      </c>
      <c r="EA129" s="276"/>
      <c r="EB129" s="276">
        <f t="shared" si="14"/>
        <v>303879.6832928572</v>
      </c>
      <c r="EC129" s="276">
        <f>$D129/$D$281*'26Ф'!$D$36</f>
        <v>158179.1615266102</v>
      </c>
      <c r="ED129" s="276">
        <f>$D129/$D$281*'26Ф'!$D$37</f>
        <v>19005.057318784311</v>
      </c>
      <c r="EE129" s="276">
        <f>$D129/$D$281*'26Ф'!$D$38</f>
        <v>19199.972882825186</v>
      </c>
      <c r="EF129" s="276">
        <f>$D129/$D$281*'26Ф'!$D$39</f>
        <v>13468.76345393991</v>
      </c>
      <c r="EG129" s="276">
        <f>$D129/$D$281*'91Ф'!$D$10</f>
        <v>4155.107923956838</v>
      </c>
      <c r="EH129" s="276">
        <f>$D129/$D$281*('20Ф'!$I$509+'26Ф'!$D$41+'20Ф'!$I$507)</f>
        <v>29396.020349719784</v>
      </c>
      <c r="EI129" s="276">
        <f>$D129/$D$281*'91Ф'!$D$31</f>
        <v>53887.222979708953</v>
      </c>
      <c r="EJ129" s="276">
        <f>$D129/$D$281*'20Ф'!$I$1316</f>
        <v>6588.3768573119905</v>
      </c>
      <c r="EK129" s="276">
        <f>$D129/$D$281*('20Ф'!$I$1105+'20Ф'!$I$1282+'91Ф'!$D$17+'91Ф'!$D$41)</f>
        <v>216369.63610575802</v>
      </c>
      <c r="EL129" s="276">
        <f>$D129/$D$281*отчёт!BX$294</f>
        <v>361704.04398001451</v>
      </c>
      <c r="EM129" s="276">
        <f>$D129/$D$281*отчёт!BY$294</f>
        <v>318099.29111634882</v>
      </c>
      <c r="EN129" s="276">
        <f>$D129/$D$283*отчёт!BZ$294</f>
        <v>57088.879159526703</v>
      </c>
      <c r="EO129" s="240">
        <f>SUBTOTAL(9,EP129:ER129)</f>
        <v>184969.78550099797</v>
      </c>
      <c r="EP129" s="276">
        <f>SUMIF('20Ф'!$H:$H,$B:$B,'20Ф'!T:T)*1.2</f>
        <v>7106.3759999999993</v>
      </c>
      <c r="EQ129" s="276">
        <f>SUM(H129:I129)/SUM($H$284:$I$284)*SUM('60Ф'!$O$155:$P$155)</f>
        <v>172510.26175648702</v>
      </c>
      <c r="ER129" s="276">
        <f>SUM($H129:$I129)/SUM($H$284:$I$284)*SUM('60Ф'!$P$227)</f>
        <v>5353.1477445109776</v>
      </c>
      <c r="ES129" s="239">
        <f t="shared" si="17"/>
        <v>121062.48128096283</v>
      </c>
      <c r="ET129" s="276">
        <f>$D129/$D$282*'20Ф'!$I$381</f>
        <v>9252.921437031302</v>
      </c>
      <c r="EU129" s="276">
        <f>$D129/$D$282*('20Ф'!$I$75+'20Ф'!$I$1098)*1.2</f>
        <v>106875.35022313538</v>
      </c>
      <c r="EV129" s="276">
        <f>$D129/$D$282*('20Ф'!$I$1286)</f>
        <v>4934.2096207961604</v>
      </c>
      <c r="EW129" s="276">
        <f>SUMIF('91.1Ф'!$N:$N,$B:$B,'91.1Ф'!$F:$F)+$D129/$D$281*('91Ф'!$D$12+'91Ф'!$D$11+'91Ф'!$D$19+'91Ф'!$D$20)</f>
        <v>28516.460465931981</v>
      </c>
      <c r="EX129" s="276">
        <f t="shared" si="15"/>
        <v>0</v>
      </c>
      <c r="EY129" s="276">
        <f>SUMIF('20Ф'!$H:$H,$B:$B,'20Ф'!$AY:$AY)*1.2</f>
        <v>0</v>
      </c>
      <c r="EZ129" s="236"/>
      <c r="FA129" s="277">
        <f>SUMIF(отчёт!$B:$B,$B:$B,отчёт!$CU:$CU)/отчёт!$CU$281*'20Ф'!$I$1341</f>
        <v>920.96385542168503</v>
      </c>
      <c r="FB129" s="276">
        <f>SUMIF(Сальдо!$A:$A,$B:$B,Сальдо!$H:$H)-SUMIF(Сальдо!$A:$A,$B:$B,Сальдо!$I:$I)</f>
        <v>199303.47999999998</v>
      </c>
    </row>
    <row r="130" spans="1:158" ht="12" customHeight="1" x14ac:dyDescent="0.25">
      <c r="A130" s="3">
        <f t="shared" si="18"/>
        <v>126</v>
      </c>
      <c r="B130" s="4" t="s">
        <v>175</v>
      </c>
      <c r="C130" s="4" t="s">
        <v>175</v>
      </c>
      <c r="D130" s="5">
        <v>3498.95</v>
      </c>
      <c r="E130" s="6">
        <v>3498.95</v>
      </c>
      <c r="F130" s="6">
        <v>0</v>
      </c>
      <c r="G130" s="6">
        <v>384</v>
      </c>
      <c r="H130" s="5">
        <f>SUMIF(отчёт!$B:$B,$B:$B,отчёт!I:I)</f>
        <v>0</v>
      </c>
      <c r="I130" s="5">
        <f>SUMIF(отчёт!$B:$B,$B:$B,отчёт!J:J)</f>
        <v>0</v>
      </c>
      <c r="J130" s="3" t="s">
        <v>114</v>
      </c>
      <c r="K130" s="105">
        <v>7</v>
      </c>
      <c r="L130" s="105" t="s">
        <v>52</v>
      </c>
      <c r="M130" s="7">
        <v>31</v>
      </c>
      <c r="N130" s="8">
        <v>5.0999999999999996</v>
      </c>
      <c r="O130" s="8">
        <v>6.59</v>
      </c>
      <c r="P130" s="8">
        <v>8.98</v>
      </c>
      <c r="Q130" s="8">
        <v>6.92</v>
      </c>
      <c r="R130" s="8">
        <v>3.15</v>
      </c>
      <c r="S130" s="8">
        <v>0</v>
      </c>
      <c r="T130" s="8">
        <v>0</v>
      </c>
      <c r="U130" s="8">
        <v>0.26</v>
      </c>
      <c r="V130" s="9">
        <v>40</v>
      </c>
      <c r="W130" s="9">
        <v>40</v>
      </c>
      <c r="X130" s="9">
        <v>2604.04</v>
      </c>
      <c r="Y130" s="8">
        <v>195.98199600000001</v>
      </c>
      <c r="Z130" s="9">
        <v>42.3</v>
      </c>
      <c r="AA130" s="9">
        <v>2604.04</v>
      </c>
      <c r="AB130" s="8">
        <v>7.85</v>
      </c>
      <c r="AC130" s="10">
        <v>0</v>
      </c>
      <c r="AD130" s="8">
        <v>6.73</v>
      </c>
      <c r="AE130" s="8">
        <v>10.67</v>
      </c>
      <c r="AF130" s="8">
        <v>14</v>
      </c>
      <c r="AG130" s="7">
        <v>650804.69999999995</v>
      </c>
      <c r="AH130" s="8">
        <v>107067.86999999998</v>
      </c>
      <c r="AI130" s="8">
        <v>138348.48300000001</v>
      </c>
      <c r="AJ130" s="8">
        <v>188523.42600000001</v>
      </c>
      <c r="AK130" s="8">
        <v>145276.40399999998</v>
      </c>
      <c r="AL130" s="8">
        <v>66130.154999999999</v>
      </c>
      <c r="AM130" s="8">
        <v>0</v>
      </c>
      <c r="AN130" s="8">
        <v>0</v>
      </c>
      <c r="AO130" s="8">
        <v>5458.3620000000001</v>
      </c>
      <c r="AQ130" s="104">
        <v>33.17</v>
      </c>
      <c r="AR130" s="375">
        <v>13.89</v>
      </c>
      <c r="AS130" s="376"/>
      <c r="AT130" s="104">
        <v>5.9</v>
      </c>
      <c r="AU130" s="104">
        <v>1.53</v>
      </c>
      <c r="AV130" s="104">
        <v>0.32</v>
      </c>
      <c r="AW130" s="104">
        <v>0.6</v>
      </c>
      <c r="AX130" s="104">
        <v>5.01</v>
      </c>
      <c r="AY130" s="104">
        <v>4.99</v>
      </c>
      <c r="AZ130" s="104">
        <v>0</v>
      </c>
      <c r="BA130" s="104">
        <v>0</v>
      </c>
      <c r="BB130" s="104">
        <v>0</v>
      </c>
      <c r="BC130" s="101">
        <v>0.93</v>
      </c>
      <c r="BD130" s="104">
        <v>37.581610000000005</v>
      </c>
      <c r="BE130" s="375">
        <v>15.737370000000004</v>
      </c>
      <c r="BF130" s="376">
        <v>0</v>
      </c>
      <c r="BG130" s="104">
        <v>6.6847000000000012</v>
      </c>
      <c r="BH130" s="104">
        <v>1.7334900000000002</v>
      </c>
      <c r="BI130" s="104">
        <v>0.36256000000000005</v>
      </c>
      <c r="BJ130" s="104">
        <v>0.67980000000000007</v>
      </c>
      <c r="BK130" s="104">
        <v>5.6763300000000001</v>
      </c>
      <c r="BL130" s="104">
        <v>5.65367</v>
      </c>
      <c r="BM130" s="104">
        <v>0</v>
      </c>
      <c r="BN130" s="104">
        <v>0</v>
      </c>
      <c r="BO130" s="104">
        <v>0</v>
      </c>
      <c r="BP130" s="101">
        <v>1.0536900000000002</v>
      </c>
      <c r="BQ130" s="103">
        <v>1547082.0860949999</v>
      </c>
      <c r="BR130" s="371">
        <v>647843.53861500008</v>
      </c>
      <c r="BS130" s="371">
        <v>0</v>
      </c>
      <c r="BT130" s="103">
        <v>275181.92064999999</v>
      </c>
      <c r="BU130" s="103">
        <v>71360.735354999997</v>
      </c>
      <c r="BV130" s="103">
        <v>14925.12112</v>
      </c>
      <c r="BW130" s="103">
        <v>27984.602100000004</v>
      </c>
      <c r="BX130" s="103">
        <v>233671.42753499997</v>
      </c>
      <c r="BY130" s="103">
        <v>232738.60746499998</v>
      </c>
      <c r="BZ130" s="103">
        <v>0</v>
      </c>
      <c r="CA130" s="103">
        <v>0</v>
      </c>
      <c r="CB130" s="103">
        <v>0</v>
      </c>
      <c r="CC130" s="103">
        <v>43376.133255000008</v>
      </c>
      <c r="CD130" s="1">
        <v>1</v>
      </c>
      <c r="CF130" s="277">
        <f>SUMIF(Оборот!$A:$A,$B:$B,Оборот!H:H)</f>
        <v>1332056.6400000001</v>
      </c>
      <c r="CG130" s="277">
        <f>SUMIF(Оборот!$A:$A,$B:$B,Оборот!I:I)</f>
        <v>1299392.3599999999</v>
      </c>
      <c r="CH130" s="277">
        <f t="shared" si="12"/>
        <v>1382838.6488716886</v>
      </c>
      <c r="CI130" s="239">
        <f t="shared" si="16"/>
        <v>30774.436903151862</v>
      </c>
      <c r="CJ130" s="276">
        <f>SUMIF('20Ф'!$H:$H,$B:$B,'20Ф'!M:M)*1.2</f>
        <v>0</v>
      </c>
      <c r="CK130" s="276">
        <f>SUMIF('20Ф'!$H:$H,$B:$B,'20Ф'!O:O)*1.2</f>
        <v>0</v>
      </c>
      <c r="CL130" s="276">
        <f>SUMIF('20Ф'!$H:$H,$B:$B,'20Ф'!Q:Q)*1.2</f>
        <v>0</v>
      </c>
      <c r="CM130" s="276">
        <f>SUMIF('20Ф'!$H:$H,$B:$B,'20Ф'!R:R)*1.2</f>
        <v>0</v>
      </c>
      <c r="CN130" s="276">
        <f>SUMIF('20Ф'!$H:$H,$B:$B,'20Ф'!S:S)*1.2</f>
        <v>0</v>
      </c>
      <c r="CO130" s="276">
        <f>SUMIF('20Ф'!$H:$H,$B:$B,'20Ф'!W:W)*1.2</f>
        <v>0</v>
      </c>
      <c r="CP130" s="276">
        <f>SUMIF('20Ф'!$H:$H,$B:$B,'20Ф'!P:P)*1.2</f>
        <v>0</v>
      </c>
      <c r="CQ130" s="276">
        <f>SUMIF('20Ф'!$H:$H,$B:$B,'20Ф'!Y:Y)*1.2</f>
        <v>0</v>
      </c>
      <c r="CR130" s="276">
        <f>SUMIF('20Ф'!$H:$H,$B:$B,'20Ф'!Z:Z)*1.2</f>
        <v>0</v>
      </c>
      <c r="CS130" s="276">
        <f>SUMIF('20Ф'!$H:$H,$B:$B,'20Ф'!AB:AB)*1.2</f>
        <v>0</v>
      </c>
      <c r="CT130" s="276">
        <f>SUMIF('20Ф'!$H:$H,$B:$B,'20Ф'!AC:AC)*1.2</f>
        <v>0</v>
      </c>
      <c r="CU130" s="276">
        <f>SUMIF('20Ф'!$H:$H,$B:$B,'20Ф'!AD:AD)*1.2</f>
        <v>0</v>
      </c>
      <c r="CV130" s="276">
        <f>SUMIF('20Ф'!$H:$H,$B:$B,'20Ф'!AE:AE)*1.2</f>
        <v>0</v>
      </c>
      <c r="CW130" s="276">
        <f>SUMIF('20Ф'!$H:$H,$B:$B,'20Ф'!AF:AF)*1.2</f>
        <v>0</v>
      </c>
      <c r="CX130" s="276">
        <f>SUMIF('20Ф'!$H:$H,$B:$B,'20Ф'!AG:AG)*1.2</f>
        <v>0</v>
      </c>
      <c r="CY130" s="276">
        <f>SUMIF('20Ф'!$H:$H,$B:$B,'20Ф'!AH:AH)*1.2</f>
        <v>0</v>
      </c>
      <c r="CZ130" s="276">
        <f>SUMIF('20Ф'!$H:$H,$B:$B,'20Ф'!AI:AI)*1.2</f>
        <v>0</v>
      </c>
      <c r="DA130" s="276">
        <f>SUMIF('20Ф'!$H:$H,$B:$B,'20Ф'!AJ:AJ)*1.2</f>
        <v>0</v>
      </c>
      <c r="DB130" s="276">
        <f>SUMIF('20Ф'!$H:$H,$B:$B,'20Ф'!AK:AK)*1.2</f>
        <v>0</v>
      </c>
      <c r="DC130" s="276">
        <f>SUMIF('20Ф'!$H:$H,$B:$B,'20Ф'!AL:AL)*1.2</f>
        <v>0</v>
      </c>
      <c r="DD130" s="276">
        <f>SUMIF('20Ф'!$H:$H,$B:$B,'20Ф'!AM:AM)*1.2</f>
        <v>0</v>
      </c>
      <c r="DE130" s="276">
        <f>SUMIF('20Ф'!$H:$H,$B:$B,'20Ф'!AN:AN)*1.2</f>
        <v>0</v>
      </c>
      <c r="DF130" s="276">
        <f>SUMIF('20Ф'!$H:$H,$B:$B,'20Ф'!AO:AO)*1.2</f>
        <v>0</v>
      </c>
      <c r="DG130" s="276">
        <f>SUMIF('20Ф'!$H:$H,$B:$B,'20Ф'!AP:AP)*1.2</f>
        <v>0</v>
      </c>
      <c r="DH130" s="276">
        <f>SUMIF('20Ф'!$H:$H,$B:$B,'20Ф'!AQ:AQ)*1.2</f>
        <v>0</v>
      </c>
      <c r="DI130" s="276">
        <f>SUMIF('20Ф'!$H:$H,$B:$B,'20Ф'!BA:BA)*1.2</f>
        <v>0</v>
      </c>
      <c r="DJ130" s="276">
        <f>SUMIF('20Ф'!$H:$H,$B:$B,'20Ф'!BB:BB)*1.2</f>
        <v>0</v>
      </c>
      <c r="DK130" s="276">
        <f>SUMIF('20Ф'!$H:$H,$B:$B,'20Ф'!BC:BC)*1.2</f>
        <v>0</v>
      </c>
      <c r="DL130" s="276">
        <f>$D130/$D$281*'20Ф'!$H$218</f>
        <v>30774.436903151862</v>
      </c>
      <c r="DM130" s="240">
        <f t="shared" si="13"/>
        <v>534007.34682439291</v>
      </c>
      <c r="DN130" s="276">
        <f>SUMIF('20Ф'!$H:$H,$B:$B,'20Ф'!AV:AV)*1.2</f>
        <v>0</v>
      </c>
      <c r="DO130" s="276">
        <f>SUMIF('20Ф'!$H:$H,$B:$B,'20Ф'!AW:AW)*1.2+$D130/$D$281*'26Ф'!$D$42</f>
        <v>16376.562307980867</v>
      </c>
      <c r="DP130" s="276">
        <f>SUMIF('20Ф'!$H:$H,$B:$B,'20Ф'!AX:AX)*1.2</f>
        <v>0</v>
      </c>
      <c r="DQ130" s="276">
        <f>SUMIF('20Ф'!$H:$H,$B:$B,'20Ф'!AY:AY)*1.2</f>
        <v>45354</v>
      </c>
      <c r="DR130" s="276">
        <f>SUMIF('20Ф'!$H:$H,$B:$B,'20Ф'!AU:AU)*1.2</f>
        <v>0</v>
      </c>
      <c r="DS130" s="276">
        <f>SUMIF('20Ф'!$H:$H,$B:$B,'20Ф'!AS:AS)*1.2</f>
        <v>62228.603999999992</v>
      </c>
      <c r="DT130" s="276">
        <f>SUMIF('20Ф'!$H:$H,$B:$B,'20Ф'!AR:AR)*1.2</f>
        <v>0</v>
      </c>
      <c r="DU130" s="276">
        <f>SUMIF('20Ф'!$H:$H,$B:$B,'20Ф'!X:X)*1.2</f>
        <v>121168.26</v>
      </c>
      <c r="DV130" s="276">
        <f>SUMIF('20Ф'!$H:$H,$B:$B,'20Ф'!AA:AA)*1.2</f>
        <v>0</v>
      </c>
      <c r="DW130" s="276">
        <f>SUMIF('20Ф'!$H:$H,$B:$B,'20Ф'!N:N)*1.2</f>
        <v>0</v>
      </c>
      <c r="DX130" s="276">
        <f>$D130/$D$281*('25Ф'!$D$37)</f>
        <v>275269.52493395325</v>
      </c>
      <c r="DY130" s="276">
        <f>$D130/$D$281*'25Ф'!$D$30</f>
        <v>8785.739115570268</v>
      </c>
      <c r="DZ130" s="276">
        <f>$D130/$D$281*'25Ф'!$D$31</f>
        <v>4824.6564668884648</v>
      </c>
      <c r="EA130" s="276"/>
      <c r="EB130" s="276">
        <f t="shared" si="14"/>
        <v>173424.12107975272</v>
      </c>
      <c r="EC130" s="276">
        <f>$D130/$D$281*'26Ф'!$D$36</f>
        <v>90272.840104442148</v>
      </c>
      <c r="ED130" s="276">
        <f>$D130/$D$281*'26Ф'!$D$37</f>
        <v>10846.18532527595</v>
      </c>
      <c r="EE130" s="276">
        <f>$D130/$D$281*'26Ф'!$D$38</f>
        <v>10957.423628581591</v>
      </c>
      <c r="EF130" s="276">
        <f>$D130/$D$281*'26Ф'!$D$39</f>
        <v>7686.6226748681347</v>
      </c>
      <c r="EG130" s="276">
        <f>$D130/$D$281*'91Ф'!$D$10</f>
        <v>2371.3198983733064</v>
      </c>
      <c r="EH130" s="276">
        <f>$D130/$D$281*('20Ф'!$I$509+'26Ф'!$D$41+'20Ф'!$I$507)</f>
        <v>16776.307442309713</v>
      </c>
      <c r="EI130" s="276">
        <f>$D130/$D$281*'91Ф'!$D$31</f>
        <v>30753.435640770742</v>
      </c>
      <c r="EJ130" s="276">
        <f>$D130/$D$281*'20Ф'!$I$1316</f>
        <v>3759.9863651311507</v>
      </c>
      <c r="EK130" s="276">
        <f>$D130/$D$281*('20Ф'!$I$1105+'20Ф'!$I$1282+'91Ф'!$D$17+'91Ф'!$D$41)</f>
        <v>123482.14123227312</v>
      </c>
      <c r="EL130" s="276">
        <f>$D130/$D$281*отчёт!BX$294</f>
        <v>206424.48102650334</v>
      </c>
      <c r="EM130" s="276">
        <f>$D130/$D$281*отчёт!BY$294</f>
        <v>181539.25060129838</v>
      </c>
      <c r="EN130" s="276">
        <f>SUMIF(отчёт!$B:$B,$B:$B,отчёт!BZ:BZ)/отчёт!BZ$281*('60Ф'!$O$151+'60Ф'!$P$151)*отчёт!BZ$293</f>
        <v>0</v>
      </c>
      <c r="EO130" s="240">
        <f t="shared" si="19"/>
        <v>0</v>
      </c>
      <c r="EP130" s="276">
        <f>SUMIF('20Ф'!$H:$H,$B:$B,'20Ф'!T:T)*1.2</f>
        <v>0</v>
      </c>
      <c r="EQ130" s="276">
        <f>SUMIF('20Ф'!$H:$H,$B:$B,'20Ф'!U:U)*1.2</f>
        <v>0</v>
      </c>
      <c r="ER130" s="236"/>
      <c r="ES130" s="239">
        <f t="shared" si="17"/>
        <v>69090.352419682473</v>
      </c>
      <c r="ET130" s="276">
        <f>$D130/$D$282*'20Ф'!$I$381</f>
        <v>5280.6418324803981</v>
      </c>
      <c r="EU130" s="276">
        <f>$D130/$D$282*('20Ф'!$I$75+'20Ф'!$I$1098)*1.2</f>
        <v>60993.757386786368</v>
      </c>
      <c r="EV130" s="276">
        <f>$D130/$D$282*('20Ф'!$I$1286)</f>
        <v>2815.9532004157127</v>
      </c>
      <c r="EW130" s="276">
        <f>SUMIF('91.1Ф'!$N:$N,$B:$B,'91.1Ф'!$F:$F)+$D130/$D$281*('91Ф'!$D$12+'91Ф'!$D$11+'91Ф'!$D$19+'91Ф'!$D$20)</f>
        <v>16274.342657662019</v>
      </c>
      <c r="EX130" s="276">
        <f t="shared" si="15"/>
        <v>47822.176126971855</v>
      </c>
      <c r="EY130" s="276">
        <f>SUMIF('20Ф'!$H:$H,$B:$B,'20Ф'!$AY:$AY)*1.2</f>
        <v>45354</v>
      </c>
      <c r="EZ130" s="295">
        <f>D130/$D$286*'20Ф'!$I$1163</f>
        <v>2468.176126971855</v>
      </c>
      <c r="FA130" s="277">
        <f>SUMIF(отчёт!$B:$B,$B:$B,отчёт!$CU:$CU)/отчёт!$CU$281*'20Ф'!$I$1341</f>
        <v>0</v>
      </c>
      <c r="FB130" s="276">
        <f>SUMIF(Сальдо!$A:$A,$B:$B,Сальдо!$H:$H)-SUMIF(Сальдо!$A:$A,$B:$B,Сальдо!$I:$I)</f>
        <v>600890.71000000008</v>
      </c>
    </row>
    <row r="131" spans="1:158" ht="12" customHeight="1" x14ac:dyDescent="0.25">
      <c r="A131" s="3">
        <f t="shared" si="18"/>
        <v>127</v>
      </c>
      <c r="B131" s="4" t="s">
        <v>176</v>
      </c>
      <c r="C131" s="4" t="s">
        <v>176</v>
      </c>
      <c r="D131" s="5">
        <v>3162.6</v>
      </c>
      <c r="E131" s="6">
        <v>3162.6</v>
      </c>
      <c r="F131" s="6">
        <v>0</v>
      </c>
      <c r="G131" s="6">
        <v>297.60000000000002</v>
      </c>
      <c r="H131" s="5">
        <f>SUMIF(отчёт!$B:$B,$B:$B,отчёт!I:I)</f>
        <v>0</v>
      </c>
      <c r="I131" s="5">
        <f>SUMIF(отчёт!$B:$B,$B:$B,отчёт!J:J)</f>
        <v>0</v>
      </c>
      <c r="J131" s="3" t="s">
        <v>114</v>
      </c>
      <c r="K131" s="105">
        <v>7</v>
      </c>
      <c r="L131" s="105" t="s">
        <v>52</v>
      </c>
      <c r="M131" s="7">
        <v>31</v>
      </c>
      <c r="N131" s="8">
        <v>5.0999999999999996</v>
      </c>
      <c r="O131" s="8">
        <v>6.59</v>
      </c>
      <c r="P131" s="8">
        <v>8.98</v>
      </c>
      <c r="Q131" s="8">
        <v>6.92</v>
      </c>
      <c r="R131" s="8">
        <v>3.15</v>
      </c>
      <c r="S131" s="8">
        <v>0</v>
      </c>
      <c r="T131" s="8">
        <v>0</v>
      </c>
      <c r="U131" s="8">
        <v>0.26</v>
      </c>
      <c r="V131" s="9">
        <v>40</v>
      </c>
      <c r="W131" s="9">
        <v>40</v>
      </c>
      <c r="X131" s="9">
        <v>2604.04</v>
      </c>
      <c r="Y131" s="8">
        <v>195.98199600000001</v>
      </c>
      <c r="Z131" s="9">
        <v>42.3</v>
      </c>
      <c r="AA131" s="9">
        <v>2604.04</v>
      </c>
      <c r="AB131" s="8">
        <v>7.85</v>
      </c>
      <c r="AC131" s="10">
        <v>0</v>
      </c>
      <c r="AD131" s="8">
        <v>6.73</v>
      </c>
      <c r="AE131" s="8">
        <v>10.67</v>
      </c>
      <c r="AF131" s="8">
        <v>14</v>
      </c>
      <c r="AG131" s="7">
        <v>588243.6</v>
      </c>
      <c r="AH131" s="8">
        <v>96775.56</v>
      </c>
      <c r="AI131" s="8">
        <v>125049.204</v>
      </c>
      <c r="AJ131" s="8">
        <v>170400.88800000001</v>
      </c>
      <c r="AK131" s="8">
        <v>131311.152</v>
      </c>
      <c r="AL131" s="8">
        <v>59773.139999999992</v>
      </c>
      <c r="AM131" s="8">
        <v>0</v>
      </c>
      <c r="AN131" s="8">
        <v>0</v>
      </c>
      <c r="AO131" s="8">
        <v>4933.6559999999999</v>
      </c>
      <c r="AQ131" s="104">
        <v>33.17</v>
      </c>
      <c r="AR131" s="375">
        <v>13.89</v>
      </c>
      <c r="AS131" s="376"/>
      <c r="AT131" s="104">
        <v>5.9</v>
      </c>
      <c r="AU131" s="104">
        <v>1.53</v>
      </c>
      <c r="AV131" s="104">
        <v>0.32</v>
      </c>
      <c r="AW131" s="104">
        <v>0.6</v>
      </c>
      <c r="AX131" s="104">
        <v>5.01</v>
      </c>
      <c r="AY131" s="104">
        <v>4.99</v>
      </c>
      <c r="AZ131" s="104">
        <v>0</v>
      </c>
      <c r="BA131" s="104">
        <v>0</v>
      </c>
      <c r="BB131" s="104">
        <v>0</v>
      </c>
      <c r="BC131" s="101">
        <v>0.93</v>
      </c>
      <c r="BD131" s="104">
        <v>37.581610000000005</v>
      </c>
      <c r="BE131" s="375">
        <v>15.737370000000004</v>
      </c>
      <c r="BF131" s="376">
        <v>0</v>
      </c>
      <c r="BG131" s="104">
        <v>6.6847000000000012</v>
      </c>
      <c r="BH131" s="104">
        <v>1.7334900000000002</v>
      </c>
      <c r="BI131" s="104">
        <v>0.36256000000000005</v>
      </c>
      <c r="BJ131" s="104">
        <v>0.67980000000000007</v>
      </c>
      <c r="BK131" s="104">
        <v>5.6763300000000001</v>
      </c>
      <c r="BL131" s="104">
        <v>5.65367</v>
      </c>
      <c r="BM131" s="104">
        <v>0</v>
      </c>
      <c r="BN131" s="104">
        <v>0</v>
      </c>
      <c r="BO131" s="104">
        <v>0</v>
      </c>
      <c r="BP131" s="101">
        <v>1.0536900000000002</v>
      </c>
      <c r="BQ131" s="103">
        <v>1398362.8818600001</v>
      </c>
      <c r="BR131" s="371">
        <v>585567.09162000008</v>
      </c>
      <c r="BS131" s="371">
        <v>0</v>
      </c>
      <c r="BT131" s="103">
        <v>248729.00220000002</v>
      </c>
      <c r="BU131" s="103">
        <v>64500.910739999999</v>
      </c>
      <c r="BV131" s="103">
        <v>13490.386559999999</v>
      </c>
      <c r="BW131" s="103">
        <v>25294.474800000004</v>
      </c>
      <c r="BX131" s="103">
        <v>211208.86457999999</v>
      </c>
      <c r="BY131" s="103">
        <v>210365.71541999999</v>
      </c>
      <c r="BZ131" s="103">
        <v>0</v>
      </c>
      <c r="CA131" s="103">
        <v>0</v>
      </c>
      <c r="CB131" s="103">
        <v>0</v>
      </c>
      <c r="CC131" s="103">
        <v>39206.435940000003</v>
      </c>
      <c r="CD131" s="1">
        <v>1</v>
      </c>
      <c r="CF131" s="277">
        <f>SUMIF(Оборот!$A:$A,$B:$B,Оборот!H:H)</f>
        <v>1194716.2999999998</v>
      </c>
      <c r="CG131" s="277">
        <f>SUMIF(Оборот!$A:$A,$B:$B,Оборот!I:I)</f>
        <v>1158879.8700000001</v>
      </c>
      <c r="CH131" s="277">
        <f t="shared" si="12"/>
        <v>1370054.1577581852</v>
      </c>
      <c r="CI131" s="239">
        <f t="shared" si="16"/>
        <v>94235.982023495075</v>
      </c>
      <c r="CJ131" s="276">
        <f>SUMIF('20Ф'!$H:$H,$B:$B,'20Ф'!M:M)*1.2</f>
        <v>0</v>
      </c>
      <c r="CK131" s="276">
        <f>SUMIF('20Ф'!$H:$H,$B:$B,'20Ф'!O:O)*1.2</f>
        <v>0</v>
      </c>
      <c r="CL131" s="276">
        <f>SUMIF('20Ф'!$H:$H,$B:$B,'20Ф'!Q:Q)*1.2</f>
        <v>0</v>
      </c>
      <c r="CM131" s="276">
        <f>SUMIF('20Ф'!$H:$H,$B:$B,'20Ф'!R:R)*1.2</f>
        <v>0</v>
      </c>
      <c r="CN131" s="276">
        <f>SUMIF('20Ф'!$H:$H,$B:$B,'20Ф'!S:S)*1.2</f>
        <v>0</v>
      </c>
      <c r="CO131" s="276">
        <f>SUMIF('20Ф'!$H:$H,$B:$B,'20Ф'!W:W)*1.2</f>
        <v>0</v>
      </c>
      <c r="CP131" s="276">
        <f>SUMIF('20Ф'!$H:$H,$B:$B,'20Ф'!P:P)*1.2</f>
        <v>0</v>
      </c>
      <c r="CQ131" s="276">
        <f>SUMIF('20Ф'!$H:$H,$B:$B,'20Ф'!Y:Y)*1.2</f>
        <v>0</v>
      </c>
      <c r="CR131" s="276">
        <f>SUMIF('20Ф'!$H:$H,$B:$B,'20Ф'!Z:Z)*1.2</f>
        <v>0</v>
      </c>
      <c r="CS131" s="276">
        <f>SUMIF('20Ф'!$H:$H,$B:$B,'20Ф'!AB:AB)*1.2</f>
        <v>0</v>
      </c>
      <c r="CT131" s="276">
        <f>SUMIF('20Ф'!$H:$H,$B:$B,'20Ф'!AC:AC)*1.2</f>
        <v>0</v>
      </c>
      <c r="CU131" s="276">
        <f>SUMIF('20Ф'!$H:$H,$B:$B,'20Ф'!AD:AD)*1.2</f>
        <v>0</v>
      </c>
      <c r="CV131" s="276">
        <f>SUMIF('20Ф'!$H:$H,$B:$B,'20Ф'!AE:AE)*1.2</f>
        <v>0</v>
      </c>
      <c r="CW131" s="276">
        <f>SUMIF('20Ф'!$H:$H,$B:$B,'20Ф'!AF:AF)*1.2</f>
        <v>0</v>
      </c>
      <c r="CX131" s="276">
        <f>SUMIF('20Ф'!$H:$H,$B:$B,'20Ф'!AG:AG)*1.2</f>
        <v>0</v>
      </c>
      <c r="CY131" s="276">
        <f>SUMIF('20Ф'!$H:$H,$B:$B,'20Ф'!AH:AH)*1.2</f>
        <v>0</v>
      </c>
      <c r="CZ131" s="276">
        <f>SUMIF('20Ф'!$H:$H,$B:$B,'20Ф'!AI:AI)*1.2</f>
        <v>0</v>
      </c>
      <c r="DA131" s="276">
        <f>SUMIF('20Ф'!$H:$H,$B:$B,'20Ф'!AJ:AJ)*1.2</f>
        <v>66419.856</v>
      </c>
      <c r="DB131" s="276">
        <f>SUMIF('20Ф'!$H:$H,$B:$B,'20Ф'!AK:AK)*1.2</f>
        <v>0</v>
      </c>
      <c r="DC131" s="276">
        <f>SUMIF('20Ф'!$H:$H,$B:$B,'20Ф'!AL:AL)*1.2</f>
        <v>0</v>
      </c>
      <c r="DD131" s="276">
        <f>SUMIF('20Ф'!$H:$H,$B:$B,'20Ф'!AM:AM)*1.2</f>
        <v>0</v>
      </c>
      <c r="DE131" s="276">
        <f>SUMIF('20Ф'!$H:$H,$B:$B,'20Ф'!AN:AN)*1.2</f>
        <v>0</v>
      </c>
      <c r="DF131" s="276">
        <f>SUMIF('20Ф'!$H:$H,$B:$B,'20Ф'!AO:AO)*1.2</f>
        <v>0</v>
      </c>
      <c r="DG131" s="276">
        <f>SUMIF('20Ф'!$H:$H,$B:$B,'20Ф'!AP:AP)*1.2</f>
        <v>0</v>
      </c>
      <c r="DH131" s="276">
        <f>SUMIF('20Ф'!$H:$H,$B:$B,'20Ф'!AQ:AQ)*1.2</f>
        <v>0</v>
      </c>
      <c r="DI131" s="276">
        <f>SUMIF('20Ф'!$H:$H,$B:$B,'20Ф'!BA:BA)*1.2</f>
        <v>0</v>
      </c>
      <c r="DJ131" s="276">
        <f>SUMIF('20Ф'!$H:$H,$B:$B,'20Ф'!BB:BB)*1.2</f>
        <v>0</v>
      </c>
      <c r="DK131" s="276">
        <f>SUMIF('20Ф'!$H:$H,$B:$B,'20Ф'!BC:BC)*1.2</f>
        <v>0</v>
      </c>
      <c r="DL131" s="276">
        <f>$D131/$D$281*'20Ф'!$H$218</f>
        <v>27816.126023495071</v>
      </c>
      <c r="DM131" s="240">
        <f t="shared" si="13"/>
        <v>532040.33963961317</v>
      </c>
      <c r="DN131" s="276">
        <f>SUMIF('20Ф'!$H:$H,$B:$B,'20Ф'!AV:AV)*1.2</f>
        <v>0</v>
      </c>
      <c r="DO131" s="276">
        <f>SUMIF('20Ф'!$H:$H,$B:$B,'20Ф'!AW:AW)*1.2+$D131/$D$281*'26Ф'!$D$42</f>
        <v>14802.302392209174</v>
      </c>
      <c r="DP131" s="276">
        <f>SUMIF('20Ф'!$H:$H,$B:$B,'20Ф'!AX:AX)*1.2</f>
        <v>0</v>
      </c>
      <c r="DQ131" s="276">
        <f>SUMIF('20Ф'!$H:$H,$B:$B,'20Ф'!AY:AY)*1.2</f>
        <v>45354</v>
      </c>
      <c r="DR131" s="276">
        <f>SUMIF('20Ф'!$H:$H,$B:$B,'20Ф'!AU:AU)*1.2</f>
        <v>0</v>
      </c>
      <c r="DS131" s="276">
        <f>SUMIF('20Ф'!$H:$H,$B:$B,'20Ф'!AS:AS)*1.2</f>
        <v>35701.764000000003</v>
      </c>
      <c r="DT131" s="276">
        <f>SUMIF('20Ф'!$H:$H,$B:$B,'20Ф'!AR:AR)*1.2</f>
        <v>0</v>
      </c>
      <c r="DU131" s="276">
        <f>SUMIF('20Ф'!$H:$H,$B:$B,'20Ф'!X:X)*1.2</f>
        <v>175072.04399999999</v>
      </c>
      <c r="DV131" s="276">
        <f>SUMIF('20Ф'!$H:$H,$B:$B,'20Ф'!AA:AA)*1.2</f>
        <v>0</v>
      </c>
      <c r="DW131" s="276">
        <f>SUMIF('20Ф'!$H:$H,$B:$B,'20Ф'!N:N)*1.2</f>
        <v>0</v>
      </c>
      <c r="DX131" s="276">
        <f>$D131/$D$281*('25Ф'!$D$37)</f>
        <v>248808.18518587592</v>
      </c>
      <c r="DY131" s="276">
        <f>$D131/$D$281*'25Ф'!$D$30</f>
        <v>7941.1762176946022</v>
      </c>
      <c r="DZ131" s="276">
        <f>$D131/$D$281*'25Ф'!$D$31</f>
        <v>4360.8678438335664</v>
      </c>
      <c r="EA131" s="276"/>
      <c r="EB131" s="276">
        <f t="shared" si="14"/>
        <v>156753.06172618241</v>
      </c>
      <c r="EC131" s="276">
        <f>$D131/$D$281*'26Ф'!$D$36</f>
        <v>81595.016823420941</v>
      </c>
      <c r="ED131" s="276">
        <f>$D131/$D$281*'26Ф'!$D$37</f>
        <v>9803.5541261571962</v>
      </c>
      <c r="EE131" s="276">
        <f>$D131/$D$281*'26Ф'!$D$38</f>
        <v>9904.0992205524926</v>
      </c>
      <c r="EF131" s="276">
        <f>$D131/$D$281*'26Ф'!$D$39</f>
        <v>6947.7165639800405</v>
      </c>
      <c r="EG131" s="276">
        <f>$D131/$D$281*'91Ф'!$D$10</f>
        <v>2143.3676704712611</v>
      </c>
      <c r="EH131" s="276">
        <f>$D131/$D$281*('20Ф'!$I$509+'26Ф'!$D$41+'20Ф'!$I$507)</f>
        <v>15163.620491018364</v>
      </c>
      <c r="EI131" s="276">
        <f>$D131/$D$281*'91Ф'!$D$31</f>
        <v>27797.143588076866</v>
      </c>
      <c r="EJ131" s="276">
        <f>$D131/$D$281*'20Ф'!$I$1316</f>
        <v>3398.5432425052595</v>
      </c>
      <c r="EK131" s="276">
        <f>$D131/$D$281*('20Ф'!$I$1105+'20Ф'!$I$1282+'91Ф'!$D$17+'91Ф'!$D$41)</f>
        <v>111611.94640140241</v>
      </c>
      <c r="EL131" s="276">
        <f>$D131/$D$281*отчёт!BX$294</f>
        <v>186581.13539616726</v>
      </c>
      <c r="EM131" s="276">
        <f>$D131/$D$281*отчёт!BY$294</f>
        <v>164088.0932713146</v>
      </c>
      <c r="EN131" s="276">
        <f>SUMIF(отчёт!$B:$B,$B:$B,отчёт!BZ:BZ)/отчёт!BZ$281*('60Ф'!$O$151+'60Ф'!$P$151)*отчёт!BZ$293</f>
        <v>0</v>
      </c>
      <c r="EO131" s="240">
        <f t="shared" si="19"/>
        <v>0</v>
      </c>
      <c r="EP131" s="276">
        <f>SUMIF('20Ф'!$H:$H,$B:$B,'20Ф'!T:T)*1.2</f>
        <v>0</v>
      </c>
      <c r="EQ131" s="276">
        <f>SUMIF('20Ф'!$H:$H,$B:$B,'20Ф'!U:U)*1.2</f>
        <v>0</v>
      </c>
      <c r="ER131" s="236"/>
      <c r="ES131" s="239">
        <f t="shared" si="17"/>
        <v>62448.777079548949</v>
      </c>
      <c r="ET131" s="276">
        <f>$D131/$D$282*'20Ф'!$I$381</f>
        <v>4773.0198657890242</v>
      </c>
      <c r="EU131" s="276">
        <f>$D131/$D$282*('20Ф'!$I$75+'20Ф'!$I$1098)*1.2</f>
        <v>55130.498324197419</v>
      </c>
      <c r="EV131" s="276">
        <f>$D131/$D$282*('20Ф'!$I$1286)</f>
        <v>2545.2588895625067</v>
      </c>
      <c r="EW131" s="276">
        <f>SUMIF('91.1Ф'!$N:$N,$B:$B,'91.1Ф'!$F:$F)+$D131/$D$281*('91Ф'!$D$12+'91Ф'!$D$11+'91Ф'!$D$19+'91Ф'!$D$20)</f>
        <v>14709.908998162848</v>
      </c>
      <c r="EX131" s="276">
        <f t="shared" si="15"/>
        <v>47584.913222298455</v>
      </c>
      <c r="EY131" s="276">
        <f>SUMIF('20Ф'!$H:$H,$B:$B,'20Ф'!$AY:$AY)*1.2</f>
        <v>45354</v>
      </c>
      <c r="EZ131" s="295">
        <f>D131/$D$286*'20Ф'!$I$1163</f>
        <v>2230.9132222984576</v>
      </c>
      <c r="FA131" s="277">
        <f>SUMIF(отчёт!$B:$B,$B:$B,отчёт!$CU:$CU)/отчёт!$CU$281*'20Ф'!$I$1341</f>
        <v>3683.8554216867401</v>
      </c>
      <c r="FB131" s="276">
        <f>SUMIF(Сальдо!$A:$A,$B:$B,Сальдо!$H:$H)-SUMIF(Сальдо!$A:$A,$B:$B,Сальдо!$I:$I)</f>
        <v>596774.28</v>
      </c>
    </row>
    <row r="132" spans="1:158" ht="12" customHeight="1" x14ac:dyDescent="0.25">
      <c r="A132" s="3">
        <f t="shared" si="18"/>
        <v>128</v>
      </c>
      <c r="B132" s="4" t="s">
        <v>177</v>
      </c>
      <c r="C132" s="4" t="s">
        <v>177</v>
      </c>
      <c r="D132" s="5">
        <v>3544.3</v>
      </c>
      <c r="E132" s="6">
        <v>3544.3</v>
      </c>
      <c r="F132" s="6">
        <v>0</v>
      </c>
      <c r="G132" s="6">
        <v>310</v>
      </c>
      <c r="H132" s="5">
        <f>SUMIF(отчёт!$B:$B,$B:$B,отчёт!I:I)</f>
        <v>0</v>
      </c>
      <c r="I132" s="5">
        <f>SUMIF(отчёт!$B:$B,$B:$B,отчёт!J:J)</f>
        <v>0</v>
      </c>
      <c r="J132" s="3" t="s">
        <v>114</v>
      </c>
      <c r="K132" s="105">
        <v>7</v>
      </c>
      <c r="L132" s="105" t="s">
        <v>52</v>
      </c>
      <c r="M132" s="7">
        <v>31</v>
      </c>
      <c r="N132" s="8">
        <v>5.0999999999999996</v>
      </c>
      <c r="O132" s="8">
        <v>6.59</v>
      </c>
      <c r="P132" s="8">
        <v>8.98</v>
      </c>
      <c r="Q132" s="8">
        <v>6.92</v>
      </c>
      <c r="R132" s="8">
        <v>3.15</v>
      </c>
      <c r="S132" s="8">
        <v>0</v>
      </c>
      <c r="T132" s="8">
        <v>0</v>
      </c>
      <c r="U132" s="8">
        <v>0.26</v>
      </c>
      <c r="V132" s="9">
        <v>40</v>
      </c>
      <c r="W132" s="9">
        <v>40</v>
      </c>
      <c r="X132" s="9">
        <v>2604.04</v>
      </c>
      <c r="Y132" s="8">
        <v>195.98199600000001</v>
      </c>
      <c r="Z132" s="9">
        <v>42.3</v>
      </c>
      <c r="AA132" s="9">
        <v>2604.04</v>
      </c>
      <c r="AB132" s="8">
        <v>7.85</v>
      </c>
      <c r="AC132" s="10">
        <v>0</v>
      </c>
      <c r="AD132" s="8">
        <v>6.73</v>
      </c>
      <c r="AE132" s="8">
        <v>10.67</v>
      </c>
      <c r="AF132" s="8">
        <v>14</v>
      </c>
      <c r="AG132" s="7">
        <v>659239.80000000005</v>
      </c>
      <c r="AH132" s="8">
        <v>108455.58</v>
      </c>
      <c r="AI132" s="8">
        <v>140141.622</v>
      </c>
      <c r="AJ132" s="8">
        <v>190966.88400000002</v>
      </c>
      <c r="AK132" s="8">
        <v>147159.33600000001</v>
      </c>
      <c r="AL132" s="8">
        <v>66987.27</v>
      </c>
      <c r="AM132" s="8">
        <v>0</v>
      </c>
      <c r="AN132" s="8">
        <v>0</v>
      </c>
      <c r="AO132" s="8">
        <v>5529.1080000000002</v>
      </c>
      <c r="AQ132" s="104">
        <v>33.17</v>
      </c>
      <c r="AR132" s="375">
        <v>13.89</v>
      </c>
      <c r="AS132" s="376"/>
      <c r="AT132" s="104">
        <v>5.9</v>
      </c>
      <c r="AU132" s="104">
        <v>1.53</v>
      </c>
      <c r="AV132" s="104">
        <v>0.32</v>
      </c>
      <c r="AW132" s="104">
        <v>0.6</v>
      </c>
      <c r="AX132" s="104">
        <v>5.01</v>
      </c>
      <c r="AY132" s="104">
        <v>4.99</v>
      </c>
      <c r="AZ132" s="104">
        <v>0</v>
      </c>
      <c r="BA132" s="104">
        <v>0</v>
      </c>
      <c r="BB132" s="104">
        <v>0</v>
      </c>
      <c r="BC132" s="101">
        <v>0.93</v>
      </c>
      <c r="BD132" s="104">
        <v>37.581610000000005</v>
      </c>
      <c r="BE132" s="375">
        <v>15.737370000000004</v>
      </c>
      <c r="BF132" s="376">
        <v>0</v>
      </c>
      <c r="BG132" s="104">
        <v>6.6847000000000012</v>
      </c>
      <c r="BH132" s="104">
        <v>1.7334900000000002</v>
      </c>
      <c r="BI132" s="104">
        <v>0.36256000000000005</v>
      </c>
      <c r="BJ132" s="104">
        <v>0.67980000000000007</v>
      </c>
      <c r="BK132" s="104">
        <v>5.6763300000000001</v>
      </c>
      <c r="BL132" s="104">
        <v>5.65367</v>
      </c>
      <c r="BM132" s="104">
        <v>0</v>
      </c>
      <c r="BN132" s="104">
        <v>0</v>
      </c>
      <c r="BO132" s="104">
        <v>0</v>
      </c>
      <c r="BP132" s="101">
        <v>1.0536900000000002</v>
      </c>
      <c r="BQ132" s="103">
        <v>1567133.8652300003</v>
      </c>
      <c r="BR132" s="371">
        <v>656240.25891000021</v>
      </c>
      <c r="BS132" s="371">
        <v>0</v>
      </c>
      <c r="BT132" s="103">
        <v>278748.56210000004</v>
      </c>
      <c r="BU132" s="103">
        <v>72285.644070000009</v>
      </c>
      <c r="BV132" s="103">
        <v>15118.566080000001</v>
      </c>
      <c r="BW132" s="103">
        <v>28347.311400000006</v>
      </c>
      <c r="BX132" s="103">
        <v>236700.05019000001</v>
      </c>
      <c r="BY132" s="103">
        <v>235755.13981000002</v>
      </c>
      <c r="BZ132" s="103">
        <v>0</v>
      </c>
      <c r="CA132" s="103">
        <v>0</v>
      </c>
      <c r="CB132" s="103">
        <v>0</v>
      </c>
      <c r="CC132" s="103">
        <v>43938.332670000011</v>
      </c>
      <c r="CD132" s="1">
        <v>1</v>
      </c>
      <c r="CF132" s="277">
        <f>SUMIF(Оборот!$A:$A,$B:$B,Оборот!H:H)</f>
        <v>1349244.4400000002</v>
      </c>
      <c r="CG132" s="277">
        <f>SUMIF(Оборот!$A:$A,$B:$B,Оборот!I:I)</f>
        <v>1330111.1299999999</v>
      </c>
      <c r="CH132" s="277">
        <f t="shared" si="12"/>
        <v>1376424.5380127544</v>
      </c>
      <c r="CI132" s="239">
        <f t="shared" si="16"/>
        <v>31173.305338984886</v>
      </c>
      <c r="CJ132" s="276">
        <f>SUMIF('20Ф'!$H:$H,$B:$B,'20Ф'!M:M)*1.2</f>
        <v>0</v>
      </c>
      <c r="CK132" s="276">
        <f>SUMIF('20Ф'!$H:$H,$B:$B,'20Ф'!O:O)*1.2</f>
        <v>0</v>
      </c>
      <c r="CL132" s="276">
        <f>SUMIF('20Ф'!$H:$H,$B:$B,'20Ф'!Q:Q)*1.2</f>
        <v>0</v>
      </c>
      <c r="CM132" s="276">
        <f>SUMIF('20Ф'!$H:$H,$B:$B,'20Ф'!R:R)*1.2</f>
        <v>0</v>
      </c>
      <c r="CN132" s="276">
        <f>SUMIF('20Ф'!$H:$H,$B:$B,'20Ф'!S:S)*1.2</f>
        <v>0</v>
      </c>
      <c r="CO132" s="276">
        <f>SUMIF('20Ф'!$H:$H,$B:$B,'20Ф'!W:W)*1.2</f>
        <v>0</v>
      </c>
      <c r="CP132" s="276">
        <f>SUMIF('20Ф'!$H:$H,$B:$B,'20Ф'!P:P)*1.2</f>
        <v>0</v>
      </c>
      <c r="CQ132" s="276">
        <f>SUMIF('20Ф'!$H:$H,$B:$B,'20Ф'!Y:Y)*1.2</f>
        <v>0</v>
      </c>
      <c r="CR132" s="276">
        <f>SUMIF('20Ф'!$H:$H,$B:$B,'20Ф'!Z:Z)*1.2</f>
        <v>0</v>
      </c>
      <c r="CS132" s="276">
        <f>SUMIF('20Ф'!$H:$H,$B:$B,'20Ф'!AB:AB)*1.2</f>
        <v>0</v>
      </c>
      <c r="CT132" s="276">
        <f>SUMIF('20Ф'!$H:$H,$B:$B,'20Ф'!AC:AC)*1.2</f>
        <v>0</v>
      </c>
      <c r="CU132" s="276">
        <f>SUMIF('20Ф'!$H:$H,$B:$B,'20Ф'!AD:AD)*1.2</f>
        <v>0</v>
      </c>
      <c r="CV132" s="276">
        <f>SUMIF('20Ф'!$H:$H,$B:$B,'20Ф'!AE:AE)*1.2</f>
        <v>0</v>
      </c>
      <c r="CW132" s="276">
        <f>SUMIF('20Ф'!$H:$H,$B:$B,'20Ф'!AF:AF)*1.2</f>
        <v>0</v>
      </c>
      <c r="CX132" s="276">
        <f>SUMIF('20Ф'!$H:$H,$B:$B,'20Ф'!AG:AG)*1.2</f>
        <v>0</v>
      </c>
      <c r="CY132" s="276">
        <f>SUMIF('20Ф'!$H:$H,$B:$B,'20Ф'!AH:AH)*1.2</f>
        <v>0</v>
      </c>
      <c r="CZ132" s="276">
        <f>SUMIF('20Ф'!$H:$H,$B:$B,'20Ф'!AI:AI)*1.2</f>
        <v>0</v>
      </c>
      <c r="DA132" s="276">
        <f>SUMIF('20Ф'!$H:$H,$B:$B,'20Ф'!AJ:AJ)*1.2</f>
        <v>0</v>
      </c>
      <c r="DB132" s="276">
        <f>SUMIF('20Ф'!$H:$H,$B:$B,'20Ф'!AK:AK)*1.2</f>
        <v>0</v>
      </c>
      <c r="DC132" s="276">
        <f>SUMIF('20Ф'!$H:$H,$B:$B,'20Ф'!AL:AL)*1.2</f>
        <v>0</v>
      </c>
      <c r="DD132" s="276">
        <f>SUMIF('20Ф'!$H:$H,$B:$B,'20Ф'!AM:AM)*1.2</f>
        <v>0</v>
      </c>
      <c r="DE132" s="276">
        <f>SUMIF('20Ф'!$H:$H,$B:$B,'20Ф'!AN:AN)*1.2</f>
        <v>0</v>
      </c>
      <c r="DF132" s="276">
        <f>SUMIF('20Ф'!$H:$H,$B:$B,'20Ф'!AO:AO)*1.2</f>
        <v>0</v>
      </c>
      <c r="DG132" s="276">
        <f>SUMIF('20Ф'!$H:$H,$B:$B,'20Ф'!AP:AP)*1.2</f>
        <v>0</v>
      </c>
      <c r="DH132" s="276">
        <f>SUMIF('20Ф'!$H:$H,$B:$B,'20Ф'!AQ:AQ)*1.2</f>
        <v>0</v>
      </c>
      <c r="DI132" s="276">
        <f>SUMIF('20Ф'!$H:$H,$B:$B,'20Ф'!BA:BA)*1.2</f>
        <v>0</v>
      </c>
      <c r="DJ132" s="276">
        <f>SUMIF('20Ф'!$H:$H,$B:$B,'20Ф'!BB:BB)*1.2</f>
        <v>0</v>
      </c>
      <c r="DK132" s="276">
        <f>SUMIF('20Ф'!$H:$H,$B:$B,'20Ф'!BC:BC)*1.2</f>
        <v>0</v>
      </c>
      <c r="DL132" s="276">
        <f>$D132/$D$281*'20Ф'!$H$218</f>
        <v>31173.305338984886</v>
      </c>
      <c r="DM132" s="240">
        <f t="shared" si="13"/>
        <v>493827.04161205381</v>
      </c>
      <c r="DN132" s="276">
        <f>SUMIF('20Ф'!$H:$H,$B:$B,'20Ф'!AV:AV)*1.2</f>
        <v>0</v>
      </c>
      <c r="DO132" s="276">
        <f>SUMIF('20Ф'!$H:$H,$B:$B,'20Ф'!AW:AW)*1.2+$D132/$D$281*'26Ф'!$D$42</f>
        <v>16588.81944245462</v>
      </c>
      <c r="DP132" s="276">
        <f>SUMIF('20Ф'!$H:$H,$B:$B,'20Ф'!AX:AX)*1.2</f>
        <v>0</v>
      </c>
      <c r="DQ132" s="276">
        <f>SUMIF('20Ф'!$H:$H,$B:$B,'20Ф'!AY:AY)*1.2</f>
        <v>68706.3</v>
      </c>
      <c r="DR132" s="276">
        <f>SUMIF('20Ф'!$H:$H,$B:$B,'20Ф'!AU:AU)*1.2</f>
        <v>0</v>
      </c>
      <c r="DS132" s="276">
        <f>SUMIF('20Ф'!$H:$H,$B:$B,'20Ф'!AS:AS)*1.2</f>
        <v>58926.144</v>
      </c>
      <c r="DT132" s="276">
        <f>SUMIF('20Ф'!$H:$H,$B:$B,'20Ф'!AR:AR)*1.2</f>
        <v>0</v>
      </c>
      <c r="DU132" s="276">
        <f>SUMIF('20Ф'!$H:$H,$B:$B,'20Ф'!X:X)*1.2</f>
        <v>56981.675999999999</v>
      </c>
      <c r="DV132" s="276">
        <f>SUMIF('20Ф'!$H:$H,$B:$B,'20Ф'!AA:AA)*1.2</f>
        <v>0</v>
      </c>
      <c r="DW132" s="276">
        <f>SUMIF('20Ф'!$H:$H,$B:$B,'20Ф'!N:N)*1.2</f>
        <v>0</v>
      </c>
      <c r="DX132" s="276">
        <f>$D132/$D$281*('25Ф'!$D$37)</f>
        <v>278837.3018258079</v>
      </c>
      <c r="DY132" s="276">
        <f>$D132/$D$281*'25Ф'!$D$30</f>
        <v>8899.6113540678507</v>
      </c>
      <c r="DZ132" s="276">
        <f>$D132/$D$281*'25Ф'!$D$31</f>
        <v>4887.1889897234278</v>
      </c>
      <c r="EA132" s="276"/>
      <c r="EB132" s="276">
        <f t="shared" si="14"/>
        <v>175671.87651808906</v>
      </c>
      <c r="EC132" s="276">
        <f>$D132/$D$281*'26Ф'!$D$36</f>
        <v>91442.869198523651</v>
      </c>
      <c r="ED132" s="276">
        <f>$D132/$D$281*'26Ф'!$D$37</f>
        <v>10986.76307131441</v>
      </c>
      <c r="EE132" s="276">
        <f>$D132/$D$281*'26Ф'!$D$38</f>
        <v>11099.443137736103</v>
      </c>
      <c r="EF132" s="276">
        <f>$D132/$D$281*'26Ф'!$D$39</f>
        <v>7786.2492309221716</v>
      </c>
      <c r="EG132" s="276">
        <f>$D132/$D$281*'91Ф'!$D$10</f>
        <v>2402.0546494818477</v>
      </c>
      <c r="EH132" s="276">
        <f>$D132/$D$281*('20Ф'!$I$509+'26Ф'!$D$41+'20Ф'!$I$507)</f>
        <v>16993.745685928159</v>
      </c>
      <c r="EI132" s="276">
        <f>$D132/$D$281*'91Ф'!$D$31</f>
        <v>31152.031878587506</v>
      </c>
      <c r="EJ132" s="276">
        <f>$D132/$D$281*'20Ф'!$I$1316</f>
        <v>3808.7196655952043</v>
      </c>
      <c r="EK132" s="276">
        <f>$D132/$D$281*('20Ф'!$I$1105+'20Ф'!$I$1282+'91Ф'!$D$17+'91Ф'!$D$41)</f>
        <v>125082.59711328988</v>
      </c>
      <c r="EL132" s="276">
        <f>$D132/$D$281*отчёт!BX$294</f>
        <v>209099.95515861499</v>
      </c>
      <c r="EM132" s="276">
        <f>$D132/$D$281*отчёт!BY$294</f>
        <v>183892.18648628358</v>
      </c>
      <c r="EN132" s="276">
        <f>SUMIF(отчёт!$B:$B,$B:$B,отчёт!BZ:BZ)/отчёт!BZ$281*('60Ф'!$O$151+'60Ф'!$P$151)*отчёт!BZ$293</f>
        <v>0</v>
      </c>
      <c r="EO132" s="240">
        <f t="shared" si="19"/>
        <v>0</v>
      </c>
      <c r="EP132" s="276">
        <f>SUMIF('20Ф'!$H:$H,$B:$B,'20Ф'!T:T)*1.2</f>
        <v>0</v>
      </c>
      <c r="EQ132" s="276">
        <f>SUMIF('20Ф'!$H:$H,$B:$B,'20Ф'!U:U)*1.2</f>
        <v>0</v>
      </c>
      <c r="ER132" s="236"/>
      <c r="ES132" s="239">
        <f t="shared" si="17"/>
        <v>69985.834630697966</v>
      </c>
      <c r="ET132" s="276">
        <f>$D132/$D$282*'20Ф'!$I$381</f>
        <v>5349.0843958502628</v>
      </c>
      <c r="EU132" s="276">
        <f>$D132/$D$282*('20Ф'!$I$75+'20Ф'!$I$1098)*1.2</f>
        <v>61784.299377238014</v>
      </c>
      <c r="EV132" s="276">
        <f>$D132/$D$282*('20Ф'!$I$1286)</f>
        <v>2852.4508576096864</v>
      </c>
      <c r="EW132" s="276">
        <f>SUMIF('91.1Ф'!$N:$N,$B:$B,'91.1Ф'!$F:$F)+$D132/$D$281*('91Ф'!$D$12+'91Ф'!$D$11+'91Ф'!$D$19+'91Ф'!$D$20)</f>
        <v>16485.274920062162</v>
      </c>
      <c r="EX132" s="276">
        <f t="shared" si="15"/>
        <v>71206.466234677937</v>
      </c>
      <c r="EY132" s="276">
        <f>SUMIF('20Ф'!$H:$H,$B:$B,'20Ф'!$AY:$AY)*1.2</f>
        <v>68706.3</v>
      </c>
      <c r="EZ132" s="295">
        <f>D132/$D$286*'20Ф'!$I$1163</f>
        <v>2500.1662346779308</v>
      </c>
      <c r="FA132" s="277">
        <f>SUMIF(отчёт!$B:$B,$B:$B,отчёт!$CU:$CU)/отчёт!$CU$281*'20Ф'!$I$1341</f>
        <v>3683.8554216867401</v>
      </c>
      <c r="FB132" s="276">
        <f>SUMIF(Сальдо!$A:$A,$B:$B,Сальдо!$H:$H)-SUMIF(Сальдо!$A:$A,$B:$B,Сальдо!$I:$I)</f>
        <v>377055.07</v>
      </c>
    </row>
    <row r="133" spans="1:158" ht="12" customHeight="1" x14ac:dyDescent="0.25">
      <c r="A133" s="3">
        <f t="shared" si="18"/>
        <v>129</v>
      </c>
      <c r="B133" s="4" t="s">
        <v>178</v>
      </c>
      <c r="C133" s="4" t="s">
        <v>178</v>
      </c>
      <c r="D133" s="5">
        <v>3332.0000000000005</v>
      </c>
      <c r="E133" s="6">
        <v>3332.0000000000005</v>
      </c>
      <c r="F133" s="6">
        <v>0</v>
      </c>
      <c r="G133" s="6">
        <v>246</v>
      </c>
      <c r="H133" s="5">
        <f>SUMIF(отчёт!$B:$B,$B:$B,отчёт!I:I)</f>
        <v>0</v>
      </c>
      <c r="I133" s="5">
        <f>SUMIF(отчёт!$B:$B,$B:$B,отчёт!J:J)</f>
        <v>0</v>
      </c>
      <c r="J133" s="3" t="s">
        <v>51</v>
      </c>
      <c r="K133" s="105">
        <v>7</v>
      </c>
      <c r="L133" s="105" t="s">
        <v>52</v>
      </c>
      <c r="M133" s="7">
        <v>31</v>
      </c>
      <c r="N133" s="8">
        <v>5.0999999999999996</v>
      </c>
      <c r="O133" s="8">
        <v>6.59</v>
      </c>
      <c r="P133" s="8">
        <v>8.98</v>
      </c>
      <c r="Q133" s="8">
        <v>6.92</v>
      </c>
      <c r="R133" s="8">
        <v>3.15</v>
      </c>
      <c r="S133" s="8">
        <v>0</v>
      </c>
      <c r="T133" s="8">
        <v>0</v>
      </c>
      <c r="U133" s="8">
        <v>0.26</v>
      </c>
      <c r="V133" s="9">
        <v>40</v>
      </c>
      <c r="W133" s="9">
        <v>40</v>
      </c>
      <c r="X133" s="9">
        <v>2604.04</v>
      </c>
      <c r="Y133" s="8">
        <v>195.98199600000001</v>
      </c>
      <c r="Z133" s="9">
        <v>42.3</v>
      </c>
      <c r="AA133" s="9">
        <v>2604.04</v>
      </c>
      <c r="AB133" s="8">
        <v>7.85</v>
      </c>
      <c r="AC133" s="10">
        <v>0</v>
      </c>
      <c r="AD133" s="8">
        <v>6.73</v>
      </c>
      <c r="AE133" s="8">
        <v>10.67</v>
      </c>
      <c r="AF133" s="8">
        <v>14</v>
      </c>
      <c r="AG133" s="7">
        <v>619752.00000000012</v>
      </c>
      <c r="AH133" s="8">
        <v>101959.20000000001</v>
      </c>
      <c r="AI133" s="8">
        <v>131747.28</v>
      </c>
      <c r="AJ133" s="8">
        <v>179528.16000000003</v>
      </c>
      <c r="AK133" s="8">
        <v>138344.64000000001</v>
      </c>
      <c r="AL133" s="8">
        <v>62974.8</v>
      </c>
      <c r="AM133" s="8">
        <v>0</v>
      </c>
      <c r="AN133" s="8">
        <v>0</v>
      </c>
      <c r="AO133" s="8">
        <v>5197.920000000001</v>
      </c>
      <c r="AQ133" s="104">
        <v>33.17</v>
      </c>
      <c r="AR133" s="375">
        <v>13.89</v>
      </c>
      <c r="AS133" s="376"/>
      <c r="AT133" s="104">
        <v>5.9</v>
      </c>
      <c r="AU133" s="104">
        <v>1.53</v>
      </c>
      <c r="AV133" s="104">
        <v>0.32</v>
      </c>
      <c r="AW133" s="104">
        <v>0.6</v>
      </c>
      <c r="AX133" s="104">
        <v>5.01</v>
      </c>
      <c r="AY133" s="104">
        <v>4.99</v>
      </c>
      <c r="AZ133" s="104">
        <v>0</v>
      </c>
      <c r="BA133" s="104">
        <v>0</v>
      </c>
      <c r="BB133" s="104">
        <v>0</v>
      </c>
      <c r="BC133" s="101">
        <v>0.93</v>
      </c>
      <c r="BD133" s="104">
        <v>37.581610000000005</v>
      </c>
      <c r="BE133" s="375">
        <v>15.737370000000004</v>
      </c>
      <c r="BF133" s="376">
        <v>0</v>
      </c>
      <c r="BG133" s="104">
        <v>6.6847000000000012</v>
      </c>
      <c r="BH133" s="104">
        <v>1.7334900000000002</v>
      </c>
      <c r="BI133" s="104">
        <v>0.36256000000000005</v>
      </c>
      <c r="BJ133" s="104">
        <v>0.67980000000000007</v>
      </c>
      <c r="BK133" s="104">
        <v>5.6763300000000001</v>
      </c>
      <c r="BL133" s="104">
        <v>5.65367</v>
      </c>
      <c r="BM133" s="104">
        <v>0</v>
      </c>
      <c r="BN133" s="104">
        <v>0</v>
      </c>
      <c r="BO133" s="104">
        <v>0</v>
      </c>
      <c r="BP133" s="101">
        <v>1.0536900000000002</v>
      </c>
      <c r="BQ133" s="103">
        <v>1473264.1252000006</v>
      </c>
      <c r="BR133" s="371">
        <v>616932.12840000028</v>
      </c>
      <c r="BS133" s="371">
        <v>0</v>
      </c>
      <c r="BT133" s="103">
        <v>262051.80400000006</v>
      </c>
      <c r="BU133" s="103">
        <v>67955.806800000006</v>
      </c>
      <c r="BV133" s="103">
        <v>14212.979200000002</v>
      </c>
      <c r="BW133" s="103">
        <v>26649.336000000007</v>
      </c>
      <c r="BX133" s="103">
        <v>222521.95560000002</v>
      </c>
      <c r="BY133" s="103">
        <v>221633.64440000002</v>
      </c>
      <c r="BZ133" s="103">
        <v>0</v>
      </c>
      <c r="CA133" s="103">
        <v>0</v>
      </c>
      <c r="CB133" s="103">
        <v>0</v>
      </c>
      <c r="CC133" s="103">
        <v>41306.47080000001</v>
      </c>
      <c r="CD133" s="1">
        <v>1</v>
      </c>
      <c r="CF133" s="277">
        <f>SUMIF(Оборот!$A:$A,$B:$B,Оборот!H:H)</f>
        <v>1268178.9600000002</v>
      </c>
      <c r="CG133" s="277">
        <f>SUMIF(Оборот!$A:$A,$B:$B,Оборот!I:I)</f>
        <v>1346209.5999999999</v>
      </c>
      <c r="CH133" s="277">
        <f t="shared" ref="CH133:CH196" si="25">CI133+DM133+EB133+EK133+EL133+EM133+EN133+EO133+ES133+EW133+EX133</f>
        <v>3890815.6525916257</v>
      </c>
      <c r="CI133" s="239">
        <f t="shared" si="16"/>
        <v>2463678.3157485253</v>
      </c>
      <c r="CJ133" s="276">
        <f>SUMIF('20Ф'!$H:$H,$B:$B,'20Ф'!M:M)*1.2</f>
        <v>270872.41200000001</v>
      </c>
      <c r="CK133" s="276">
        <f>SUMIF('20Ф'!$H:$H,$B:$B,'20Ф'!O:O)*1.2</f>
        <v>0</v>
      </c>
      <c r="CL133" s="276">
        <f>SUMIF('20Ф'!$H:$H,$B:$B,'20Ф'!Q:Q)*1.2</f>
        <v>0</v>
      </c>
      <c r="CM133" s="276">
        <f>SUMIF('20Ф'!$H:$H,$B:$B,'20Ф'!R:R)*1.2</f>
        <v>0</v>
      </c>
      <c r="CN133" s="276">
        <f>SUMIF('20Ф'!$H:$H,$B:$B,'20Ф'!S:S)*1.2</f>
        <v>0</v>
      </c>
      <c r="CO133" s="276">
        <f>SUMIF('20Ф'!$H:$H,$B:$B,'20Ф'!W:W)*1.2</f>
        <v>0</v>
      </c>
      <c r="CP133" s="276">
        <f>SUMIF('20Ф'!$H:$H,$B:$B,'20Ф'!P:P)*1.2</f>
        <v>0</v>
      </c>
      <c r="CQ133" s="276">
        <f>SUMIF('20Ф'!$H:$H,$B:$B,'20Ф'!Y:Y)*1.2</f>
        <v>0</v>
      </c>
      <c r="CR133" s="276">
        <f>SUMIF('20Ф'!$H:$H,$B:$B,'20Ф'!Z:Z)*1.2</f>
        <v>0</v>
      </c>
      <c r="CS133" s="276">
        <f>SUMIF('20Ф'!$H:$H,$B:$B,'20Ф'!AB:AB)*1.2</f>
        <v>0</v>
      </c>
      <c r="CT133" s="276">
        <f>SUMIF('20Ф'!$H:$H,$B:$B,'20Ф'!AC:AC)*1.2</f>
        <v>0</v>
      </c>
      <c r="CU133" s="276">
        <f>SUMIF('20Ф'!$H:$H,$B:$B,'20Ф'!AD:AD)*1.2</f>
        <v>0</v>
      </c>
      <c r="CV133" s="276">
        <f>SUMIF('20Ф'!$H:$H,$B:$B,'20Ф'!AE:AE)*1.2</f>
        <v>0</v>
      </c>
      <c r="CW133" s="276">
        <f>SUMIF('20Ф'!$H:$H,$B:$B,'20Ф'!AF:AF)*1.2</f>
        <v>0</v>
      </c>
      <c r="CX133" s="276">
        <f>SUMIF('20Ф'!$H:$H,$B:$B,'20Ф'!AG:AG)*1.2</f>
        <v>0</v>
      </c>
      <c r="CY133" s="276">
        <f>SUMIF('20Ф'!$H:$H,$B:$B,'20Ф'!AH:AH)*1.2</f>
        <v>0</v>
      </c>
      <c r="CZ133" s="276">
        <f>SUMIF('20Ф'!$H:$H,$B:$B,'20Ф'!AI:AI)*1.2</f>
        <v>36159.036</v>
      </c>
      <c r="DA133" s="276">
        <f>SUMIF('20Ф'!$H:$H,$B:$B,'20Ф'!AJ:AJ)*1.2</f>
        <v>37296.576000000001</v>
      </c>
      <c r="DB133" s="276">
        <f>SUMIF('20Ф'!$H:$H,$B:$B,'20Ф'!AK:AK)*1.2</f>
        <v>0</v>
      </c>
      <c r="DC133" s="276">
        <f>SUMIF('20Ф'!$H:$H,$B:$B,'20Ф'!AL:AL)*1.2</f>
        <v>1857234.324</v>
      </c>
      <c r="DD133" s="276">
        <f>SUMIF('20Ф'!$H:$H,$B:$B,'20Ф'!AM:AM)*1.2</f>
        <v>0</v>
      </c>
      <c r="DE133" s="276">
        <f>SUMIF('20Ф'!$H:$H,$B:$B,'20Ф'!AN:AN)*1.2</f>
        <v>0</v>
      </c>
      <c r="DF133" s="276">
        <f>SUMIF('20Ф'!$H:$H,$B:$B,'20Ф'!AO:AO)*1.2</f>
        <v>0</v>
      </c>
      <c r="DG133" s="276">
        <f>SUMIF('20Ф'!$H:$H,$B:$B,'20Ф'!AP:AP)*1.2</f>
        <v>232809.91200000001</v>
      </c>
      <c r="DH133" s="276">
        <f>SUMIF('20Ф'!$H:$H,$B:$B,'20Ф'!AQ:AQ)*1.2</f>
        <v>0</v>
      </c>
      <c r="DI133" s="276">
        <f>SUMIF('20Ф'!$H:$H,$B:$B,'20Ф'!BA:BA)*1.2</f>
        <v>0</v>
      </c>
      <c r="DJ133" s="276">
        <f>SUMIF('20Ф'!$H:$H,$B:$B,'20Ф'!BB:BB)*1.2</f>
        <v>0</v>
      </c>
      <c r="DK133" s="276">
        <f>SUMIF('20Ф'!$H:$H,$B:$B,'20Ф'!BC:BC)*1.2</f>
        <v>0</v>
      </c>
      <c r="DL133" s="276">
        <f>$D133/$D$281*'20Ф'!$H$218</f>
        <v>29306.055748525137</v>
      </c>
      <c r="DM133" s="240">
        <f t="shared" ref="DM133:DM196" si="26">SUM(DN133:DZ133)</f>
        <v>592204.45906254079</v>
      </c>
      <c r="DN133" s="276">
        <f>SUMIF('20Ф'!$H:$H,$B:$B,'20Ф'!AV:AV)*1.2</f>
        <v>0</v>
      </c>
      <c r="DO133" s="276">
        <f>SUMIF('20Ф'!$H:$H,$B:$B,'20Ф'!AW:AW)*1.2+$D133/$D$281*'26Ф'!$D$42</f>
        <v>15595.165866957876</v>
      </c>
      <c r="DP133" s="276">
        <f>SUMIF('20Ф'!$H:$H,$B:$B,'20Ф'!AX:AX)*1.2</f>
        <v>0</v>
      </c>
      <c r="DQ133" s="276">
        <f>SUMIF('20Ф'!$H:$H,$B:$B,'20Ф'!AY:AY)*1.2</f>
        <v>99099</v>
      </c>
      <c r="DR133" s="276">
        <f>SUMIF('20Ф'!$H:$H,$B:$B,'20Ф'!AU:AU)*1.2</f>
        <v>0</v>
      </c>
      <c r="DS133" s="276">
        <f>SUMIF('20Ф'!$H:$H,$B:$B,'20Ф'!AS:AS)*1.2</f>
        <v>66293.784</v>
      </c>
      <c r="DT133" s="276">
        <f>SUMIF('20Ф'!$H:$H,$B:$B,'20Ф'!AR:AR)*1.2</f>
        <v>0</v>
      </c>
      <c r="DU133" s="276">
        <f>SUMIF('20Ф'!$H:$H,$B:$B,'20Ф'!X:X)*1.2</f>
        <v>136120.296</v>
      </c>
      <c r="DV133" s="276">
        <f>SUMIF('20Ф'!$H:$H,$B:$B,'20Ф'!AA:AA)*1.2</f>
        <v>0</v>
      </c>
      <c r="DW133" s="276">
        <f>SUMIF('20Ф'!$H:$H,$B:$B,'20Ф'!N:N)*1.2</f>
        <v>0</v>
      </c>
      <c r="DX133" s="276">
        <f>$D133/$D$281*('25Ф'!$D$37)</f>
        <v>262135.22830561519</v>
      </c>
      <c r="DY133" s="276">
        <f>$D133/$D$281*'25Ф'!$D$30</f>
        <v>8366.5335981023272</v>
      </c>
      <c r="DZ133" s="276">
        <f>$D133/$D$281*'25Ф'!$D$31</f>
        <v>4594.4512918653791</v>
      </c>
      <c r="EA133" s="276"/>
      <c r="EB133" s="276">
        <f t="shared" ref="EB133:EB196" si="27">SUM(EC133:EJ133)</f>
        <v>165149.30806034271</v>
      </c>
      <c r="EC133" s="276">
        <f>$D133/$D$281*'26Ф'!$D$36</f>
        <v>85965.533439460778</v>
      </c>
      <c r="ED133" s="276">
        <f>$D133/$D$281*'26Ф'!$D$37</f>
        <v>10328.667029771639</v>
      </c>
      <c r="EE133" s="276">
        <f>$D133/$D$281*'26Ф'!$D$38</f>
        <v>10434.597673711791</v>
      </c>
      <c r="EF133" s="276">
        <f>$D133/$D$281*'26Ф'!$D$39</f>
        <v>7319.8607446978749</v>
      </c>
      <c r="EG133" s="276">
        <f>$D133/$D$281*'91Ф'!$D$10</f>
        <v>2258.1739954500231</v>
      </c>
      <c r="EH133" s="276">
        <f>$D133/$D$281*('20Ф'!$I$509+'26Ф'!$D$41+'20Ф'!$I$507)</f>
        <v>15975.837436309743</v>
      </c>
      <c r="EI133" s="276">
        <f>$D133/$D$281*'91Ф'!$D$31</f>
        <v>29286.056546977845</v>
      </c>
      <c r="EJ133" s="276">
        <f>$D133/$D$281*'20Ф'!$I$1316</f>
        <v>3580.5811939630453</v>
      </c>
      <c r="EK133" s="276">
        <f>$D133/$D$281*('20Ф'!$I$1105+'20Ф'!$I$1282+'91Ф'!$D$17+'91Ф'!$D$41)</f>
        <v>117590.27553578476</v>
      </c>
      <c r="EL133" s="276">
        <f>$D133/$D$281*отчёт!BX$294</f>
        <v>196575.07846076944</v>
      </c>
      <c r="EM133" s="276">
        <f>$D133/$D$281*отчёт!BY$294</f>
        <v>172877.22974135849</v>
      </c>
      <c r="EN133" s="276">
        <f>SUMIF(отчёт!$B:$B,$B:$B,отчёт!BZ:BZ)/отчёт!BZ$281*('60Ф'!$O$151+'60Ф'!$P$151)*отчёт!BZ$293</f>
        <v>0</v>
      </c>
      <c r="EO133" s="240">
        <f t="shared" ref="EO133:EO177" si="28">SUM(EP133:EQ133)</f>
        <v>0</v>
      </c>
      <c r="EP133" s="276">
        <f>SUMIF('20Ф'!$H:$H,$B:$B,'20Ф'!T:T)*1.2</f>
        <v>0</v>
      </c>
      <c r="EQ133" s="276">
        <f>SUMIF('20Ф'!$H:$H,$B:$B,'20Ф'!U:U)*1.2</f>
        <v>0</v>
      </c>
      <c r="ER133" s="236"/>
      <c r="ES133" s="239">
        <f t="shared" si="17"/>
        <v>65793.753629626619</v>
      </c>
      <c r="ET133" s="276">
        <f>$D133/$D$282*'20Ф'!$I$381</f>
        <v>5028.6796284098627</v>
      </c>
      <c r="EU133" s="276">
        <f>$D133/$D$282*('20Ф'!$I$75+'20Ф'!$I$1098)*1.2</f>
        <v>58083.482076843684</v>
      </c>
      <c r="EV133" s="276">
        <f>$D133/$D$282*('20Ф'!$I$1286)</f>
        <v>2681.5919243730709</v>
      </c>
      <c r="EW133" s="276">
        <f>SUMIF('91.1Ф'!$N:$N,$B:$B,'91.1Ф'!$F:$F)+$D133/$D$281*('91Ф'!$D$12+'91Ф'!$D$11+'91Ф'!$D$19+'91Ф'!$D$20)</f>
        <v>15497.823557161391</v>
      </c>
      <c r="EX133" s="276">
        <f t="shared" ref="EX133:EX196" si="29">SUM(EY133:EZ133)</f>
        <v>101449.40879551586</v>
      </c>
      <c r="EY133" s="276">
        <f>SUMIF('20Ф'!$H:$H,$B:$B,'20Ф'!$AY:$AY)*1.2</f>
        <v>99099</v>
      </c>
      <c r="EZ133" s="295">
        <f>D133/$D$286*'20Ф'!$I$1163</f>
        <v>2350.4087955158611</v>
      </c>
      <c r="FA133" s="277">
        <f>SUMIF(отчёт!$B:$B,$B:$B,отчёт!$CU:$CU)/отчёт!$CU$281*'20Ф'!$I$1341</f>
        <v>3683.8554216867401</v>
      </c>
      <c r="FB133" s="276">
        <f>SUMIF(Сальдо!$A:$A,$B:$B,Сальдо!$H:$H)-SUMIF(Сальдо!$A:$A,$B:$B,Сальдо!$I:$I)</f>
        <v>264715.91000000003</v>
      </c>
    </row>
    <row r="134" spans="1:158" ht="12" customHeight="1" x14ac:dyDescent="0.25">
      <c r="A134" s="3">
        <f t="shared" si="18"/>
        <v>130</v>
      </c>
      <c r="B134" s="4" t="s">
        <v>179</v>
      </c>
      <c r="C134" s="4" t="s">
        <v>179</v>
      </c>
      <c r="D134" s="5">
        <v>3359.2</v>
      </c>
      <c r="E134" s="6">
        <v>3359.2</v>
      </c>
      <c r="F134" s="6">
        <v>0</v>
      </c>
      <c r="G134" s="6">
        <v>382.8</v>
      </c>
      <c r="H134" s="5">
        <f>SUMIF(отчёт!$B:$B,$B:$B,отчёт!I:I)</f>
        <v>0</v>
      </c>
      <c r="I134" s="5">
        <f>SUMIF(отчёт!$B:$B,$B:$B,отчёт!J:J)</f>
        <v>0</v>
      </c>
      <c r="J134" s="3" t="s">
        <v>51</v>
      </c>
      <c r="K134" s="105">
        <v>7</v>
      </c>
      <c r="L134" s="105" t="s">
        <v>52</v>
      </c>
      <c r="M134" s="7">
        <v>31</v>
      </c>
      <c r="N134" s="8">
        <v>5.0999999999999996</v>
      </c>
      <c r="O134" s="8">
        <v>6.59</v>
      </c>
      <c r="P134" s="8">
        <v>8.98</v>
      </c>
      <c r="Q134" s="8">
        <v>6.92</v>
      </c>
      <c r="R134" s="8">
        <v>3.15</v>
      </c>
      <c r="S134" s="8">
        <v>0</v>
      </c>
      <c r="T134" s="8">
        <v>0</v>
      </c>
      <c r="U134" s="8">
        <v>0.26</v>
      </c>
      <c r="V134" s="9">
        <v>40</v>
      </c>
      <c r="W134" s="9">
        <v>40</v>
      </c>
      <c r="X134" s="9">
        <v>2604.04</v>
      </c>
      <c r="Y134" s="8">
        <v>195.98199600000001</v>
      </c>
      <c r="Z134" s="9">
        <v>42.3</v>
      </c>
      <c r="AA134" s="9">
        <v>2604.04</v>
      </c>
      <c r="AB134" s="8">
        <v>7.85</v>
      </c>
      <c r="AC134" s="10">
        <v>0</v>
      </c>
      <c r="AD134" s="8">
        <v>6.73</v>
      </c>
      <c r="AE134" s="8">
        <v>10.67</v>
      </c>
      <c r="AF134" s="8">
        <v>14</v>
      </c>
      <c r="AG134" s="7">
        <v>624811.19999999995</v>
      </c>
      <c r="AH134" s="8">
        <v>102791.51999999999</v>
      </c>
      <c r="AI134" s="8">
        <v>132822.76799999998</v>
      </c>
      <c r="AJ134" s="8">
        <v>180993.696</v>
      </c>
      <c r="AK134" s="8">
        <v>139473.984</v>
      </c>
      <c r="AL134" s="8">
        <v>63488.88</v>
      </c>
      <c r="AM134" s="8">
        <v>0</v>
      </c>
      <c r="AN134" s="8">
        <v>0</v>
      </c>
      <c r="AO134" s="8">
        <v>5240.3519999999999</v>
      </c>
      <c r="AQ134" s="104">
        <v>33.17</v>
      </c>
      <c r="AR134" s="375">
        <v>13.89</v>
      </c>
      <c r="AS134" s="376"/>
      <c r="AT134" s="104">
        <v>5.9</v>
      </c>
      <c r="AU134" s="104">
        <v>1.53</v>
      </c>
      <c r="AV134" s="104">
        <v>0.32</v>
      </c>
      <c r="AW134" s="104">
        <v>0.6</v>
      </c>
      <c r="AX134" s="104">
        <v>5.01</v>
      </c>
      <c r="AY134" s="104">
        <v>4.99</v>
      </c>
      <c r="AZ134" s="104">
        <v>0</v>
      </c>
      <c r="BA134" s="104">
        <v>0</v>
      </c>
      <c r="BB134" s="104">
        <v>0</v>
      </c>
      <c r="BC134" s="101">
        <v>0.93</v>
      </c>
      <c r="BD134" s="104">
        <v>37.581610000000005</v>
      </c>
      <c r="BE134" s="375">
        <v>15.737370000000004</v>
      </c>
      <c r="BF134" s="376">
        <v>0</v>
      </c>
      <c r="BG134" s="104">
        <v>6.6847000000000012</v>
      </c>
      <c r="BH134" s="104">
        <v>1.7334900000000002</v>
      </c>
      <c r="BI134" s="104">
        <v>0.36256000000000005</v>
      </c>
      <c r="BJ134" s="104">
        <v>0.67980000000000007</v>
      </c>
      <c r="BK134" s="104">
        <v>5.6763300000000001</v>
      </c>
      <c r="BL134" s="104">
        <v>5.65367</v>
      </c>
      <c r="BM134" s="104">
        <v>0</v>
      </c>
      <c r="BN134" s="104">
        <v>0</v>
      </c>
      <c r="BO134" s="104">
        <v>0</v>
      </c>
      <c r="BP134" s="101">
        <v>1.0536900000000002</v>
      </c>
      <c r="BQ134" s="103">
        <v>1485290.7711199999</v>
      </c>
      <c r="BR134" s="371">
        <v>621968.30904000008</v>
      </c>
      <c r="BS134" s="371">
        <v>0</v>
      </c>
      <c r="BT134" s="103">
        <v>264191.0024</v>
      </c>
      <c r="BU134" s="103">
        <v>68510.548079999993</v>
      </c>
      <c r="BV134" s="103">
        <v>14329.00352</v>
      </c>
      <c r="BW134" s="103">
        <v>26866.881600000001</v>
      </c>
      <c r="BX134" s="103">
        <v>224338.46135999999</v>
      </c>
      <c r="BY134" s="103">
        <v>223442.89864</v>
      </c>
      <c r="BZ134" s="103">
        <v>0</v>
      </c>
      <c r="CA134" s="103">
        <v>0</v>
      </c>
      <c r="CB134" s="103">
        <v>0</v>
      </c>
      <c r="CC134" s="103">
        <v>41643.666480000007</v>
      </c>
      <c r="CD134" s="1">
        <v>1</v>
      </c>
      <c r="CF134" s="277">
        <f>SUMIF(Оборот!$A:$A,$B:$B,Оборот!H:H)</f>
        <v>1277865.8799999999</v>
      </c>
      <c r="CG134" s="277">
        <f>SUMIF(Оборот!$A:$A,$B:$B,Оборот!I:I)</f>
        <v>1195742.94</v>
      </c>
      <c r="CH134" s="277">
        <f t="shared" si="25"/>
        <v>1625684.0797148219</v>
      </c>
      <c r="CI134" s="239">
        <f t="shared" ref="CI134:CI197" si="30">SUM(CJ134:DL134)</f>
        <v>341860.02485667635</v>
      </c>
      <c r="CJ134" s="276">
        <f>SUMIF('20Ф'!$H:$H,$B:$B,'20Ф'!M:M)*1.2</f>
        <v>261626.568</v>
      </c>
      <c r="CK134" s="276">
        <f>SUMIF('20Ф'!$H:$H,$B:$B,'20Ф'!O:O)*1.2</f>
        <v>0</v>
      </c>
      <c r="CL134" s="276">
        <f>SUMIF('20Ф'!$H:$H,$B:$B,'20Ф'!Q:Q)*1.2</f>
        <v>0</v>
      </c>
      <c r="CM134" s="276">
        <f>SUMIF('20Ф'!$H:$H,$B:$B,'20Ф'!R:R)*1.2</f>
        <v>0</v>
      </c>
      <c r="CN134" s="276">
        <f>SUMIF('20Ф'!$H:$H,$B:$B,'20Ф'!S:S)*1.2</f>
        <v>0</v>
      </c>
      <c r="CO134" s="276">
        <f>SUMIF('20Ф'!$H:$H,$B:$B,'20Ф'!W:W)*1.2</f>
        <v>0</v>
      </c>
      <c r="CP134" s="276">
        <f>SUMIF('20Ф'!$H:$H,$B:$B,'20Ф'!P:P)*1.2</f>
        <v>0</v>
      </c>
      <c r="CQ134" s="276">
        <f>SUMIF('20Ф'!$H:$H,$B:$B,'20Ф'!Y:Y)*1.2</f>
        <v>0</v>
      </c>
      <c r="CR134" s="276">
        <f>SUMIF('20Ф'!$H:$H,$B:$B,'20Ф'!Z:Z)*1.2</f>
        <v>0</v>
      </c>
      <c r="CS134" s="276">
        <f>SUMIF('20Ф'!$H:$H,$B:$B,'20Ф'!AB:AB)*1.2</f>
        <v>0</v>
      </c>
      <c r="CT134" s="276">
        <f>SUMIF('20Ф'!$H:$H,$B:$B,'20Ф'!AC:AC)*1.2</f>
        <v>0</v>
      </c>
      <c r="CU134" s="276">
        <f>SUMIF('20Ф'!$H:$H,$B:$B,'20Ф'!AD:AD)*1.2</f>
        <v>0</v>
      </c>
      <c r="CV134" s="276">
        <f>SUMIF('20Ф'!$H:$H,$B:$B,'20Ф'!AE:AE)*1.2</f>
        <v>0</v>
      </c>
      <c r="CW134" s="276">
        <f>SUMIF('20Ф'!$H:$H,$B:$B,'20Ф'!AF:AF)*1.2</f>
        <v>0</v>
      </c>
      <c r="CX134" s="276">
        <f>SUMIF('20Ф'!$H:$H,$B:$B,'20Ф'!AG:AG)*1.2</f>
        <v>0</v>
      </c>
      <c r="CY134" s="276">
        <f>SUMIF('20Ф'!$H:$H,$B:$B,'20Ф'!AH:AH)*1.2</f>
        <v>0</v>
      </c>
      <c r="CZ134" s="276">
        <f>SUMIF('20Ф'!$H:$H,$B:$B,'20Ф'!AI:AI)*1.2</f>
        <v>0</v>
      </c>
      <c r="DA134" s="276">
        <f>SUMIF('20Ф'!$H:$H,$B:$B,'20Ф'!AJ:AJ)*1.2</f>
        <v>50688.167999999998</v>
      </c>
      <c r="DB134" s="276">
        <f>SUMIF('20Ф'!$H:$H,$B:$B,'20Ф'!AK:AK)*1.2</f>
        <v>0</v>
      </c>
      <c r="DC134" s="276">
        <f>SUMIF('20Ф'!$H:$H,$B:$B,'20Ф'!AL:AL)*1.2</f>
        <v>0</v>
      </c>
      <c r="DD134" s="276">
        <f>SUMIF('20Ф'!$H:$H,$B:$B,'20Ф'!AM:AM)*1.2</f>
        <v>0</v>
      </c>
      <c r="DE134" s="276">
        <f>SUMIF('20Ф'!$H:$H,$B:$B,'20Ф'!AN:AN)*1.2</f>
        <v>0</v>
      </c>
      <c r="DF134" s="276">
        <f>SUMIF('20Ф'!$H:$H,$B:$B,'20Ф'!AO:AO)*1.2</f>
        <v>0</v>
      </c>
      <c r="DG134" s="276">
        <f>SUMIF('20Ф'!$H:$H,$B:$B,'20Ф'!AP:AP)*1.2</f>
        <v>0</v>
      </c>
      <c r="DH134" s="276">
        <f>SUMIF('20Ф'!$H:$H,$B:$B,'20Ф'!AQ:AQ)*1.2</f>
        <v>0</v>
      </c>
      <c r="DI134" s="276">
        <f>SUMIF('20Ф'!$H:$H,$B:$B,'20Ф'!BA:BA)*1.2</f>
        <v>0</v>
      </c>
      <c r="DJ134" s="276">
        <f>SUMIF('20Ф'!$H:$H,$B:$B,'20Ф'!BB:BB)*1.2</f>
        <v>0</v>
      </c>
      <c r="DK134" s="276">
        <f>SUMIF('20Ф'!$H:$H,$B:$B,'20Ф'!BC:BC)*1.2</f>
        <v>0</v>
      </c>
      <c r="DL134" s="276">
        <f>$D134/$D$281*'20Ф'!$H$218</f>
        <v>29545.288856676358</v>
      </c>
      <c r="DM134" s="240">
        <f t="shared" si="26"/>
        <v>498654.36991203082</v>
      </c>
      <c r="DN134" s="276">
        <f>SUMIF('20Ф'!$H:$H,$B:$B,'20Ф'!AV:AV)*1.2</f>
        <v>0</v>
      </c>
      <c r="DO134" s="276">
        <f>SUMIF('20Ф'!$H:$H,$B:$B,'20Ф'!AW:AW)*1.2+$D134/$D$281*'26Ф'!$D$42</f>
        <v>15722.473343422835</v>
      </c>
      <c r="DP134" s="276">
        <f>SUMIF('20Ф'!$H:$H,$B:$B,'20Ф'!AX:AX)*1.2</f>
        <v>0</v>
      </c>
      <c r="DQ134" s="276">
        <f>SUMIF('20Ф'!$H:$H,$B:$B,'20Ф'!AY:AY)*1.2</f>
        <v>43329</v>
      </c>
      <c r="DR134" s="276">
        <f>SUMIF('20Ф'!$H:$H,$B:$B,'20Ф'!AU:AU)*1.2</f>
        <v>0</v>
      </c>
      <c r="DS134" s="276">
        <f>SUMIF('20Ф'!$H:$H,$B:$B,'20Ф'!AS:AS)*1.2</f>
        <v>48833.555999999997</v>
      </c>
      <c r="DT134" s="276">
        <f>SUMIF('20Ф'!$H:$H,$B:$B,'20Ф'!AR:AR)*1.2</f>
        <v>0</v>
      </c>
      <c r="DU134" s="276">
        <f>SUMIF('20Ф'!$H:$H,$B:$B,'20Ф'!X:X)*1.2</f>
        <v>113427.44399999999</v>
      </c>
      <c r="DV134" s="276">
        <f>SUMIF('20Ф'!$H:$H,$B:$B,'20Ф'!AA:AA)*1.2</f>
        <v>0</v>
      </c>
      <c r="DW134" s="276">
        <f>SUMIF('20Ф'!$H:$H,$B:$B,'20Ф'!N:N)*1.2</f>
        <v>0</v>
      </c>
      <c r="DX134" s="276">
        <f>$D134/$D$281*('25Ф'!$D$37)</f>
        <v>264275.10772035486</v>
      </c>
      <c r="DY134" s="276">
        <f>$D134/$D$281*'25Ф'!$D$30</f>
        <v>8434.831831556221</v>
      </c>
      <c r="DZ134" s="276">
        <f>$D134/$D$281*'25Ф'!$D$31</f>
        <v>4631.9570166969324</v>
      </c>
      <c r="EA134" s="276"/>
      <c r="EB134" s="276">
        <f t="shared" si="27"/>
        <v>166497.46567716182</v>
      </c>
      <c r="EC134" s="276">
        <f>$D134/$D$281*'26Ф'!$D$36</f>
        <v>86667.292896109415</v>
      </c>
      <c r="ED134" s="276">
        <f>$D134/$D$281*'26Ф'!$D$37</f>
        <v>10412.982678994262</v>
      </c>
      <c r="EE134" s="276">
        <f>$D134/$D$281*'26Ф'!$D$38</f>
        <v>10519.778062884947</v>
      </c>
      <c r="EF134" s="276">
        <f>$D134/$D$281*'26Ф'!$D$39</f>
        <v>7379.6147099607133</v>
      </c>
      <c r="EG134" s="276">
        <f>$D134/$D$281*'91Ф'!$D$10</f>
        <v>2276.6080688822681</v>
      </c>
      <c r="EH134" s="276">
        <f>$D134/$D$281*('20Ф'!$I$509+'26Ф'!$D$41+'20Ф'!$I$507)</f>
        <v>16106.25243578982</v>
      </c>
      <c r="EI134" s="276">
        <f>$D134/$D$281*'91Ф'!$D$31</f>
        <v>29525.126396340926</v>
      </c>
      <c r="EJ134" s="276">
        <f>$D134/$D$281*'20Ф'!$I$1316</f>
        <v>3609.8104281994774</v>
      </c>
      <c r="EK134" s="276">
        <f>$D134/$D$281*('20Ф'!$I$1105+'20Ф'!$I$1282+'91Ф'!$D$17+'91Ф'!$D$41)</f>
        <v>118550.1961524034</v>
      </c>
      <c r="EL134" s="276">
        <f>$D134/$D$281*отчёт!BX$294</f>
        <v>198179.7729788165</v>
      </c>
      <c r="EM134" s="276">
        <f>$D134/$D$281*отчёт!BY$294</f>
        <v>174288.47243312467</v>
      </c>
      <c r="EN134" s="276">
        <f>SUMIF(отчёт!$B:$B,$B:$B,отчёт!BZ:BZ)/отчёт!BZ$281*('60Ф'!$O$151+'60Ф'!$P$151)*отчёт!BZ$293</f>
        <v>0</v>
      </c>
      <c r="EO134" s="240">
        <f t="shared" si="28"/>
        <v>0</v>
      </c>
      <c r="EP134" s="276">
        <f>SUMIF('20Ф'!$H:$H,$B:$B,'20Ф'!T:T)*1.2</f>
        <v>0</v>
      </c>
      <c r="EQ134" s="276">
        <f>SUMIF('20Ф'!$H:$H,$B:$B,'20Ф'!U:U)*1.2</f>
        <v>0</v>
      </c>
      <c r="ER134" s="236"/>
      <c r="ES134" s="239">
        <f t="shared" ref="ES134:ES197" si="31">SUM(ET134:EV134)</f>
        <v>66330.8454959909</v>
      </c>
      <c r="ET134" s="276">
        <f>$D134/$D$282*'20Ф'!$I$381</f>
        <v>5069.7300743560645</v>
      </c>
      <c r="EU134" s="276">
        <f>$D134/$D$282*('20Ф'!$I$75+'20Ф'!$I$1098)*1.2</f>
        <v>58557.632950940359</v>
      </c>
      <c r="EV134" s="276">
        <f>$D134/$D$282*('20Ф'!$I$1286)</f>
        <v>2703.4824706944833</v>
      </c>
      <c r="EW134" s="276">
        <f>SUMIF('91.1Ф'!$N:$N,$B:$B,'91.1Ф'!$F:$F)+$D134/$D$281*('91Ф'!$D$12+'91Ф'!$D$11+'91Ф'!$D$19+'91Ф'!$D$20)</f>
        <v>15624.336402525973</v>
      </c>
      <c r="EX134" s="276">
        <f t="shared" si="29"/>
        <v>45698.5958060915</v>
      </c>
      <c r="EY134" s="276">
        <f>SUMIF('20Ф'!$H:$H,$B:$B,'20Ф'!$AY:$AY)*1.2</f>
        <v>43329</v>
      </c>
      <c r="EZ134" s="295">
        <f>D134/$D$286*'20Ф'!$I$1163</f>
        <v>2369.5958060915004</v>
      </c>
      <c r="FA134" s="277">
        <f>SUMIF(отчёт!$B:$B,$B:$B,отчёт!$CU:$CU)/отчёт!$CU$281*'20Ф'!$I$1341</f>
        <v>0</v>
      </c>
      <c r="FB134" s="276">
        <f>SUMIF(Сальдо!$A:$A,$B:$B,Сальдо!$H:$H)-SUMIF(Сальдо!$A:$A,$B:$B,Сальдо!$I:$I)</f>
        <v>468383.21</v>
      </c>
    </row>
    <row r="135" spans="1:158" ht="12" customHeight="1" x14ac:dyDescent="0.25">
      <c r="A135" s="3">
        <f t="shared" ref="A135:A198" si="32">A134+1</f>
        <v>131</v>
      </c>
      <c r="B135" s="4" t="s">
        <v>180</v>
      </c>
      <c r="C135" s="4" t="s">
        <v>180</v>
      </c>
      <c r="D135" s="5">
        <v>6399.3</v>
      </c>
      <c r="E135" s="6">
        <v>6399.3</v>
      </c>
      <c r="F135" s="6">
        <v>0</v>
      </c>
      <c r="G135" s="6">
        <v>1625.4</v>
      </c>
      <c r="H135" s="5">
        <f>SUMIF(отчёт!$B:$B,$B:$B,отчёт!I:I)</f>
        <v>2</v>
      </c>
      <c r="I135" s="5">
        <f>SUMIF(отчёт!$B:$B,$B:$B,отчёт!J:J)</f>
        <v>0</v>
      </c>
      <c r="J135" s="3" t="s">
        <v>51</v>
      </c>
      <c r="K135" s="105">
        <v>3</v>
      </c>
      <c r="L135" s="105" t="s">
        <v>52</v>
      </c>
      <c r="M135" s="7">
        <v>45.06</v>
      </c>
      <c r="N135" s="8">
        <v>5.0999999999999996</v>
      </c>
      <c r="O135" s="8">
        <v>8.6300000000000008</v>
      </c>
      <c r="P135" s="8">
        <v>13.43</v>
      </c>
      <c r="Q135" s="8">
        <v>6.91</v>
      </c>
      <c r="R135" s="8">
        <v>3.15</v>
      </c>
      <c r="S135" s="8">
        <v>1.81</v>
      </c>
      <c r="T135" s="8">
        <v>5.77</v>
      </c>
      <c r="U135" s="8">
        <v>0.26</v>
      </c>
      <c r="V135" s="9">
        <v>40</v>
      </c>
      <c r="W135" s="9">
        <v>40</v>
      </c>
      <c r="X135" s="9">
        <v>2604.04</v>
      </c>
      <c r="Y135" s="8">
        <v>195.98199600000001</v>
      </c>
      <c r="Z135" s="9">
        <v>42.3</v>
      </c>
      <c r="AA135" s="9">
        <v>2604.04</v>
      </c>
      <c r="AB135" s="8">
        <v>7.85</v>
      </c>
      <c r="AC135" s="10">
        <v>0</v>
      </c>
      <c r="AD135" s="8">
        <v>6.73</v>
      </c>
      <c r="AE135" s="8">
        <v>10.67</v>
      </c>
      <c r="AF135" s="8">
        <v>14</v>
      </c>
      <c r="AG135" s="7">
        <v>1730114.7480000001</v>
      </c>
      <c r="AH135" s="8">
        <v>195818.58000000002</v>
      </c>
      <c r="AI135" s="8">
        <v>331355.75400000007</v>
      </c>
      <c r="AJ135" s="8">
        <v>515655.59400000004</v>
      </c>
      <c r="AK135" s="8">
        <v>265314.978</v>
      </c>
      <c r="AL135" s="8">
        <v>120946.76999999999</v>
      </c>
      <c r="AM135" s="8">
        <v>69496.398000000001</v>
      </c>
      <c r="AN135" s="8">
        <v>221543.76599999997</v>
      </c>
      <c r="AO135" s="8">
        <v>9982.9080000000013</v>
      </c>
      <c r="AQ135" s="104">
        <v>48.44</v>
      </c>
      <c r="AR135" s="375">
        <v>18.489999999999998</v>
      </c>
      <c r="AS135" s="376"/>
      <c r="AT135" s="104">
        <v>6.67</v>
      </c>
      <c r="AU135" s="104">
        <v>1.53</v>
      </c>
      <c r="AV135" s="104">
        <v>0.32</v>
      </c>
      <c r="AW135" s="104">
        <v>0.87</v>
      </c>
      <c r="AX135" s="104">
        <v>5.01</v>
      </c>
      <c r="AY135" s="104">
        <v>4.99</v>
      </c>
      <c r="AZ135" s="104">
        <v>2.7</v>
      </c>
      <c r="BA135" s="104">
        <v>6.46</v>
      </c>
      <c r="BB135" s="104">
        <v>0.47</v>
      </c>
      <c r="BC135" s="101">
        <v>0.93</v>
      </c>
      <c r="BD135" s="104">
        <v>54.88252</v>
      </c>
      <c r="BE135" s="375">
        <v>20.949169999999999</v>
      </c>
      <c r="BF135" s="376">
        <v>0</v>
      </c>
      <c r="BG135" s="104">
        <v>7.5571100000000007</v>
      </c>
      <c r="BH135" s="104">
        <v>1.7334900000000002</v>
      </c>
      <c r="BI135" s="104">
        <v>0.36256000000000005</v>
      </c>
      <c r="BJ135" s="104">
        <v>0.98571000000000009</v>
      </c>
      <c r="BK135" s="104">
        <v>5.6763300000000001</v>
      </c>
      <c r="BL135" s="104">
        <v>5.65367</v>
      </c>
      <c r="BM135" s="104">
        <v>3.0591000000000004</v>
      </c>
      <c r="BN135" s="104">
        <v>7.3191800000000002</v>
      </c>
      <c r="BO135" s="104">
        <v>0.53250999999999993</v>
      </c>
      <c r="BP135" s="101">
        <v>1.05369</v>
      </c>
      <c r="BQ135" s="103">
        <v>4132061.2863600003</v>
      </c>
      <c r="BR135" s="371">
        <v>1577246.3498099998</v>
      </c>
      <c r="BS135" s="371">
        <v>0</v>
      </c>
      <c r="BT135" s="103">
        <v>568968.80223000003</v>
      </c>
      <c r="BU135" s="103">
        <v>130513.08357</v>
      </c>
      <c r="BV135" s="103">
        <v>27296.854080000001</v>
      </c>
      <c r="BW135" s="103">
        <v>74213.32203000001</v>
      </c>
      <c r="BX135" s="103">
        <v>427366.37169</v>
      </c>
      <c r="BY135" s="103">
        <v>425660.31831</v>
      </c>
      <c r="BZ135" s="103">
        <v>230317.20630000005</v>
      </c>
      <c r="CA135" s="103">
        <v>551055.24174000008</v>
      </c>
      <c r="CB135" s="103">
        <v>40092.254429999994</v>
      </c>
      <c r="CC135" s="103">
        <v>79331.482169999988</v>
      </c>
      <c r="CD135" s="1">
        <v>1</v>
      </c>
      <c r="CF135" s="277">
        <f>SUMIF(Оборот!$A:$A,$B:$B,Оборот!H:H)</f>
        <v>3548178.6899999995</v>
      </c>
      <c r="CG135" s="277">
        <f>SUMIF(Оборот!$A:$A,$B:$B,Оборот!I:I)</f>
        <v>3639661.34</v>
      </c>
      <c r="CH135" s="277">
        <f t="shared" si="25"/>
        <v>2307856.371474924</v>
      </c>
      <c r="CI135" s="239">
        <f t="shared" si="30"/>
        <v>56283.986360005074</v>
      </c>
      <c r="CJ135" s="276">
        <f>SUMIF('20Ф'!$H:$H,$B:$B,'20Ф'!M:M)*1.2</f>
        <v>0</v>
      </c>
      <c r="CK135" s="276">
        <f>SUMIF('20Ф'!$H:$H,$B:$B,'20Ф'!O:O)*1.2</f>
        <v>0</v>
      </c>
      <c r="CL135" s="276">
        <f>SUMIF('20Ф'!$H:$H,$B:$B,'20Ф'!Q:Q)*1.2</f>
        <v>0</v>
      </c>
      <c r="CM135" s="276">
        <f>SUMIF('20Ф'!$H:$H,$B:$B,'20Ф'!R:R)*1.2</f>
        <v>0</v>
      </c>
      <c r="CN135" s="276">
        <f>SUMIF('20Ф'!$H:$H,$B:$B,'20Ф'!S:S)*1.2</f>
        <v>0</v>
      </c>
      <c r="CO135" s="276">
        <f>SUMIF('20Ф'!$H:$H,$B:$B,'20Ф'!W:W)*1.2</f>
        <v>0</v>
      </c>
      <c r="CP135" s="276">
        <f>SUMIF('20Ф'!$H:$H,$B:$B,'20Ф'!P:P)*1.2</f>
        <v>0</v>
      </c>
      <c r="CQ135" s="276">
        <f>SUMIF('20Ф'!$H:$H,$B:$B,'20Ф'!Y:Y)*1.2</f>
        <v>0</v>
      </c>
      <c r="CR135" s="276">
        <f>SUMIF('20Ф'!$H:$H,$B:$B,'20Ф'!Z:Z)*1.2</f>
        <v>0</v>
      </c>
      <c r="CS135" s="276">
        <f>SUMIF('20Ф'!$H:$H,$B:$B,'20Ф'!AB:AB)*1.2</f>
        <v>0</v>
      </c>
      <c r="CT135" s="276">
        <f>SUMIF('20Ф'!$H:$H,$B:$B,'20Ф'!AC:AC)*1.2</f>
        <v>0</v>
      </c>
      <c r="CU135" s="276">
        <f>SUMIF('20Ф'!$H:$H,$B:$B,'20Ф'!AD:AD)*1.2</f>
        <v>0</v>
      </c>
      <c r="CV135" s="276">
        <f>SUMIF('20Ф'!$H:$H,$B:$B,'20Ф'!AE:AE)*1.2</f>
        <v>0</v>
      </c>
      <c r="CW135" s="276">
        <f>SUMIF('20Ф'!$H:$H,$B:$B,'20Ф'!AF:AF)*1.2</f>
        <v>0</v>
      </c>
      <c r="CX135" s="276">
        <f>SUMIF('20Ф'!$H:$H,$B:$B,'20Ф'!AG:AG)*1.2</f>
        <v>0</v>
      </c>
      <c r="CY135" s="276">
        <f>SUMIF('20Ф'!$H:$H,$B:$B,'20Ф'!AH:AH)*1.2</f>
        <v>0</v>
      </c>
      <c r="CZ135" s="276">
        <f>SUMIF('20Ф'!$H:$H,$B:$B,'20Ф'!AI:AI)*1.2</f>
        <v>0</v>
      </c>
      <c r="DA135" s="276">
        <f>SUMIF('20Ф'!$H:$H,$B:$B,'20Ф'!AJ:AJ)*1.2</f>
        <v>0</v>
      </c>
      <c r="DB135" s="276">
        <f>SUMIF('20Ф'!$H:$H,$B:$B,'20Ф'!AK:AK)*1.2</f>
        <v>0</v>
      </c>
      <c r="DC135" s="276">
        <f>SUMIF('20Ф'!$H:$H,$B:$B,'20Ф'!AL:AL)*1.2</f>
        <v>0</v>
      </c>
      <c r="DD135" s="276">
        <f>SUMIF('20Ф'!$H:$H,$B:$B,'20Ф'!AM:AM)*1.2</f>
        <v>0</v>
      </c>
      <c r="DE135" s="276">
        <f>SUMIF('20Ф'!$H:$H,$B:$B,'20Ф'!AN:AN)*1.2</f>
        <v>0</v>
      </c>
      <c r="DF135" s="276">
        <f>SUMIF('20Ф'!$H:$H,$B:$B,'20Ф'!AO:AO)*1.2</f>
        <v>0</v>
      </c>
      <c r="DG135" s="276">
        <f>SUMIF('20Ф'!$H:$H,$B:$B,'20Ф'!AP:AP)*1.2</f>
        <v>0</v>
      </c>
      <c r="DH135" s="276">
        <f>SUMIF('20Ф'!$H:$H,$B:$B,'20Ф'!AQ:AQ)*1.2</f>
        <v>0</v>
      </c>
      <c r="DI135" s="276">
        <f>SUMIF('20Ф'!$H:$H,$B:$B,'20Ф'!BA:BA)*1.2</f>
        <v>0</v>
      </c>
      <c r="DJ135" s="276">
        <f>SUMIF('20Ф'!$H:$H,$B:$B,'20Ф'!BB:BB)*1.2</f>
        <v>0</v>
      </c>
      <c r="DK135" s="276">
        <f>SUMIF('20Ф'!$H:$H,$B:$B,'20Ф'!BC:BC)*1.2</f>
        <v>0</v>
      </c>
      <c r="DL135" s="276">
        <f>$D135/$D$281*'20Ф'!$H$218</f>
        <v>56283.986360005074</v>
      </c>
      <c r="DM135" s="240">
        <f t="shared" si="26"/>
        <v>595717.53849787428</v>
      </c>
      <c r="DN135" s="276">
        <f>SUMIF('20Ф'!$H:$H,$B:$B,'20Ф'!AV:AV)*1.2</f>
        <v>0</v>
      </c>
      <c r="DO135" s="276">
        <f>SUMIF('20Ф'!$H:$H,$B:$B,'20Ф'!AW:AW)*1.2+$D135/$D$281*'26Ф'!$D$42</f>
        <v>29951.424049346795</v>
      </c>
      <c r="DP135" s="276">
        <f>SUMIF('20Ф'!$H:$H,$B:$B,'20Ф'!AX:AX)*1.2</f>
        <v>0</v>
      </c>
      <c r="DQ135" s="276">
        <f>SUMIF('20Ф'!$H:$H,$B:$B,'20Ф'!AY:AY)*1.2</f>
        <v>0</v>
      </c>
      <c r="DR135" s="276">
        <f>SUMIF('20Ф'!$H:$H,$B:$B,'20Ф'!AU:AU)*1.2</f>
        <v>0</v>
      </c>
      <c r="DS135" s="276">
        <f>SUMIF('20Ф'!$H:$H,$B:$B,'20Ф'!AS:AS)*1.2</f>
        <v>37427.82</v>
      </c>
      <c r="DT135" s="276">
        <f>SUMIF('20Ф'!$H:$H,$B:$B,'20Ф'!AR:AR)*1.2</f>
        <v>0</v>
      </c>
      <c r="DU135" s="276">
        <f>SUMIF('20Ф'!$H:$H,$B:$B,'20Ф'!X:X)*1.2</f>
        <v>0</v>
      </c>
      <c r="DV135" s="276">
        <f>SUMIF('20Ф'!$H:$H,$B:$B,'20Ф'!AA:AA)*1.2</f>
        <v>0</v>
      </c>
      <c r="DW135" s="276">
        <f>SUMIF('20Ф'!$H:$H,$B:$B,'20Ф'!N:N)*1.2</f>
        <v>0</v>
      </c>
      <c r="DX135" s="276">
        <f>$D135/$D$281*('25Ф'!$D$37)</f>
        <v>503445.96833617147</v>
      </c>
      <c r="DY135" s="276">
        <f>$D135/$D$281*'25Ф'!$D$30</f>
        <v>16068.414902261769</v>
      </c>
      <c r="DZ135" s="276">
        <f>$D135/$D$281*'25Ф'!$D$31</f>
        <v>8823.911210094273</v>
      </c>
      <c r="EA135" s="276"/>
      <c r="EB135" s="276">
        <f t="shared" si="27"/>
        <v>317178.8616658317</v>
      </c>
      <c r="EC135" s="276">
        <f>$D135/$D$281*'26Ф'!$D$36</f>
        <v>165101.81216660904</v>
      </c>
      <c r="ED135" s="276">
        <f>$D135/$D$281*'26Ф'!$D$37</f>
        <v>19836.806399645149</v>
      </c>
      <c r="EE135" s="276">
        <f>$D135/$D$281*'26Ф'!$D$38</f>
        <v>20040.252368962741</v>
      </c>
      <c r="EF135" s="276">
        <f>$D135/$D$281*'26Ф'!$D$39</f>
        <v>14058.218746562157</v>
      </c>
      <c r="EG135" s="276">
        <f>$D135/$D$281*'91Ф'!$D$10</f>
        <v>4336.9546365796314</v>
      </c>
      <c r="EH135" s="276">
        <f>$D135/$D$281*('20Ф'!$I$509+'26Ф'!$D$41+'20Ф'!$I$507)</f>
        <v>30682.525962237978</v>
      </c>
      <c r="EI135" s="276">
        <f>$D135/$D$281*'91Ф'!$D$31</f>
        <v>56245.576729014203</v>
      </c>
      <c r="EJ135" s="276">
        <f>$D135/$D$281*'20Ф'!$I$1316</f>
        <v>6876.7146562208027</v>
      </c>
      <c r="EK135" s="276">
        <f>$D135/$D$281*('20Ф'!$I$1105+'20Ф'!$I$1282+'91Ф'!$D$17+'91Ф'!$D$41)</f>
        <v>225838.97065910787</v>
      </c>
      <c r="EL135" s="276">
        <f>$D135/$D$281*отчёт!BX$294</f>
        <v>377533.88343157317</v>
      </c>
      <c r="EM135" s="276">
        <f>$D135/$D$281*отчёт!BY$294</f>
        <v>332020.78519924229</v>
      </c>
      <c r="EN135" s="276">
        <f>$D135/$D$283*отчёт!BZ$294</f>
        <v>59587.352169728038</v>
      </c>
      <c r="EO135" s="240">
        <f t="shared" ref="EO135:EO136" si="33">SUBTOTAL(9,EP135:ER135)</f>
        <v>183055.68950099801</v>
      </c>
      <c r="EP135" s="276">
        <f>SUMIF('20Ф'!$H:$H,$B:$B,'20Ф'!T:T)*1.2</f>
        <v>5192.28</v>
      </c>
      <c r="EQ135" s="276">
        <f>SUM(H135:I135)/SUM($H$284:$I$284)*SUM('60Ф'!$O$155:$P$155)</f>
        <v>172510.26175648702</v>
      </c>
      <c r="ER135" s="276">
        <f>SUM($H135:$I135)/SUM($H$284:$I$284)*SUM('60Ф'!$P$227)</f>
        <v>5353.1477445109776</v>
      </c>
      <c r="ES135" s="239">
        <f t="shared" si="31"/>
        <v>126360.73457445066</v>
      </c>
      <c r="ET135" s="276">
        <f>$D135/$D$282*'20Ф'!$I$381</f>
        <v>9657.8720126300213</v>
      </c>
      <c r="EU135" s="276">
        <f>$D135/$D$282*('20Ф'!$I$75+'20Ф'!$I$1098)*1.2</f>
        <v>111552.70913995973</v>
      </c>
      <c r="EV135" s="276">
        <f>$D135/$D$282*('20Ф'!$I$1286)</f>
        <v>5150.1534218609222</v>
      </c>
      <c r="EW135" s="276">
        <f>SUMIF('91.1Ф'!$N:$N,$B:$B,'91.1Ф'!$F:$F)+$D135/$D$281*('91Ф'!$D$12+'91Ф'!$D$11+'91Ф'!$D$19+'91Ф'!$D$20)</f>
        <v>29764.472475793187</v>
      </c>
      <c r="EX135" s="276">
        <f t="shared" si="29"/>
        <v>4514.0969403195222</v>
      </c>
      <c r="EY135" s="276">
        <f>SUMIF('20Ф'!$H:$H,$B:$B,'20Ф'!$AY:$AY)*1.2</f>
        <v>0</v>
      </c>
      <c r="EZ135" s="295">
        <f>D135/$D$286*'20Ф'!$I$1163</f>
        <v>4514.0969403195222</v>
      </c>
      <c r="FA135" s="277">
        <f>SUMIF(отчёт!$B:$B,$B:$B,отчёт!$CU:$CU)/отчёт!$CU$281*'20Ф'!$I$1341</f>
        <v>1841.9277108433701</v>
      </c>
      <c r="FB135" s="276">
        <f>SUMIF(Сальдо!$A:$A,$B:$B,Сальдо!$H:$H)-SUMIF(Сальдо!$A:$A,$B:$B,Сальдо!$I:$I)</f>
        <v>865539.49</v>
      </c>
    </row>
    <row r="136" spans="1:158" ht="12" customHeight="1" x14ac:dyDescent="0.25">
      <c r="A136" s="3">
        <f t="shared" si="32"/>
        <v>132</v>
      </c>
      <c r="B136" s="4" t="s">
        <v>181</v>
      </c>
      <c r="C136" s="4" t="s">
        <v>181</v>
      </c>
      <c r="D136" s="5">
        <v>4686.3</v>
      </c>
      <c r="E136" s="6">
        <v>3481.8</v>
      </c>
      <c r="F136" s="6">
        <v>1204.5</v>
      </c>
      <c r="G136" s="6">
        <v>477.7</v>
      </c>
      <c r="H136" s="5">
        <f>SUMIF(отчёт!$B:$B,$B:$B,отчёт!I:I)</f>
        <v>2</v>
      </c>
      <c r="I136" s="5">
        <f>SUMIF(отчёт!$B:$B,$B:$B,отчёт!J:J)</f>
        <v>0</v>
      </c>
      <c r="J136" s="3" t="s">
        <v>51</v>
      </c>
      <c r="K136" s="105">
        <v>3</v>
      </c>
      <c r="L136" s="105" t="s">
        <v>52</v>
      </c>
      <c r="M136" s="7">
        <v>45.06</v>
      </c>
      <c r="N136" s="8">
        <v>5.0999999999999996</v>
      </c>
      <c r="O136" s="8">
        <v>8.6300000000000008</v>
      </c>
      <c r="P136" s="8">
        <v>13.43</v>
      </c>
      <c r="Q136" s="8">
        <v>6.91</v>
      </c>
      <c r="R136" s="8">
        <v>3.15</v>
      </c>
      <c r="S136" s="8">
        <v>1.81</v>
      </c>
      <c r="T136" s="8">
        <v>5.77</v>
      </c>
      <c r="U136" s="8">
        <v>0.26</v>
      </c>
      <c r="V136" s="9">
        <v>40</v>
      </c>
      <c r="W136" s="9">
        <v>40</v>
      </c>
      <c r="X136" s="9">
        <v>2604.04</v>
      </c>
      <c r="Y136" s="8">
        <v>195.98199600000001</v>
      </c>
      <c r="Z136" s="9">
        <v>42.3</v>
      </c>
      <c r="AA136" s="9">
        <v>2604.04</v>
      </c>
      <c r="AB136" s="8">
        <v>7.85</v>
      </c>
      <c r="AC136" s="10">
        <v>0</v>
      </c>
      <c r="AD136" s="8">
        <v>6.73</v>
      </c>
      <c r="AE136" s="8">
        <v>10.67</v>
      </c>
      <c r="AF136" s="8">
        <v>14</v>
      </c>
      <c r="AG136" s="7">
        <v>1266988.068</v>
      </c>
      <c r="AH136" s="8">
        <v>143400.78</v>
      </c>
      <c r="AI136" s="8">
        <v>242656.61400000006</v>
      </c>
      <c r="AJ136" s="8">
        <v>377622.054</v>
      </c>
      <c r="AK136" s="8">
        <v>194293.99800000002</v>
      </c>
      <c r="AL136" s="8">
        <v>88571.069999999992</v>
      </c>
      <c r="AM136" s="8">
        <v>50893.218000000008</v>
      </c>
      <c r="AN136" s="8">
        <v>162239.70599999998</v>
      </c>
      <c r="AO136" s="8">
        <v>7310.6280000000006</v>
      </c>
      <c r="AQ136" s="104">
        <v>48.44</v>
      </c>
      <c r="AR136" s="375">
        <v>18.489999999999998</v>
      </c>
      <c r="AS136" s="376"/>
      <c r="AT136" s="104">
        <v>6.67</v>
      </c>
      <c r="AU136" s="104">
        <v>1.53</v>
      </c>
      <c r="AV136" s="104">
        <v>0.32</v>
      </c>
      <c r="AW136" s="104">
        <v>0.87</v>
      </c>
      <c r="AX136" s="104">
        <v>5.01</v>
      </c>
      <c r="AY136" s="104">
        <v>4.99</v>
      </c>
      <c r="AZ136" s="104">
        <v>2.7</v>
      </c>
      <c r="BA136" s="104">
        <v>6.46</v>
      </c>
      <c r="BB136" s="104">
        <v>0.47</v>
      </c>
      <c r="BC136" s="101">
        <v>0.93</v>
      </c>
      <c r="BD136" s="104">
        <v>54.88252</v>
      </c>
      <c r="BE136" s="375">
        <v>20.949169999999999</v>
      </c>
      <c r="BF136" s="376">
        <v>0</v>
      </c>
      <c r="BG136" s="104">
        <v>7.5571100000000007</v>
      </c>
      <c r="BH136" s="104">
        <v>1.7334900000000002</v>
      </c>
      <c r="BI136" s="104">
        <v>0.36256000000000005</v>
      </c>
      <c r="BJ136" s="104">
        <v>0.98571000000000009</v>
      </c>
      <c r="BK136" s="104">
        <v>5.6763300000000001</v>
      </c>
      <c r="BL136" s="104">
        <v>5.65367</v>
      </c>
      <c r="BM136" s="104">
        <v>3.0591000000000004</v>
      </c>
      <c r="BN136" s="104">
        <v>7.3191800000000002</v>
      </c>
      <c r="BO136" s="104">
        <v>0.53250999999999993</v>
      </c>
      <c r="BP136" s="101">
        <v>1.05369</v>
      </c>
      <c r="BQ136" s="103">
        <v>3025968.2787599997</v>
      </c>
      <c r="BR136" s="371">
        <v>1155040.3277099999</v>
      </c>
      <c r="BS136" s="371">
        <v>0</v>
      </c>
      <c r="BT136" s="103">
        <v>416664.08793000004</v>
      </c>
      <c r="BU136" s="103">
        <v>95576.61987000001</v>
      </c>
      <c r="BV136" s="103">
        <v>19989.881280000001</v>
      </c>
      <c r="BW136" s="103">
        <v>54347.489730000008</v>
      </c>
      <c r="BX136" s="103">
        <v>312966.57879</v>
      </c>
      <c r="BY136" s="103">
        <v>311717.21121000004</v>
      </c>
      <c r="BZ136" s="103">
        <v>168664.62330000004</v>
      </c>
      <c r="CA136" s="103">
        <v>403545.72834000003</v>
      </c>
      <c r="CB136" s="103">
        <v>29360.138129999996</v>
      </c>
      <c r="CC136" s="103">
        <v>58095.592469999996</v>
      </c>
      <c r="CD136" s="1">
        <v>1</v>
      </c>
      <c r="CF136" s="277">
        <f>SUMIF(Оборот!$A:$A,$B:$B,Оборот!H:H)</f>
        <v>1929475.8399999999</v>
      </c>
      <c r="CG136" s="277">
        <f>SUMIF(Оборот!$A:$A,$B:$B,Оборот!I:I)</f>
        <v>1908933.65</v>
      </c>
      <c r="CH136" s="277">
        <f t="shared" si="25"/>
        <v>1865130.4085661471</v>
      </c>
      <c r="CI136" s="239">
        <f t="shared" si="30"/>
        <v>79107.181747392955</v>
      </c>
      <c r="CJ136" s="276">
        <f>SUMIF('20Ф'!$H:$H,$B:$B,'20Ф'!M:M)*1.2</f>
        <v>0</v>
      </c>
      <c r="CK136" s="276">
        <f>SUMIF('20Ф'!$H:$H,$B:$B,'20Ф'!O:O)*1.2</f>
        <v>0</v>
      </c>
      <c r="CL136" s="276">
        <f>SUMIF('20Ф'!$H:$H,$B:$B,'20Ф'!Q:Q)*1.2</f>
        <v>0</v>
      </c>
      <c r="CM136" s="276">
        <f>SUMIF('20Ф'!$H:$H,$B:$B,'20Ф'!R:R)*1.2</f>
        <v>0</v>
      </c>
      <c r="CN136" s="276">
        <f>SUMIF('20Ф'!$H:$H,$B:$B,'20Ф'!S:S)*1.2</f>
        <v>0</v>
      </c>
      <c r="CO136" s="276">
        <f>SUMIF('20Ф'!$H:$H,$B:$B,'20Ф'!W:W)*1.2</f>
        <v>0</v>
      </c>
      <c r="CP136" s="276">
        <f>SUMIF('20Ф'!$H:$H,$B:$B,'20Ф'!P:P)*1.2</f>
        <v>0</v>
      </c>
      <c r="CQ136" s="276">
        <f>SUMIF('20Ф'!$H:$H,$B:$B,'20Ф'!Y:Y)*1.2</f>
        <v>0</v>
      </c>
      <c r="CR136" s="276">
        <f>SUMIF('20Ф'!$H:$H,$B:$B,'20Ф'!Z:Z)*1.2</f>
        <v>0</v>
      </c>
      <c r="CS136" s="276">
        <f>SUMIF('20Ф'!$H:$H,$B:$B,'20Ф'!AB:AB)*1.2</f>
        <v>0</v>
      </c>
      <c r="CT136" s="276">
        <f>SUMIF('20Ф'!$H:$H,$B:$B,'20Ф'!AC:AC)*1.2</f>
        <v>0</v>
      </c>
      <c r="CU136" s="276">
        <f>SUMIF('20Ф'!$H:$H,$B:$B,'20Ф'!AD:AD)*1.2</f>
        <v>0</v>
      </c>
      <c r="CV136" s="276">
        <f>SUMIF('20Ф'!$H:$H,$B:$B,'20Ф'!AE:AE)*1.2</f>
        <v>0</v>
      </c>
      <c r="CW136" s="276">
        <f>SUMIF('20Ф'!$H:$H,$B:$B,'20Ф'!AF:AF)*1.2</f>
        <v>0</v>
      </c>
      <c r="CX136" s="276">
        <f>SUMIF('20Ф'!$H:$H,$B:$B,'20Ф'!AG:AG)*1.2</f>
        <v>0</v>
      </c>
      <c r="CY136" s="276">
        <f>SUMIF('20Ф'!$H:$H,$B:$B,'20Ф'!AH:AH)*1.2</f>
        <v>0</v>
      </c>
      <c r="CZ136" s="276">
        <f>SUMIF('20Ф'!$H:$H,$B:$B,'20Ф'!AI:AI)*1.2</f>
        <v>0</v>
      </c>
      <c r="DA136" s="276">
        <f>SUMIF('20Ф'!$H:$H,$B:$B,'20Ф'!AJ:AJ)*1.2</f>
        <v>37889.603999999999</v>
      </c>
      <c r="DB136" s="276">
        <f>SUMIF('20Ф'!$H:$H,$B:$B,'20Ф'!AK:AK)*1.2</f>
        <v>0</v>
      </c>
      <c r="DC136" s="276">
        <f>SUMIF('20Ф'!$H:$H,$B:$B,'20Ф'!AL:AL)*1.2</f>
        <v>0</v>
      </c>
      <c r="DD136" s="276">
        <f>SUMIF('20Ф'!$H:$H,$B:$B,'20Ф'!AM:AM)*1.2</f>
        <v>0</v>
      </c>
      <c r="DE136" s="276">
        <f>SUMIF('20Ф'!$H:$H,$B:$B,'20Ф'!AN:AN)*1.2</f>
        <v>0</v>
      </c>
      <c r="DF136" s="276">
        <f>SUMIF('20Ф'!$H:$H,$B:$B,'20Ф'!AO:AO)*1.2</f>
        <v>0</v>
      </c>
      <c r="DG136" s="276">
        <f>SUMIF('20Ф'!$H:$H,$B:$B,'20Ф'!AP:AP)*1.2</f>
        <v>0</v>
      </c>
      <c r="DH136" s="276">
        <f>SUMIF('20Ф'!$H:$H,$B:$B,'20Ф'!AQ:AQ)*1.2</f>
        <v>0</v>
      </c>
      <c r="DI136" s="276">
        <f>SUMIF('20Ф'!$H:$H,$B:$B,'20Ф'!BA:BA)*1.2</f>
        <v>0</v>
      </c>
      <c r="DJ136" s="276">
        <f>SUMIF('20Ф'!$H:$H,$B:$B,'20Ф'!BB:BB)*1.2</f>
        <v>0</v>
      </c>
      <c r="DK136" s="276">
        <f>SUMIF('20Ф'!$H:$H,$B:$B,'20Ф'!BC:BC)*1.2</f>
        <v>0</v>
      </c>
      <c r="DL136" s="276">
        <f>$D136/$D$281*'20Ф'!$H$218</f>
        <v>41217.577747392956</v>
      </c>
      <c r="DM136" s="240">
        <f t="shared" si="26"/>
        <v>491046.58036638197</v>
      </c>
      <c r="DN136" s="276">
        <f>SUMIF('20Ф'!$H:$H,$B:$B,'20Ф'!AV:AV)*1.2</f>
        <v>0</v>
      </c>
      <c r="DO136" s="276">
        <f>SUMIF('20Ф'!$H:$H,$B:$B,'20Ф'!AW:AW)*1.2+$D136/$D$281*'26Ф'!$D$42</f>
        <v>21933.861285211489</v>
      </c>
      <c r="DP136" s="276">
        <f>SUMIF('20Ф'!$H:$H,$B:$B,'20Ф'!AX:AX)*1.2</f>
        <v>0</v>
      </c>
      <c r="DQ136" s="276">
        <f>SUMIF('20Ф'!$H:$H,$B:$B,'20Ф'!AY:AY)*1.2</f>
        <v>32548.5</v>
      </c>
      <c r="DR136" s="276">
        <f>SUMIF('20Ф'!$H:$H,$B:$B,'20Ф'!AU:AU)*1.2</f>
        <v>0</v>
      </c>
      <c r="DS136" s="276">
        <f>SUMIF('20Ф'!$H:$H,$B:$B,'20Ф'!AS:AS)*1.2</f>
        <v>49654.439999999995</v>
      </c>
      <c r="DT136" s="276">
        <f>SUMIF('20Ф'!$H:$H,$B:$B,'20Ф'!AR:AR)*1.2</f>
        <v>0</v>
      </c>
      <c r="DU136" s="276">
        <f>SUMIF('20Ф'!$H:$H,$B:$B,'20Ф'!X:X)*1.2</f>
        <v>0</v>
      </c>
      <c r="DV136" s="276">
        <f>SUMIF('20Ф'!$H:$H,$B:$B,'20Ф'!AA:AA)*1.2</f>
        <v>0</v>
      </c>
      <c r="DW136" s="276">
        <f>SUMIF('20Ф'!$H:$H,$B:$B,'20Ф'!N:N)*1.2</f>
        <v>0</v>
      </c>
      <c r="DX136" s="276">
        <f>$D136/$D$281*('25Ф'!$D$37)</f>
        <v>368680.76842995331</v>
      </c>
      <c r="DY136" s="276">
        <f>$D136/$D$281*'25Ф'!$D$30</f>
        <v>11767.132773345418</v>
      </c>
      <c r="DZ136" s="276">
        <f>$D136/$D$281*'25Ф'!$D$31</f>
        <v>6461.877877871766</v>
      </c>
      <c r="EA136" s="276"/>
      <c r="EB136" s="276">
        <f t="shared" si="27"/>
        <v>232274.67057718613</v>
      </c>
      <c r="EC136" s="276">
        <f>$D136/$D$281*'26Ф'!$D$36</f>
        <v>120906.44638575779</v>
      </c>
      <c r="ED136" s="276">
        <f>$D136/$D$281*'26Ф'!$D$37</f>
        <v>14526.780402646706</v>
      </c>
      <c r="EE136" s="276">
        <f>$D136/$D$281*'26Ф'!$D$38</f>
        <v>14675.766830226759</v>
      </c>
      <c r="EF136" s="276">
        <f>$D136/$D$281*'26Ф'!$D$39</f>
        <v>10295.037037178166</v>
      </c>
      <c r="EG136" s="276">
        <f>$D136/$D$281*'91Ф'!$D$10</f>
        <v>3176.0146443209615</v>
      </c>
      <c r="EH136" s="276">
        <f>$D136/$D$281*('20Ф'!$I$509+'26Ф'!$D$41+'20Ф'!$I$507)</f>
        <v>22469.257796452086</v>
      </c>
      <c r="EI136" s="276">
        <f>$D136/$D$281*'91Ф'!$D$31</f>
        <v>41189.449818758185</v>
      </c>
      <c r="EJ136" s="276">
        <f>$D136/$D$281*'20Ф'!$I$1316</f>
        <v>5035.917661845443</v>
      </c>
      <c r="EK136" s="276">
        <f>$D136/$D$281*('20Ф'!$I$1105+'20Ф'!$I$1282+'91Ф'!$D$17+'91Ф'!$D$41)</f>
        <v>165385.14653161707</v>
      </c>
      <c r="EL136" s="276">
        <f>$D136/$D$281*отчёт!BX$294</f>
        <v>276473.52646779828</v>
      </c>
      <c r="EM136" s="276">
        <f>$D136/$D$281*отчёт!BY$294</f>
        <v>243143.62597146709</v>
      </c>
      <c r="EN136" s="276">
        <f>$D136/$D$283*отчёт!BZ$294</f>
        <v>43636.680335817437</v>
      </c>
      <c r="EO136" s="240">
        <f t="shared" si="33"/>
        <v>183876.00950099801</v>
      </c>
      <c r="EP136" s="276">
        <f>SUMIF('20Ф'!$H:$H,$B:$B,'20Ф'!T:T)*1.2</f>
        <v>6012.5999999999995</v>
      </c>
      <c r="EQ136" s="276">
        <f>SUM(H136:I136)/SUM($H$284:$I$284)*SUM('60Ф'!$O$155:$P$155)</f>
        <v>172510.26175648702</v>
      </c>
      <c r="ER136" s="276">
        <f>SUM($H136:$I136)/SUM($H$284:$I$284)*SUM('60Ф'!$P$227)</f>
        <v>5353.1477445109776</v>
      </c>
      <c r="ES136" s="239">
        <f t="shared" si="31"/>
        <v>92535.794608199023</v>
      </c>
      <c r="ET136" s="276">
        <f>$D136/$D$282*'20Ф'!$I$381</f>
        <v>7072.5994425621657</v>
      </c>
      <c r="EU136" s="276">
        <f>$D136/$D$282*('20Ф'!$I$75+'20Ф'!$I$1098)*1.2</f>
        <v>81691.663282326685</v>
      </c>
      <c r="EV136" s="276">
        <f>$D136/$D$282*('20Ф'!$I$1286)</f>
        <v>3771.5318833101801</v>
      </c>
      <c r="EW136" s="276">
        <f>SUMIF('91.1Ф'!$N:$N,$B:$B,'91.1Ф'!$F:$F)+$D136/$D$281*('91Ф'!$D$12+'91Ф'!$D$11+'91Ф'!$D$19+'91Ф'!$D$20)</f>
        <v>21796.953942354568</v>
      </c>
      <c r="EX136" s="276">
        <f t="shared" si="29"/>
        <v>35854.238516934565</v>
      </c>
      <c r="EY136" s="276">
        <f>SUMIF('20Ф'!$H:$H,$B:$B,'20Ф'!$AY:$AY)*1.2</f>
        <v>32548.5</v>
      </c>
      <c r="EZ136" s="295">
        <f>D136/$D$286*'20Ф'!$I$1163</f>
        <v>3305.7385169345675</v>
      </c>
      <c r="FA136" s="277">
        <f>SUMIF(отчёт!$B:$B,$B:$B,отчёт!$CU:$CU)/отчёт!$CU$281*'20Ф'!$I$1341</f>
        <v>920.96385542168503</v>
      </c>
      <c r="FB136" s="276">
        <f>SUMIF(Сальдо!$A:$A,$B:$B,Сальдо!$H:$H)-SUMIF(Сальдо!$A:$A,$B:$B,Сальдо!$I:$I)</f>
        <v>378788.25999999995</v>
      </c>
    </row>
    <row r="137" spans="1:158" ht="12" customHeight="1" x14ac:dyDescent="0.25">
      <c r="A137" s="3">
        <f t="shared" si="32"/>
        <v>133</v>
      </c>
      <c r="B137" s="4" t="s">
        <v>182</v>
      </c>
      <c r="C137" s="4" t="s">
        <v>182</v>
      </c>
      <c r="D137" s="5">
        <v>6395.7</v>
      </c>
      <c r="E137" s="6">
        <v>6395.7</v>
      </c>
      <c r="F137" s="6">
        <v>0</v>
      </c>
      <c r="G137" s="6">
        <v>654.4</v>
      </c>
      <c r="H137" s="5">
        <f>SUMIF(отчёт!$B:$B,$B:$B,отчёт!I:I)</f>
        <v>0</v>
      </c>
      <c r="I137" s="5">
        <f>SUMIF(отчёт!$B:$B,$B:$B,отчёт!J:J)</f>
        <v>0</v>
      </c>
      <c r="J137" s="3" t="s">
        <v>51</v>
      </c>
      <c r="K137" s="105">
        <v>7</v>
      </c>
      <c r="L137" s="105" t="s">
        <v>52</v>
      </c>
      <c r="M137" s="7">
        <v>31</v>
      </c>
      <c r="N137" s="8">
        <v>5.0999999999999996</v>
      </c>
      <c r="O137" s="8">
        <v>6.59</v>
      </c>
      <c r="P137" s="8">
        <v>8.98</v>
      </c>
      <c r="Q137" s="8">
        <v>6.92</v>
      </c>
      <c r="R137" s="8">
        <v>3.15</v>
      </c>
      <c r="S137" s="8">
        <v>0</v>
      </c>
      <c r="T137" s="8">
        <v>0</v>
      </c>
      <c r="U137" s="8">
        <v>0.26</v>
      </c>
      <c r="V137" s="9">
        <v>40</v>
      </c>
      <c r="W137" s="9">
        <v>40</v>
      </c>
      <c r="X137" s="9">
        <v>2604.04</v>
      </c>
      <c r="Y137" s="8">
        <v>195.98199600000001</v>
      </c>
      <c r="Z137" s="9">
        <v>42.3</v>
      </c>
      <c r="AA137" s="9">
        <v>2604.04</v>
      </c>
      <c r="AB137" s="8">
        <v>7.85</v>
      </c>
      <c r="AC137" s="10">
        <v>0</v>
      </c>
      <c r="AD137" s="8">
        <v>6.73</v>
      </c>
      <c r="AE137" s="8">
        <v>10.67</v>
      </c>
      <c r="AF137" s="8">
        <v>14</v>
      </c>
      <c r="AG137" s="7">
        <v>1189600.2</v>
      </c>
      <c r="AH137" s="8">
        <v>195708.41999999998</v>
      </c>
      <c r="AI137" s="8">
        <v>252885.978</v>
      </c>
      <c r="AJ137" s="8">
        <v>344600.31599999999</v>
      </c>
      <c r="AK137" s="8">
        <v>265549.46399999998</v>
      </c>
      <c r="AL137" s="8">
        <v>120878.72999999998</v>
      </c>
      <c r="AM137" s="8">
        <v>0</v>
      </c>
      <c r="AN137" s="8">
        <v>0</v>
      </c>
      <c r="AO137" s="8">
        <v>9977.2920000000013</v>
      </c>
      <c r="AQ137" s="104">
        <v>33.17</v>
      </c>
      <c r="AR137" s="375">
        <v>13.89</v>
      </c>
      <c r="AS137" s="376"/>
      <c r="AT137" s="104">
        <v>5.9</v>
      </c>
      <c r="AU137" s="104">
        <v>1.53</v>
      </c>
      <c r="AV137" s="104">
        <v>0.32</v>
      </c>
      <c r="AW137" s="104">
        <v>0.6</v>
      </c>
      <c r="AX137" s="104">
        <v>5.01</v>
      </c>
      <c r="AY137" s="104">
        <v>4.99</v>
      </c>
      <c r="AZ137" s="104">
        <v>0</v>
      </c>
      <c r="BA137" s="104">
        <v>0</v>
      </c>
      <c r="BB137" s="104">
        <v>0</v>
      </c>
      <c r="BC137" s="101">
        <v>0.93</v>
      </c>
      <c r="BD137" s="104">
        <v>37.581610000000005</v>
      </c>
      <c r="BE137" s="375">
        <v>15.737370000000004</v>
      </c>
      <c r="BF137" s="376">
        <v>0</v>
      </c>
      <c r="BG137" s="104">
        <v>6.6847000000000012</v>
      </c>
      <c r="BH137" s="104">
        <v>1.7334900000000002</v>
      </c>
      <c r="BI137" s="104">
        <v>0.36256000000000005</v>
      </c>
      <c r="BJ137" s="104">
        <v>0.67980000000000007</v>
      </c>
      <c r="BK137" s="104">
        <v>5.6763300000000001</v>
      </c>
      <c r="BL137" s="104">
        <v>5.65367</v>
      </c>
      <c r="BM137" s="104">
        <v>0</v>
      </c>
      <c r="BN137" s="104">
        <v>0</v>
      </c>
      <c r="BO137" s="104">
        <v>0</v>
      </c>
      <c r="BP137" s="101">
        <v>1.0536900000000002</v>
      </c>
      <c r="BQ137" s="103">
        <v>2827897.76877</v>
      </c>
      <c r="BR137" s="371">
        <v>1184187.5190900003</v>
      </c>
      <c r="BS137" s="371">
        <v>0</v>
      </c>
      <c r="BT137" s="103">
        <v>503002.61790000001</v>
      </c>
      <c r="BU137" s="103">
        <v>130439.66193</v>
      </c>
      <c r="BV137" s="103">
        <v>27281.497919999998</v>
      </c>
      <c r="BW137" s="103">
        <v>51152.808600000004</v>
      </c>
      <c r="BX137" s="103">
        <v>427125.95180999994</v>
      </c>
      <c r="BY137" s="103">
        <v>425420.85819</v>
      </c>
      <c r="BZ137" s="103">
        <v>0</v>
      </c>
      <c r="CA137" s="103">
        <v>0</v>
      </c>
      <c r="CB137" s="103">
        <v>0</v>
      </c>
      <c r="CC137" s="103">
        <v>79286.853330000013</v>
      </c>
      <c r="CD137" s="1">
        <v>1</v>
      </c>
      <c r="CF137" s="277">
        <f>SUMIF(Оборот!$A:$A,$B:$B,Оборот!H:H)</f>
        <v>2432024.1800000002</v>
      </c>
      <c r="CG137" s="277">
        <f>SUMIF(Оборот!$A:$A,$B:$B,Оборот!I:I)</f>
        <v>2464414.0299999998</v>
      </c>
      <c r="CH137" s="277">
        <f t="shared" si="25"/>
        <v>2623136.8316849512</v>
      </c>
      <c r="CI137" s="239">
        <f t="shared" si="30"/>
        <v>178173.83515451447</v>
      </c>
      <c r="CJ137" s="276">
        <f>SUMIF('20Ф'!$H:$H,$B:$B,'20Ф'!M:M)*1.2</f>
        <v>0</v>
      </c>
      <c r="CK137" s="276">
        <f>SUMIF('20Ф'!$H:$H,$B:$B,'20Ф'!O:O)*1.2</f>
        <v>0</v>
      </c>
      <c r="CL137" s="276">
        <f>SUMIF('20Ф'!$H:$H,$B:$B,'20Ф'!Q:Q)*1.2</f>
        <v>0</v>
      </c>
      <c r="CM137" s="276">
        <f>SUMIF('20Ф'!$H:$H,$B:$B,'20Ф'!R:R)*1.2</f>
        <v>0</v>
      </c>
      <c r="CN137" s="276">
        <f>SUMIF('20Ф'!$H:$H,$B:$B,'20Ф'!S:S)*1.2</f>
        <v>0</v>
      </c>
      <c r="CO137" s="276">
        <f>SUMIF('20Ф'!$H:$H,$B:$B,'20Ф'!W:W)*1.2</f>
        <v>18000</v>
      </c>
      <c r="CP137" s="276">
        <f>SUMIF('20Ф'!$H:$H,$B:$B,'20Ф'!P:P)*1.2</f>
        <v>0</v>
      </c>
      <c r="CQ137" s="276">
        <f>SUMIF('20Ф'!$H:$H,$B:$B,'20Ф'!Y:Y)*1.2</f>
        <v>0</v>
      </c>
      <c r="CR137" s="276">
        <f>SUMIF('20Ф'!$H:$H,$B:$B,'20Ф'!Z:Z)*1.2</f>
        <v>0</v>
      </c>
      <c r="CS137" s="276">
        <f>SUMIF('20Ф'!$H:$H,$B:$B,'20Ф'!AB:AB)*1.2</f>
        <v>0</v>
      </c>
      <c r="CT137" s="276">
        <f>SUMIF('20Ф'!$H:$H,$B:$B,'20Ф'!AC:AC)*1.2</f>
        <v>0</v>
      </c>
      <c r="CU137" s="276">
        <f>SUMIF('20Ф'!$H:$H,$B:$B,'20Ф'!AD:AD)*1.2</f>
        <v>0</v>
      </c>
      <c r="CV137" s="276">
        <f>SUMIF('20Ф'!$H:$H,$B:$B,'20Ф'!AE:AE)*1.2</f>
        <v>0</v>
      </c>
      <c r="CW137" s="276">
        <f>SUMIF('20Ф'!$H:$H,$B:$B,'20Ф'!AF:AF)*1.2</f>
        <v>0</v>
      </c>
      <c r="CX137" s="276">
        <f>SUMIF('20Ф'!$H:$H,$B:$B,'20Ф'!AG:AG)*1.2</f>
        <v>21267.972000000002</v>
      </c>
      <c r="CY137" s="276">
        <f>SUMIF('20Ф'!$H:$H,$B:$B,'20Ф'!AH:AH)*1.2</f>
        <v>0</v>
      </c>
      <c r="CZ137" s="276">
        <f>SUMIF('20Ф'!$H:$H,$B:$B,'20Ф'!AI:AI)*1.2</f>
        <v>0</v>
      </c>
      <c r="DA137" s="276">
        <f>SUMIF('20Ф'!$H:$H,$B:$B,'20Ф'!AJ:AJ)*1.2</f>
        <v>82653.539999999994</v>
      </c>
      <c r="DB137" s="276">
        <f>SUMIF('20Ф'!$H:$H,$B:$B,'20Ф'!AK:AK)*1.2</f>
        <v>0</v>
      </c>
      <c r="DC137" s="276">
        <f>SUMIF('20Ф'!$H:$H,$B:$B,'20Ф'!AL:AL)*1.2</f>
        <v>0</v>
      </c>
      <c r="DD137" s="276">
        <f>SUMIF('20Ф'!$H:$H,$B:$B,'20Ф'!AM:AM)*1.2</f>
        <v>0</v>
      </c>
      <c r="DE137" s="276">
        <f>SUMIF('20Ф'!$H:$H,$B:$B,'20Ф'!AN:AN)*1.2</f>
        <v>0</v>
      </c>
      <c r="DF137" s="276">
        <f>SUMIF('20Ф'!$H:$H,$B:$B,'20Ф'!AO:AO)*1.2</f>
        <v>0</v>
      </c>
      <c r="DG137" s="276">
        <f>SUMIF('20Ф'!$H:$H,$B:$B,'20Ф'!AP:AP)*1.2</f>
        <v>0</v>
      </c>
      <c r="DH137" s="276">
        <f>SUMIF('20Ф'!$H:$H,$B:$B,'20Ф'!AQ:AQ)*1.2</f>
        <v>0</v>
      </c>
      <c r="DI137" s="276">
        <f>SUMIF('20Ф'!$H:$H,$B:$B,'20Ф'!BA:BA)*1.2</f>
        <v>0</v>
      </c>
      <c r="DJ137" s="276">
        <f>SUMIF('20Ф'!$H:$H,$B:$B,'20Ф'!BB:BB)*1.2</f>
        <v>0</v>
      </c>
      <c r="DK137" s="276">
        <f>SUMIF('20Ф'!$H:$H,$B:$B,'20Ф'!BC:BC)*1.2</f>
        <v>0</v>
      </c>
      <c r="DL137" s="276">
        <f>$D137/$D$281*'20Ф'!$H$218</f>
        <v>56252.323154514466</v>
      </c>
      <c r="DM137" s="240">
        <f t="shared" si="26"/>
        <v>928660.7101795593</v>
      </c>
      <c r="DN137" s="276">
        <f>SUMIF('20Ф'!$H:$H,$B:$B,'20Ф'!AV:AV)*1.2</f>
        <v>0</v>
      </c>
      <c r="DO137" s="276">
        <f>SUMIF('20Ф'!$H:$H,$B:$B,'20Ф'!AW:AW)*1.2+$D137/$D$281*'26Ф'!$D$42</f>
        <v>29934.574530402904</v>
      </c>
      <c r="DP137" s="276">
        <f>SUMIF('20Ф'!$H:$H,$B:$B,'20Ф'!AX:AX)*1.2</f>
        <v>20400</v>
      </c>
      <c r="DQ137" s="276">
        <f>SUMIF('20Ф'!$H:$H,$B:$B,'20Ф'!AY:AY)*1.2</f>
        <v>88885.5</v>
      </c>
      <c r="DR137" s="276">
        <f>SUMIF('20Ф'!$H:$H,$B:$B,'20Ф'!AU:AU)*1.2</f>
        <v>0</v>
      </c>
      <c r="DS137" s="276">
        <f>SUMIF('20Ф'!$H:$H,$B:$B,'20Ф'!AS:AS)*1.2</f>
        <v>82587.407999999996</v>
      </c>
      <c r="DT137" s="276">
        <f>SUMIF('20Ф'!$H:$H,$B:$B,'20Ф'!AR:AR)*1.2</f>
        <v>0</v>
      </c>
      <c r="DU137" s="276">
        <f>SUMIF('20Ф'!$H:$H,$B:$B,'20Ф'!X:X)*1.2</f>
        <v>178812.15599999999</v>
      </c>
      <c r="DV137" s="276">
        <f>SUMIF('20Ф'!$H:$H,$B:$B,'20Ф'!AA:AA)*1.2</f>
        <v>0</v>
      </c>
      <c r="DW137" s="276">
        <f>SUMIF('20Ф'!$H:$H,$B:$B,'20Ф'!N:N)*1.2</f>
        <v>0</v>
      </c>
      <c r="DX137" s="276">
        <f>$D137/$D$281*('25Ф'!$D$37)</f>
        <v>503162.74900186766</v>
      </c>
      <c r="DY137" s="276">
        <f>$D137/$D$281*'25Ф'!$D$30</f>
        <v>16059.37543018699</v>
      </c>
      <c r="DZ137" s="276">
        <f>$D137/$D$281*'25Ф'!$D$31</f>
        <v>8818.9472171018606</v>
      </c>
      <c r="EA137" s="276"/>
      <c r="EB137" s="276">
        <f t="shared" si="27"/>
        <v>317000.42904007621</v>
      </c>
      <c r="EC137" s="276">
        <f>$D137/$D$281*'26Ф'!$D$36</f>
        <v>165008.93223852318</v>
      </c>
      <c r="ED137" s="276">
        <f>$D137/$D$281*'26Ф'!$D$37</f>
        <v>19825.646975483334</v>
      </c>
      <c r="EE137" s="276">
        <f>$D137/$D$281*'26Ф'!$D$38</f>
        <v>20028.978493925119</v>
      </c>
      <c r="EF137" s="276">
        <f>$D137/$D$281*'26Ф'!$D$39</f>
        <v>14050.310133512663</v>
      </c>
      <c r="EG137" s="276">
        <f>$D137/$D$281*'91Ф'!$D$10</f>
        <v>4334.5148327430106</v>
      </c>
      <c r="EH137" s="276">
        <f>$D137/$D$281*('20Ф'!$I$509+'26Ф'!$D$41+'20Ф'!$I$507)</f>
        <v>30665.265153483258</v>
      </c>
      <c r="EI137" s="276">
        <f>$D137/$D$281*'91Ф'!$D$31</f>
        <v>56213.935131304381</v>
      </c>
      <c r="EJ137" s="276">
        <f>$D137/$D$281*'20Ф'!$I$1316</f>
        <v>6872.8460811012746</v>
      </c>
      <c r="EK137" s="276">
        <f>$D137/$D$281*('20Ф'!$I$1105+'20Ф'!$I$1282+'91Ф'!$D$17+'91Ф'!$D$41)</f>
        <v>225711.92234220245</v>
      </c>
      <c r="EL137" s="276">
        <f>$D137/$D$281*отчёт!BX$294</f>
        <v>377321.4973924199</v>
      </c>
      <c r="EM137" s="276">
        <f>$D137/$D$281*отчёт!BY$294</f>
        <v>331834.00307827326</v>
      </c>
      <c r="EN137" s="276">
        <f>SUMIF(отчёт!$B:$B,$B:$B,отчёт!BZ:BZ)/отчёт!BZ$281*('60Ф'!$O$151+'60Ф'!$P$151)*отчёт!BZ$293</f>
        <v>0</v>
      </c>
      <c r="EO137" s="240">
        <f t="shared" si="28"/>
        <v>0</v>
      </c>
      <c r="EP137" s="276">
        <f>SUMIF('20Ф'!$H:$H,$B:$B,'20Ф'!T:T)*1.2</f>
        <v>0</v>
      </c>
      <c r="EQ137" s="276">
        <f>SUMIF('20Ф'!$H:$H,$B:$B,'20Ф'!U:U)*1.2</f>
        <v>0</v>
      </c>
      <c r="ER137" s="236"/>
      <c r="ES137" s="239">
        <f t="shared" si="31"/>
        <v>126289.64888625537</v>
      </c>
      <c r="ET137" s="276">
        <f>$D137/$D$282*'20Ф'!$I$381</f>
        <v>9652.4388653724345</v>
      </c>
      <c r="EU137" s="276">
        <f>$D137/$D$282*('20Ф'!$I$75+'20Ф'!$I$1098)*1.2</f>
        <v>111489.95387721162</v>
      </c>
      <c r="EV137" s="276">
        <f>$D137/$D$282*('20Ф'!$I$1286)</f>
        <v>5147.2561436713222</v>
      </c>
      <c r="EW137" s="276">
        <f>SUMIF('91.1Ф'!$N:$N,$B:$B,'91.1Ф'!$F:$F)+$D137/$D$281*('91Ф'!$D$12+'91Ф'!$D$11+'91Ф'!$D$19+'91Ф'!$D$20)</f>
        <v>44747.72812861258</v>
      </c>
      <c r="EX137" s="276">
        <f t="shared" si="29"/>
        <v>93397.057483037453</v>
      </c>
      <c r="EY137" s="276">
        <f>SUMIF('20Ф'!$H:$H,$B:$B,'20Ф'!$AY:$AY)*1.2</f>
        <v>88885.5</v>
      </c>
      <c r="EZ137" s="295">
        <f>D137/$D$286*'20Ф'!$I$1163</f>
        <v>4511.5574830374517</v>
      </c>
      <c r="FA137" s="277">
        <f>SUMIF(отчёт!$B:$B,$B:$B,отчёт!$CU:$CU)/отчёт!$CU$281*'20Ф'!$I$1341</f>
        <v>7367.7108433734802</v>
      </c>
      <c r="FB137" s="276">
        <f>SUMIF(Сальдо!$A:$A,$B:$B,Сальдо!$H:$H)-SUMIF(Сальдо!$A:$A,$B:$B,Сальдо!$I:$I)</f>
        <v>596635.31999999995</v>
      </c>
    </row>
    <row r="138" spans="1:158" ht="12" customHeight="1" x14ac:dyDescent="0.25">
      <c r="A138" s="3">
        <f t="shared" si="32"/>
        <v>134</v>
      </c>
      <c r="B138" s="4" t="s">
        <v>183</v>
      </c>
      <c r="C138" s="4" t="s">
        <v>183</v>
      </c>
      <c r="D138" s="5">
        <v>4049.3</v>
      </c>
      <c r="E138" s="6">
        <v>3428</v>
      </c>
      <c r="F138" s="6">
        <v>621.29999999999995</v>
      </c>
      <c r="G138" s="6">
        <v>540.6</v>
      </c>
      <c r="H138" s="5">
        <f>SUMIF(отчёт!$B:$B,$B:$B,отчёт!I:I)</f>
        <v>2</v>
      </c>
      <c r="I138" s="5">
        <f>SUMIF(отчёт!$B:$B,$B:$B,отчёт!J:J)</f>
        <v>0</v>
      </c>
      <c r="J138" s="3" t="s">
        <v>51</v>
      </c>
      <c r="K138" s="105">
        <v>3</v>
      </c>
      <c r="L138" s="105" t="s">
        <v>52</v>
      </c>
      <c r="M138" s="7">
        <v>45.06</v>
      </c>
      <c r="N138" s="8">
        <v>5.0999999999999996</v>
      </c>
      <c r="O138" s="8">
        <v>8.6300000000000008</v>
      </c>
      <c r="P138" s="8">
        <v>13.43</v>
      </c>
      <c r="Q138" s="8">
        <v>6.91</v>
      </c>
      <c r="R138" s="8">
        <v>3.15</v>
      </c>
      <c r="S138" s="8">
        <v>1.81</v>
      </c>
      <c r="T138" s="8">
        <v>5.77</v>
      </c>
      <c r="U138" s="8">
        <v>0.26</v>
      </c>
      <c r="V138" s="9">
        <v>40</v>
      </c>
      <c r="W138" s="9">
        <v>40</v>
      </c>
      <c r="X138" s="9">
        <v>2604.04</v>
      </c>
      <c r="Y138" s="8">
        <v>195.98199600000001</v>
      </c>
      <c r="Z138" s="9">
        <v>42.3</v>
      </c>
      <c r="AA138" s="9">
        <v>2604.04</v>
      </c>
      <c r="AB138" s="8">
        <v>7.85</v>
      </c>
      <c r="AC138" s="10">
        <v>0</v>
      </c>
      <c r="AD138" s="8">
        <v>6.73</v>
      </c>
      <c r="AE138" s="8">
        <v>10.67</v>
      </c>
      <c r="AF138" s="8">
        <v>14</v>
      </c>
      <c r="AG138" s="7">
        <v>1094768.7480000001</v>
      </c>
      <c r="AH138" s="8">
        <v>123908.58</v>
      </c>
      <c r="AI138" s="8">
        <v>209672.75400000002</v>
      </c>
      <c r="AJ138" s="8">
        <v>326292.59400000004</v>
      </c>
      <c r="AK138" s="8">
        <v>167883.978</v>
      </c>
      <c r="AL138" s="8">
        <v>76531.77</v>
      </c>
      <c r="AM138" s="8">
        <v>43975.398000000001</v>
      </c>
      <c r="AN138" s="8">
        <v>140186.766</v>
      </c>
      <c r="AO138" s="8">
        <v>6316.9079999999994</v>
      </c>
      <c r="AQ138" s="104">
        <v>48.44</v>
      </c>
      <c r="AR138" s="375">
        <v>18.489999999999998</v>
      </c>
      <c r="AS138" s="376"/>
      <c r="AT138" s="104">
        <v>6.67</v>
      </c>
      <c r="AU138" s="104">
        <v>1.53</v>
      </c>
      <c r="AV138" s="104">
        <v>0.32</v>
      </c>
      <c r="AW138" s="104">
        <v>0.87</v>
      </c>
      <c r="AX138" s="104">
        <v>5.01</v>
      </c>
      <c r="AY138" s="104">
        <v>4.99</v>
      </c>
      <c r="AZ138" s="104">
        <v>2.7</v>
      </c>
      <c r="BA138" s="104">
        <v>6.46</v>
      </c>
      <c r="BB138" s="104">
        <v>0.47</v>
      </c>
      <c r="BC138" s="101">
        <v>0.93</v>
      </c>
      <c r="BD138" s="104">
        <v>54.88252</v>
      </c>
      <c r="BE138" s="375">
        <v>20.949169999999999</v>
      </c>
      <c r="BF138" s="376">
        <v>0</v>
      </c>
      <c r="BG138" s="104">
        <v>7.5571100000000007</v>
      </c>
      <c r="BH138" s="104">
        <v>1.7334900000000002</v>
      </c>
      <c r="BI138" s="104">
        <v>0.36256000000000005</v>
      </c>
      <c r="BJ138" s="104">
        <v>0.98571000000000009</v>
      </c>
      <c r="BK138" s="104">
        <v>5.6763300000000001</v>
      </c>
      <c r="BL138" s="104">
        <v>5.65367</v>
      </c>
      <c r="BM138" s="104">
        <v>3.0591000000000004</v>
      </c>
      <c r="BN138" s="104">
        <v>7.3191800000000002</v>
      </c>
      <c r="BO138" s="104">
        <v>0.53250999999999993</v>
      </c>
      <c r="BP138" s="101">
        <v>1.05369</v>
      </c>
      <c r="BQ138" s="103">
        <v>2614654.0663600001</v>
      </c>
      <c r="BR138" s="371">
        <v>998037.85480999993</v>
      </c>
      <c r="BS138" s="371">
        <v>0</v>
      </c>
      <c r="BT138" s="103">
        <v>360027.71723000001</v>
      </c>
      <c r="BU138" s="103">
        <v>82585.068570000003</v>
      </c>
      <c r="BV138" s="103">
        <v>17272.694080000001</v>
      </c>
      <c r="BW138" s="103">
        <v>46960.137030000005</v>
      </c>
      <c r="BX138" s="103">
        <v>270425.61669</v>
      </c>
      <c r="BY138" s="103">
        <v>269346.07331000001</v>
      </c>
      <c r="BZ138" s="103">
        <v>145738.35630000004</v>
      </c>
      <c r="CA138" s="103">
        <v>348692.51174000005</v>
      </c>
      <c r="CB138" s="103">
        <v>25369.269429999997</v>
      </c>
      <c r="CC138" s="103">
        <v>50198.767169999999</v>
      </c>
      <c r="CD138" s="1">
        <v>1</v>
      </c>
      <c r="CF138" s="277">
        <f>SUMIF(Оборот!$A:$A,$B:$B,Оборот!H:H)</f>
        <v>1899934.7599999995</v>
      </c>
      <c r="CG138" s="277">
        <f>SUMIF(Оборот!$A:$A,$B:$B,Оборот!I:I)</f>
        <v>1876346.0099999998</v>
      </c>
      <c r="CH138" s="277">
        <f t="shared" si="25"/>
        <v>1678877.4642900873</v>
      </c>
      <c r="CI138" s="239">
        <f t="shared" si="30"/>
        <v>84011.213442527864</v>
      </c>
      <c r="CJ138" s="276">
        <f>SUMIF('20Ф'!$H:$H,$B:$B,'20Ф'!M:M)*1.2</f>
        <v>0</v>
      </c>
      <c r="CK138" s="276">
        <f>SUMIF('20Ф'!$H:$H,$B:$B,'20Ф'!O:O)*1.2</f>
        <v>0</v>
      </c>
      <c r="CL138" s="276">
        <f>SUMIF('20Ф'!$H:$H,$B:$B,'20Ф'!Q:Q)*1.2</f>
        <v>0</v>
      </c>
      <c r="CM138" s="276">
        <f>SUMIF('20Ф'!$H:$H,$B:$B,'20Ф'!R:R)*1.2</f>
        <v>0</v>
      </c>
      <c r="CN138" s="276">
        <f>SUMIF('20Ф'!$H:$H,$B:$B,'20Ф'!S:S)*1.2</f>
        <v>0</v>
      </c>
      <c r="CO138" s="276">
        <f>SUMIF('20Ф'!$H:$H,$B:$B,'20Ф'!W:W)*1.2</f>
        <v>0</v>
      </c>
      <c r="CP138" s="276">
        <f>SUMIF('20Ф'!$H:$H,$B:$B,'20Ф'!P:P)*1.2</f>
        <v>0</v>
      </c>
      <c r="CQ138" s="276">
        <f>SUMIF('20Ф'!$H:$H,$B:$B,'20Ф'!Y:Y)*1.2</f>
        <v>0</v>
      </c>
      <c r="CR138" s="276">
        <f>SUMIF('20Ф'!$H:$H,$B:$B,'20Ф'!Z:Z)*1.2</f>
        <v>0</v>
      </c>
      <c r="CS138" s="276">
        <f>SUMIF('20Ф'!$H:$H,$B:$B,'20Ф'!AB:AB)*1.2</f>
        <v>0</v>
      </c>
      <c r="CT138" s="276">
        <f>SUMIF('20Ф'!$H:$H,$B:$B,'20Ф'!AC:AC)*1.2</f>
        <v>0</v>
      </c>
      <c r="CU138" s="276">
        <f>SUMIF('20Ф'!$H:$H,$B:$B,'20Ф'!AD:AD)*1.2</f>
        <v>0</v>
      </c>
      <c r="CV138" s="276">
        <f>SUMIF('20Ф'!$H:$H,$B:$B,'20Ф'!AE:AE)*1.2</f>
        <v>0</v>
      </c>
      <c r="CW138" s="276">
        <f>SUMIF('20Ф'!$H:$H,$B:$B,'20Ф'!AF:AF)*1.2</f>
        <v>0</v>
      </c>
      <c r="CX138" s="276">
        <f>SUMIF('20Ф'!$H:$H,$B:$B,'20Ф'!AG:AG)*1.2</f>
        <v>0</v>
      </c>
      <c r="CY138" s="276">
        <f>SUMIF('20Ф'!$H:$H,$B:$B,'20Ф'!AH:AH)*1.2</f>
        <v>0</v>
      </c>
      <c r="CZ138" s="276">
        <f>SUMIF('20Ф'!$H:$H,$B:$B,'20Ф'!AI:AI)*1.2</f>
        <v>0</v>
      </c>
      <c r="DA138" s="276">
        <f>SUMIF('20Ф'!$H:$H,$B:$B,'20Ф'!AJ:AJ)*1.2</f>
        <v>48396.264000000003</v>
      </c>
      <c r="DB138" s="276">
        <f>SUMIF('20Ф'!$H:$H,$B:$B,'20Ф'!AK:AK)*1.2</f>
        <v>0</v>
      </c>
      <c r="DC138" s="276">
        <f>SUMIF('20Ф'!$H:$H,$B:$B,'20Ф'!AL:AL)*1.2</f>
        <v>0</v>
      </c>
      <c r="DD138" s="276">
        <f>SUMIF('20Ф'!$H:$H,$B:$B,'20Ф'!AM:AM)*1.2</f>
        <v>0</v>
      </c>
      <c r="DE138" s="276">
        <f>SUMIF('20Ф'!$H:$H,$B:$B,'20Ф'!AN:AN)*1.2</f>
        <v>0</v>
      </c>
      <c r="DF138" s="276">
        <f>SUMIF('20Ф'!$H:$H,$B:$B,'20Ф'!AO:AO)*1.2</f>
        <v>0</v>
      </c>
      <c r="DG138" s="276">
        <f>SUMIF('20Ф'!$H:$H,$B:$B,'20Ф'!AP:AP)*1.2</f>
        <v>0</v>
      </c>
      <c r="DH138" s="276">
        <f>SUMIF('20Ф'!$H:$H,$B:$B,'20Ф'!AQ:AQ)*1.2</f>
        <v>0</v>
      </c>
      <c r="DI138" s="276">
        <f>SUMIF('20Ф'!$H:$H,$B:$B,'20Ф'!BA:BA)*1.2</f>
        <v>0</v>
      </c>
      <c r="DJ138" s="276">
        <f>SUMIF('20Ф'!$H:$H,$B:$B,'20Ф'!BB:BB)*1.2</f>
        <v>0</v>
      </c>
      <c r="DK138" s="276">
        <f>SUMIF('20Ф'!$H:$H,$B:$B,'20Ф'!BC:BC)*1.2</f>
        <v>0</v>
      </c>
      <c r="DL138" s="276">
        <f>$D138/$D$281*'20Ф'!$H$218</f>
        <v>35614.949442527861</v>
      </c>
      <c r="DM138" s="240">
        <f t="shared" si="26"/>
        <v>446292.68048677873</v>
      </c>
      <c r="DN138" s="276">
        <f>SUMIF('20Ф'!$H:$H,$B:$B,'20Ф'!AV:AV)*1.2</f>
        <v>0</v>
      </c>
      <c r="DO138" s="276">
        <f>SUMIF('20Ф'!$H:$H,$B:$B,'20Ф'!AW:AW)*1.2+$D138/$D$281*'26Ф'!$D$42</f>
        <v>18952.43251652837</v>
      </c>
      <c r="DP138" s="276">
        <f>SUMIF('20Ф'!$H:$H,$B:$B,'20Ф'!AX:AX)*1.2</f>
        <v>0</v>
      </c>
      <c r="DQ138" s="276">
        <f>SUMIF('20Ф'!$H:$H,$B:$B,'20Ф'!AY:AY)*1.2</f>
        <v>32751</v>
      </c>
      <c r="DR138" s="276">
        <f>SUMIF('20Ф'!$H:$H,$B:$B,'20Ф'!AU:AU)*1.2</f>
        <v>0</v>
      </c>
      <c r="DS138" s="276">
        <f>SUMIF('20Ф'!$H:$H,$B:$B,'20Ф'!AS:AS)*1.2</f>
        <v>60271.392</v>
      </c>
      <c r="DT138" s="276">
        <f>SUMIF('20Ф'!$H:$H,$B:$B,'20Ф'!AR:AR)*1.2</f>
        <v>0</v>
      </c>
      <c r="DU138" s="276">
        <f>SUMIF('20Ф'!$H:$H,$B:$B,'20Ф'!X:X)*1.2</f>
        <v>0</v>
      </c>
      <c r="DV138" s="276">
        <f>SUMIF('20Ф'!$H:$H,$B:$B,'20Ф'!AA:AA)*1.2</f>
        <v>0</v>
      </c>
      <c r="DW138" s="276">
        <f>SUMIF('20Ф'!$H:$H,$B:$B,'20Ф'!N:N)*1.2</f>
        <v>0</v>
      </c>
      <c r="DX138" s="276">
        <f>$D138/$D$281*('25Ф'!$D$37)</f>
        <v>318566.68066564458</v>
      </c>
      <c r="DY138" s="276">
        <f>$D138/$D$281*'25Ф'!$D$30</f>
        <v>10167.648409002328</v>
      </c>
      <c r="DZ138" s="276">
        <f>$D138/$D$281*'25Ф'!$D$31</f>
        <v>5583.5268956033851</v>
      </c>
      <c r="EA138" s="276"/>
      <c r="EB138" s="276">
        <f t="shared" si="27"/>
        <v>200702.00874212061</v>
      </c>
      <c r="EC138" s="276">
        <f>$D138/$D$281*'26Ф'!$D$36</f>
        <v>104471.85911056679</v>
      </c>
      <c r="ED138" s="276">
        <f>$D138/$D$281*'26Ф'!$D$37</f>
        <v>12552.182294013895</v>
      </c>
      <c r="EE138" s="276">
        <f>$D138/$D$281*'26Ф'!$D$38</f>
        <v>12680.91727495833</v>
      </c>
      <c r="EF138" s="276">
        <f>$D138/$D$281*'26Ф'!$D$39</f>
        <v>8895.6518948094545</v>
      </c>
      <c r="EG138" s="276">
        <f>$D138/$D$281*'91Ф'!$D$10</f>
        <v>2744.3049098966926</v>
      </c>
      <c r="EH138" s="276">
        <f>$D138/$D$281*('20Ф'!$I$509+'26Ф'!$D$41+'20Ф'!$I$507)</f>
        <v>19415.053580686988</v>
      </c>
      <c r="EI138" s="276">
        <f>$D138/$D$281*'91Ф'!$D$31</f>
        <v>35590.644890659481</v>
      </c>
      <c r="EJ138" s="276">
        <f>$D138/$D$281*'20Ф'!$I$1316</f>
        <v>4351.3947865289792</v>
      </c>
      <c r="EK138" s="276">
        <f>$D138/$D$281*('20Ф'!$I$1105+'20Ф'!$I$1282+'91Ф'!$D$17+'91Ф'!$D$41)</f>
        <v>142904.65267918765</v>
      </c>
      <c r="EL138" s="276">
        <f>$D138/$D$281*отчёт!BX$294</f>
        <v>238892.99676206295</v>
      </c>
      <c r="EM138" s="276">
        <f>$D138/$D$281*отчёт!BY$294</f>
        <v>210093.56734444268</v>
      </c>
      <c r="EN138" s="276">
        <f>$D138/$D$283*отчёт!BZ$294</f>
        <v>37705.227937568132</v>
      </c>
      <c r="EO138" s="240">
        <f>SUBTOTAL(9,EP138:ER138)</f>
        <v>183876.00950099801</v>
      </c>
      <c r="EP138" s="276">
        <f>SUMIF('20Ф'!$H:$H,$B:$B,'20Ф'!T:T)*1.2</f>
        <v>6012.5999999999995</v>
      </c>
      <c r="EQ138" s="276">
        <f>SUM(H138:I138)/SUM($H$284:$I$284)*SUM('60Ф'!$O$155:$P$155)</f>
        <v>172510.26175648702</v>
      </c>
      <c r="ER138" s="276">
        <f>SUM($H138:$I138)/SUM($H$284:$I$284)*SUM('60Ф'!$P$227)</f>
        <v>5353.1477445109776</v>
      </c>
      <c r="ES138" s="239">
        <f t="shared" si="31"/>
        <v>79957.577002535138</v>
      </c>
      <c r="ET138" s="276">
        <f>$D138/$D$282*'20Ф'!$I$381</f>
        <v>6111.2342194838102</v>
      </c>
      <c r="EU138" s="276">
        <f>$D138/$D$282*('20Ф'!$I$75+'20Ф'!$I$1098)*1.2</f>
        <v>70587.468179400705</v>
      </c>
      <c r="EV138" s="276">
        <f>$D138/$D$282*('20Ф'!$I$1286)</f>
        <v>3258.8746036506232</v>
      </c>
      <c r="EW138" s="276">
        <f>SUMIF('91.1Ф'!$N:$N,$B:$B,'91.1Ф'!$F:$F)+$D138/$D$281*('91Ф'!$D$12+'91Ф'!$D$11+'91Ф'!$D$19+'91Ф'!$D$20)</f>
        <v>18834.134732897248</v>
      </c>
      <c r="EX138" s="276">
        <f t="shared" si="29"/>
        <v>35607.3956589683</v>
      </c>
      <c r="EY138" s="276">
        <f>SUMIF('20Ф'!$H:$H,$B:$B,'20Ф'!$AY:$AY)*1.2</f>
        <v>32751</v>
      </c>
      <c r="EZ138" s="295">
        <f>D138/$D$286*'20Ф'!$I$1163</f>
        <v>2856.3956589683003</v>
      </c>
      <c r="FA138" s="277">
        <f>SUMIF(отчёт!$B:$B,$B:$B,отчёт!$CU:$CU)/отчёт!$CU$281*'20Ф'!$I$1341</f>
        <v>920.96385542168503</v>
      </c>
      <c r="FB138" s="276">
        <f>SUMIF(Сальдо!$A:$A,$B:$B,Сальдо!$H:$H)-SUMIF(Сальдо!$A:$A,$B:$B,Сальдо!$I:$I)</f>
        <v>502603.09</v>
      </c>
    </row>
    <row r="139" spans="1:158" ht="12" customHeight="1" x14ac:dyDescent="0.25">
      <c r="A139" s="3">
        <f t="shared" si="32"/>
        <v>135</v>
      </c>
      <c r="B139" s="4" t="s">
        <v>184</v>
      </c>
      <c r="C139" s="4" t="s">
        <v>184</v>
      </c>
      <c r="D139" s="5">
        <v>3494.8</v>
      </c>
      <c r="E139" s="6">
        <v>3494.8</v>
      </c>
      <c r="F139" s="6">
        <v>0</v>
      </c>
      <c r="G139" s="6">
        <v>393.2</v>
      </c>
      <c r="H139" s="5">
        <f>SUMIF(отчёт!$B:$B,$B:$B,отчёт!I:I)</f>
        <v>0</v>
      </c>
      <c r="I139" s="5">
        <f>SUMIF(отчёт!$B:$B,$B:$B,отчёт!J:J)</f>
        <v>0</v>
      </c>
      <c r="J139" s="3" t="s">
        <v>114</v>
      </c>
      <c r="K139" s="105">
        <v>7</v>
      </c>
      <c r="L139" s="105" t="s">
        <v>52</v>
      </c>
      <c r="M139" s="7">
        <v>31</v>
      </c>
      <c r="N139" s="8">
        <v>5.0999999999999996</v>
      </c>
      <c r="O139" s="8">
        <v>6.59</v>
      </c>
      <c r="P139" s="8">
        <v>8.98</v>
      </c>
      <c r="Q139" s="8">
        <v>6.92</v>
      </c>
      <c r="R139" s="8">
        <v>3.15</v>
      </c>
      <c r="S139" s="8">
        <v>0</v>
      </c>
      <c r="T139" s="8">
        <v>0</v>
      </c>
      <c r="U139" s="8">
        <v>0.26</v>
      </c>
      <c r="V139" s="9">
        <v>40</v>
      </c>
      <c r="W139" s="9">
        <v>40</v>
      </c>
      <c r="X139" s="9">
        <v>2604.04</v>
      </c>
      <c r="Y139" s="8">
        <v>195.98199600000001</v>
      </c>
      <c r="Z139" s="9">
        <v>42.3</v>
      </c>
      <c r="AA139" s="9">
        <v>2604.04</v>
      </c>
      <c r="AB139" s="8">
        <v>7.85</v>
      </c>
      <c r="AC139" s="10">
        <v>0</v>
      </c>
      <c r="AD139" s="8">
        <v>6.73</v>
      </c>
      <c r="AE139" s="8">
        <v>10.67</v>
      </c>
      <c r="AF139" s="8">
        <v>14</v>
      </c>
      <c r="AG139" s="7">
        <v>650032.80000000005</v>
      </c>
      <c r="AH139" s="8">
        <v>106940.88</v>
      </c>
      <c r="AI139" s="8">
        <v>138184.39199999999</v>
      </c>
      <c r="AJ139" s="8">
        <v>188299.82400000002</v>
      </c>
      <c r="AK139" s="8">
        <v>145104.09599999999</v>
      </c>
      <c r="AL139" s="8">
        <v>66051.72</v>
      </c>
      <c r="AM139" s="8">
        <v>0</v>
      </c>
      <c r="AN139" s="8">
        <v>0</v>
      </c>
      <c r="AO139" s="8">
        <v>5451.8879999999999</v>
      </c>
      <c r="AQ139" s="104">
        <v>33.17</v>
      </c>
      <c r="AR139" s="375">
        <v>13.89</v>
      </c>
      <c r="AS139" s="376"/>
      <c r="AT139" s="104">
        <v>5.9</v>
      </c>
      <c r="AU139" s="104">
        <v>1.53</v>
      </c>
      <c r="AV139" s="104">
        <v>0.32</v>
      </c>
      <c r="AW139" s="104">
        <v>0.6</v>
      </c>
      <c r="AX139" s="104">
        <v>5.01</v>
      </c>
      <c r="AY139" s="104">
        <v>4.99</v>
      </c>
      <c r="AZ139" s="104">
        <v>0</v>
      </c>
      <c r="BA139" s="104">
        <v>0</v>
      </c>
      <c r="BB139" s="104">
        <v>0</v>
      </c>
      <c r="BC139" s="101">
        <v>0.93</v>
      </c>
      <c r="BD139" s="104">
        <v>37.581610000000005</v>
      </c>
      <c r="BE139" s="375">
        <v>15.737370000000004</v>
      </c>
      <c r="BF139" s="376">
        <v>0</v>
      </c>
      <c r="BG139" s="104">
        <v>6.6847000000000012</v>
      </c>
      <c r="BH139" s="104">
        <v>1.7334900000000002</v>
      </c>
      <c r="BI139" s="104">
        <v>0.36256000000000005</v>
      </c>
      <c r="BJ139" s="104">
        <v>0.67980000000000007</v>
      </c>
      <c r="BK139" s="104">
        <v>5.6763300000000001</v>
      </c>
      <c r="BL139" s="104">
        <v>5.65367</v>
      </c>
      <c r="BM139" s="104">
        <v>0</v>
      </c>
      <c r="BN139" s="104">
        <v>0</v>
      </c>
      <c r="BO139" s="104">
        <v>0</v>
      </c>
      <c r="BP139" s="101">
        <v>1.0536900000000002</v>
      </c>
      <c r="BQ139" s="103">
        <v>1545247.1382800003</v>
      </c>
      <c r="BR139" s="371">
        <v>647075.15076000022</v>
      </c>
      <c r="BS139" s="371">
        <v>0</v>
      </c>
      <c r="BT139" s="103">
        <v>274855.53560000006</v>
      </c>
      <c r="BU139" s="103">
        <v>71276.096520000006</v>
      </c>
      <c r="BV139" s="103">
        <v>14907.418880000001</v>
      </c>
      <c r="BW139" s="103">
        <v>27951.410400000004</v>
      </c>
      <c r="BX139" s="103">
        <v>233394.27684000001</v>
      </c>
      <c r="BY139" s="103">
        <v>232462.56316000002</v>
      </c>
      <c r="BZ139" s="103">
        <v>0</v>
      </c>
      <c r="CA139" s="103">
        <v>0</v>
      </c>
      <c r="CB139" s="103">
        <v>0</v>
      </c>
      <c r="CC139" s="103">
        <v>43324.686120000013</v>
      </c>
      <c r="CD139" s="1">
        <v>1</v>
      </c>
      <c r="CF139" s="277">
        <f>SUMIF(Оборот!$A:$A,$B:$B,Оборот!H:H)</f>
        <v>1330553.0399999998</v>
      </c>
      <c r="CG139" s="277">
        <f>SUMIF(Оборот!$A:$A,$B:$B,Оборот!I:I)</f>
        <v>1325983.02</v>
      </c>
      <c r="CH139" s="277">
        <f t="shared" si="25"/>
        <v>1615315.1048731129</v>
      </c>
      <c r="CI139" s="239">
        <f t="shared" si="30"/>
        <v>337191.53626348905</v>
      </c>
      <c r="CJ139" s="276">
        <f>SUMIF('20Ф'!$H:$H,$B:$B,'20Ф'!M:M)*1.2</f>
        <v>0</v>
      </c>
      <c r="CK139" s="276">
        <f>SUMIF('20Ф'!$H:$H,$B:$B,'20Ф'!O:O)*1.2</f>
        <v>0</v>
      </c>
      <c r="CL139" s="276">
        <f>SUMIF('20Ф'!$H:$H,$B:$B,'20Ф'!Q:Q)*1.2</f>
        <v>0</v>
      </c>
      <c r="CM139" s="276">
        <f>SUMIF('20Ф'!$H:$H,$B:$B,'20Ф'!R:R)*1.2</f>
        <v>0</v>
      </c>
      <c r="CN139" s="276">
        <f>SUMIF('20Ф'!$H:$H,$B:$B,'20Ф'!S:S)*1.2</f>
        <v>0</v>
      </c>
      <c r="CO139" s="276">
        <f>SUMIF('20Ф'!$H:$H,$B:$B,'20Ф'!W:W)*1.2</f>
        <v>0</v>
      </c>
      <c r="CP139" s="276">
        <f>SUMIF('20Ф'!$H:$H,$B:$B,'20Ф'!P:P)*1.2</f>
        <v>0</v>
      </c>
      <c r="CQ139" s="276">
        <f>SUMIF('20Ф'!$H:$H,$B:$B,'20Ф'!Y:Y)*1.2</f>
        <v>0</v>
      </c>
      <c r="CR139" s="276">
        <f>SUMIF('20Ф'!$H:$H,$B:$B,'20Ф'!Z:Z)*1.2</f>
        <v>0</v>
      </c>
      <c r="CS139" s="276">
        <f>SUMIF('20Ф'!$H:$H,$B:$B,'20Ф'!AB:AB)*1.2</f>
        <v>0</v>
      </c>
      <c r="CT139" s="276">
        <f>SUMIF('20Ф'!$H:$H,$B:$B,'20Ф'!AC:AC)*1.2</f>
        <v>0</v>
      </c>
      <c r="CU139" s="276">
        <f>SUMIF('20Ф'!$H:$H,$B:$B,'20Ф'!AD:AD)*1.2</f>
        <v>0</v>
      </c>
      <c r="CV139" s="276">
        <f>SUMIF('20Ф'!$H:$H,$B:$B,'20Ф'!AE:AE)*1.2</f>
        <v>0</v>
      </c>
      <c r="CW139" s="276">
        <f>SUMIF('20Ф'!$H:$H,$B:$B,'20Ф'!AF:AF)*1.2</f>
        <v>0</v>
      </c>
      <c r="CX139" s="276">
        <f>SUMIF('20Ф'!$H:$H,$B:$B,'20Ф'!AG:AG)*1.2</f>
        <v>0</v>
      </c>
      <c r="CY139" s="276">
        <f>SUMIF('20Ф'!$H:$H,$B:$B,'20Ф'!AH:AH)*1.2</f>
        <v>0</v>
      </c>
      <c r="CZ139" s="276">
        <f>SUMIF('20Ф'!$H:$H,$B:$B,'20Ф'!AI:AI)*1.2</f>
        <v>0</v>
      </c>
      <c r="DA139" s="276">
        <f>SUMIF('20Ф'!$H:$H,$B:$B,'20Ф'!AJ:AJ)*1.2</f>
        <v>0</v>
      </c>
      <c r="DB139" s="276">
        <f>SUMIF('20Ф'!$H:$H,$B:$B,'20Ф'!AK:AK)*1.2</f>
        <v>0</v>
      </c>
      <c r="DC139" s="276">
        <f>SUMIF('20Ф'!$H:$H,$B:$B,'20Ф'!AL:AL)*1.2</f>
        <v>306453.59999999998</v>
      </c>
      <c r="DD139" s="276">
        <f>SUMIF('20Ф'!$H:$H,$B:$B,'20Ф'!AM:AM)*1.2</f>
        <v>0</v>
      </c>
      <c r="DE139" s="276">
        <f>SUMIF('20Ф'!$H:$H,$B:$B,'20Ф'!AN:AN)*1.2</f>
        <v>0</v>
      </c>
      <c r="DF139" s="276">
        <f>SUMIF('20Ф'!$H:$H,$B:$B,'20Ф'!AO:AO)*1.2</f>
        <v>0</v>
      </c>
      <c r="DG139" s="276">
        <f>SUMIF('20Ф'!$H:$H,$B:$B,'20Ф'!AP:AP)*1.2</f>
        <v>0</v>
      </c>
      <c r="DH139" s="276">
        <f>SUMIF('20Ф'!$H:$H,$B:$B,'20Ф'!AQ:AQ)*1.2</f>
        <v>0</v>
      </c>
      <c r="DI139" s="276">
        <f>SUMIF('20Ф'!$H:$H,$B:$B,'20Ф'!BA:BA)*1.2</f>
        <v>0</v>
      </c>
      <c r="DJ139" s="276">
        <f>SUMIF('20Ф'!$H:$H,$B:$B,'20Ф'!BB:BB)*1.2</f>
        <v>0</v>
      </c>
      <c r="DK139" s="276">
        <f>SUMIF('20Ф'!$H:$H,$B:$B,'20Ф'!BC:BC)*1.2</f>
        <v>0</v>
      </c>
      <c r="DL139" s="276">
        <f>$D139/$D$281*'20Ф'!$H$218</f>
        <v>30737.936263489089</v>
      </c>
      <c r="DM139" s="240">
        <f t="shared" si="26"/>
        <v>450983.18323522439</v>
      </c>
      <c r="DN139" s="276">
        <f>SUMIF('20Ф'!$H:$H,$B:$B,'20Ф'!AV:AV)*1.2</f>
        <v>0</v>
      </c>
      <c r="DO139" s="276">
        <f>SUMIF('20Ф'!$H:$H,$B:$B,'20Ф'!AW:AW)*1.2+$D139/$D$281*'26Ф'!$D$42</f>
        <v>16357.138556976106</v>
      </c>
      <c r="DP139" s="276">
        <f>SUMIF('20Ф'!$H:$H,$B:$B,'20Ф'!AX:AX)*1.2</f>
        <v>0</v>
      </c>
      <c r="DQ139" s="276">
        <f>SUMIF('20Ф'!$H:$H,$B:$B,'20Ф'!AY:AY)*1.2</f>
        <v>45354</v>
      </c>
      <c r="DR139" s="276">
        <f>SUMIF('20Ф'!$H:$H,$B:$B,'20Ф'!AU:AU)*1.2</f>
        <v>0</v>
      </c>
      <c r="DS139" s="276">
        <f>SUMIF('20Ф'!$H:$H,$B:$B,'20Ф'!AS:AS)*1.2</f>
        <v>32889.935999999994</v>
      </c>
      <c r="DT139" s="276">
        <f>SUMIF('20Ф'!$H:$H,$B:$B,'20Ф'!AR:AR)*1.2</f>
        <v>0</v>
      </c>
      <c r="DU139" s="276">
        <f>SUMIF('20Ф'!$H:$H,$B:$B,'20Ф'!X:X)*1.2</f>
        <v>67844.819999999992</v>
      </c>
      <c r="DV139" s="276">
        <f>SUMIF('20Ф'!$H:$H,$B:$B,'20Ф'!AA:AA)*1.2</f>
        <v>0</v>
      </c>
      <c r="DW139" s="276">
        <f>SUMIF('20Ф'!$H:$H,$B:$B,'20Ф'!N:N)*1.2</f>
        <v>0</v>
      </c>
      <c r="DX139" s="276">
        <f>$D139/$D$281*('25Ф'!$D$37)</f>
        <v>274943.03597913089</v>
      </c>
      <c r="DY139" s="276">
        <f>$D139/$D$281*'25Ф'!$D$30</f>
        <v>8775.3186130396189</v>
      </c>
      <c r="DZ139" s="276">
        <f>$D139/$D$281*'25Ф'!$D$31</f>
        <v>4818.9340860777693</v>
      </c>
      <c r="EA139" s="276"/>
      <c r="EB139" s="276">
        <f t="shared" si="27"/>
        <v>173218.42791395131</v>
      </c>
      <c r="EC139" s="276">
        <f>$D139/$D$281*'26Ф'!$D$36</f>
        <v>90165.770187343194</v>
      </c>
      <c r="ED139" s="276">
        <f>$D139/$D$281*'26Ф'!$D$37</f>
        <v>10833.320989089412</v>
      </c>
      <c r="EE139" s="276">
        <f>$D139/$D$281*'26Ф'!$D$38</f>
        <v>10944.427355968777</v>
      </c>
      <c r="EF139" s="276">
        <f>$D139/$D$281*'26Ф'!$D$39</f>
        <v>7677.5058014916367</v>
      </c>
      <c r="EG139" s="276">
        <f>$D139/$D$281*'91Ф'!$D$10</f>
        <v>2368.5073467283137</v>
      </c>
      <c r="EH139" s="276">
        <f>$D139/$D$281*('20Ф'!$I$509+'26Ф'!$D$41+'20Ф'!$I$507)</f>
        <v>16756.40956555081</v>
      </c>
      <c r="EI139" s="276">
        <f>$D139/$D$281*'91Ф'!$D$31</f>
        <v>30716.959910077483</v>
      </c>
      <c r="EJ139" s="276">
        <f>$D139/$D$281*'20Ф'!$I$1316</f>
        <v>3755.5267577016957</v>
      </c>
      <c r="EK139" s="276">
        <f>$D139/$D$281*('20Ф'!$I$1105+'20Ф'!$I$1282+'91Ф'!$D$17+'91Ф'!$D$41)</f>
        <v>123335.68275584052</v>
      </c>
      <c r="EL139" s="276">
        <f>$D139/$D$281*отчёт!BX$294</f>
        <v>206179.64712025723</v>
      </c>
      <c r="EM139" s="276">
        <f>$D139/$D$281*отчёт!BY$294</f>
        <v>181323.9323229591</v>
      </c>
      <c r="EN139" s="276">
        <f>SUMIF(отчёт!$B:$B,$B:$B,отчёт!BZ:BZ)/отчёт!BZ$281*('60Ф'!$O$151+'60Ф'!$P$151)*отчёт!BZ$293</f>
        <v>0</v>
      </c>
      <c r="EO139" s="240">
        <f t="shared" si="28"/>
        <v>0</v>
      </c>
      <c r="EP139" s="276">
        <f>SUMIF('20Ф'!$H:$H,$B:$B,'20Ф'!T:T)*1.2</f>
        <v>0</v>
      </c>
      <c r="EQ139" s="276">
        <f>SUMIF('20Ф'!$H:$H,$B:$B,'20Ф'!U:U)*1.2</f>
        <v>0</v>
      </c>
      <c r="ER139" s="236"/>
      <c r="ES139" s="239">
        <f t="shared" si="31"/>
        <v>69008.406418012935</v>
      </c>
      <c r="ET139" s="276">
        <f>$D139/$D$282*'20Ф'!$I$381</f>
        <v>5274.3786210584594</v>
      </c>
      <c r="EU139" s="276">
        <f>$D139/$D$282*('20Ф'!$I$75+'20Ф'!$I$1098)*1.2</f>
        <v>60921.414514451775</v>
      </c>
      <c r="EV139" s="276">
        <f>$D139/$D$282*('20Ф'!$I$1286)</f>
        <v>2812.6132825027034</v>
      </c>
      <c r="EW139" s="276">
        <f>SUMIF('91.1Ф'!$N:$N,$B:$B,'91.1Ф'!$F:$F)+$D139/$D$281*('91Ф'!$D$12+'91Ф'!$D$11+'91Ф'!$D$19+'91Ф'!$D$20)</f>
        <v>26255.040146328822</v>
      </c>
      <c r="EX139" s="276">
        <f t="shared" si="29"/>
        <v>47819.248697049472</v>
      </c>
      <c r="EY139" s="276">
        <f>SUMIF('20Ф'!$H:$H,$B:$B,'20Ф'!$AY:$AY)*1.2</f>
        <v>45354</v>
      </c>
      <c r="EZ139" s="295">
        <f>D139/$D$286*'20Ф'!$I$1163</f>
        <v>2465.2486970494692</v>
      </c>
      <c r="FA139" s="277">
        <f>SUMIF(отчёт!$B:$B,$B:$B,отчёт!$CU:$CU)/отчёт!$CU$281*'20Ф'!$I$1341</f>
        <v>0</v>
      </c>
      <c r="FB139" s="276">
        <f>SUMIF(Сальдо!$A:$A,$B:$B,Сальдо!$H:$H)-SUMIF(Сальдо!$A:$A,$B:$B,Сальдо!$I:$I)</f>
        <v>236174.94</v>
      </c>
    </row>
    <row r="140" spans="1:158" ht="12" customHeight="1" x14ac:dyDescent="0.25">
      <c r="A140" s="3">
        <f t="shared" si="32"/>
        <v>136</v>
      </c>
      <c r="B140" s="4" t="s">
        <v>185</v>
      </c>
      <c r="C140" s="4" t="s">
        <v>185</v>
      </c>
      <c r="D140" s="5">
        <v>7614.56</v>
      </c>
      <c r="E140" s="6">
        <v>7614.56</v>
      </c>
      <c r="F140" s="6">
        <v>0</v>
      </c>
      <c r="G140" s="6">
        <v>1937.4</v>
      </c>
      <c r="H140" s="5">
        <f>SUMIF(отчёт!$B:$B,$B:$B,отчёт!I:I)</f>
        <v>2</v>
      </c>
      <c r="I140" s="5">
        <f>SUMIF(отчёт!$B:$B,$B:$B,отчёт!J:J)</f>
        <v>2</v>
      </c>
      <c r="J140" s="3" t="s">
        <v>51</v>
      </c>
      <c r="K140" s="105">
        <v>3</v>
      </c>
      <c r="L140" s="105" t="s">
        <v>52</v>
      </c>
      <c r="M140" s="7">
        <v>45.06</v>
      </c>
      <c r="N140" s="8">
        <v>5.0999999999999996</v>
      </c>
      <c r="O140" s="8">
        <v>8.6300000000000008</v>
      </c>
      <c r="P140" s="8">
        <v>13.43</v>
      </c>
      <c r="Q140" s="8">
        <v>6.91</v>
      </c>
      <c r="R140" s="8">
        <v>3.15</v>
      </c>
      <c r="S140" s="8">
        <v>1.81</v>
      </c>
      <c r="T140" s="8">
        <v>5.77</v>
      </c>
      <c r="U140" s="8">
        <v>0.26</v>
      </c>
      <c r="V140" s="9">
        <v>40</v>
      </c>
      <c r="W140" s="9">
        <v>40</v>
      </c>
      <c r="X140" s="9">
        <v>2604.04</v>
      </c>
      <c r="Y140" s="8">
        <v>195.98199600000001</v>
      </c>
      <c r="Z140" s="9">
        <v>42.3</v>
      </c>
      <c r="AA140" s="9">
        <v>2604.04</v>
      </c>
      <c r="AB140" s="8">
        <v>7.85</v>
      </c>
      <c r="AC140" s="10">
        <v>0</v>
      </c>
      <c r="AD140" s="8">
        <v>6.73</v>
      </c>
      <c r="AE140" s="8">
        <v>10.67</v>
      </c>
      <c r="AF140" s="8">
        <v>14</v>
      </c>
      <c r="AG140" s="7">
        <v>2058672.4416000005</v>
      </c>
      <c r="AH140" s="8">
        <v>233005.53600000002</v>
      </c>
      <c r="AI140" s="8">
        <v>394281.91680000006</v>
      </c>
      <c r="AJ140" s="8">
        <v>613581.24479999999</v>
      </c>
      <c r="AK140" s="8">
        <v>315699.65760000004</v>
      </c>
      <c r="AL140" s="8">
        <v>143915.18400000001</v>
      </c>
      <c r="AM140" s="8">
        <v>82694.121599999999</v>
      </c>
      <c r="AN140" s="8">
        <v>263616.06719999999</v>
      </c>
      <c r="AO140" s="8">
        <v>11878.713600000001</v>
      </c>
      <c r="AQ140" s="104">
        <v>48.44</v>
      </c>
      <c r="AR140" s="375">
        <v>18.489999999999998</v>
      </c>
      <c r="AS140" s="376"/>
      <c r="AT140" s="104">
        <v>6.67</v>
      </c>
      <c r="AU140" s="104">
        <v>1.53</v>
      </c>
      <c r="AV140" s="104">
        <v>0.32</v>
      </c>
      <c r="AW140" s="104">
        <v>0.87</v>
      </c>
      <c r="AX140" s="104">
        <v>5.01</v>
      </c>
      <c r="AY140" s="104">
        <v>4.99</v>
      </c>
      <c r="AZ140" s="104">
        <v>2.7</v>
      </c>
      <c r="BA140" s="104">
        <v>6.46</v>
      </c>
      <c r="BB140" s="104">
        <v>0.47</v>
      </c>
      <c r="BC140" s="101">
        <v>0.93</v>
      </c>
      <c r="BD140" s="104">
        <v>54.88252</v>
      </c>
      <c r="BE140" s="375">
        <v>20.949169999999999</v>
      </c>
      <c r="BF140" s="376">
        <v>0</v>
      </c>
      <c r="BG140" s="104">
        <v>7.5571100000000007</v>
      </c>
      <c r="BH140" s="104">
        <v>1.7334900000000002</v>
      </c>
      <c r="BI140" s="104">
        <v>0.36256000000000005</v>
      </c>
      <c r="BJ140" s="104">
        <v>0.98571000000000009</v>
      </c>
      <c r="BK140" s="104">
        <v>5.6763300000000001</v>
      </c>
      <c r="BL140" s="104">
        <v>5.65367</v>
      </c>
      <c r="BM140" s="104">
        <v>3.0591000000000004</v>
      </c>
      <c r="BN140" s="104">
        <v>7.3191800000000002</v>
      </c>
      <c r="BO140" s="104">
        <v>0.53250999999999993</v>
      </c>
      <c r="BP140" s="101">
        <v>1.05369</v>
      </c>
      <c r="BQ140" s="103">
        <v>4916760.9877120005</v>
      </c>
      <c r="BR140" s="371">
        <v>1876773.5479519998</v>
      </c>
      <c r="BS140" s="371">
        <v>0</v>
      </c>
      <c r="BT140" s="103">
        <v>677018.90561600006</v>
      </c>
      <c r="BU140" s="103">
        <v>155298.189744</v>
      </c>
      <c r="BV140" s="103">
        <v>32480.667136000004</v>
      </c>
      <c r="BW140" s="103">
        <v>88306.81377600001</v>
      </c>
      <c r="BX140" s="103">
        <v>508525.44484800001</v>
      </c>
      <c r="BY140" s="103">
        <v>506495.40315200004</v>
      </c>
      <c r="BZ140" s="103">
        <v>274055.62896000006</v>
      </c>
      <c r="CA140" s="103">
        <v>655703.46780800004</v>
      </c>
      <c r="CB140" s="103">
        <v>47705.979855999991</v>
      </c>
      <c r="CC140" s="103">
        <v>94396.938863999996</v>
      </c>
      <c r="CD140" s="1">
        <v>1</v>
      </c>
      <c r="CF140" s="277">
        <f>SUMIF(Оборот!$A:$A,$B:$B,Оборот!H:H)</f>
        <v>4180434.76</v>
      </c>
      <c r="CG140" s="277">
        <f>SUMIF(Оборот!$A:$A,$B:$B,Оборот!I:I)</f>
        <v>4122427.62</v>
      </c>
      <c r="CH140" s="277">
        <f t="shared" si="25"/>
        <v>3179063.0728252865</v>
      </c>
      <c r="CI140" s="239">
        <f t="shared" si="30"/>
        <v>220460.15300014694</v>
      </c>
      <c r="CJ140" s="276">
        <f>SUMIF('20Ф'!$H:$H,$B:$B,'20Ф'!M:M)*1.2</f>
        <v>0</v>
      </c>
      <c r="CK140" s="276">
        <f>SUMIF('20Ф'!$H:$H,$B:$B,'20Ф'!O:O)*1.2</f>
        <v>0</v>
      </c>
      <c r="CL140" s="276">
        <f>SUMIF('20Ф'!$H:$H,$B:$B,'20Ф'!Q:Q)*1.2</f>
        <v>0</v>
      </c>
      <c r="CM140" s="276">
        <f>SUMIF('20Ф'!$H:$H,$B:$B,'20Ф'!R:R)*1.2</f>
        <v>0</v>
      </c>
      <c r="CN140" s="276">
        <f>SUMIF('20Ф'!$H:$H,$B:$B,'20Ф'!S:S)*1.2</f>
        <v>0</v>
      </c>
      <c r="CO140" s="276">
        <f>SUMIF('20Ф'!$H:$H,$B:$B,'20Ф'!W:W)*1.2</f>
        <v>0</v>
      </c>
      <c r="CP140" s="276">
        <f>SUMIF('20Ф'!$H:$H,$B:$B,'20Ф'!P:P)*1.2</f>
        <v>0</v>
      </c>
      <c r="CQ140" s="276">
        <f>SUMIF('20Ф'!$H:$H,$B:$B,'20Ф'!Y:Y)*1.2</f>
        <v>0</v>
      </c>
      <c r="CR140" s="276">
        <f>SUMIF('20Ф'!$H:$H,$B:$B,'20Ф'!Z:Z)*1.2</f>
        <v>0</v>
      </c>
      <c r="CS140" s="276">
        <f>SUMIF('20Ф'!$H:$H,$B:$B,'20Ф'!AB:AB)*1.2</f>
        <v>0</v>
      </c>
      <c r="CT140" s="276">
        <f>SUMIF('20Ф'!$H:$H,$B:$B,'20Ф'!AC:AC)*1.2</f>
        <v>0</v>
      </c>
      <c r="CU140" s="276">
        <f>SUMIF('20Ф'!$H:$H,$B:$B,'20Ф'!AD:AD)*1.2</f>
        <v>0</v>
      </c>
      <c r="CV140" s="276">
        <f>SUMIF('20Ф'!$H:$H,$B:$B,'20Ф'!AE:AE)*1.2</f>
        <v>0</v>
      </c>
      <c r="CW140" s="276">
        <f>SUMIF('20Ф'!$H:$H,$B:$B,'20Ф'!AF:AF)*1.2</f>
        <v>0</v>
      </c>
      <c r="CX140" s="276">
        <f>SUMIF('20Ф'!$H:$H,$B:$B,'20Ф'!AG:AG)*1.2</f>
        <v>0</v>
      </c>
      <c r="CY140" s="276">
        <f>SUMIF('20Ф'!$H:$H,$B:$B,'20Ф'!AH:AH)*1.2</f>
        <v>0</v>
      </c>
      <c r="CZ140" s="276">
        <f>SUMIF('20Ф'!$H:$H,$B:$B,'20Ф'!AI:AI)*1.2</f>
        <v>0</v>
      </c>
      <c r="DA140" s="276">
        <f>SUMIF('20Ф'!$H:$H,$B:$B,'20Ф'!AJ:AJ)*1.2</f>
        <v>0</v>
      </c>
      <c r="DB140" s="276">
        <f>SUMIF('20Ф'!$H:$H,$B:$B,'20Ф'!AK:AK)*1.2</f>
        <v>0</v>
      </c>
      <c r="DC140" s="276">
        <f>SUMIF('20Ф'!$H:$H,$B:$B,'20Ф'!AL:AL)*1.2</f>
        <v>0</v>
      </c>
      <c r="DD140" s="276">
        <f>SUMIF('20Ф'!$H:$H,$B:$B,'20Ф'!AM:AM)*1.2</f>
        <v>0</v>
      </c>
      <c r="DE140" s="276">
        <f>SUMIF('20Ф'!$H:$H,$B:$B,'20Ф'!AN:AN)*1.2</f>
        <v>38690.364000000001</v>
      </c>
      <c r="DF140" s="276">
        <f>SUMIF('20Ф'!$H:$H,$B:$B,'20Ф'!AO:AO)*1.2</f>
        <v>114797.18400000001</v>
      </c>
      <c r="DG140" s="276">
        <f>SUMIF('20Ф'!$H:$H,$B:$B,'20Ф'!AP:AP)*1.2</f>
        <v>0</v>
      </c>
      <c r="DH140" s="276">
        <f>SUMIF('20Ф'!$H:$H,$B:$B,'20Ф'!AQ:AQ)*1.2</f>
        <v>0</v>
      </c>
      <c r="DI140" s="276">
        <f>SUMIF('20Ф'!$H:$H,$B:$B,'20Ф'!BA:BA)*1.2</f>
        <v>0</v>
      </c>
      <c r="DJ140" s="276">
        <f>SUMIF('20Ф'!$H:$H,$B:$B,'20Ф'!BB:BB)*1.2</f>
        <v>0</v>
      </c>
      <c r="DK140" s="276">
        <f>SUMIF('20Ф'!$H:$H,$B:$B,'20Ф'!BC:BC)*1.2</f>
        <v>0</v>
      </c>
      <c r="DL140" s="276">
        <f>$D140/$D$281*'20Ф'!$H$218</f>
        <v>66972.605000146927</v>
      </c>
      <c r="DM140" s="240">
        <f t="shared" si="26"/>
        <v>771237.60492991027</v>
      </c>
      <c r="DN140" s="276">
        <f>SUMIF('20Ф'!$H:$H,$B:$B,'20Ф'!AV:AV)*1.2</f>
        <v>0</v>
      </c>
      <c r="DO140" s="276">
        <f>SUMIF('20Ф'!$H:$H,$B:$B,'20Ф'!AW:AW)*1.2+$D140/$D$281*'26Ф'!$D$42</f>
        <v>35639.353602611875</v>
      </c>
      <c r="DP140" s="276">
        <f>SUMIF('20Ф'!$H:$H,$B:$B,'20Ф'!AX:AX)*1.2</f>
        <v>0</v>
      </c>
      <c r="DQ140" s="276">
        <f>SUMIF('20Ф'!$H:$H,$B:$B,'20Ф'!AY:AY)*1.2</f>
        <v>67122</v>
      </c>
      <c r="DR140" s="276">
        <f>SUMIF('20Ф'!$H:$H,$B:$B,'20Ф'!AU:AU)*1.2</f>
        <v>0</v>
      </c>
      <c r="DS140" s="276">
        <f>SUMIF('20Ф'!$H:$H,$B:$B,'20Ф'!AS:AS)*1.2</f>
        <v>39803.796000000002</v>
      </c>
      <c r="DT140" s="276">
        <f>SUMIF('20Ф'!$H:$H,$B:$B,'20Ф'!AR:AR)*1.2</f>
        <v>0</v>
      </c>
      <c r="DU140" s="276">
        <f>SUMIF('20Ф'!$H:$H,$B:$B,'20Ф'!X:X)*1.2</f>
        <v>0</v>
      </c>
      <c r="DV140" s="276">
        <f>SUMIF('20Ф'!$H:$H,$B:$B,'20Ф'!AA:AA)*1.2</f>
        <v>0</v>
      </c>
      <c r="DW140" s="276">
        <f>SUMIF('20Ф'!$H:$H,$B:$B,'20Ф'!N:N)*1.2</f>
        <v>0</v>
      </c>
      <c r="DX140" s="276">
        <f>$D140/$D$281*('25Ф'!$D$37)</f>
        <v>599052.94839339901</v>
      </c>
      <c r="DY140" s="276">
        <f>$D140/$D$281*'25Ф'!$D$30</f>
        <v>19119.889578261122</v>
      </c>
      <c r="DZ140" s="276">
        <f>$D140/$D$281*'25Ф'!$D$31</f>
        <v>10499.617355638187</v>
      </c>
      <c r="EA140" s="276"/>
      <c r="EB140" s="276">
        <f t="shared" si="27"/>
        <v>377412.75965905265</v>
      </c>
      <c r="EC140" s="276">
        <f>$D140/$D$281*'26Ф'!$D$36</f>
        <v>196455.49589039027</v>
      </c>
      <c r="ED140" s="276">
        <f>$D140/$D$281*'26Ф'!$D$37</f>
        <v>23603.918012670445</v>
      </c>
      <c r="EE140" s="276">
        <f>$D140/$D$281*'26Ф'!$D$38</f>
        <v>23845.999418469044</v>
      </c>
      <c r="EF140" s="276">
        <f>$D140/$D$281*'26Ф'!$D$39</f>
        <v>16727.946828375345</v>
      </c>
      <c r="EG140" s="276">
        <f>$D140/$D$281*'91Ф'!$D$10</f>
        <v>5160.5646394939758</v>
      </c>
      <c r="EH140" s="276">
        <f>$D140/$D$281*('20Ф'!$I$509+'26Ф'!$D$41+'20Ф'!$I$507)</f>
        <v>36509.295530920383</v>
      </c>
      <c r="EI140" s="276">
        <f>$D140/$D$281*'91Ф'!$D$31</f>
        <v>66926.901182579721</v>
      </c>
      <c r="EJ140" s="276">
        <f>$D140/$D$281*'20Ф'!$I$1316</f>
        <v>8182.6381561534345</v>
      </c>
      <c r="EK140" s="276">
        <f>$D140/$D$281*('20Ф'!$I$1105+'20Ф'!$I$1282+'91Ф'!$D$17+'91Ф'!$D$41)</f>
        <v>268726.95332646015</v>
      </c>
      <c r="EL140" s="276">
        <f>$D140/$D$281*отчёт!BX$294</f>
        <v>449229.51063752599</v>
      </c>
      <c r="EM140" s="276">
        <f>$D140/$D$281*отчёт!BY$294</f>
        <v>395073.24084614607</v>
      </c>
      <c r="EN140" s="276">
        <f>$D140/$D$283*отчёт!BZ$294</f>
        <v>70903.296975844903</v>
      </c>
      <c r="EO140" s="240">
        <f t="shared" ref="EO140:EO144" si="34">SUBTOTAL(9,EP140:ER140)</f>
        <v>367752.01900199603</v>
      </c>
      <c r="EP140" s="276">
        <f>SUMIF('20Ф'!$H:$H,$B:$B,'20Ф'!T:T)*1.2</f>
        <v>12025.199999999999</v>
      </c>
      <c r="EQ140" s="276">
        <f>SUM(H140:I140)/SUM($H$284:$I$284)*SUM('60Ф'!$O$155:$P$155)</f>
        <v>345020.52351297403</v>
      </c>
      <c r="ER140" s="276">
        <f>SUM($H140:$I140)/SUM($H$284:$I$284)*SUM('60Ф'!$P$227)</f>
        <v>10706.295489021955</v>
      </c>
      <c r="ES140" s="239">
        <f t="shared" si="31"/>
        <v>150357.28830672559</v>
      </c>
      <c r="ET140" s="276">
        <f>$D140/$D$282*'20Ф'!$I$381</f>
        <v>11491.951606033794</v>
      </c>
      <c r="EU140" s="276">
        <f>$D140/$D$282*('20Ф'!$I$75+'20Ф'!$I$1098)*1.2</f>
        <v>132737.14264197202</v>
      </c>
      <c r="EV140" s="276">
        <f>$D140/$D$282*('20Ф'!$I$1286)</f>
        <v>6128.1940587197505</v>
      </c>
      <c r="EW140" s="276">
        <f>SUMIF('91.1Ф'!$N:$N,$B:$B,'91.1Ф'!$F:$F)+$D140/$D$281*('91Ф'!$D$12+'91Ф'!$D$11+'91Ф'!$D$19+'91Ф'!$D$20)</f>
        <v>35416.898963210937</v>
      </c>
      <c r="EX140" s="276">
        <f t="shared" si="29"/>
        <v>72493.347178266282</v>
      </c>
      <c r="EY140" s="276">
        <f>SUMIF('20Ф'!$H:$H,$B:$B,'20Ф'!$AY:$AY)*1.2</f>
        <v>67122</v>
      </c>
      <c r="EZ140" s="295">
        <f>D140/$D$286*'20Ф'!$I$1163</f>
        <v>5371.3471782662828</v>
      </c>
      <c r="FA140" s="277">
        <f>SUMIF(отчёт!$B:$B,$B:$B,отчёт!$CU:$CU)/отчёт!$CU$281*'20Ф'!$I$1341</f>
        <v>1841.9277108433701</v>
      </c>
      <c r="FB140" s="276">
        <f>SUMIF(Сальдо!$A:$A,$B:$B,Сальдо!$H:$H)-SUMIF(Сальдо!$A:$A,$B:$B,Сальдо!$I:$I)</f>
        <v>986604.89</v>
      </c>
    </row>
    <row r="141" spans="1:158" ht="12" customHeight="1" x14ac:dyDescent="0.25">
      <c r="A141" s="3">
        <f t="shared" si="32"/>
        <v>137</v>
      </c>
      <c r="B141" s="4" t="s">
        <v>186</v>
      </c>
      <c r="C141" s="4" t="s">
        <v>186</v>
      </c>
      <c r="D141" s="5">
        <v>5017.28</v>
      </c>
      <c r="E141" s="6">
        <v>5017.28</v>
      </c>
      <c r="F141" s="6">
        <v>0</v>
      </c>
      <c r="G141" s="6">
        <v>860.8</v>
      </c>
      <c r="H141" s="5">
        <f>SUMIF(отчёт!$B:$B,$B:$B,отчёт!I:I)</f>
        <v>4</v>
      </c>
      <c r="I141" s="5">
        <f>SUMIF(отчёт!$B:$B,$B:$B,отчёт!J:J)</f>
        <v>0</v>
      </c>
      <c r="J141" s="3" t="s">
        <v>51</v>
      </c>
      <c r="K141" s="105">
        <v>1</v>
      </c>
      <c r="L141" s="105" t="s">
        <v>52</v>
      </c>
      <c r="M141" s="7">
        <v>44.8</v>
      </c>
      <c r="N141" s="8">
        <v>5.0999999999999996</v>
      </c>
      <c r="O141" s="8">
        <v>8.6300000000000008</v>
      </c>
      <c r="P141" s="8">
        <v>13.43</v>
      </c>
      <c r="Q141" s="8">
        <v>6.91</v>
      </c>
      <c r="R141" s="8">
        <v>3.15</v>
      </c>
      <c r="S141" s="8">
        <v>1.81</v>
      </c>
      <c r="T141" s="8">
        <v>5.77</v>
      </c>
      <c r="U141" s="8">
        <v>0</v>
      </c>
      <c r="V141" s="9">
        <v>40</v>
      </c>
      <c r="W141" s="9">
        <v>40</v>
      </c>
      <c r="X141" s="9">
        <v>2604.04</v>
      </c>
      <c r="Y141" s="8">
        <v>195.98199600000001</v>
      </c>
      <c r="Z141" s="9">
        <v>42.3</v>
      </c>
      <c r="AA141" s="9">
        <v>2604.04</v>
      </c>
      <c r="AB141" s="8">
        <v>0</v>
      </c>
      <c r="AC141" s="10">
        <v>0</v>
      </c>
      <c r="AD141" s="8">
        <v>5.05</v>
      </c>
      <c r="AE141" s="8">
        <v>10.67</v>
      </c>
      <c r="AF141" s="8">
        <v>14</v>
      </c>
      <c r="AG141" s="7">
        <v>1348644.8639999998</v>
      </c>
      <c r="AH141" s="8">
        <v>153528.76799999998</v>
      </c>
      <c r="AI141" s="8">
        <v>259794.75839999999</v>
      </c>
      <c r="AJ141" s="8">
        <v>404292.42239999998</v>
      </c>
      <c r="AK141" s="8">
        <v>208016.42879999999</v>
      </c>
      <c r="AL141" s="8">
        <v>94826.59199999999</v>
      </c>
      <c r="AM141" s="8">
        <v>54487.660799999998</v>
      </c>
      <c r="AN141" s="8">
        <v>173698.23359999998</v>
      </c>
      <c r="AO141" s="8">
        <v>0</v>
      </c>
      <c r="AQ141" s="104">
        <v>48.16</v>
      </c>
      <c r="AR141" s="375">
        <v>18.649999999999999</v>
      </c>
      <c r="AS141" s="376"/>
      <c r="AT141" s="104">
        <v>7.16</v>
      </c>
      <c r="AU141" s="104">
        <v>1.53</v>
      </c>
      <c r="AV141" s="104">
        <v>0.32</v>
      </c>
      <c r="AW141" s="104">
        <v>0.87</v>
      </c>
      <c r="AX141" s="104">
        <v>5.01</v>
      </c>
      <c r="AY141" s="104">
        <v>4.99</v>
      </c>
      <c r="AZ141" s="104">
        <v>2.7</v>
      </c>
      <c r="BA141" s="104">
        <v>6.46</v>
      </c>
      <c r="BB141" s="104">
        <v>0.47</v>
      </c>
      <c r="BC141" s="101">
        <v>0</v>
      </c>
      <c r="BD141" s="104">
        <v>54.565279999999994</v>
      </c>
      <c r="BE141" s="375">
        <v>21.130449999999996</v>
      </c>
      <c r="BF141" s="376">
        <v>0</v>
      </c>
      <c r="BG141" s="104">
        <v>8.1122800000000002</v>
      </c>
      <c r="BH141" s="104">
        <v>1.7334900000000002</v>
      </c>
      <c r="BI141" s="104">
        <v>0.36255999999999999</v>
      </c>
      <c r="BJ141" s="104">
        <v>0.98570999999999998</v>
      </c>
      <c r="BK141" s="104">
        <v>5.6763299999999992</v>
      </c>
      <c r="BL141" s="104">
        <v>5.6536700000000009</v>
      </c>
      <c r="BM141" s="104">
        <v>3.0591000000000004</v>
      </c>
      <c r="BN141" s="104">
        <v>7.3191800000000002</v>
      </c>
      <c r="BO141" s="104">
        <v>0.53250999999999993</v>
      </c>
      <c r="BP141" s="101">
        <v>0</v>
      </c>
      <c r="BQ141" s="103">
        <v>3220957.2899839994</v>
      </c>
      <c r="BR141" s="371">
        <v>1247318.3857599997</v>
      </c>
      <c r="BS141" s="371">
        <v>0</v>
      </c>
      <c r="BT141" s="103">
        <v>478863.25158400001</v>
      </c>
      <c r="BU141" s="103">
        <v>102326.923872</v>
      </c>
      <c r="BV141" s="103">
        <v>21401.709567999998</v>
      </c>
      <c r="BW141" s="103">
        <v>58185.897887999992</v>
      </c>
      <c r="BX141" s="103">
        <v>335070.51542399998</v>
      </c>
      <c r="BY141" s="103">
        <v>333732.90857600007</v>
      </c>
      <c r="BZ141" s="103">
        <v>180576.92448000002</v>
      </c>
      <c r="CA141" s="103">
        <v>432047.01190400001</v>
      </c>
      <c r="CB141" s="103">
        <v>31433.760927999992</v>
      </c>
      <c r="CC141" s="103">
        <v>0</v>
      </c>
      <c r="CD141" s="1">
        <v>1</v>
      </c>
      <c r="CF141" s="277">
        <f>SUMIF(Оборот!$A:$A,$B:$B,Оборот!H:H)</f>
        <v>2764721.9300000011</v>
      </c>
      <c r="CG141" s="277">
        <f>SUMIF(Оборот!$A:$A,$B:$B,Оборот!I:I)</f>
        <v>2832338.0799999996</v>
      </c>
      <c r="CH141" s="277">
        <f t="shared" si="25"/>
        <v>2679002.369134387</v>
      </c>
      <c r="CI141" s="239">
        <f t="shared" si="30"/>
        <v>684152.8816788597</v>
      </c>
      <c r="CJ141" s="276">
        <f>SUMIF('20Ф'!$H:$H,$B:$B,'20Ф'!M:M)*1.2</f>
        <v>0</v>
      </c>
      <c r="CK141" s="276">
        <f>SUMIF('20Ф'!$H:$H,$B:$B,'20Ф'!O:O)*1.2</f>
        <v>311793.56400000001</v>
      </c>
      <c r="CL141" s="276">
        <f>SUMIF('20Ф'!$H:$H,$B:$B,'20Ф'!Q:Q)*1.2</f>
        <v>112179.996</v>
      </c>
      <c r="CM141" s="276">
        <f>SUMIF('20Ф'!$H:$H,$B:$B,'20Ф'!R:R)*1.2</f>
        <v>0</v>
      </c>
      <c r="CN141" s="276">
        <f>SUMIF('20Ф'!$H:$H,$B:$B,'20Ф'!S:S)*1.2</f>
        <v>0</v>
      </c>
      <c r="CO141" s="276">
        <f>SUMIF('20Ф'!$H:$H,$B:$B,'20Ф'!W:W)*1.2</f>
        <v>0</v>
      </c>
      <c r="CP141" s="276">
        <f>SUMIF('20Ф'!$H:$H,$B:$B,'20Ф'!P:P)*1.2</f>
        <v>0</v>
      </c>
      <c r="CQ141" s="276">
        <f>SUMIF('20Ф'!$H:$H,$B:$B,'20Ф'!Y:Y)*1.2</f>
        <v>0</v>
      </c>
      <c r="CR141" s="276">
        <f>SUMIF('20Ф'!$H:$H,$B:$B,'20Ф'!Z:Z)*1.2</f>
        <v>0</v>
      </c>
      <c r="CS141" s="276">
        <f>SUMIF('20Ф'!$H:$H,$B:$B,'20Ф'!AB:AB)*1.2</f>
        <v>0</v>
      </c>
      <c r="CT141" s="276">
        <f>SUMIF('20Ф'!$H:$H,$B:$B,'20Ф'!AC:AC)*1.2</f>
        <v>0</v>
      </c>
      <c r="CU141" s="276">
        <f>SUMIF('20Ф'!$H:$H,$B:$B,'20Ф'!AD:AD)*1.2</f>
        <v>136777.46400000001</v>
      </c>
      <c r="CV141" s="276">
        <f>SUMIF('20Ф'!$H:$H,$B:$B,'20Ф'!AE:AE)*1.2</f>
        <v>0</v>
      </c>
      <c r="CW141" s="276">
        <f>SUMIF('20Ф'!$H:$H,$B:$B,'20Ф'!AF:AF)*1.2</f>
        <v>0</v>
      </c>
      <c r="CX141" s="276">
        <f>SUMIF('20Ф'!$H:$H,$B:$B,'20Ф'!AG:AG)*1.2</f>
        <v>0</v>
      </c>
      <c r="CY141" s="276">
        <f>SUMIF('20Ф'!$H:$H,$B:$B,'20Ф'!AH:AH)*1.2</f>
        <v>0</v>
      </c>
      <c r="CZ141" s="276">
        <f>SUMIF('20Ф'!$H:$H,$B:$B,'20Ф'!AI:AI)*1.2</f>
        <v>0</v>
      </c>
      <c r="DA141" s="276">
        <f>SUMIF('20Ф'!$H:$H,$B:$B,'20Ф'!AJ:AJ)*1.2</f>
        <v>0</v>
      </c>
      <c r="DB141" s="276">
        <f>SUMIF('20Ф'!$H:$H,$B:$B,'20Ф'!AK:AK)*1.2</f>
        <v>0</v>
      </c>
      <c r="DC141" s="276">
        <f>SUMIF('20Ф'!$H:$H,$B:$B,'20Ф'!AL:AL)*1.2</f>
        <v>0</v>
      </c>
      <c r="DD141" s="276">
        <f>SUMIF('20Ф'!$H:$H,$B:$B,'20Ф'!AM:AM)*1.2</f>
        <v>0</v>
      </c>
      <c r="DE141" s="276">
        <f>SUMIF('20Ф'!$H:$H,$B:$B,'20Ф'!AN:AN)*1.2</f>
        <v>0</v>
      </c>
      <c r="DF141" s="276">
        <f>SUMIF('20Ф'!$H:$H,$B:$B,'20Ф'!AO:AO)*1.2</f>
        <v>0</v>
      </c>
      <c r="DG141" s="276">
        <f>SUMIF('20Ф'!$H:$H,$B:$B,'20Ф'!AP:AP)*1.2</f>
        <v>0</v>
      </c>
      <c r="DH141" s="276">
        <f>SUMIF('20Ф'!$H:$H,$B:$B,'20Ф'!AQ:AQ)*1.2</f>
        <v>0</v>
      </c>
      <c r="DI141" s="276">
        <f>SUMIF('20Ф'!$H:$H,$B:$B,'20Ф'!BA:BA)*1.2</f>
        <v>71764.800000000003</v>
      </c>
      <c r="DJ141" s="276">
        <f>SUMIF('20Ф'!$H:$H,$B:$B,'20Ф'!BB:BB)*1.2</f>
        <v>7508.4</v>
      </c>
      <c r="DK141" s="276">
        <f>SUMIF('20Ф'!$H:$H,$B:$B,'20Ф'!BC:BC)*1.2</f>
        <v>0</v>
      </c>
      <c r="DL141" s="276">
        <f>$D141/$D$281*'20Ф'!$H$218</f>
        <v>44128.657678859599</v>
      </c>
      <c r="DM141" s="240">
        <f t="shared" si="26"/>
        <v>474815.70834300859</v>
      </c>
      <c r="DN141" s="276">
        <f>SUMIF('20Ф'!$H:$H,$B:$B,'20Ф'!AV:AV)*1.2</f>
        <v>0</v>
      </c>
      <c r="DO141" s="276">
        <f>SUMIF('20Ф'!$H:$H,$B:$B,'20Ф'!AW:AW)*1.2+$D141/$D$281*'26Ф'!$D$42</f>
        <v>23482.987335225211</v>
      </c>
      <c r="DP141" s="276">
        <f>SUMIF('20Ф'!$H:$H,$B:$B,'20Ф'!AX:AX)*1.2</f>
        <v>0</v>
      </c>
      <c r="DQ141" s="276">
        <f>SUMIF('20Ф'!$H:$H,$B:$B,'20Ф'!AY:AY)*1.2</f>
        <v>0</v>
      </c>
      <c r="DR141" s="276">
        <f>SUMIF('20Ф'!$H:$H,$B:$B,'20Ф'!AU:AU)*1.2</f>
        <v>0</v>
      </c>
      <c r="DS141" s="276">
        <f>SUMIF('20Ф'!$H:$H,$B:$B,'20Ф'!AS:AS)*1.2</f>
        <v>37096.608</v>
      </c>
      <c r="DT141" s="276">
        <f>SUMIF('20Ф'!$H:$H,$B:$B,'20Ф'!AR:AR)*1.2</f>
        <v>0</v>
      </c>
      <c r="DU141" s="276">
        <f>SUMIF('20Ф'!$H:$H,$B:$B,'20Ф'!X:X)*1.2</f>
        <v>0</v>
      </c>
      <c r="DV141" s="276">
        <f>SUMIF('20Ф'!$H:$H,$B:$B,'20Ф'!AA:AA)*1.2</f>
        <v>0</v>
      </c>
      <c r="DW141" s="276">
        <f>SUMIF('20Ф'!$H:$H,$B:$B,'20Ф'!N:N)*1.2</f>
        <v>0</v>
      </c>
      <c r="DX141" s="276">
        <f>$D141/$D$281*('25Ф'!$D$37)</f>
        <v>394719.63933769416</v>
      </c>
      <c r="DY141" s="276">
        <f>$D141/$D$281*'25Ф'!$D$30</f>
        <v>12598.211792042868</v>
      </c>
      <c r="DZ141" s="276">
        <f>$D141/$D$281*'25Ф'!$D$31</f>
        <v>6918.2618780463163</v>
      </c>
      <c r="EA141" s="276"/>
      <c r="EB141" s="276">
        <f t="shared" si="27"/>
        <v>248679.56793067115</v>
      </c>
      <c r="EC141" s="276">
        <f>$D141/$D$281*'26Ф'!$D$36</f>
        <v>129445.72377405093</v>
      </c>
      <c r="ED141" s="276">
        <f>$D141/$D$281*'26Ф'!$D$37</f>
        <v>15552.765460724082</v>
      </c>
      <c r="EE141" s="276">
        <f>$D141/$D$281*'26Ф'!$D$38</f>
        <v>15712.274374658069</v>
      </c>
      <c r="EF141" s="276">
        <f>$D141/$D$281*'26Ф'!$D$39</f>
        <v>11022.146133600765</v>
      </c>
      <c r="EG141" s="276">
        <f>$D141/$D$281*'91Ф'!$D$10</f>
        <v>3400.3274981667141</v>
      </c>
      <c r="EH141" s="276">
        <f>$D141/$D$281*('20Ф'!$I$509+'26Ф'!$D$41+'20Ф'!$I$507)</f>
        <v>24056.197374684318</v>
      </c>
      <c r="EI141" s="276">
        <f>$D141/$D$281*'91Ф'!$D$31</f>
        <v>44098.543154868246</v>
      </c>
      <c r="EJ141" s="276">
        <f>$D141/$D$281*'20Ф'!$I$1316</f>
        <v>5391.5901599180388</v>
      </c>
      <c r="EK141" s="276">
        <f>$D141/$D$281*('20Ф'!$I$1105+'20Ф'!$I$1282+'91Ф'!$D$17+'91Ф'!$D$41)</f>
        <v>177065.82762310389</v>
      </c>
      <c r="EL141" s="276">
        <f>$D141/$D$281*отчёт!BX$294</f>
        <v>296000.06292306399</v>
      </c>
      <c r="EM141" s="276">
        <f>$D141/$D$281*отчёт!BY$294</f>
        <v>260316.16663767199</v>
      </c>
      <c r="EN141" s="276">
        <f>$D141/$D$283*отчёт!BZ$294</f>
        <v>46718.614581928196</v>
      </c>
      <c r="EO141" s="240">
        <f t="shared" si="34"/>
        <v>368845.79500199598</v>
      </c>
      <c r="EP141" s="276">
        <f>SUMIF('20Ф'!$H:$H,$B:$B,'20Ф'!T:T)*1.2</f>
        <v>13118.975999999999</v>
      </c>
      <c r="EQ141" s="276">
        <f>SUM(H141:I141)/SUM($H$284:$I$284)*SUM('60Ф'!$O$155:$P$155)</f>
        <v>345020.52351297403</v>
      </c>
      <c r="ER141" s="276">
        <f>SUM($H141:$I141)/SUM($H$284:$I$284)*SUM('60Ф'!$P$227)</f>
        <v>10706.295489021955</v>
      </c>
      <c r="ES141" s="239">
        <f t="shared" si="31"/>
        <v>99071.33379677459</v>
      </c>
      <c r="ET141" s="276">
        <f>$D141/$D$282*'20Ф'!$I$381</f>
        <v>7572.1169645943073</v>
      </c>
      <c r="EU141" s="276">
        <f>$D141/$D$282*('20Ф'!$I$75+'20Ф'!$I$1098)*1.2</f>
        <v>87461.312411316394</v>
      </c>
      <c r="EV141" s="276">
        <f>$D141/$D$282*('20Ф'!$I$1286)</f>
        <v>4037.9044208639011</v>
      </c>
      <c r="EW141" s="276">
        <f>SUMIF('91.1Ф'!$N:$N,$B:$B,'91.1Ф'!$F:$F)+$D141/$D$281*('91Ф'!$D$12+'91Ф'!$D$11+'91Ф'!$D$19+'91Ф'!$D$20)</f>
        <v>23336.410617309335</v>
      </c>
      <c r="EX141" s="276">
        <f t="shared" si="29"/>
        <v>0</v>
      </c>
      <c r="EY141" s="276">
        <f>SUMIF('20Ф'!$H:$H,$B:$B,'20Ф'!$AY:$AY)*1.2</f>
        <v>0</v>
      </c>
      <c r="EZ141" s="236"/>
      <c r="FA141" s="277">
        <f>SUMIF(отчёт!$B:$B,$B:$B,отчёт!$CU:$CU)/отчёт!$CU$281*'20Ф'!$I$1341</f>
        <v>1841.9277108433701</v>
      </c>
      <c r="FB141" s="276">
        <f>SUMIF(Сальдо!$A:$A,$B:$B,Сальдо!$H:$H)-SUMIF(Сальдо!$A:$A,$B:$B,Сальдо!$I:$I)</f>
        <v>234490.07</v>
      </c>
    </row>
    <row r="142" spans="1:158" ht="12" customHeight="1" x14ac:dyDescent="0.25">
      <c r="A142" s="3">
        <f t="shared" si="32"/>
        <v>138</v>
      </c>
      <c r="B142" s="4" t="s">
        <v>187</v>
      </c>
      <c r="C142" s="4" t="s">
        <v>187</v>
      </c>
      <c r="D142" s="5">
        <v>9584.2799999999916</v>
      </c>
      <c r="E142" s="6">
        <v>9508.9799999999923</v>
      </c>
      <c r="F142" s="6">
        <v>75.3</v>
      </c>
      <c r="G142" s="6">
        <v>1379.8</v>
      </c>
      <c r="H142" s="5">
        <f>SUMIF(отчёт!$B:$B,$B:$B,отчёт!I:I)</f>
        <v>8</v>
      </c>
      <c r="I142" s="5">
        <f>SUMIF(отчёт!$B:$B,$B:$B,отчёт!J:J)</f>
        <v>0</v>
      </c>
      <c r="J142" s="3" t="s">
        <v>51</v>
      </c>
      <c r="K142" s="105">
        <v>3</v>
      </c>
      <c r="L142" s="105" t="s">
        <v>52</v>
      </c>
      <c r="M142" s="7">
        <v>45.06</v>
      </c>
      <c r="N142" s="8">
        <v>5.0999999999999996</v>
      </c>
      <c r="O142" s="8">
        <v>8.6300000000000008</v>
      </c>
      <c r="P142" s="8">
        <v>13.43</v>
      </c>
      <c r="Q142" s="8">
        <v>6.91</v>
      </c>
      <c r="R142" s="8">
        <v>3.15</v>
      </c>
      <c r="S142" s="8">
        <v>1.81</v>
      </c>
      <c r="T142" s="8">
        <v>5.77</v>
      </c>
      <c r="U142" s="8">
        <v>0.26</v>
      </c>
      <c r="V142" s="9">
        <v>40</v>
      </c>
      <c r="W142" s="9">
        <v>40</v>
      </c>
      <c r="X142" s="9">
        <v>2604.04</v>
      </c>
      <c r="Y142" s="8">
        <v>195.98199600000001</v>
      </c>
      <c r="Z142" s="9">
        <v>42.3</v>
      </c>
      <c r="AA142" s="9">
        <v>2604.04</v>
      </c>
      <c r="AB142" s="8">
        <v>7.85</v>
      </c>
      <c r="AC142" s="10">
        <v>0</v>
      </c>
      <c r="AD142" s="8">
        <v>6.73</v>
      </c>
      <c r="AE142" s="8">
        <v>10.67</v>
      </c>
      <c r="AF142" s="8">
        <v>14</v>
      </c>
      <c r="AG142" s="7">
        <v>2591205.9407999981</v>
      </c>
      <c r="AH142" s="8">
        <v>293278.9679999997</v>
      </c>
      <c r="AI142" s="8">
        <v>496274.01839999965</v>
      </c>
      <c r="AJ142" s="8">
        <v>772301.28239999921</v>
      </c>
      <c r="AK142" s="8">
        <v>397364.24879999971</v>
      </c>
      <c r="AL142" s="8">
        <v>181142.89199999982</v>
      </c>
      <c r="AM142" s="8">
        <v>104085.28079999992</v>
      </c>
      <c r="AN142" s="8">
        <v>331807.77359999967</v>
      </c>
      <c r="AO142" s="8">
        <v>14951.476799999986</v>
      </c>
      <c r="AQ142" s="104">
        <v>48.44</v>
      </c>
      <c r="AR142" s="375">
        <v>18.489999999999998</v>
      </c>
      <c r="AS142" s="376"/>
      <c r="AT142" s="104">
        <v>6.67</v>
      </c>
      <c r="AU142" s="104">
        <v>1.53</v>
      </c>
      <c r="AV142" s="104">
        <v>0.32</v>
      </c>
      <c r="AW142" s="104">
        <v>0.87</v>
      </c>
      <c r="AX142" s="104">
        <v>5.01</v>
      </c>
      <c r="AY142" s="104">
        <v>4.99</v>
      </c>
      <c r="AZ142" s="104">
        <v>2.7</v>
      </c>
      <c r="BA142" s="104">
        <v>6.46</v>
      </c>
      <c r="BB142" s="104">
        <v>0.47</v>
      </c>
      <c r="BC142" s="101">
        <v>0.93</v>
      </c>
      <c r="BD142" s="104">
        <v>54.88252</v>
      </c>
      <c r="BE142" s="375">
        <v>20.949169999999999</v>
      </c>
      <c r="BF142" s="376">
        <v>0</v>
      </c>
      <c r="BG142" s="104">
        <v>7.5571100000000007</v>
      </c>
      <c r="BH142" s="104">
        <v>1.7334900000000002</v>
      </c>
      <c r="BI142" s="104">
        <v>0.36256000000000005</v>
      </c>
      <c r="BJ142" s="104">
        <v>0.98571000000000009</v>
      </c>
      <c r="BK142" s="104">
        <v>5.6763300000000001</v>
      </c>
      <c r="BL142" s="104">
        <v>5.65367</v>
      </c>
      <c r="BM142" s="104">
        <v>3.0591000000000004</v>
      </c>
      <c r="BN142" s="104">
        <v>7.3191800000000002</v>
      </c>
      <c r="BO142" s="104">
        <v>0.53250999999999993</v>
      </c>
      <c r="BP142" s="101">
        <v>1.05369</v>
      </c>
      <c r="BQ142" s="103">
        <v>6188619.4342559949</v>
      </c>
      <c r="BR142" s="371">
        <v>2362253.7848759978</v>
      </c>
      <c r="BS142" s="371">
        <v>0</v>
      </c>
      <c r="BT142" s="103">
        <v>852148.87750799931</v>
      </c>
      <c r="BU142" s="103">
        <v>195470.43217199983</v>
      </c>
      <c r="BV142" s="103">
        <v>40882.704767999967</v>
      </c>
      <c r="BW142" s="103">
        <v>111149.85358799991</v>
      </c>
      <c r="BX142" s="103">
        <v>640069.84652399935</v>
      </c>
      <c r="BY142" s="103">
        <v>637514.67747599946</v>
      </c>
      <c r="BZ142" s="103">
        <v>344947.82147999975</v>
      </c>
      <c r="CA142" s="103">
        <v>825319.60250399925</v>
      </c>
      <c r="CB142" s="103">
        <v>60046.47262799993</v>
      </c>
      <c r="CC142" s="103">
        <v>118815.36073199988</v>
      </c>
      <c r="CD142" s="1">
        <v>1</v>
      </c>
      <c r="CF142" s="277">
        <f>SUMIF(Оборот!$A:$A,$B:$B,Оборот!H:H)</f>
        <v>5270367.3999999994</v>
      </c>
      <c r="CG142" s="277">
        <f>SUMIF(Оборот!$A:$A,$B:$B,Оборот!I:I)</f>
        <v>5366301.8099999996</v>
      </c>
      <c r="CH142" s="277">
        <f t="shared" si="25"/>
        <v>4120312.1216044859</v>
      </c>
      <c r="CI142" s="239">
        <f t="shared" si="30"/>
        <v>84296.951977633318</v>
      </c>
      <c r="CJ142" s="276">
        <f>SUMIF('20Ф'!$H:$H,$B:$B,'20Ф'!M:M)*1.2</f>
        <v>0</v>
      </c>
      <c r="CK142" s="276">
        <f>SUMIF('20Ф'!$H:$H,$B:$B,'20Ф'!O:O)*1.2</f>
        <v>0</v>
      </c>
      <c r="CL142" s="276">
        <f>SUMIF('20Ф'!$H:$H,$B:$B,'20Ф'!Q:Q)*1.2</f>
        <v>0</v>
      </c>
      <c r="CM142" s="276">
        <f>SUMIF('20Ф'!$H:$H,$B:$B,'20Ф'!R:R)*1.2</f>
        <v>0</v>
      </c>
      <c r="CN142" s="276">
        <f>SUMIF('20Ф'!$H:$H,$B:$B,'20Ф'!S:S)*1.2</f>
        <v>0</v>
      </c>
      <c r="CO142" s="276">
        <f>SUMIF('20Ф'!$H:$H,$B:$B,'20Ф'!W:W)*1.2</f>
        <v>0</v>
      </c>
      <c r="CP142" s="276">
        <f>SUMIF('20Ф'!$H:$H,$B:$B,'20Ф'!P:P)*1.2</f>
        <v>0</v>
      </c>
      <c r="CQ142" s="276">
        <f>SUMIF('20Ф'!$H:$H,$B:$B,'20Ф'!Y:Y)*1.2</f>
        <v>0</v>
      </c>
      <c r="CR142" s="276">
        <f>SUMIF('20Ф'!$H:$H,$B:$B,'20Ф'!Z:Z)*1.2</f>
        <v>0</v>
      </c>
      <c r="CS142" s="276">
        <f>SUMIF('20Ф'!$H:$H,$B:$B,'20Ф'!AB:AB)*1.2</f>
        <v>0</v>
      </c>
      <c r="CT142" s="276">
        <f>SUMIF('20Ф'!$H:$H,$B:$B,'20Ф'!AC:AC)*1.2</f>
        <v>0</v>
      </c>
      <c r="CU142" s="276">
        <f>SUMIF('20Ф'!$H:$H,$B:$B,'20Ф'!AD:AD)*1.2</f>
        <v>0</v>
      </c>
      <c r="CV142" s="276">
        <f>SUMIF('20Ф'!$H:$H,$B:$B,'20Ф'!AE:AE)*1.2</f>
        <v>0</v>
      </c>
      <c r="CW142" s="276">
        <f>SUMIF('20Ф'!$H:$H,$B:$B,'20Ф'!AF:AF)*1.2</f>
        <v>0</v>
      </c>
      <c r="CX142" s="276">
        <f>SUMIF('20Ф'!$H:$H,$B:$B,'20Ф'!AG:AG)*1.2</f>
        <v>0</v>
      </c>
      <c r="CY142" s="276">
        <f>SUMIF('20Ф'!$H:$H,$B:$B,'20Ф'!AH:AH)*1.2</f>
        <v>0</v>
      </c>
      <c r="CZ142" s="276">
        <f>SUMIF('20Ф'!$H:$H,$B:$B,'20Ф'!AI:AI)*1.2</f>
        <v>0</v>
      </c>
      <c r="DA142" s="276">
        <f>SUMIF('20Ф'!$H:$H,$B:$B,'20Ф'!AJ:AJ)*1.2</f>
        <v>0</v>
      </c>
      <c r="DB142" s="276">
        <f>SUMIF('20Ф'!$H:$H,$B:$B,'20Ф'!AK:AK)*1.2</f>
        <v>0</v>
      </c>
      <c r="DC142" s="276">
        <f>SUMIF('20Ф'!$H:$H,$B:$B,'20Ф'!AL:AL)*1.2</f>
        <v>0</v>
      </c>
      <c r="DD142" s="276">
        <f>SUMIF('20Ф'!$H:$H,$B:$B,'20Ф'!AM:AM)*1.2</f>
        <v>0</v>
      </c>
      <c r="DE142" s="276">
        <f>SUMIF('20Ф'!$H:$H,$B:$B,'20Ф'!AN:AN)*1.2</f>
        <v>0</v>
      </c>
      <c r="DF142" s="276">
        <f>SUMIF('20Ф'!$H:$H,$B:$B,'20Ф'!AO:AO)*1.2</f>
        <v>0</v>
      </c>
      <c r="DG142" s="276">
        <f>SUMIF('20Ф'!$H:$H,$B:$B,'20Ф'!AP:AP)*1.2</f>
        <v>0</v>
      </c>
      <c r="DH142" s="276">
        <f>SUMIF('20Ф'!$H:$H,$B:$B,'20Ф'!AQ:AQ)*1.2</f>
        <v>0</v>
      </c>
      <c r="DI142" s="276">
        <f>SUMIF('20Ф'!$H:$H,$B:$B,'20Ф'!BA:BA)*1.2</f>
        <v>0</v>
      </c>
      <c r="DJ142" s="276">
        <f>SUMIF('20Ф'!$H:$H,$B:$B,'20Ф'!BB:BB)*1.2</f>
        <v>0</v>
      </c>
      <c r="DK142" s="276">
        <f>SUMIF('20Ф'!$H:$H,$B:$B,'20Ф'!BC:BC)*1.2</f>
        <v>0</v>
      </c>
      <c r="DL142" s="276">
        <f>$D142/$D$281*'20Ф'!$H$218</f>
        <v>84296.951977633318</v>
      </c>
      <c r="DM142" s="240">
        <f t="shared" si="26"/>
        <v>1018511.6290496776</v>
      </c>
      <c r="DN142" s="276">
        <f>SUMIF('20Ф'!$H:$H,$B:$B,'20Ф'!AV:AV)*1.2</f>
        <v>0</v>
      </c>
      <c r="DO142" s="276">
        <f>SUMIF('20Ф'!$H:$H,$B:$B,'20Ф'!AW:AW)*1.2+$D142/$D$281*'26Ф'!$D$42</f>
        <v>44858.474284323798</v>
      </c>
      <c r="DP142" s="276">
        <f>SUMIF('20Ф'!$H:$H,$B:$B,'20Ф'!AX:AX)*1.2</f>
        <v>0</v>
      </c>
      <c r="DQ142" s="276">
        <f>SUMIF('20Ф'!$H:$H,$B:$B,'20Ф'!AY:AY)*1.2</f>
        <v>76450.5</v>
      </c>
      <c r="DR142" s="276">
        <f>SUMIF('20Ф'!$H:$H,$B:$B,'20Ф'!AU:AU)*1.2</f>
        <v>0</v>
      </c>
      <c r="DS142" s="276">
        <f>SUMIF('20Ф'!$H:$H,$B:$B,'20Ф'!AS:AS)*1.2</f>
        <v>105906.39599999999</v>
      </c>
      <c r="DT142" s="276">
        <f>SUMIF('20Ф'!$H:$H,$B:$B,'20Ф'!AR:AR)*1.2</f>
        <v>0</v>
      </c>
      <c r="DU142" s="276">
        <f>SUMIF('20Ф'!$H:$H,$B:$B,'20Ф'!X:X)*1.2</f>
        <v>0</v>
      </c>
      <c r="DV142" s="276">
        <f>SUMIF('20Ф'!$H:$H,$B:$B,'20Ф'!AA:AA)*1.2</f>
        <v>0</v>
      </c>
      <c r="DW142" s="276">
        <f>SUMIF('20Ф'!$H:$H,$B:$B,'20Ф'!N:N)*1.2</f>
        <v>0</v>
      </c>
      <c r="DX142" s="276">
        <f>$D142/$D$281*('25Ф'!$D$37)</f>
        <v>754014.83371696866</v>
      </c>
      <c r="DY142" s="276">
        <f>$D142/$D$281*'25Ф'!$D$30</f>
        <v>24065.786504687905</v>
      </c>
      <c r="DZ142" s="276">
        <f>$D142/$D$281*'25Ф'!$D$31</f>
        <v>13215.638543697321</v>
      </c>
      <c r="EA142" s="276"/>
      <c r="EB142" s="276">
        <f t="shared" si="27"/>
        <v>475041.17954879353</v>
      </c>
      <c r="EC142" s="276">
        <f>$D142/$D$281*'26Ф'!$D$36</f>
        <v>247274.23254296349</v>
      </c>
      <c r="ED142" s="276">
        <f>$D142/$D$281*'26Ф'!$D$37</f>
        <v>29709.734946008291</v>
      </c>
      <c r="EE142" s="276">
        <f>$D142/$D$281*'26Ф'!$D$38</f>
        <v>30014.437512665772</v>
      </c>
      <c r="EF142" s="276">
        <f>$D142/$D$281*'26Ф'!$D$39</f>
        <v>21055.100521666533</v>
      </c>
      <c r="EG142" s="276">
        <f>$D142/$D$281*'91Ф'!$D$10</f>
        <v>6495.4897542352128</v>
      </c>
      <c r="EH142" s="276">
        <f>$D142/$D$281*('20Ф'!$I$509+'26Ф'!$D$41+'20Ф'!$I$507)</f>
        <v>45953.451147681459</v>
      </c>
      <c r="EI142" s="276">
        <f>$D142/$D$281*'91Ф'!$D$31</f>
        <v>84239.425582853713</v>
      </c>
      <c r="EJ142" s="276">
        <f>$D142/$D$281*'20Ф'!$I$1316</f>
        <v>10299.307540719119</v>
      </c>
      <c r="EK142" s="276">
        <f>$D142/$D$281*('20Ф'!$I$1105+'20Ф'!$I$1282+'91Ф'!$D$17+'91Ф'!$D$41)</f>
        <v>338240.73409727198</v>
      </c>
      <c r="EL142" s="276">
        <f>$D142/$D$281*отчёт!BX$294</f>
        <v>565435.35203780967</v>
      </c>
      <c r="EM142" s="276">
        <f>$D142/$D$281*отчёт!BY$294</f>
        <v>497270.04065591417</v>
      </c>
      <c r="EN142" s="276">
        <f>$D142/$D$283*отчёт!BZ$294</f>
        <v>89244.427930129939</v>
      </c>
      <c r="EO142" s="240">
        <f t="shared" si="34"/>
        <v>735230.60600399203</v>
      </c>
      <c r="EP142" s="276">
        <f>SUMIF('20Ф'!$H:$H,$B:$B,'20Ф'!T:T)*1.2</f>
        <v>23776.967999999997</v>
      </c>
      <c r="EQ142" s="276">
        <f>SUM(H142:I142)/SUM($H$284:$I$284)*SUM('60Ф'!$O$155:$P$155)</f>
        <v>690041.04702594806</v>
      </c>
      <c r="ER142" s="276">
        <f>SUM($H142:$I142)/SUM($H$284:$I$284)*SUM('60Ф'!$P$227)</f>
        <v>21412.590978043911</v>
      </c>
      <c r="ES142" s="239">
        <f t="shared" si="31"/>
        <v>189251.42768228007</v>
      </c>
      <c r="ET142" s="276">
        <f>$D142/$D$282*'20Ф'!$I$381</f>
        <v>14464.667943870358</v>
      </c>
      <c r="EU142" s="276">
        <f>$D142/$D$282*('20Ф'!$I$75+'20Ф'!$I$1098)*1.2</f>
        <v>167073.33601424095</v>
      </c>
      <c r="EV142" s="276">
        <f>$D142/$D$282*('20Ф'!$I$1286)</f>
        <v>7713.4237241687606</v>
      </c>
      <c r="EW142" s="276">
        <f>SUMIF('91.1Ф'!$N:$N,$B:$B,'91.1Ф'!$F:$F)+$D142/$D$281*('91Ф'!$D$12+'91Ф'!$D$11+'91Ф'!$D$19+'91Ф'!$D$20)</f>
        <v>44578.475498928769</v>
      </c>
      <c r="EX142" s="276">
        <f t="shared" si="29"/>
        <v>83211.29712205485</v>
      </c>
      <c r="EY142" s="276">
        <f>SUMIF('20Ф'!$H:$H,$B:$B,'20Ф'!$AY:$AY)*1.2</f>
        <v>76450.5</v>
      </c>
      <c r="EZ142" s="295">
        <f>D142/$D$286*'20Ф'!$I$1163</f>
        <v>6760.7971220548425</v>
      </c>
      <c r="FA142" s="277">
        <f>SUMIF(отчёт!$B:$B,$B:$B,отчёт!$CU:$CU)/отчёт!$CU$281*'20Ф'!$I$1341</f>
        <v>3683.8554216867401</v>
      </c>
      <c r="FB142" s="276">
        <f>SUMIF(Сальдо!$A:$A,$B:$B,Сальдо!$H:$H)-SUMIF(Сальдо!$A:$A,$B:$B,Сальдо!$I:$I)</f>
        <v>1433074.61</v>
      </c>
    </row>
    <row r="143" spans="1:158" ht="12" customHeight="1" x14ac:dyDescent="0.25">
      <c r="A143" s="3">
        <f t="shared" si="32"/>
        <v>139</v>
      </c>
      <c r="B143" s="4" t="s">
        <v>188</v>
      </c>
      <c r="C143" s="4" t="s">
        <v>188</v>
      </c>
      <c r="D143" s="5">
        <v>3036.2</v>
      </c>
      <c r="E143" s="6">
        <v>3036.2</v>
      </c>
      <c r="F143" s="6">
        <v>0</v>
      </c>
      <c r="G143" s="6">
        <v>498</v>
      </c>
      <c r="H143" s="5">
        <f>SUMIF(отчёт!$B:$B,$B:$B,отчёт!I:I)</f>
        <v>1</v>
      </c>
      <c r="I143" s="5">
        <f>SUMIF(отчёт!$B:$B,$B:$B,отчёт!J:J)</f>
        <v>0</v>
      </c>
      <c r="J143" s="3" t="s">
        <v>51</v>
      </c>
      <c r="K143" s="105">
        <v>3</v>
      </c>
      <c r="L143" s="105" t="s">
        <v>52</v>
      </c>
      <c r="M143" s="7">
        <v>45.06</v>
      </c>
      <c r="N143" s="8">
        <v>5.0999999999999996</v>
      </c>
      <c r="O143" s="8">
        <v>8.6300000000000008</v>
      </c>
      <c r="P143" s="8">
        <v>13.43</v>
      </c>
      <c r="Q143" s="8">
        <v>6.91</v>
      </c>
      <c r="R143" s="8">
        <v>3.15</v>
      </c>
      <c r="S143" s="8">
        <v>1.81</v>
      </c>
      <c r="T143" s="8">
        <v>5.77</v>
      </c>
      <c r="U143" s="8">
        <v>0.26</v>
      </c>
      <c r="V143" s="9">
        <v>40</v>
      </c>
      <c r="W143" s="9">
        <v>40</v>
      </c>
      <c r="X143" s="9">
        <v>2604.04</v>
      </c>
      <c r="Y143" s="8">
        <v>195.98199600000001</v>
      </c>
      <c r="Z143" s="9">
        <v>42.3</v>
      </c>
      <c r="AA143" s="9">
        <v>2604.04</v>
      </c>
      <c r="AB143" s="8">
        <v>7.85</v>
      </c>
      <c r="AC143" s="10">
        <v>0</v>
      </c>
      <c r="AD143" s="8">
        <v>6.73</v>
      </c>
      <c r="AE143" s="8">
        <v>10.67</v>
      </c>
      <c r="AF143" s="8">
        <v>14</v>
      </c>
      <c r="AG143" s="7">
        <v>820867.03199999989</v>
      </c>
      <c r="AH143" s="8">
        <v>92907.719999999987</v>
      </c>
      <c r="AI143" s="8">
        <v>157214.43599999999</v>
      </c>
      <c r="AJ143" s="8">
        <v>244656.99599999998</v>
      </c>
      <c r="AK143" s="8">
        <v>125880.852</v>
      </c>
      <c r="AL143" s="8">
        <v>57384.179999999993</v>
      </c>
      <c r="AM143" s="8">
        <v>32973.131999999998</v>
      </c>
      <c r="AN143" s="8">
        <v>105113.24399999998</v>
      </c>
      <c r="AO143" s="8">
        <v>4736.4719999999998</v>
      </c>
      <c r="AQ143" s="104">
        <v>48.44</v>
      </c>
      <c r="AR143" s="375">
        <v>18.489999999999998</v>
      </c>
      <c r="AS143" s="376"/>
      <c r="AT143" s="104">
        <v>6.67</v>
      </c>
      <c r="AU143" s="104">
        <v>1.53</v>
      </c>
      <c r="AV143" s="104">
        <v>0.32</v>
      </c>
      <c r="AW143" s="104">
        <v>0.87</v>
      </c>
      <c r="AX143" s="104">
        <v>5.01</v>
      </c>
      <c r="AY143" s="104">
        <v>4.99</v>
      </c>
      <c r="AZ143" s="104">
        <v>2.7</v>
      </c>
      <c r="BA143" s="104">
        <v>6.46</v>
      </c>
      <c r="BB143" s="104">
        <v>0.47</v>
      </c>
      <c r="BC143" s="101">
        <v>0.93</v>
      </c>
      <c r="BD143" s="104">
        <v>54.88252</v>
      </c>
      <c r="BE143" s="375">
        <v>20.949169999999999</v>
      </c>
      <c r="BF143" s="376">
        <v>0</v>
      </c>
      <c r="BG143" s="104">
        <v>7.5571100000000007</v>
      </c>
      <c r="BH143" s="104">
        <v>1.7334900000000002</v>
      </c>
      <c r="BI143" s="104">
        <v>0.36256000000000005</v>
      </c>
      <c r="BJ143" s="104">
        <v>0.98571000000000009</v>
      </c>
      <c r="BK143" s="104">
        <v>5.6763300000000001</v>
      </c>
      <c r="BL143" s="104">
        <v>5.65367</v>
      </c>
      <c r="BM143" s="104">
        <v>3.0591000000000004</v>
      </c>
      <c r="BN143" s="104">
        <v>7.3191800000000002</v>
      </c>
      <c r="BO143" s="104">
        <v>0.53250999999999993</v>
      </c>
      <c r="BP143" s="101">
        <v>1.05369</v>
      </c>
      <c r="BQ143" s="103">
        <v>1960490.1282399998</v>
      </c>
      <c r="BR143" s="371">
        <v>748337.37553999992</v>
      </c>
      <c r="BS143" s="371">
        <v>0</v>
      </c>
      <c r="BT143" s="103">
        <v>269951.88182000001</v>
      </c>
      <c r="BU143" s="103">
        <v>61922.995379999993</v>
      </c>
      <c r="BV143" s="103">
        <v>12951.21472</v>
      </c>
      <c r="BW143" s="103">
        <v>35211.115020000005</v>
      </c>
      <c r="BX143" s="103">
        <v>202767.45545999997</v>
      </c>
      <c r="BY143" s="103">
        <v>201958.00453999999</v>
      </c>
      <c r="BZ143" s="103">
        <v>109275.87420000002</v>
      </c>
      <c r="CA143" s="103">
        <v>261452.64715999999</v>
      </c>
      <c r="CB143" s="103">
        <v>19022.096619999993</v>
      </c>
      <c r="CC143" s="103">
        <v>37639.467779999992</v>
      </c>
      <c r="CD143" s="1">
        <v>1</v>
      </c>
      <c r="CF143" s="277">
        <f>SUMIF(Оборот!$A:$A,$B:$B,Оборот!H:H)</f>
        <v>1682783.44</v>
      </c>
      <c r="CG143" s="277">
        <f>SUMIF(Оборот!$A:$A,$B:$B,Оборот!I:I)</f>
        <v>1670538.81</v>
      </c>
      <c r="CH143" s="277">
        <f t="shared" si="25"/>
        <v>1244797.2663853075</v>
      </c>
      <c r="CI143" s="239">
        <f t="shared" si="30"/>
        <v>92059.827697380562</v>
      </c>
      <c r="CJ143" s="276">
        <f>SUMIF('20Ф'!$H:$H,$B:$B,'20Ф'!M:M)*1.2</f>
        <v>0</v>
      </c>
      <c r="CK143" s="276">
        <f>SUMIF('20Ф'!$H:$H,$B:$B,'20Ф'!O:O)*1.2</f>
        <v>0</v>
      </c>
      <c r="CL143" s="276">
        <f>SUMIF('20Ф'!$H:$H,$B:$B,'20Ф'!Q:Q)*1.2</f>
        <v>0</v>
      </c>
      <c r="CM143" s="276">
        <f>SUMIF('20Ф'!$H:$H,$B:$B,'20Ф'!R:R)*1.2</f>
        <v>0</v>
      </c>
      <c r="CN143" s="276">
        <f>SUMIF('20Ф'!$H:$H,$B:$B,'20Ф'!S:S)*1.2</f>
        <v>0</v>
      </c>
      <c r="CO143" s="276">
        <f>SUMIF('20Ф'!$H:$H,$B:$B,'20Ф'!W:W)*1.2</f>
        <v>0</v>
      </c>
      <c r="CP143" s="276">
        <f>SUMIF('20Ф'!$H:$H,$B:$B,'20Ф'!P:P)*1.2</f>
        <v>0</v>
      </c>
      <c r="CQ143" s="276">
        <f>SUMIF('20Ф'!$H:$H,$B:$B,'20Ф'!Y:Y)*1.2</f>
        <v>0</v>
      </c>
      <c r="CR143" s="276">
        <f>SUMIF('20Ф'!$H:$H,$B:$B,'20Ф'!Z:Z)*1.2</f>
        <v>0</v>
      </c>
      <c r="CS143" s="276">
        <f>SUMIF('20Ф'!$H:$H,$B:$B,'20Ф'!AB:AB)*1.2</f>
        <v>0</v>
      </c>
      <c r="CT143" s="276">
        <f>SUMIF('20Ф'!$H:$H,$B:$B,'20Ф'!AC:AC)*1.2</f>
        <v>0</v>
      </c>
      <c r="CU143" s="276">
        <f>SUMIF('20Ф'!$H:$H,$B:$B,'20Ф'!AD:AD)*1.2</f>
        <v>0</v>
      </c>
      <c r="CV143" s="276">
        <f>SUMIF('20Ф'!$H:$H,$B:$B,'20Ф'!AE:AE)*1.2</f>
        <v>0</v>
      </c>
      <c r="CW143" s="276">
        <f>SUMIF('20Ф'!$H:$H,$B:$B,'20Ф'!AF:AF)*1.2</f>
        <v>0</v>
      </c>
      <c r="CX143" s="276">
        <f>SUMIF('20Ф'!$H:$H,$B:$B,'20Ф'!AG:AG)*1.2</f>
        <v>0</v>
      </c>
      <c r="CY143" s="276">
        <f>SUMIF('20Ф'!$H:$H,$B:$B,'20Ф'!AH:AH)*1.2</f>
        <v>0</v>
      </c>
      <c r="CZ143" s="276">
        <f>SUMIF('20Ф'!$H:$H,$B:$B,'20Ф'!AI:AI)*1.2</f>
        <v>0</v>
      </c>
      <c r="DA143" s="276">
        <f>SUMIF('20Ф'!$H:$H,$B:$B,'20Ф'!AJ:AJ)*1.2</f>
        <v>65355.432000000001</v>
      </c>
      <c r="DB143" s="276">
        <f>SUMIF('20Ф'!$H:$H,$B:$B,'20Ф'!AK:AK)*1.2</f>
        <v>0</v>
      </c>
      <c r="DC143" s="276">
        <f>SUMIF('20Ф'!$H:$H,$B:$B,'20Ф'!AL:AL)*1.2</f>
        <v>0</v>
      </c>
      <c r="DD143" s="276">
        <f>SUMIF('20Ф'!$H:$H,$B:$B,'20Ф'!AM:AM)*1.2</f>
        <v>0</v>
      </c>
      <c r="DE143" s="276">
        <f>SUMIF('20Ф'!$H:$H,$B:$B,'20Ф'!AN:AN)*1.2</f>
        <v>0</v>
      </c>
      <c r="DF143" s="276">
        <f>SUMIF('20Ф'!$H:$H,$B:$B,'20Ф'!AO:AO)*1.2</f>
        <v>0</v>
      </c>
      <c r="DG143" s="276">
        <f>SUMIF('20Ф'!$H:$H,$B:$B,'20Ф'!AP:AP)*1.2</f>
        <v>0</v>
      </c>
      <c r="DH143" s="276">
        <f>SUMIF('20Ф'!$H:$H,$B:$B,'20Ф'!AQ:AQ)*1.2</f>
        <v>0</v>
      </c>
      <c r="DI143" s="276">
        <f>SUMIF('20Ф'!$H:$H,$B:$B,'20Ф'!BA:BA)*1.2</f>
        <v>0</v>
      </c>
      <c r="DJ143" s="276">
        <f>SUMIF('20Ф'!$H:$H,$B:$B,'20Ф'!BB:BB)*1.2</f>
        <v>0</v>
      </c>
      <c r="DK143" s="276">
        <f>SUMIF('20Ф'!$H:$H,$B:$B,'20Ф'!BC:BC)*1.2</f>
        <v>0</v>
      </c>
      <c r="DL143" s="276">
        <f>$D143/$D$281*'20Ф'!$H$218</f>
        <v>26704.395697380554</v>
      </c>
      <c r="DM143" s="240">
        <f t="shared" si="26"/>
        <v>331745.53957433556</v>
      </c>
      <c r="DN143" s="276">
        <f>SUMIF('20Ф'!$H:$H,$B:$B,'20Ф'!AV:AV)*1.2</f>
        <v>0</v>
      </c>
      <c r="DO143" s="276">
        <f>SUMIF('20Ф'!$H:$H,$B:$B,'20Ф'!AW:AW)*1.2+$D143/$D$281*'26Ф'!$D$42</f>
        <v>14210.697060401408</v>
      </c>
      <c r="DP143" s="276">
        <f>SUMIF('20Ф'!$H:$H,$B:$B,'20Ф'!AX:AX)*1.2</f>
        <v>0</v>
      </c>
      <c r="DQ143" s="276">
        <f>SUMIF('20Ф'!$H:$H,$B:$B,'20Ф'!AY:AY)*1.2</f>
        <v>30682.5</v>
      </c>
      <c r="DR143" s="276">
        <f>SUMIF('20Ф'!$H:$H,$B:$B,'20Ф'!AU:AU)*1.2</f>
        <v>0</v>
      </c>
      <c r="DS143" s="276">
        <f>SUMIF('20Ф'!$H:$H,$B:$B,'20Ф'!AS:AS)*1.2</f>
        <v>36177.935999999994</v>
      </c>
      <c r="DT143" s="276">
        <f>SUMIF('20Ф'!$H:$H,$B:$B,'20Ф'!AR:AR)*1.2</f>
        <v>0</v>
      </c>
      <c r="DU143" s="276">
        <f>SUMIF('20Ф'!$H:$H,$B:$B,'20Ф'!X:X)*1.2</f>
        <v>0</v>
      </c>
      <c r="DV143" s="276">
        <f>SUMIF('20Ф'!$H:$H,$B:$B,'20Ф'!AA:AA)*1.2</f>
        <v>0</v>
      </c>
      <c r="DW143" s="276">
        <f>SUMIF('20Ф'!$H:$H,$B:$B,'20Ф'!N:N)*1.2</f>
        <v>0</v>
      </c>
      <c r="DX143" s="276">
        <f>$D143/$D$281*('25Ф'!$D$37)</f>
        <v>238864.03967032075</v>
      </c>
      <c r="DY143" s="276">
        <f>$D143/$D$281*'25Ф'!$D$30</f>
        <v>7623.7903092912002</v>
      </c>
      <c r="DZ143" s="276">
        <f>$D143/$D$281*'25Ф'!$D$31</f>
        <v>4186.5765343222274</v>
      </c>
      <c r="EA143" s="276"/>
      <c r="EB143" s="276">
        <f t="shared" si="27"/>
        <v>150488.09397743471</v>
      </c>
      <c r="EC143" s="276">
        <f>$D143/$D$281*'26Ф'!$D$36</f>
        <v>78333.899348406587</v>
      </c>
      <c r="ED143" s="276">
        <f>$D143/$D$281*'26Ф'!$D$37</f>
        <v>9411.7343444755825</v>
      </c>
      <c r="EE143" s="276">
        <f>$D143/$D$281*'26Ф'!$D$38</f>
        <v>9508.2609414537019</v>
      </c>
      <c r="EF143" s="276">
        <f>$D143/$D$281*'26Ф'!$D$39</f>
        <v>6670.0363724644903</v>
      </c>
      <c r="EG143" s="276">
        <f>$D143/$D$281*'91Ф'!$D$10</f>
        <v>2057.7034468743573</v>
      </c>
      <c r="EH143" s="276">
        <f>$D143/$D$281*('20Ф'!$I$509+'26Ф'!$D$41+'20Ф'!$I$507)</f>
        <v>14557.574316963875</v>
      </c>
      <c r="EI143" s="276">
        <f>$D143/$D$281*'91Ф'!$D$31</f>
        <v>26686.171935154296</v>
      </c>
      <c r="EJ143" s="276">
        <f>$D143/$D$281*'20Ф'!$I$1316</f>
        <v>3262.7132716418355</v>
      </c>
      <c r="EK143" s="276">
        <f>$D143/$D$281*('20Ф'!$I$1105+'20Ф'!$I$1282+'91Ф'!$D$17+'91Ф'!$D$41)</f>
        <v>107151.13883005691</v>
      </c>
      <c r="EL143" s="276">
        <f>$D143/$D$281*отчёт!BX$294</f>
        <v>179124.02557700724</v>
      </c>
      <c r="EM143" s="276">
        <f>$D143/$D$281*отчёт!BY$294</f>
        <v>157529.96546840115</v>
      </c>
      <c r="EN143" s="276">
        <f>$D143/$D$283*отчёт!BZ$294</f>
        <v>28271.704507950595</v>
      </c>
      <c r="EO143" s="240">
        <f t="shared" si="34"/>
        <v>91527.844750499004</v>
      </c>
      <c r="EP143" s="276">
        <f>SUMIF('20Ф'!$H:$H,$B:$B,'20Ф'!T:T)*1.2</f>
        <v>2596.14</v>
      </c>
      <c r="EQ143" s="276">
        <f>SUM(H143:I143)/SUM($H$284:$I$284)*SUM('60Ф'!$O$155:$P$155)</f>
        <v>86255.130878243508</v>
      </c>
      <c r="ER143" s="276">
        <f>SUM($H143:$I143)/SUM($H$284:$I$284)*SUM('60Ф'!$P$227)</f>
        <v>2676.5738722554888</v>
      </c>
      <c r="ES143" s="239">
        <f t="shared" si="31"/>
        <v>59952.879582914851</v>
      </c>
      <c r="ET143" s="276">
        <f>$D143/$D$282*'20Ф'!$I$381</f>
        <v>4582.2560287449051</v>
      </c>
      <c r="EU143" s="276">
        <f>$D143/$D$282*('20Ф'!$I$75+'20Ф'!$I$1098)*1.2</f>
        <v>52927.091321042244</v>
      </c>
      <c r="EV143" s="276">
        <f>$D143/$D$282*('20Ф'!$I$1286)</f>
        <v>2443.5322331277061</v>
      </c>
      <c r="EW143" s="276">
        <f>SUMIF('91.1Ф'!$N:$N,$B:$B,'91.1Ф'!$F:$F)+$D143/$D$281*('91Ф'!$D$12+'91Ф'!$D$11+'91Ф'!$D$19+'91Ф'!$D$20)</f>
        <v>14121.996363821552</v>
      </c>
      <c r="EX143" s="276">
        <f t="shared" si="29"/>
        <v>32824.250055505778</v>
      </c>
      <c r="EY143" s="276">
        <f>SUMIF('20Ф'!$H:$H,$B:$B,'20Ф'!$AY:$AY)*1.2</f>
        <v>30682.5</v>
      </c>
      <c r="EZ143" s="295">
        <f>D143/$D$286*'20Ф'!$I$1163</f>
        <v>2141.7500555057791</v>
      </c>
      <c r="FA143" s="277">
        <f>SUMIF(отчёт!$B:$B,$B:$B,отчёт!$CU:$CU)/отчёт!$CU$281*'20Ф'!$I$1341</f>
        <v>920.96385542168503</v>
      </c>
      <c r="FB143" s="276">
        <f>SUMIF(Сальдо!$A:$A,$B:$B,Сальдо!$H:$H)-SUMIF(Сальдо!$A:$A,$B:$B,Сальдо!$I:$I)</f>
        <v>275012.15999999997</v>
      </c>
    </row>
    <row r="144" spans="1:158" ht="12" customHeight="1" x14ac:dyDescent="0.25">
      <c r="A144" s="3">
        <f t="shared" si="32"/>
        <v>140</v>
      </c>
      <c r="B144" s="4" t="s">
        <v>189</v>
      </c>
      <c r="C144" s="4" t="s">
        <v>189</v>
      </c>
      <c r="D144" s="5">
        <v>3037.3</v>
      </c>
      <c r="E144" s="6">
        <v>3037.3</v>
      </c>
      <c r="F144" s="6">
        <v>0</v>
      </c>
      <c r="G144" s="6">
        <v>489.8</v>
      </c>
      <c r="H144" s="5">
        <f>SUMIF(отчёт!$B:$B,$B:$B,отчёт!I:I)</f>
        <v>1</v>
      </c>
      <c r="I144" s="5">
        <f>SUMIF(отчёт!$B:$B,$B:$B,отчёт!J:J)</f>
        <v>0</v>
      </c>
      <c r="J144" s="3" t="s">
        <v>51</v>
      </c>
      <c r="K144" s="105">
        <v>3</v>
      </c>
      <c r="L144" s="105" t="s">
        <v>52</v>
      </c>
      <c r="M144" s="7">
        <v>45.06</v>
      </c>
      <c r="N144" s="8">
        <v>5.0999999999999996</v>
      </c>
      <c r="O144" s="8">
        <v>8.6300000000000008</v>
      </c>
      <c r="P144" s="8">
        <v>13.43</v>
      </c>
      <c r="Q144" s="8">
        <v>6.91</v>
      </c>
      <c r="R144" s="8">
        <v>3.15</v>
      </c>
      <c r="S144" s="8">
        <v>1.81</v>
      </c>
      <c r="T144" s="8">
        <v>5.77</v>
      </c>
      <c r="U144" s="8">
        <v>0.26</v>
      </c>
      <c r="V144" s="9">
        <v>40</v>
      </c>
      <c r="W144" s="9">
        <v>40</v>
      </c>
      <c r="X144" s="9">
        <v>2604.04</v>
      </c>
      <c r="Y144" s="8">
        <v>195.98199600000001</v>
      </c>
      <c r="Z144" s="9">
        <v>42.3</v>
      </c>
      <c r="AA144" s="9">
        <v>2604.04</v>
      </c>
      <c r="AB144" s="8">
        <v>7.85</v>
      </c>
      <c r="AC144" s="10">
        <v>0</v>
      </c>
      <c r="AD144" s="8">
        <v>6.73</v>
      </c>
      <c r="AE144" s="8">
        <v>10.67</v>
      </c>
      <c r="AF144" s="8">
        <v>14</v>
      </c>
      <c r="AG144" s="7">
        <v>821164.42800000007</v>
      </c>
      <c r="AH144" s="8">
        <v>92941.38</v>
      </c>
      <c r="AI144" s="8">
        <v>157271.39400000003</v>
      </c>
      <c r="AJ144" s="8">
        <v>244745.63399999999</v>
      </c>
      <c r="AK144" s="8">
        <v>125926.45800000001</v>
      </c>
      <c r="AL144" s="8">
        <v>57404.97</v>
      </c>
      <c r="AM144" s="8">
        <v>32985.078000000009</v>
      </c>
      <c r="AN144" s="8">
        <v>105151.326</v>
      </c>
      <c r="AO144" s="8">
        <v>4738.1880000000001</v>
      </c>
      <c r="AQ144" s="104">
        <v>48.44</v>
      </c>
      <c r="AR144" s="375">
        <v>18.489999999999998</v>
      </c>
      <c r="AS144" s="376"/>
      <c r="AT144" s="104">
        <v>6.67</v>
      </c>
      <c r="AU144" s="104">
        <v>1.53</v>
      </c>
      <c r="AV144" s="104">
        <v>0.32</v>
      </c>
      <c r="AW144" s="104">
        <v>0.87</v>
      </c>
      <c r="AX144" s="104">
        <v>5.01</v>
      </c>
      <c r="AY144" s="104">
        <v>4.99</v>
      </c>
      <c r="AZ144" s="104">
        <v>2.7</v>
      </c>
      <c r="BA144" s="104">
        <v>6.46</v>
      </c>
      <c r="BB144" s="104">
        <v>0.47</v>
      </c>
      <c r="BC144" s="101">
        <v>0.93</v>
      </c>
      <c r="BD144" s="104">
        <v>54.88252</v>
      </c>
      <c r="BE144" s="375">
        <v>20.949169999999999</v>
      </c>
      <c r="BF144" s="376">
        <v>0</v>
      </c>
      <c r="BG144" s="104">
        <v>7.5571100000000007</v>
      </c>
      <c r="BH144" s="104">
        <v>1.7334900000000002</v>
      </c>
      <c r="BI144" s="104">
        <v>0.36256000000000005</v>
      </c>
      <c r="BJ144" s="104">
        <v>0.98571000000000009</v>
      </c>
      <c r="BK144" s="104">
        <v>5.6763300000000001</v>
      </c>
      <c r="BL144" s="104">
        <v>5.65367</v>
      </c>
      <c r="BM144" s="104">
        <v>3.0591000000000004</v>
      </c>
      <c r="BN144" s="104">
        <v>7.3191800000000002</v>
      </c>
      <c r="BO144" s="104">
        <v>0.53250999999999993</v>
      </c>
      <c r="BP144" s="101">
        <v>1.05369</v>
      </c>
      <c r="BQ144" s="103">
        <v>1961200.4039600003</v>
      </c>
      <c r="BR144" s="371">
        <v>748608.49440999993</v>
      </c>
      <c r="BS144" s="371">
        <v>0</v>
      </c>
      <c r="BT144" s="103">
        <v>270049.68403</v>
      </c>
      <c r="BU144" s="103">
        <v>61945.429770000002</v>
      </c>
      <c r="BV144" s="103">
        <v>12955.90688</v>
      </c>
      <c r="BW144" s="103">
        <v>35223.871830000004</v>
      </c>
      <c r="BX144" s="103">
        <v>202840.91709</v>
      </c>
      <c r="BY144" s="103">
        <v>202031.17291000002</v>
      </c>
      <c r="BZ144" s="103">
        <v>109315.46430000002</v>
      </c>
      <c r="CA144" s="103">
        <v>261547.37014000001</v>
      </c>
      <c r="CB144" s="103">
        <v>19028.988229999995</v>
      </c>
      <c r="CC144" s="103">
        <v>37653.104370000001</v>
      </c>
      <c r="CD144" s="1">
        <v>1</v>
      </c>
      <c r="CF144" s="277">
        <f>SUMIF(Оборот!$A:$A,$B:$B,Оборот!H:H)</f>
        <v>1683714.5300000003</v>
      </c>
      <c r="CG144" s="277">
        <f>SUMIF(Оборот!$A:$A,$B:$B,Оборот!I:I)</f>
        <v>1731040.42</v>
      </c>
      <c r="CH144" s="277">
        <f t="shared" si="25"/>
        <v>1208162.4008404159</v>
      </c>
      <c r="CI144" s="239">
        <f t="shared" si="30"/>
        <v>26714.070565724905</v>
      </c>
      <c r="CJ144" s="276">
        <f>SUMIF('20Ф'!$H:$H,$B:$B,'20Ф'!M:M)*1.2</f>
        <v>0</v>
      </c>
      <c r="CK144" s="276">
        <f>SUMIF('20Ф'!$H:$H,$B:$B,'20Ф'!O:O)*1.2</f>
        <v>0</v>
      </c>
      <c r="CL144" s="276">
        <f>SUMIF('20Ф'!$H:$H,$B:$B,'20Ф'!Q:Q)*1.2</f>
        <v>0</v>
      </c>
      <c r="CM144" s="276">
        <f>SUMIF('20Ф'!$H:$H,$B:$B,'20Ф'!R:R)*1.2</f>
        <v>0</v>
      </c>
      <c r="CN144" s="276">
        <f>SUMIF('20Ф'!$H:$H,$B:$B,'20Ф'!S:S)*1.2</f>
        <v>0</v>
      </c>
      <c r="CO144" s="276">
        <f>SUMIF('20Ф'!$H:$H,$B:$B,'20Ф'!W:W)*1.2</f>
        <v>0</v>
      </c>
      <c r="CP144" s="276">
        <f>SUMIF('20Ф'!$H:$H,$B:$B,'20Ф'!P:P)*1.2</f>
        <v>0</v>
      </c>
      <c r="CQ144" s="276">
        <f>SUMIF('20Ф'!$H:$H,$B:$B,'20Ф'!Y:Y)*1.2</f>
        <v>0</v>
      </c>
      <c r="CR144" s="276">
        <f>SUMIF('20Ф'!$H:$H,$B:$B,'20Ф'!Z:Z)*1.2</f>
        <v>0</v>
      </c>
      <c r="CS144" s="276">
        <f>SUMIF('20Ф'!$H:$H,$B:$B,'20Ф'!AB:AB)*1.2</f>
        <v>0</v>
      </c>
      <c r="CT144" s="276">
        <f>SUMIF('20Ф'!$H:$H,$B:$B,'20Ф'!AC:AC)*1.2</f>
        <v>0</v>
      </c>
      <c r="CU144" s="276">
        <f>SUMIF('20Ф'!$H:$H,$B:$B,'20Ф'!AD:AD)*1.2</f>
        <v>0</v>
      </c>
      <c r="CV144" s="276">
        <f>SUMIF('20Ф'!$H:$H,$B:$B,'20Ф'!AE:AE)*1.2</f>
        <v>0</v>
      </c>
      <c r="CW144" s="276">
        <f>SUMIF('20Ф'!$H:$H,$B:$B,'20Ф'!AF:AF)*1.2</f>
        <v>0</v>
      </c>
      <c r="CX144" s="276">
        <f>SUMIF('20Ф'!$H:$H,$B:$B,'20Ф'!AG:AG)*1.2</f>
        <v>0</v>
      </c>
      <c r="CY144" s="276">
        <f>SUMIF('20Ф'!$H:$H,$B:$B,'20Ф'!AH:AH)*1.2</f>
        <v>0</v>
      </c>
      <c r="CZ144" s="276">
        <f>SUMIF('20Ф'!$H:$H,$B:$B,'20Ф'!AI:AI)*1.2</f>
        <v>0</v>
      </c>
      <c r="DA144" s="276">
        <f>SUMIF('20Ф'!$H:$H,$B:$B,'20Ф'!AJ:AJ)*1.2</f>
        <v>0</v>
      </c>
      <c r="DB144" s="276">
        <f>SUMIF('20Ф'!$H:$H,$B:$B,'20Ф'!AK:AK)*1.2</f>
        <v>0</v>
      </c>
      <c r="DC144" s="276">
        <f>SUMIF('20Ф'!$H:$H,$B:$B,'20Ф'!AL:AL)*1.2</f>
        <v>0</v>
      </c>
      <c r="DD144" s="276">
        <f>SUMIF('20Ф'!$H:$H,$B:$B,'20Ф'!AM:AM)*1.2</f>
        <v>0</v>
      </c>
      <c r="DE144" s="276">
        <f>SUMIF('20Ф'!$H:$H,$B:$B,'20Ф'!AN:AN)*1.2</f>
        <v>0</v>
      </c>
      <c r="DF144" s="276">
        <f>SUMIF('20Ф'!$H:$H,$B:$B,'20Ф'!AO:AO)*1.2</f>
        <v>0</v>
      </c>
      <c r="DG144" s="276">
        <f>SUMIF('20Ф'!$H:$H,$B:$B,'20Ф'!AP:AP)*1.2</f>
        <v>0</v>
      </c>
      <c r="DH144" s="276">
        <f>SUMIF('20Ф'!$H:$H,$B:$B,'20Ф'!AQ:AQ)*1.2</f>
        <v>0</v>
      </c>
      <c r="DI144" s="276">
        <f>SUMIF('20Ф'!$H:$H,$B:$B,'20Ф'!BA:BA)*1.2</f>
        <v>0</v>
      </c>
      <c r="DJ144" s="276">
        <f>SUMIF('20Ф'!$H:$H,$B:$B,'20Ф'!BB:BB)*1.2</f>
        <v>0</v>
      </c>
      <c r="DK144" s="276">
        <f>SUMIF('20Ф'!$H:$H,$B:$B,'20Ф'!BC:BC)*1.2</f>
        <v>0</v>
      </c>
      <c r="DL144" s="276">
        <f>$D144/$D$281*'20Ф'!$H$218</f>
        <v>26714.070565724905</v>
      </c>
      <c r="DM144" s="240">
        <f t="shared" si="26"/>
        <v>360542.48211604299</v>
      </c>
      <c r="DN144" s="276">
        <f>SUMIF('20Ф'!$H:$H,$B:$B,'20Ф'!AV:AV)*1.2</f>
        <v>0</v>
      </c>
      <c r="DO144" s="276">
        <f>SUMIF('20Ф'!$H:$H,$B:$B,'20Ф'!AW:AW)*1.2+$D144/$D$281*'26Ф'!$D$42</f>
        <v>14215.845524523154</v>
      </c>
      <c r="DP144" s="276">
        <f>SUMIF('20Ф'!$H:$H,$B:$B,'20Ф'!AX:AX)*1.2</f>
        <v>0</v>
      </c>
      <c r="DQ144" s="276">
        <f>SUMIF('20Ф'!$H:$H,$B:$B,'20Ф'!AY:AY)*1.2</f>
        <v>30480</v>
      </c>
      <c r="DR144" s="276">
        <f>SUMIF('20Ф'!$H:$H,$B:$B,'20Ф'!AU:AU)*1.2</f>
        <v>0</v>
      </c>
      <c r="DS144" s="276">
        <f>SUMIF('20Ф'!$H:$H,$B:$B,'20Ф'!AS:AS)*1.2</f>
        <v>65081.411999999997</v>
      </c>
      <c r="DT144" s="276">
        <f>SUMIF('20Ф'!$H:$H,$B:$B,'20Ф'!AR:AR)*1.2</f>
        <v>0</v>
      </c>
      <c r="DU144" s="276">
        <f>SUMIF('20Ф'!$H:$H,$B:$B,'20Ф'!X:X)*1.2</f>
        <v>0</v>
      </c>
      <c r="DV144" s="276">
        <f>SUMIF('20Ф'!$H:$H,$B:$B,'20Ф'!AA:AA)*1.2</f>
        <v>0</v>
      </c>
      <c r="DW144" s="276">
        <f>SUMIF('20Ф'!$H:$H,$B:$B,'20Ф'!N:N)*1.2</f>
        <v>0</v>
      </c>
      <c r="DX144" s="276">
        <f>$D144/$D$281*('25Ф'!$D$37)</f>
        <v>238950.57891135805</v>
      </c>
      <c r="DY144" s="276">
        <f>$D144/$D$281*'25Ф'!$D$30</f>
        <v>7626.5523702029395</v>
      </c>
      <c r="DZ144" s="276">
        <f>$D144/$D$281*'25Ф'!$D$31</f>
        <v>4188.0933099587974</v>
      </c>
      <c r="EA144" s="276"/>
      <c r="EB144" s="276">
        <f t="shared" si="27"/>
        <v>150542.61505752671</v>
      </c>
      <c r="EC144" s="276">
        <f>$D144/$D$281*'26Ф'!$D$36</f>
        <v>78362.279326432836</v>
      </c>
      <c r="ED144" s="276">
        <f>$D144/$D$281*'26Ф'!$D$37</f>
        <v>9415.1441685250284</v>
      </c>
      <c r="EE144" s="276">
        <f>$D144/$D$281*'26Ф'!$D$38</f>
        <v>9511.7057366040881</v>
      </c>
      <c r="EF144" s="276">
        <f>$D144/$D$281*'26Ф'!$D$39</f>
        <v>6672.4528931185032</v>
      </c>
      <c r="EG144" s="276">
        <f>$D144/$D$281*'91Ф'!$D$10</f>
        <v>2058.448942491103</v>
      </c>
      <c r="EH144" s="276">
        <f>$D144/$D$281*('20Ф'!$I$509+'26Ф'!$D$41+'20Ф'!$I$507)</f>
        <v>14562.848452972263</v>
      </c>
      <c r="EI144" s="276">
        <f>$D144/$D$281*'91Ф'!$D$31</f>
        <v>26695.840201121187</v>
      </c>
      <c r="EJ144" s="276">
        <f>$D144/$D$281*'20Ф'!$I$1316</f>
        <v>3263.8953362616917</v>
      </c>
      <c r="EK144" s="276">
        <f>$D144/$D$281*('20Ф'!$I$1105+'20Ф'!$I$1282+'91Ф'!$D$17+'91Ф'!$D$41)</f>
        <v>107189.95914911135</v>
      </c>
      <c r="EL144" s="276">
        <f>$D144/$D$281*отчёт!BX$294</f>
        <v>179188.92131119297</v>
      </c>
      <c r="EM144" s="276">
        <f>$D144/$D$281*отчёт!BY$294</f>
        <v>157587.03778314171</v>
      </c>
      <c r="EN144" s="276">
        <f>$D144/$D$283*отчёт!BZ$294</f>
        <v>28281.947204399698</v>
      </c>
      <c r="EO144" s="240">
        <f t="shared" si="34"/>
        <v>91391.128750498989</v>
      </c>
      <c r="EP144" s="276">
        <f>SUMIF('20Ф'!$H:$H,$B:$B,'20Ф'!T:T)*1.2</f>
        <v>2459.424</v>
      </c>
      <c r="EQ144" s="276">
        <f>SUM(H144:I144)/SUM($H$284:$I$284)*SUM('60Ф'!$O$155:$P$155)</f>
        <v>86255.130878243508</v>
      </c>
      <c r="ER144" s="276">
        <f>SUM($H144:$I144)/SUM($H$284:$I$284)*SUM('60Ф'!$P$227)</f>
        <v>2676.5738722554888</v>
      </c>
      <c r="ES144" s="239">
        <f t="shared" si="31"/>
        <v>59974.600209863427</v>
      </c>
      <c r="ET144" s="276">
        <f>$D144/$D$282*'20Ф'!$I$381</f>
        <v>4583.9161570736123</v>
      </c>
      <c r="EU144" s="276">
        <f>$D144/$D$282*('20Ф'!$I$75+'20Ф'!$I$1098)*1.2</f>
        <v>52946.266540215285</v>
      </c>
      <c r="EV144" s="276">
        <f>$D144/$D$282*('20Ф'!$I$1286)</f>
        <v>2444.4175125745282</v>
      </c>
      <c r="EW144" s="276">
        <f>SUMIF('91.1Ф'!$N:$N,$B:$B,'91.1Ф'!$F:$F)+$D144/$D$281*('91Ф'!$D$12+'91Ф'!$D$11+'91Ф'!$D$19+'91Ф'!$D$20)</f>
        <v>14127.112692126739</v>
      </c>
      <c r="EX144" s="276">
        <f t="shared" si="29"/>
        <v>32622.526000786413</v>
      </c>
      <c r="EY144" s="276">
        <f>SUMIF('20Ф'!$H:$H,$B:$B,'20Ф'!$AY:$AY)*1.2</f>
        <v>30480</v>
      </c>
      <c r="EZ144" s="295">
        <f>D144/$D$286*'20Ф'!$I$1163</f>
        <v>2142.5260007864122</v>
      </c>
      <c r="FA144" s="277">
        <f>SUMIF(отчёт!$B:$B,$B:$B,отчёт!$CU:$CU)/отчёт!$CU$281*'20Ф'!$I$1341</f>
        <v>920.96385542168503</v>
      </c>
      <c r="FB144" s="276">
        <f>SUMIF(Сальдо!$A:$A,$B:$B,Сальдо!$H:$H)-SUMIF(Сальдо!$A:$A,$B:$B,Сальдо!$I:$I)</f>
        <v>126352.97</v>
      </c>
    </row>
    <row r="145" spans="1:158" ht="12" customHeight="1" x14ac:dyDescent="0.25">
      <c r="A145" s="3">
        <f t="shared" si="32"/>
        <v>141</v>
      </c>
      <c r="B145" s="4" t="s">
        <v>190</v>
      </c>
      <c r="C145" s="4" t="s">
        <v>190</v>
      </c>
      <c r="D145" s="5">
        <v>2735.7</v>
      </c>
      <c r="E145" s="6">
        <v>2735.7</v>
      </c>
      <c r="F145" s="6">
        <v>0</v>
      </c>
      <c r="G145" s="6">
        <v>362.6</v>
      </c>
      <c r="H145" s="5">
        <f>SUMIF(отчёт!$B:$B,$B:$B,отчёт!I:I)</f>
        <v>0</v>
      </c>
      <c r="I145" s="5">
        <f>SUMIF(отчёт!$B:$B,$B:$B,отчёт!J:J)</f>
        <v>0</v>
      </c>
      <c r="J145" s="3" t="s">
        <v>51</v>
      </c>
      <c r="K145" s="105">
        <v>7</v>
      </c>
      <c r="L145" s="105" t="s">
        <v>52</v>
      </c>
      <c r="M145" s="7">
        <v>31</v>
      </c>
      <c r="N145" s="8">
        <v>5.0999999999999996</v>
      </c>
      <c r="O145" s="8">
        <v>6.59</v>
      </c>
      <c r="P145" s="8">
        <v>8.98</v>
      </c>
      <c r="Q145" s="8">
        <v>6.92</v>
      </c>
      <c r="R145" s="8">
        <v>3.15</v>
      </c>
      <c r="S145" s="8">
        <v>0</v>
      </c>
      <c r="T145" s="8">
        <v>0</v>
      </c>
      <c r="U145" s="8">
        <v>0.26</v>
      </c>
      <c r="V145" s="9">
        <v>40</v>
      </c>
      <c r="W145" s="9">
        <v>40</v>
      </c>
      <c r="X145" s="9">
        <v>2604.04</v>
      </c>
      <c r="Y145" s="8">
        <v>195.98199600000001</v>
      </c>
      <c r="Z145" s="9">
        <v>42.3</v>
      </c>
      <c r="AA145" s="9">
        <v>2604.04</v>
      </c>
      <c r="AB145" s="8">
        <v>7.85</v>
      </c>
      <c r="AC145" s="10">
        <v>0</v>
      </c>
      <c r="AD145" s="8">
        <v>6.73</v>
      </c>
      <c r="AE145" s="8">
        <v>10.67</v>
      </c>
      <c r="AF145" s="8">
        <v>14</v>
      </c>
      <c r="AG145" s="7">
        <v>508840.19999999995</v>
      </c>
      <c r="AH145" s="8">
        <v>83712.419999999984</v>
      </c>
      <c r="AI145" s="8">
        <v>108169.57799999999</v>
      </c>
      <c r="AJ145" s="8">
        <v>147399.516</v>
      </c>
      <c r="AK145" s="8">
        <v>113586.264</v>
      </c>
      <c r="AL145" s="8">
        <v>51704.729999999996</v>
      </c>
      <c r="AM145" s="8">
        <v>0</v>
      </c>
      <c r="AN145" s="8">
        <v>0</v>
      </c>
      <c r="AO145" s="8">
        <v>4267.6919999999991</v>
      </c>
      <c r="AQ145" s="104">
        <v>33.17</v>
      </c>
      <c r="AR145" s="375">
        <v>13.89</v>
      </c>
      <c r="AS145" s="376"/>
      <c r="AT145" s="104">
        <v>5.9</v>
      </c>
      <c r="AU145" s="104">
        <v>1.53</v>
      </c>
      <c r="AV145" s="104">
        <v>0.32</v>
      </c>
      <c r="AW145" s="104">
        <v>0.6</v>
      </c>
      <c r="AX145" s="104">
        <v>5.01</v>
      </c>
      <c r="AY145" s="104">
        <v>4.99</v>
      </c>
      <c r="AZ145" s="104">
        <v>0</v>
      </c>
      <c r="BA145" s="104">
        <v>0</v>
      </c>
      <c r="BB145" s="104">
        <v>0</v>
      </c>
      <c r="BC145" s="101">
        <v>0.93</v>
      </c>
      <c r="BD145" s="104">
        <v>37.581610000000005</v>
      </c>
      <c r="BE145" s="375">
        <v>15.737370000000004</v>
      </c>
      <c r="BF145" s="376">
        <v>0</v>
      </c>
      <c r="BG145" s="104">
        <v>6.6847000000000012</v>
      </c>
      <c r="BH145" s="104">
        <v>1.7334900000000002</v>
      </c>
      <c r="BI145" s="104">
        <v>0.36256000000000005</v>
      </c>
      <c r="BJ145" s="104">
        <v>0.67980000000000007</v>
      </c>
      <c r="BK145" s="104">
        <v>5.6763300000000001</v>
      </c>
      <c r="BL145" s="104">
        <v>5.65367</v>
      </c>
      <c r="BM145" s="104">
        <v>0</v>
      </c>
      <c r="BN145" s="104">
        <v>0</v>
      </c>
      <c r="BO145" s="104">
        <v>0</v>
      </c>
      <c r="BP145" s="101">
        <v>1.0536900000000002</v>
      </c>
      <c r="BQ145" s="103">
        <v>1209606.4427700001</v>
      </c>
      <c r="BR145" s="371">
        <v>506524.97709000006</v>
      </c>
      <c r="BS145" s="371">
        <v>0</v>
      </c>
      <c r="BT145" s="103">
        <v>215154.59789999999</v>
      </c>
      <c r="BU145" s="103">
        <v>55794.327929999992</v>
      </c>
      <c r="BV145" s="103">
        <v>11669.40192</v>
      </c>
      <c r="BW145" s="103">
        <v>21880.1286</v>
      </c>
      <c r="BX145" s="103">
        <v>182699.07380999997</v>
      </c>
      <c r="BY145" s="103">
        <v>181969.73619</v>
      </c>
      <c r="BZ145" s="103">
        <v>0</v>
      </c>
      <c r="CA145" s="103">
        <v>0</v>
      </c>
      <c r="CB145" s="103">
        <v>0</v>
      </c>
      <c r="CC145" s="103">
        <v>33914.199330000003</v>
      </c>
      <c r="CD145" s="1">
        <v>1</v>
      </c>
      <c r="CF145" s="277">
        <f>SUMIF(Оборот!$A:$A,$B:$B,Оборот!H:H)</f>
        <v>1041426.3199999998</v>
      </c>
      <c r="CG145" s="277">
        <f>SUMIF(Оборот!$A:$A,$B:$B,Оборот!I:I)</f>
        <v>1069439.8500000001</v>
      </c>
      <c r="CH145" s="277">
        <f t="shared" si="25"/>
        <v>1000495.1157841864</v>
      </c>
      <c r="CI145" s="239">
        <f t="shared" si="30"/>
        <v>24061.397572401023</v>
      </c>
      <c r="CJ145" s="276">
        <f>SUMIF('20Ф'!$H:$H,$B:$B,'20Ф'!M:M)*1.2</f>
        <v>0</v>
      </c>
      <c r="CK145" s="276">
        <f>SUMIF('20Ф'!$H:$H,$B:$B,'20Ф'!O:O)*1.2</f>
        <v>0</v>
      </c>
      <c r="CL145" s="276">
        <f>SUMIF('20Ф'!$H:$H,$B:$B,'20Ф'!Q:Q)*1.2</f>
        <v>0</v>
      </c>
      <c r="CM145" s="276">
        <f>SUMIF('20Ф'!$H:$H,$B:$B,'20Ф'!R:R)*1.2</f>
        <v>0</v>
      </c>
      <c r="CN145" s="276">
        <f>SUMIF('20Ф'!$H:$H,$B:$B,'20Ф'!S:S)*1.2</f>
        <v>0</v>
      </c>
      <c r="CO145" s="276">
        <f>SUMIF('20Ф'!$H:$H,$B:$B,'20Ф'!W:W)*1.2</f>
        <v>0</v>
      </c>
      <c r="CP145" s="276">
        <f>SUMIF('20Ф'!$H:$H,$B:$B,'20Ф'!P:P)*1.2</f>
        <v>0</v>
      </c>
      <c r="CQ145" s="276">
        <f>SUMIF('20Ф'!$H:$H,$B:$B,'20Ф'!Y:Y)*1.2</f>
        <v>0</v>
      </c>
      <c r="CR145" s="276">
        <f>SUMIF('20Ф'!$H:$H,$B:$B,'20Ф'!Z:Z)*1.2</f>
        <v>0</v>
      </c>
      <c r="CS145" s="276">
        <f>SUMIF('20Ф'!$H:$H,$B:$B,'20Ф'!AB:AB)*1.2</f>
        <v>0</v>
      </c>
      <c r="CT145" s="276">
        <f>SUMIF('20Ф'!$H:$H,$B:$B,'20Ф'!AC:AC)*1.2</f>
        <v>0</v>
      </c>
      <c r="CU145" s="276">
        <f>SUMIF('20Ф'!$H:$H,$B:$B,'20Ф'!AD:AD)*1.2</f>
        <v>0</v>
      </c>
      <c r="CV145" s="276">
        <f>SUMIF('20Ф'!$H:$H,$B:$B,'20Ф'!AE:AE)*1.2</f>
        <v>0</v>
      </c>
      <c r="CW145" s="276">
        <f>SUMIF('20Ф'!$H:$H,$B:$B,'20Ф'!AF:AF)*1.2</f>
        <v>0</v>
      </c>
      <c r="CX145" s="276">
        <f>SUMIF('20Ф'!$H:$H,$B:$B,'20Ф'!AG:AG)*1.2</f>
        <v>0</v>
      </c>
      <c r="CY145" s="276">
        <f>SUMIF('20Ф'!$H:$H,$B:$B,'20Ф'!AH:AH)*1.2</f>
        <v>0</v>
      </c>
      <c r="CZ145" s="276">
        <f>SUMIF('20Ф'!$H:$H,$B:$B,'20Ф'!AI:AI)*1.2</f>
        <v>0</v>
      </c>
      <c r="DA145" s="276">
        <f>SUMIF('20Ф'!$H:$H,$B:$B,'20Ф'!AJ:AJ)*1.2</f>
        <v>0</v>
      </c>
      <c r="DB145" s="276">
        <f>SUMIF('20Ф'!$H:$H,$B:$B,'20Ф'!AK:AK)*1.2</f>
        <v>0</v>
      </c>
      <c r="DC145" s="276">
        <f>SUMIF('20Ф'!$H:$H,$B:$B,'20Ф'!AL:AL)*1.2</f>
        <v>0</v>
      </c>
      <c r="DD145" s="276">
        <f>SUMIF('20Ф'!$H:$H,$B:$B,'20Ф'!AM:AM)*1.2</f>
        <v>0</v>
      </c>
      <c r="DE145" s="276">
        <f>SUMIF('20Ф'!$H:$H,$B:$B,'20Ф'!AN:AN)*1.2</f>
        <v>0</v>
      </c>
      <c r="DF145" s="276">
        <f>SUMIF('20Ф'!$H:$H,$B:$B,'20Ф'!AO:AO)*1.2</f>
        <v>0</v>
      </c>
      <c r="DG145" s="276">
        <f>SUMIF('20Ф'!$H:$H,$B:$B,'20Ф'!AP:AP)*1.2</f>
        <v>0</v>
      </c>
      <c r="DH145" s="276">
        <f>SUMIF('20Ф'!$H:$H,$B:$B,'20Ф'!AQ:AQ)*1.2</f>
        <v>0</v>
      </c>
      <c r="DI145" s="276">
        <f>SUMIF('20Ф'!$H:$H,$B:$B,'20Ф'!BA:BA)*1.2</f>
        <v>0</v>
      </c>
      <c r="DJ145" s="276">
        <f>SUMIF('20Ф'!$H:$H,$B:$B,'20Ф'!BB:BB)*1.2</f>
        <v>0</v>
      </c>
      <c r="DK145" s="276">
        <f>SUMIF('20Ф'!$H:$H,$B:$B,'20Ф'!BC:BC)*1.2</f>
        <v>0</v>
      </c>
      <c r="DL145" s="276">
        <f>$D145/$D$281*'20Ф'!$H$218</f>
        <v>24061.397572401023</v>
      </c>
      <c r="DM145" s="240">
        <f t="shared" si="26"/>
        <v>338067.83722610824</v>
      </c>
      <c r="DN145" s="276">
        <f>SUMIF('20Ф'!$H:$H,$B:$B,'20Ф'!AV:AV)*1.2</f>
        <v>0</v>
      </c>
      <c r="DO145" s="276">
        <f>SUMIF('20Ф'!$H:$H,$B:$B,'20Ф'!AW:AW)*1.2+$D145/$D$281*'26Ф'!$D$42</f>
        <v>12804.230270779308</v>
      </c>
      <c r="DP145" s="276">
        <f>SUMIF('20Ф'!$H:$H,$B:$B,'20Ф'!AX:AX)*1.2</f>
        <v>0</v>
      </c>
      <c r="DQ145" s="276">
        <f>SUMIF('20Ф'!$H:$H,$B:$B,'20Ф'!AY:AY)*1.2</f>
        <v>34218</v>
      </c>
      <c r="DR145" s="276">
        <f>SUMIF('20Ф'!$H:$H,$B:$B,'20Ф'!AU:AU)*1.2</f>
        <v>0</v>
      </c>
      <c r="DS145" s="276">
        <f>SUMIF('20Ф'!$H:$H,$B:$B,'20Ф'!AS:AS)*1.2</f>
        <v>23728.248</v>
      </c>
      <c r="DT145" s="276">
        <f>SUMIF('20Ф'!$H:$H,$B:$B,'20Ф'!AR:AR)*1.2</f>
        <v>0</v>
      </c>
      <c r="DU145" s="276">
        <f>SUMIF('20Ф'!$H:$H,$B:$B,'20Ф'!X:X)*1.2</f>
        <v>41452.799999999996</v>
      </c>
      <c r="DV145" s="276">
        <f>SUMIF('20Ф'!$H:$H,$B:$B,'20Ф'!AA:AA)*1.2</f>
        <v>0</v>
      </c>
      <c r="DW145" s="276">
        <f>SUMIF('20Ф'!$H:$H,$B:$B,'20Ф'!N:N)*1.2</f>
        <v>0</v>
      </c>
      <c r="DX145" s="276">
        <f>$D145/$D$281*('25Ф'!$D$37)</f>
        <v>215223.09245968531</v>
      </c>
      <c r="DY145" s="276">
        <f>$D145/$D$281*'25Ф'!$D$30</f>
        <v>6869.2454874935574</v>
      </c>
      <c r="DZ145" s="276">
        <f>$D145/$D$281*'25Ф'!$D$31</f>
        <v>3772.2210081500943</v>
      </c>
      <c r="EA145" s="276"/>
      <c r="EB145" s="276">
        <f t="shared" si="27"/>
        <v>135593.92618867932</v>
      </c>
      <c r="EC145" s="276">
        <f>$D145/$D$281*'26Ф'!$D$36</f>
        <v>70581.005351240339</v>
      </c>
      <c r="ED145" s="276">
        <f>$D145/$D$281*'26Ф'!$D$37</f>
        <v>8480.2324109682668</v>
      </c>
      <c r="EE145" s="276">
        <f>$D145/$D$281*'26Ф'!$D$38</f>
        <v>8567.2055390076057</v>
      </c>
      <c r="EF145" s="276">
        <f>$D145/$D$281*'26Ф'!$D$39</f>
        <v>6009.8868665276032</v>
      </c>
      <c r="EG145" s="276">
        <f>$D145/$D$281*'91Ф'!$D$10</f>
        <v>1854.0475988453263</v>
      </c>
      <c r="EH145" s="276">
        <f>$D145/$D$281*('20Ф'!$I$509+'26Ф'!$D$41+'20Ф'!$I$507)</f>
        <v>13116.77625285491</v>
      </c>
      <c r="EI145" s="276">
        <f>$D145/$D$281*'91Ф'!$D$31</f>
        <v>24044.977459654045</v>
      </c>
      <c r="EJ145" s="276">
        <f>$D145/$D$281*'20Ф'!$I$1316</f>
        <v>2939.7947095812428</v>
      </c>
      <c r="EK145" s="276">
        <f>$D145/$D$281*('20Ф'!$I$1105+'20Ф'!$I$1282+'91Ф'!$D$17+'91Ф'!$D$41)</f>
        <v>96546.133488369247</v>
      </c>
      <c r="EL145" s="276">
        <f>$D145/$D$281*отчёт!BX$294</f>
        <v>161395.69091990605</v>
      </c>
      <c r="EM145" s="276">
        <f>$D145/$D$281*отчёт!BY$294</f>
        <v>141938.84675973421</v>
      </c>
      <c r="EN145" s="276">
        <f>SUMIF(отчёт!$B:$B,$B:$B,отчёт!BZ:BZ)/отчёт!BZ$281*('60Ф'!$O$151+'60Ф'!$P$151)*отчёт!BZ$293</f>
        <v>0</v>
      </c>
      <c r="EO145" s="240">
        <f t="shared" si="28"/>
        <v>0</v>
      </c>
      <c r="EP145" s="276">
        <f>SUMIF('20Ф'!$H:$H,$B:$B,'20Ф'!T:T)*1.2</f>
        <v>0</v>
      </c>
      <c r="EQ145" s="276">
        <f>SUMIF('20Ф'!$H:$H,$B:$B,'20Ф'!U:U)*1.2</f>
        <v>0</v>
      </c>
      <c r="ER145" s="236"/>
      <c r="ES145" s="239">
        <f t="shared" si="31"/>
        <v>54019.199221059287</v>
      </c>
      <c r="ET145" s="276">
        <f>$D145/$D$282*'20Ф'!$I$381</f>
        <v>4128.7391534936551</v>
      </c>
      <c r="EU145" s="276">
        <f>$D145/$D$282*('20Ф'!$I$75+'20Ф'!$I$1098)*1.2</f>
        <v>47688.770083319709</v>
      </c>
      <c r="EV145" s="276">
        <f>$D145/$D$282*('20Ф'!$I$1286)</f>
        <v>2201.6899842459211</v>
      </c>
      <c r="EW145" s="276">
        <f>SUMIF('91.1Ф'!$N:$N,$B:$B,'91.1Ф'!$F:$F)+$D145/$D$281*('91Ф'!$D$12+'91Ф'!$D$11+'91Ф'!$D$19+'91Ф'!$D$20)</f>
        <v>12724.308494995923</v>
      </c>
      <c r="EX145" s="276">
        <f t="shared" si="29"/>
        <v>36147.775912932993</v>
      </c>
      <c r="EY145" s="276">
        <f>SUMIF('20Ф'!$H:$H,$B:$B,'20Ф'!$AY:$AY)*1.2</f>
        <v>34218</v>
      </c>
      <c r="EZ145" s="295">
        <f>D145/$D$286*'20Ф'!$I$1163</f>
        <v>1929.775912932995</v>
      </c>
      <c r="FA145" s="277">
        <f>SUMIF(отчёт!$B:$B,$B:$B,отчёт!$CU:$CU)/отчёт!$CU$281*'20Ф'!$I$1341</f>
        <v>3683.8554216867401</v>
      </c>
      <c r="FB145" s="276">
        <f>SUMIF(Сальдо!$A:$A,$B:$B,Сальдо!$H:$H)-SUMIF(Сальдо!$A:$A,$B:$B,Сальдо!$I:$I)</f>
        <v>67428.56</v>
      </c>
    </row>
    <row r="146" spans="1:158" ht="12" customHeight="1" x14ac:dyDescent="0.25">
      <c r="A146" s="3">
        <f t="shared" si="32"/>
        <v>142</v>
      </c>
      <c r="B146" s="4" t="s">
        <v>191</v>
      </c>
      <c r="C146" s="4" t="s">
        <v>191</v>
      </c>
      <c r="D146" s="5">
        <v>3002.9</v>
      </c>
      <c r="E146" s="6">
        <v>3002.9</v>
      </c>
      <c r="F146" s="6">
        <v>0</v>
      </c>
      <c r="G146" s="6">
        <v>516.70000000000005</v>
      </c>
      <c r="H146" s="5">
        <f>SUMIF(отчёт!$B:$B,$B:$B,отчёт!I:I)</f>
        <v>1</v>
      </c>
      <c r="I146" s="5">
        <f>SUMIF(отчёт!$B:$B,$B:$B,отчёт!J:J)</f>
        <v>0</v>
      </c>
      <c r="J146" s="3" t="s">
        <v>51</v>
      </c>
      <c r="K146" s="105">
        <v>3</v>
      </c>
      <c r="L146" s="105" t="s">
        <v>52</v>
      </c>
      <c r="M146" s="7">
        <v>45.06</v>
      </c>
      <c r="N146" s="8">
        <v>5.0999999999999996</v>
      </c>
      <c r="O146" s="8">
        <v>8.6300000000000008</v>
      </c>
      <c r="P146" s="8">
        <v>13.43</v>
      </c>
      <c r="Q146" s="8">
        <v>6.91</v>
      </c>
      <c r="R146" s="8">
        <v>3.15</v>
      </c>
      <c r="S146" s="8">
        <v>1.81</v>
      </c>
      <c r="T146" s="8">
        <v>5.77</v>
      </c>
      <c r="U146" s="8">
        <v>0.26</v>
      </c>
      <c r="V146" s="9">
        <v>40</v>
      </c>
      <c r="W146" s="9">
        <v>40</v>
      </c>
      <c r="X146" s="9">
        <v>2604.04</v>
      </c>
      <c r="Y146" s="8">
        <v>195.98199600000001</v>
      </c>
      <c r="Z146" s="9">
        <v>42.3</v>
      </c>
      <c r="AA146" s="9">
        <v>2604.04</v>
      </c>
      <c r="AB146" s="8">
        <v>7.85</v>
      </c>
      <c r="AC146" s="10">
        <v>0</v>
      </c>
      <c r="AD146" s="8">
        <v>6.73</v>
      </c>
      <c r="AE146" s="8">
        <v>10.67</v>
      </c>
      <c r="AF146" s="8">
        <v>14</v>
      </c>
      <c r="AG146" s="7">
        <v>811864.04399999999</v>
      </c>
      <c r="AH146" s="8">
        <v>91888.739999999991</v>
      </c>
      <c r="AI146" s="8">
        <v>155490.16200000001</v>
      </c>
      <c r="AJ146" s="8">
        <v>241973.682</v>
      </c>
      <c r="AK146" s="8">
        <v>124500.234</v>
      </c>
      <c r="AL146" s="8">
        <v>56754.81</v>
      </c>
      <c r="AM146" s="8">
        <v>32611.494000000006</v>
      </c>
      <c r="AN146" s="8">
        <v>103960.398</v>
      </c>
      <c r="AO146" s="8">
        <v>4684.5240000000003</v>
      </c>
      <c r="AQ146" s="104">
        <v>48.44</v>
      </c>
      <c r="AR146" s="375">
        <v>18.489999999999998</v>
      </c>
      <c r="AS146" s="376"/>
      <c r="AT146" s="104">
        <v>6.67</v>
      </c>
      <c r="AU146" s="104">
        <v>1.53</v>
      </c>
      <c r="AV146" s="104">
        <v>0.32</v>
      </c>
      <c r="AW146" s="104">
        <v>0.87</v>
      </c>
      <c r="AX146" s="104">
        <v>5.01</v>
      </c>
      <c r="AY146" s="104">
        <v>4.99</v>
      </c>
      <c r="AZ146" s="104">
        <v>2.7</v>
      </c>
      <c r="BA146" s="104">
        <v>6.46</v>
      </c>
      <c r="BB146" s="104">
        <v>0.47</v>
      </c>
      <c r="BC146" s="101">
        <v>0.93</v>
      </c>
      <c r="BD146" s="104">
        <v>54.88252</v>
      </c>
      <c r="BE146" s="375">
        <v>20.949169999999999</v>
      </c>
      <c r="BF146" s="376">
        <v>0</v>
      </c>
      <c r="BG146" s="104">
        <v>7.5571100000000007</v>
      </c>
      <c r="BH146" s="104">
        <v>1.7334900000000002</v>
      </c>
      <c r="BI146" s="104">
        <v>0.36256000000000005</v>
      </c>
      <c r="BJ146" s="104">
        <v>0.98571000000000009</v>
      </c>
      <c r="BK146" s="104">
        <v>5.6763300000000001</v>
      </c>
      <c r="BL146" s="104">
        <v>5.65367</v>
      </c>
      <c r="BM146" s="104">
        <v>3.0591000000000004</v>
      </c>
      <c r="BN146" s="104">
        <v>7.3191800000000002</v>
      </c>
      <c r="BO146" s="104">
        <v>0.53250999999999993</v>
      </c>
      <c r="BP146" s="101">
        <v>1.05369</v>
      </c>
      <c r="BQ146" s="103">
        <v>1938988.1450799997</v>
      </c>
      <c r="BR146" s="371">
        <v>740129.86792999995</v>
      </c>
      <c r="BS146" s="371">
        <v>0</v>
      </c>
      <c r="BT146" s="103">
        <v>266991.14219000004</v>
      </c>
      <c r="BU146" s="103">
        <v>61243.845209999999</v>
      </c>
      <c r="BV146" s="103">
        <v>12809.170240000001</v>
      </c>
      <c r="BW146" s="103">
        <v>34824.931590000007</v>
      </c>
      <c r="BX146" s="103">
        <v>200543.57157</v>
      </c>
      <c r="BY146" s="103">
        <v>199742.99843000001</v>
      </c>
      <c r="BZ146" s="103">
        <v>108077.37390000002</v>
      </c>
      <c r="CA146" s="103">
        <v>258585.12422000003</v>
      </c>
      <c r="CB146" s="103">
        <v>18813.468789999995</v>
      </c>
      <c r="CC146" s="103">
        <v>37226.651009999994</v>
      </c>
      <c r="CD146" s="1">
        <v>1</v>
      </c>
      <c r="CF146" s="277">
        <f>SUMIF(Оборот!$A:$A,$B:$B,Оборот!H:H)</f>
        <v>1664327.3199999996</v>
      </c>
      <c r="CG146" s="277">
        <f>SUMIF(Оборот!$A:$A,$B:$B,Оборот!I:I)</f>
        <v>1657215.1700000004</v>
      </c>
      <c r="CH146" s="277">
        <f t="shared" si="25"/>
        <v>1170652.2084261358</v>
      </c>
      <c r="CI146" s="239">
        <f t="shared" si="30"/>
        <v>26411.511046592477</v>
      </c>
      <c r="CJ146" s="276">
        <f>SUMIF('20Ф'!$H:$H,$B:$B,'20Ф'!M:M)*1.2</f>
        <v>0</v>
      </c>
      <c r="CK146" s="276">
        <f>SUMIF('20Ф'!$H:$H,$B:$B,'20Ф'!O:O)*1.2</f>
        <v>0</v>
      </c>
      <c r="CL146" s="276">
        <f>SUMIF('20Ф'!$H:$H,$B:$B,'20Ф'!Q:Q)*1.2</f>
        <v>0</v>
      </c>
      <c r="CM146" s="276">
        <f>SUMIF('20Ф'!$H:$H,$B:$B,'20Ф'!R:R)*1.2</f>
        <v>0</v>
      </c>
      <c r="CN146" s="276">
        <f>SUMIF('20Ф'!$H:$H,$B:$B,'20Ф'!S:S)*1.2</f>
        <v>0</v>
      </c>
      <c r="CO146" s="276">
        <f>SUMIF('20Ф'!$H:$H,$B:$B,'20Ф'!W:W)*1.2</f>
        <v>0</v>
      </c>
      <c r="CP146" s="276">
        <f>SUMIF('20Ф'!$H:$H,$B:$B,'20Ф'!P:P)*1.2</f>
        <v>0</v>
      </c>
      <c r="CQ146" s="276">
        <f>SUMIF('20Ф'!$H:$H,$B:$B,'20Ф'!Y:Y)*1.2</f>
        <v>0</v>
      </c>
      <c r="CR146" s="276">
        <f>SUMIF('20Ф'!$H:$H,$B:$B,'20Ф'!Z:Z)*1.2</f>
        <v>0</v>
      </c>
      <c r="CS146" s="276">
        <f>SUMIF('20Ф'!$H:$H,$B:$B,'20Ф'!AB:AB)*1.2</f>
        <v>0</v>
      </c>
      <c r="CT146" s="276">
        <f>SUMIF('20Ф'!$H:$H,$B:$B,'20Ф'!AC:AC)*1.2</f>
        <v>0</v>
      </c>
      <c r="CU146" s="276">
        <f>SUMIF('20Ф'!$H:$H,$B:$B,'20Ф'!AD:AD)*1.2</f>
        <v>0</v>
      </c>
      <c r="CV146" s="276">
        <f>SUMIF('20Ф'!$H:$H,$B:$B,'20Ф'!AE:AE)*1.2</f>
        <v>0</v>
      </c>
      <c r="CW146" s="276">
        <f>SUMIF('20Ф'!$H:$H,$B:$B,'20Ф'!AF:AF)*1.2</f>
        <v>0</v>
      </c>
      <c r="CX146" s="276">
        <f>SUMIF('20Ф'!$H:$H,$B:$B,'20Ф'!AG:AG)*1.2</f>
        <v>0</v>
      </c>
      <c r="CY146" s="276">
        <f>SUMIF('20Ф'!$H:$H,$B:$B,'20Ф'!AH:AH)*1.2</f>
        <v>0</v>
      </c>
      <c r="CZ146" s="276">
        <f>SUMIF('20Ф'!$H:$H,$B:$B,'20Ф'!AI:AI)*1.2</f>
        <v>0</v>
      </c>
      <c r="DA146" s="276">
        <f>SUMIF('20Ф'!$H:$H,$B:$B,'20Ф'!AJ:AJ)*1.2</f>
        <v>0</v>
      </c>
      <c r="DB146" s="276">
        <f>SUMIF('20Ф'!$H:$H,$B:$B,'20Ф'!AK:AK)*1.2</f>
        <v>0</v>
      </c>
      <c r="DC146" s="276">
        <f>SUMIF('20Ф'!$H:$H,$B:$B,'20Ф'!AL:AL)*1.2</f>
        <v>0</v>
      </c>
      <c r="DD146" s="276">
        <f>SUMIF('20Ф'!$H:$H,$B:$B,'20Ф'!AM:AM)*1.2</f>
        <v>0</v>
      </c>
      <c r="DE146" s="276">
        <f>SUMIF('20Ф'!$H:$H,$B:$B,'20Ф'!AN:AN)*1.2</f>
        <v>0</v>
      </c>
      <c r="DF146" s="276">
        <f>SUMIF('20Ф'!$H:$H,$B:$B,'20Ф'!AO:AO)*1.2</f>
        <v>0</v>
      </c>
      <c r="DG146" s="276">
        <f>SUMIF('20Ф'!$H:$H,$B:$B,'20Ф'!AP:AP)*1.2</f>
        <v>0</v>
      </c>
      <c r="DH146" s="276">
        <f>SUMIF('20Ф'!$H:$H,$B:$B,'20Ф'!AQ:AQ)*1.2</f>
        <v>0</v>
      </c>
      <c r="DI146" s="276">
        <f>SUMIF('20Ф'!$H:$H,$B:$B,'20Ф'!BA:BA)*1.2</f>
        <v>0</v>
      </c>
      <c r="DJ146" s="276">
        <f>SUMIF('20Ф'!$H:$H,$B:$B,'20Ф'!BB:BB)*1.2</f>
        <v>0</v>
      </c>
      <c r="DK146" s="276">
        <f>SUMIF('20Ф'!$H:$H,$B:$B,'20Ф'!BC:BC)*1.2</f>
        <v>0</v>
      </c>
      <c r="DL146" s="276">
        <f>$D146/$D$281*'20Ф'!$H$218</f>
        <v>26411.511046592477</v>
      </c>
      <c r="DM146" s="240">
        <f t="shared" si="26"/>
        <v>330912.79462992313</v>
      </c>
      <c r="DN146" s="276">
        <f>SUMIF('20Ф'!$H:$H,$B:$B,'20Ф'!AV:AV)*1.2</f>
        <v>0</v>
      </c>
      <c r="DO146" s="276">
        <f>SUMIF('20Ф'!$H:$H,$B:$B,'20Ф'!AW:AW)*1.2+$D146/$D$281*'26Ф'!$D$42</f>
        <v>14054.83901017041</v>
      </c>
      <c r="DP146" s="276">
        <f>SUMIF('20Ф'!$H:$H,$B:$B,'20Ф'!AX:AX)*1.2</f>
        <v>0</v>
      </c>
      <c r="DQ146" s="276">
        <f>SUMIF('20Ф'!$H:$H,$B:$B,'20Ф'!AY:AY)*1.2</f>
        <v>30682.5</v>
      </c>
      <c r="DR146" s="276">
        <f>SUMIF('20Ф'!$H:$H,$B:$B,'20Ф'!AU:AU)*1.2</f>
        <v>0</v>
      </c>
      <c r="DS146" s="276">
        <f>SUMIF('20Ф'!$H:$H,$B:$B,'20Ф'!AS:AS)*1.2</f>
        <v>38250.36</v>
      </c>
      <c r="DT146" s="276">
        <f>SUMIF('20Ф'!$H:$H,$B:$B,'20Ф'!AR:AR)*1.2</f>
        <v>0</v>
      </c>
      <c r="DU146" s="276">
        <f>SUMIF('20Ф'!$H:$H,$B:$B,'20Ф'!X:X)*1.2</f>
        <v>0</v>
      </c>
      <c r="DV146" s="276">
        <f>SUMIF('20Ф'!$H:$H,$B:$B,'20Ф'!AA:AA)*1.2</f>
        <v>0</v>
      </c>
      <c r="DW146" s="276">
        <f>SUMIF('20Ф'!$H:$H,$B:$B,'20Ф'!N:N)*1.2</f>
        <v>0</v>
      </c>
      <c r="DX146" s="276">
        <f>$D146/$D$281*('25Ф'!$D$37)</f>
        <v>236244.2608280108</v>
      </c>
      <c r="DY146" s="276">
        <f>$D146/$D$281*'25Ф'!$D$30</f>
        <v>7540.1751925994831</v>
      </c>
      <c r="DZ146" s="276">
        <f>$D146/$D$281*'25Ф'!$D$31</f>
        <v>4140.659599142421</v>
      </c>
      <c r="EA146" s="276"/>
      <c r="EB146" s="276">
        <f t="shared" si="27"/>
        <v>148837.59218919664</v>
      </c>
      <c r="EC146" s="276">
        <f>$D146/$D$281*'26Ф'!$D$36</f>
        <v>77474.760013612467</v>
      </c>
      <c r="ED146" s="276">
        <f>$D146/$D$281*'26Ф'!$D$37</f>
        <v>9308.5096709787686</v>
      </c>
      <c r="EE146" s="276">
        <f>$D146/$D$281*'26Ф'!$D$38</f>
        <v>9403.9775973556843</v>
      </c>
      <c r="EF146" s="276">
        <f>$D146/$D$281*'26Ф'!$D$39</f>
        <v>6596.8817017566771</v>
      </c>
      <c r="EG146" s="276">
        <f>$D146/$D$281*'91Ф'!$D$10</f>
        <v>2035.1352613856168</v>
      </c>
      <c r="EH146" s="276">
        <f>$D146/$D$281*('20Ф'!$I$509+'26Ф'!$D$41+'20Ф'!$I$507)</f>
        <v>14397.911835982753</v>
      </c>
      <c r="EI146" s="276">
        <f>$D146/$D$281*'91Ф'!$D$31</f>
        <v>26393.48715633847</v>
      </c>
      <c r="EJ146" s="276">
        <f>$D146/$D$281*'20Ф'!$I$1316</f>
        <v>3226.928951786203</v>
      </c>
      <c r="EK146" s="276">
        <f>$D146/$D$281*('20Ф'!$I$1105+'20Ф'!$I$1282+'91Ф'!$D$17+'91Ф'!$D$41)</f>
        <v>105975.94189868189</v>
      </c>
      <c r="EL146" s="276">
        <f>$D146/$D$281*отчёт!BX$294</f>
        <v>177159.45471483932</v>
      </c>
      <c r="EM146" s="276">
        <f>$D146/$D$281*отчёт!BY$294</f>
        <v>155802.23084943742</v>
      </c>
      <c r="EN146" s="276">
        <f>$D146/$D$283*отчёт!BZ$294</f>
        <v>27961.630151809783</v>
      </c>
      <c r="EO146" s="240">
        <f t="shared" ref="EO146:EO151" si="35">SUBTOTAL(9,EP146:ER146)</f>
        <v>91527.844750499004</v>
      </c>
      <c r="EP146" s="276">
        <f>SUMIF('20Ф'!$H:$H,$B:$B,'20Ф'!T:T)*1.2</f>
        <v>2596.14</v>
      </c>
      <c r="EQ146" s="276">
        <f>SUM(H146:I146)/SUM($H$284:$I$284)*SUM('60Ф'!$O$155:$P$155)</f>
        <v>86255.130878243508</v>
      </c>
      <c r="ER146" s="276">
        <f>SUM($H146:$I146)/SUM($H$284:$I$284)*SUM('60Ф'!$P$227)</f>
        <v>2676.5738722554888</v>
      </c>
      <c r="ES146" s="239">
        <f t="shared" si="31"/>
        <v>59295.336967108567</v>
      </c>
      <c r="ET146" s="276">
        <f>$D146/$D$282*'20Ф'!$I$381</f>
        <v>4531.9994166122369</v>
      </c>
      <c r="EU146" s="276">
        <f>$D146/$D$282*('20Ф'!$I$75+'20Ф'!$I$1098)*1.2</f>
        <v>52346.605140622414</v>
      </c>
      <c r="EV146" s="276">
        <f>$D146/$D$282*('20Ф'!$I$1286)</f>
        <v>2416.7324098739173</v>
      </c>
      <c r="EW146" s="276">
        <f>SUMIF('91.1Ф'!$N:$N,$B:$B,'91.1Ф'!$F:$F)+$D146/$D$281*('91Ф'!$D$12+'91Ф'!$D$11+'91Ф'!$D$19+'91Ф'!$D$20)</f>
        <v>13967.111152400945</v>
      </c>
      <c r="EX146" s="276">
        <f t="shared" si="29"/>
        <v>32800.760075646635</v>
      </c>
      <c r="EY146" s="276">
        <f>SUMIF('20Ф'!$H:$H,$B:$B,'20Ф'!$AY:$AY)*1.2</f>
        <v>30682.5</v>
      </c>
      <c r="EZ146" s="295">
        <f>D146/$D$286*'20Ф'!$I$1163</f>
        <v>2118.2600756466322</v>
      </c>
      <c r="FA146" s="277">
        <f>SUMIF(отчёт!$B:$B,$B:$B,отчёт!$CU:$CU)/отчёт!$CU$281*'20Ф'!$I$1341</f>
        <v>920.96385542168503</v>
      </c>
      <c r="FB146" s="276">
        <f>SUMIF(Сальдо!$A:$A,$B:$B,Сальдо!$H:$H)-SUMIF(Сальдо!$A:$A,$B:$B,Сальдо!$I:$I)</f>
        <v>337899.24</v>
      </c>
    </row>
    <row r="147" spans="1:158" ht="12" customHeight="1" x14ac:dyDescent="0.25">
      <c r="A147" s="3">
        <f t="shared" si="32"/>
        <v>143</v>
      </c>
      <c r="B147" s="4" t="s">
        <v>192</v>
      </c>
      <c r="C147" s="4" t="s">
        <v>192</v>
      </c>
      <c r="D147" s="5">
        <v>6958.9</v>
      </c>
      <c r="E147" s="6">
        <v>6930.2</v>
      </c>
      <c r="F147" s="6">
        <v>28.7</v>
      </c>
      <c r="G147" s="6">
        <v>1296.2</v>
      </c>
      <c r="H147" s="5">
        <f>SUMIF(отчёт!$B:$B,$B:$B,отчёт!I:I)</f>
        <v>4</v>
      </c>
      <c r="I147" s="5">
        <f>SUMIF(отчёт!$B:$B,$B:$B,отчёт!J:J)</f>
        <v>0</v>
      </c>
      <c r="J147" s="3" t="s">
        <v>51</v>
      </c>
      <c r="K147" s="105">
        <v>3</v>
      </c>
      <c r="L147" s="105" t="s">
        <v>52</v>
      </c>
      <c r="M147" s="7">
        <v>45.06</v>
      </c>
      <c r="N147" s="8">
        <v>5.0999999999999996</v>
      </c>
      <c r="O147" s="8">
        <v>8.6300000000000008</v>
      </c>
      <c r="P147" s="8">
        <v>13.43</v>
      </c>
      <c r="Q147" s="8">
        <v>6.91</v>
      </c>
      <c r="R147" s="8">
        <v>3.15</v>
      </c>
      <c r="S147" s="8">
        <v>1.81</v>
      </c>
      <c r="T147" s="8">
        <v>5.77</v>
      </c>
      <c r="U147" s="8">
        <v>0.26</v>
      </c>
      <c r="V147" s="9">
        <v>40</v>
      </c>
      <c r="W147" s="9">
        <v>40</v>
      </c>
      <c r="X147" s="9">
        <v>2604.04</v>
      </c>
      <c r="Y147" s="8">
        <v>195.98199600000001</v>
      </c>
      <c r="Z147" s="9">
        <v>42.3</v>
      </c>
      <c r="AA147" s="9">
        <v>2604.04</v>
      </c>
      <c r="AB147" s="8">
        <v>7.85</v>
      </c>
      <c r="AC147" s="10">
        <v>0</v>
      </c>
      <c r="AD147" s="8">
        <v>6.73</v>
      </c>
      <c r="AE147" s="8">
        <v>10.67</v>
      </c>
      <c r="AF147" s="8">
        <v>14</v>
      </c>
      <c r="AG147" s="7">
        <v>1881408.2039999999</v>
      </c>
      <c r="AH147" s="8">
        <v>212942.33999999997</v>
      </c>
      <c r="AI147" s="8">
        <v>360331.842</v>
      </c>
      <c r="AJ147" s="8">
        <v>560748.16199999989</v>
      </c>
      <c r="AK147" s="8">
        <v>288515.99399999995</v>
      </c>
      <c r="AL147" s="8">
        <v>131523.21</v>
      </c>
      <c r="AM147" s="8">
        <v>75573.65400000001</v>
      </c>
      <c r="AN147" s="8">
        <v>240917.11799999996</v>
      </c>
      <c r="AO147" s="8">
        <v>10855.884</v>
      </c>
      <c r="AQ147" s="104">
        <v>48.44</v>
      </c>
      <c r="AR147" s="375">
        <v>18.489999999999998</v>
      </c>
      <c r="AS147" s="376"/>
      <c r="AT147" s="104">
        <v>6.67</v>
      </c>
      <c r="AU147" s="104">
        <v>1.53</v>
      </c>
      <c r="AV147" s="104">
        <v>0.32</v>
      </c>
      <c r="AW147" s="104">
        <v>0.87</v>
      </c>
      <c r="AX147" s="104">
        <v>5.01</v>
      </c>
      <c r="AY147" s="104">
        <v>4.99</v>
      </c>
      <c r="AZ147" s="104">
        <v>2.7</v>
      </c>
      <c r="BA147" s="104">
        <v>6.46</v>
      </c>
      <c r="BB147" s="104">
        <v>0.47</v>
      </c>
      <c r="BC147" s="101">
        <v>0.93</v>
      </c>
      <c r="BD147" s="104">
        <v>54.88252</v>
      </c>
      <c r="BE147" s="375">
        <v>20.949169999999999</v>
      </c>
      <c r="BF147" s="376">
        <v>0</v>
      </c>
      <c r="BG147" s="104">
        <v>7.5571100000000007</v>
      </c>
      <c r="BH147" s="104">
        <v>1.7334900000000002</v>
      </c>
      <c r="BI147" s="104">
        <v>0.36256000000000005</v>
      </c>
      <c r="BJ147" s="104">
        <v>0.98571000000000009</v>
      </c>
      <c r="BK147" s="104">
        <v>5.6763300000000001</v>
      </c>
      <c r="BL147" s="104">
        <v>5.65367</v>
      </c>
      <c r="BM147" s="104">
        <v>3.0591000000000004</v>
      </c>
      <c r="BN147" s="104">
        <v>7.3191800000000002</v>
      </c>
      <c r="BO147" s="104">
        <v>0.53250999999999993</v>
      </c>
      <c r="BP147" s="101">
        <v>1.05369</v>
      </c>
      <c r="BQ147" s="103">
        <v>4493397.9162799995</v>
      </c>
      <c r="BR147" s="371">
        <v>1715171.9131299998</v>
      </c>
      <c r="BS147" s="371">
        <v>0</v>
      </c>
      <c r="BT147" s="103">
        <v>618723.45379000006</v>
      </c>
      <c r="BU147" s="103">
        <v>141926.06960999998</v>
      </c>
      <c r="BV147" s="103">
        <v>29683.883839999999</v>
      </c>
      <c r="BW147" s="103">
        <v>80703.05919</v>
      </c>
      <c r="BX147" s="103">
        <v>464738.30636999995</v>
      </c>
      <c r="BY147" s="103">
        <v>462883.06362999999</v>
      </c>
      <c r="BZ147" s="103">
        <v>250457.76990000004</v>
      </c>
      <c r="CA147" s="103">
        <v>599243.40501999995</v>
      </c>
      <c r="CB147" s="103">
        <v>43598.204389999984</v>
      </c>
      <c r="CC147" s="103">
        <v>86268.78740999999</v>
      </c>
      <c r="CD147" s="1">
        <v>1</v>
      </c>
      <c r="CF147" s="277">
        <f>SUMIF(Оборот!$A:$A,$B:$B,Оборот!H:H)</f>
        <v>3840994.4099999992</v>
      </c>
      <c r="CG147" s="277">
        <f>SUMIF(Оборот!$A:$A,$B:$B,Оборот!I:I)</f>
        <v>3822870.07</v>
      </c>
      <c r="CH147" s="277">
        <f t="shared" si="25"/>
        <v>9896157.2063198481</v>
      </c>
      <c r="CI147" s="239">
        <f t="shared" si="30"/>
        <v>7062624.6237468226</v>
      </c>
      <c r="CJ147" s="276">
        <f>SUMIF('20Ф'!$H:$H,$B:$B,'20Ф'!M:M)*1.2</f>
        <v>0</v>
      </c>
      <c r="CK147" s="276">
        <f>SUMIF('20Ф'!$H:$H,$B:$B,'20Ф'!O:O)*1.2</f>
        <v>0</v>
      </c>
      <c r="CL147" s="276">
        <f>SUMIF('20Ф'!$H:$H,$B:$B,'20Ф'!Q:Q)*1.2</f>
        <v>902975.00400000007</v>
      </c>
      <c r="CM147" s="276">
        <f>SUMIF('20Ф'!$H:$H,$B:$B,'20Ф'!R:R)*1.2</f>
        <v>0</v>
      </c>
      <c r="CN147" s="276">
        <f>SUMIF('20Ф'!$H:$H,$B:$B,'20Ф'!S:S)*1.2</f>
        <v>0</v>
      </c>
      <c r="CO147" s="276">
        <f>SUMIF('20Ф'!$H:$H,$B:$B,'20Ф'!W:W)*1.2</f>
        <v>0</v>
      </c>
      <c r="CP147" s="276">
        <f>SUMIF('20Ф'!$H:$H,$B:$B,'20Ф'!P:P)*1.2</f>
        <v>0</v>
      </c>
      <c r="CQ147" s="276">
        <f>SUMIF('20Ф'!$H:$H,$B:$B,'20Ф'!Y:Y)*1.2</f>
        <v>0</v>
      </c>
      <c r="CR147" s="276">
        <f>SUMIF('20Ф'!$H:$H,$B:$B,'20Ф'!Z:Z)*1.2</f>
        <v>0</v>
      </c>
      <c r="CS147" s="276">
        <f>SUMIF('20Ф'!$H:$H,$B:$B,'20Ф'!AB:AB)*1.2</f>
        <v>0</v>
      </c>
      <c r="CT147" s="276">
        <f>SUMIF('20Ф'!$H:$H,$B:$B,'20Ф'!AC:AC)*1.2</f>
        <v>0</v>
      </c>
      <c r="CU147" s="276">
        <f>SUMIF('20Ф'!$H:$H,$B:$B,'20Ф'!AD:AD)*1.2</f>
        <v>0</v>
      </c>
      <c r="CV147" s="276">
        <f>SUMIF('20Ф'!$H:$H,$B:$B,'20Ф'!AE:AE)*1.2</f>
        <v>0</v>
      </c>
      <c r="CW147" s="276">
        <f>SUMIF('20Ф'!$H:$H,$B:$B,'20Ф'!AF:AF)*1.2</f>
        <v>0</v>
      </c>
      <c r="CX147" s="276">
        <f>SUMIF('20Ф'!$H:$H,$B:$B,'20Ф'!AG:AG)*1.2</f>
        <v>0</v>
      </c>
      <c r="CY147" s="276">
        <f>SUMIF('20Ф'!$H:$H,$B:$B,'20Ф'!AH:AH)*1.2</f>
        <v>0</v>
      </c>
      <c r="CZ147" s="276">
        <f>SUMIF('20Ф'!$H:$H,$B:$B,'20Ф'!AI:AI)*1.2</f>
        <v>0</v>
      </c>
      <c r="DA147" s="276">
        <f>SUMIF('20Ф'!$H:$H,$B:$B,'20Ф'!AJ:AJ)*1.2</f>
        <v>64218.275999999998</v>
      </c>
      <c r="DB147" s="276">
        <f>SUMIF('20Ф'!$H:$H,$B:$B,'20Ф'!AK:AK)*1.2</f>
        <v>0</v>
      </c>
      <c r="DC147" s="276">
        <f>SUMIF('20Ф'!$H:$H,$B:$B,'20Ф'!AL:AL)*1.2</f>
        <v>6034225.4879999999</v>
      </c>
      <c r="DD147" s="276">
        <f>SUMIF('20Ф'!$H:$H,$B:$B,'20Ф'!AM:AM)*1.2</f>
        <v>0</v>
      </c>
      <c r="DE147" s="276">
        <f>SUMIF('20Ф'!$H:$H,$B:$B,'20Ф'!AN:AN)*1.2</f>
        <v>0</v>
      </c>
      <c r="DF147" s="276">
        <f>SUMIF('20Ф'!$H:$H,$B:$B,'20Ф'!AO:AO)*1.2</f>
        <v>0</v>
      </c>
      <c r="DG147" s="276">
        <f>SUMIF('20Ф'!$H:$H,$B:$B,'20Ф'!AP:AP)*1.2</f>
        <v>0</v>
      </c>
      <c r="DH147" s="276">
        <f>SUMIF('20Ф'!$H:$H,$B:$B,'20Ф'!AQ:AQ)*1.2</f>
        <v>0</v>
      </c>
      <c r="DI147" s="276">
        <f>SUMIF('20Ф'!$H:$H,$B:$B,'20Ф'!BA:BA)*1.2</f>
        <v>0</v>
      </c>
      <c r="DJ147" s="276">
        <f>SUMIF('20Ф'!$H:$H,$B:$B,'20Ф'!BB:BB)*1.2</f>
        <v>0</v>
      </c>
      <c r="DK147" s="276">
        <f>SUMIF('20Ф'!$H:$H,$B:$B,'20Ф'!BC:BC)*1.2</f>
        <v>0</v>
      </c>
      <c r="DL147" s="276">
        <f>$D147/$D$281*'20Ф'!$H$218</f>
        <v>61205.855746822192</v>
      </c>
      <c r="DM147" s="240">
        <f t="shared" si="26"/>
        <v>783469.88353370794</v>
      </c>
      <c r="DN147" s="276">
        <f>SUMIF('20Ф'!$H:$H,$B:$B,'20Ф'!AV:AV)*1.2</f>
        <v>0</v>
      </c>
      <c r="DO147" s="276">
        <f>SUMIF('20Ф'!$H:$H,$B:$B,'20Ф'!AW:AW)*1.2+$D147/$D$281*'26Ф'!$D$42</f>
        <v>32570.588160736239</v>
      </c>
      <c r="DP147" s="276">
        <f>SUMIF('20Ф'!$H:$H,$B:$B,'20Ф'!AX:AX)*1.2</f>
        <v>0</v>
      </c>
      <c r="DQ147" s="276">
        <f>SUMIF('20Ф'!$H:$H,$B:$B,'20Ф'!AY:AY)*1.2</f>
        <v>82360.2</v>
      </c>
      <c r="DR147" s="276">
        <f>SUMIF('20Ф'!$H:$H,$B:$B,'20Ф'!AU:AU)*1.2</f>
        <v>0</v>
      </c>
      <c r="DS147" s="276">
        <f>SUMIF('20Ф'!$H:$H,$B:$B,'20Ф'!AS:AS)*1.2</f>
        <v>93999.167999999991</v>
      </c>
      <c r="DT147" s="276">
        <f>SUMIF('20Ф'!$H:$H,$B:$B,'20Ф'!AR:AR)*1.2</f>
        <v>0</v>
      </c>
      <c r="DU147" s="276">
        <f>SUMIF('20Ф'!$H:$H,$B:$B,'20Ф'!X:X)*1.2</f>
        <v>0</v>
      </c>
      <c r="DV147" s="276">
        <f>SUMIF('20Ф'!$H:$H,$B:$B,'20Ф'!AA:AA)*1.2</f>
        <v>0</v>
      </c>
      <c r="DW147" s="276">
        <f>SUMIF('20Ф'!$H:$H,$B:$B,'20Ф'!N:N)*1.2</f>
        <v>0</v>
      </c>
      <c r="DX147" s="276">
        <f>$D147/$D$281*('25Ф'!$D$37)</f>
        <v>547470.84041294886</v>
      </c>
      <c r="DY147" s="276">
        <f>$D147/$D$281*'25Ф'!$D$30</f>
        <v>17473.550616997083</v>
      </c>
      <c r="DZ147" s="276">
        <f>$D147/$D$281*'25Ф'!$D$31</f>
        <v>9595.5363430258039</v>
      </c>
      <c r="EA147" s="276"/>
      <c r="EB147" s="276">
        <f t="shared" si="27"/>
        <v>344915.2220471545</v>
      </c>
      <c r="EC147" s="276">
        <f>$D147/$D$281*'26Ф'!$D$36</f>
        <v>179539.48098795424</v>
      </c>
      <c r="ED147" s="276">
        <f>$D147/$D$281*'26Ф'!$D$37</f>
        <v>21571.476888798872</v>
      </c>
      <c r="EE147" s="276">
        <f>$D147/$D$281*'26Ф'!$D$38</f>
        <v>21792.713610922259</v>
      </c>
      <c r="EF147" s="276">
        <f>$D147/$D$281*'26Ф'!$D$39</f>
        <v>15287.568708366756</v>
      </c>
      <c r="EG147" s="276">
        <f>$D147/$D$281*'91Ф'!$D$10</f>
        <v>4716.2085885165561</v>
      </c>
      <c r="EH147" s="276">
        <f>$D147/$D$281*('20Ф'!$I$509+'26Ф'!$D$41+'20Ф'!$I$507)</f>
        <v>33365.622789776673</v>
      </c>
      <c r="EI147" s="276">
        <f>$D147/$D$281*'91Ф'!$D$31</f>
        <v>61164.087306351772</v>
      </c>
      <c r="EJ147" s="276">
        <f>$D147/$D$281*'20Ф'!$I$1316</f>
        <v>7478.0631664674165</v>
      </c>
      <c r="EK147" s="276">
        <f>$D147/$D$281*('20Ф'!$I$1105+'20Ф'!$I$1282+'91Ф'!$D$17+'91Ф'!$D$41)</f>
        <v>245587.92569807096</v>
      </c>
      <c r="EL147" s="276">
        <f>$D147/$D$281*отчёт!BX$294</f>
        <v>410548.11329551268</v>
      </c>
      <c r="EM147" s="276">
        <f>$D147/$D$281*отчёт!BY$294</f>
        <v>361055.02822543203</v>
      </c>
      <c r="EN147" s="276">
        <f>$D147/$D$283*отчёт!BZ$294</f>
        <v>64798.091199650022</v>
      </c>
      <c r="EO147" s="240">
        <f t="shared" si="35"/>
        <v>366111.37900199601</v>
      </c>
      <c r="EP147" s="276">
        <f>SUMIF('20Ф'!$H:$H,$B:$B,'20Ф'!T:T)*1.2</f>
        <v>10384.56</v>
      </c>
      <c r="EQ147" s="276">
        <f>SUM(H147:I147)/SUM($H$284:$I$284)*SUM('60Ф'!$O$155:$P$155)</f>
        <v>345020.52351297403</v>
      </c>
      <c r="ER147" s="276">
        <f>SUM($H147:$I147)/SUM($H$284:$I$284)*SUM('60Ф'!$P$227)</f>
        <v>10706.295489021955</v>
      </c>
      <c r="ES147" s="239">
        <f t="shared" si="31"/>
        <v>137410.60988391616</v>
      </c>
      <c r="ET147" s="276">
        <f>$D147/$D$282*'20Ф'!$I$381</f>
        <v>10502.424569670284</v>
      </c>
      <c r="EU147" s="276">
        <f>$D147/$D$282*('20Ф'!$I$75+'20Ф'!$I$1098)*1.2</f>
        <v>121307.66609380176</v>
      </c>
      <c r="EV147" s="276">
        <f>$D147/$D$282*('20Ф'!$I$1286)</f>
        <v>5600.5192204441055</v>
      </c>
      <c r="EW147" s="276">
        <f>SUMIF('91.1Ф'!$N:$N,$B:$B,'91.1Ф'!$F:$F)+$D147/$D$281*('91Ф'!$D$12+'91Ф'!$D$11+'91Ф'!$D$19+'91Ф'!$D$20)</f>
        <v>32367.288220867467</v>
      </c>
      <c r="EX147" s="276">
        <f t="shared" si="29"/>
        <v>87269.041466721275</v>
      </c>
      <c r="EY147" s="276">
        <f>SUMIF('20Ф'!$H:$H,$B:$B,'20Ф'!$AY:$AY)*1.2</f>
        <v>82360.2</v>
      </c>
      <c r="EZ147" s="295">
        <f>D147/$D$286*'20Ф'!$I$1163</f>
        <v>4908.8414667212855</v>
      </c>
      <c r="FA147" s="277">
        <f>SUMIF(отчёт!$B:$B,$B:$B,отчёт!$CU:$CU)/отчёт!$CU$281*'20Ф'!$I$1341</f>
        <v>3683.8554216867401</v>
      </c>
      <c r="FB147" s="276">
        <f>SUMIF(Сальдо!$A:$A,$B:$B,Сальдо!$H:$H)-SUMIF(Сальдо!$A:$A,$B:$B,Сальдо!$I:$I)</f>
        <v>723753.8</v>
      </c>
    </row>
    <row r="148" spans="1:158" ht="12" customHeight="1" x14ac:dyDescent="0.25">
      <c r="A148" s="3">
        <f t="shared" si="32"/>
        <v>144</v>
      </c>
      <c r="B148" s="4" t="s">
        <v>193</v>
      </c>
      <c r="C148" s="4" t="s">
        <v>193</v>
      </c>
      <c r="D148" s="5">
        <v>3314.2</v>
      </c>
      <c r="E148" s="6">
        <v>3314.2</v>
      </c>
      <c r="F148" s="6">
        <v>0</v>
      </c>
      <c r="G148" s="6">
        <v>845.1</v>
      </c>
      <c r="H148" s="5">
        <f>SUMIF(отчёт!$B:$B,$B:$B,отчёт!I:I)</f>
        <v>1</v>
      </c>
      <c r="I148" s="5">
        <f>SUMIF(отчёт!$B:$B,$B:$B,отчёт!J:J)</f>
        <v>1</v>
      </c>
      <c r="J148" s="3" t="s">
        <v>51</v>
      </c>
      <c r="K148" s="105">
        <v>3</v>
      </c>
      <c r="L148" s="105" t="s">
        <v>52</v>
      </c>
      <c r="M148" s="7">
        <v>45.06</v>
      </c>
      <c r="N148" s="8">
        <v>5.0999999999999996</v>
      </c>
      <c r="O148" s="8">
        <v>8.6300000000000008</v>
      </c>
      <c r="P148" s="8">
        <v>13.43</v>
      </c>
      <c r="Q148" s="8">
        <v>6.91</v>
      </c>
      <c r="R148" s="8">
        <v>3.15</v>
      </c>
      <c r="S148" s="8">
        <v>1.81</v>
      </c>
      <c r="T148" s="8">
        <v>5.77</v>
      </c>
      <c r="U148" s="8">
        <v>0.26</v>
      </c>
      <c r="V148" s="9">
        <v>40</v>
      </c>
      <c r="W148" s="9">
        <v>40</v>
      </c>
      <c r="X148" s="9">
        <v>2604.04</v>
      </c>
      <c r="Y148" s="8">
        <v>195.98199600000001</v>
      </c>
      <c r="Z148" s="9">
        <v>42.3</v>
      </c>
      <c r="AA148" s="9">
        <v>2604.04</v>
      </c>
      <c r="AB148" s="8">
        <v>7.85</v>
      </c>
      <c r="AC148" s="10">
        <v>0</v>
      </c>
      <c r="AD148" s="8">
        <v>6.73</v>
      </c>
      <c r="AE148" s="8">
        <v>10.67</v>
      </c>
      <c r="AF148" s="8">
        <v>14</v>
      </c>
      <c r="AG148" s="7">
        <v>896027.11200000008</v>
      </c>
      <c r="AH148" s="8">
        <v>101414.51999999999</v>
      </c>
      <c r="AI148" s="8">
        <v>171609.27600000001</v>
      </c>
      <c r="AJ148" s="8">
        <v>267058.23599999998</v>
      </c>
      <c r="AK148" s="8">
        <v>137406.73199999999</v>
      </c>
      <c r="AL148" s="8">
        <v>62638.38</v>
      </c>
      <c r="AM148" s="8">
        <v>35992.212</v>
      </c>
      <c r="AN148" s="8">
        <v>114737.60399999999</v>
      </c>
      <c r="AO148" s="8">
        <v>5170.152</v>
      </c>
      <c r="AQ148" s="104">
        <v>48.44</v>
      </c>
      <c r="AR148" s="375">
        <v>18.489999999999998</v>
      </c>
      <c r="AS148" s="376"/>
      <c r="AT148" s="104">
        <v>6.67</v>
      </c>
      <c r="AU148" s="104">
        <v>1.53</v>
      </c>
      <c r="AV148" s="104">
        <v>0.32</v>
      </c>
      <c r="AW148" s="104">
        <v>0.87</v>
      </c>
      <c r="AX148" s="104">
        <v>5.01</v>
      </c>
      <c r="AY148" s="104">
        <v>4.99</v>
      </c>
      <c r="AZ148" s="104">
        <v>2.7</v>
      </c>
      <c r="BA148" s="104">
        <v>6.46</v>
      </c>
      <c r="BB148" s="104">
        <v>0.47</v>
      </c>
      <c r="BC148" s="101">
        <v>0.93</v>
      </c>
      <c r="BD148" s="104">
        <v>54.88252</v>
      </c>
      <c r="BE148" s="375">
        <v>20.949169999999999</v>
      </c>
      <c r="BF148" s="376">
        <v>0</v>
      </c>
      <c r="BG148" s="104">
        <v>7.5571100000000007</v>
      </c>
      <c r="BH148" s="104">
        <v>1.7334900000000002</v>
      </c>
      <c r="BI148" s="104">
        <v>0.36256000000000005</v>
      </c>
      <c r="BJ148" s="104">
        <v>0.98571000000000009</v>
      </c>
      <c r="BK148" s="104">
        <v>5.6763300000000001</v>
      </c>
      <c r="BL148" s="104">
        <v>5.65367</v>
      </c>
      <c r="BM148" s="104">
        <v>3.0591000000000004</v>
      </c>
      <c r="BN148" s="104">
        <v>7.3191800000000002</v>
      </c>
      <c r="BO148" s="104">
        <v>0.53250999999999993</v>
      </c>
      <c r="BP148" s="101">
        <v>1.05369</v>
      </c>
      <c r="BQ148" s="103">
        <v>2139996.1738400003</v>
      </c>
      <c r="BR148" s="371">
        <v>816856.50813999982</v>
      </c>
      <c r="BS148" s="371">
        <v>0</v>
      </c>
      <c r="BT148" s="103">
        <v>294669.16762000002</v>
      </c>
      <c r="BU148" s="103">
        <v>67592.777579999994</v>
      </c>
      <c r="BV148" s="103">
        <v>14137.051519999999</v>
      </c>
      <c r="BW148" s="103">
        <v>38435.108820000001</v>
      </c>
      <c r="BX148" s="103">
        <v>221333.21285999997</v>
      </c>
      <c r="BY148" s="103">
        <v>220449.64713999999</v>
      </c>
      <c r="BZ148" s="103">
        <v>119281.37220000001</v>
      </c>
      <c r="CA148" s="103">
        <v>285391.72755999997</v>
      </c>
      <c r="CB148" s="103">
        <v>20763.794419999995</v>
      </c>
      <c r="CC148" s="103">
        <v>41085.80597999999</v>
      </c>
      <c r="CD148" s="1">
        <v>1</v>
      </c>
      <c r="CF148" s="277">
        <f>SUMIF(Оборот!$A:$A,$B:$B,Оборот!H:H)</f>
        <v>1836862.1600000001</v>
      </c>
      <c r="CG148" s="277">
        <f>SUMIF(Оборот!$A:$A,$B:$B,Оборот!I:I)</f>
        <v>1805299.74</v>
      </c>
      <c r="CH148" s="277">
        <f t="shared" si="25"/>
        <v>1368240.987972141</v>
      </c>
      <c r="CI148" s="239">
        <f t="shared" si="30"/>
        <v>48962.698788043817</v>
      </c>
      <c r="CJ148" s="276">
        <f>SUMIF('20Ф'!$H:$H,$B:$B,'20Ф'!M:M)*1.2</f>
        <v>0</v>
      </c>
      <c r="CK148" s="276">
        <f>SUMIF('20Ф'!$H:$H,$B:$B,'20Ф'!O:O)*1.2</f>
        <v>0</v>
      </c>
      <c r="CL148" s="276">
        <f>SUMIF('20Ф'!$H:$H,$B:$B,'20Ф'!Q:Q)*1.2</f>
        <v>0</v>
      </c>
      <c r="CM148" s="276">
        <f>SUMIF('20Ф'!$H:$H,$B:$B,'20Ф'!R:R)*1.2</f>
        <v>0</v>
      </c>
      <c r="CN148" s="276">
        <f>SUMIF('20Ф'!$H:$H,$B:$B,'20Ф'!S:S)*1.2</f>
        <v>0</v>
      </c>
      <c r="CO148" s="276">
        <f>SUMIF('20Ф'!$H:$H,$B:$B,'20Ф'!W:W)*1.2</f>
        <v>0</v>
      </c>
      <c r="CP148" s="276">
        <f>SUMIF('20Ф'!$H:$H,$B:$B,'20Ф'!P:P)*1.2</f>
        <v>0</v>
      </c>
      <c r="CQ148" s="276">
        <f>SUMIF('20Ф'!$H:$H,$B:$B,'20Ф'!Y:Y)*1.2</f>
        <v>0</v>
      </c>
      <c r="CR148" s="276">
        <f>SUMIF('20Ф'!$H:$H,$B:$B,'20Ф'!Z:Z)*1.2</f>
        <v>0</v>
      </c>
      <c r="CS148" s="276">
        <f>SUMIF('20Ф'!$H:$H,$B:$B,'20Ф'!AB:AB)*1.2</f>
        <v>0</v>
      </c>
      <c r="CT148" s="276">
        <f>SUMIF('20Ф'!$H:$H,$B:$B,'20Ф'!AC:AC)*1.2</f>
        <v>0</v>
      </c>
      <c r="CU148" s="276">
        <f>SUMIF('20Ф'!$H:$H,$B:$B,'20Ф'!AD:AD)*1.2</f>
        <v>0</v>
      </c>
      <c r="CV148" s="276">
        <f>SUMIF('20Ф'!$H:$H,$B:$B,'20Ф'!AE:AE)*1.2</f>
        <v>0</v>
      </c>
      <c r="CW148" s="276">
        <f>SUMIF('20Ф'!$H:$H,$B:$B,'20Ф'!AF:AF)*1.2</f>
        <v>0</v>
      </c>
      <c r="CX148" s="276">
        <f>SUMIF('20Ф'!$H:$H,$B:$B,'20Ф'!AG:AG)*1.2</f>
        <v>0</v>
      </c>
      <c r="CY148" s="276">
        <f>SUMIF('20Ф'!$H:$H,$B:$B,'20Ф'!AH:AH)*1.2</f>
        <v>0</v>
      </c>
      <c r="CZ148" s="276">
        <f>SUMIF('20Ф'!$H:$H,$B:$B,'20Ф'!AI:AI)*1.2</f>
        <v>0</v>
      </c>
      <c r="DA148" s="276">
        <f>SUMIF('20Ф'!$H:$H,$B:$B,'20Ф'!AJ:AJ)*1.2</f>
        <v>0</v>
      </c>
      <c r="DB148" s="276">
        <f>SUMIF('20Ф'!$H:$H,$B:$B,'20Ф'!AK:AK)*1.2</f>
        <v>0</v>
      </c>
      <c r="DC148" s="276">
        <f>SUMIF('20Ф'!$H:$H,$B:$B,'20Ф'!AL:AL)*1.2</f>
        <v>0</v>
      </c>
      <c r="DD148" s="276">
        <f>SUMIF('20Ф'!$H:$H,$B:$B,'20Ф'!AM:AM)*1.2</f>
        <v>0</v>
      </c>
      <c r="DE148" s="276">
        <f>SUMIF('20Ф'!$H:$H,$B:$B,'20Ф'!AN:AN)*1.2</f>
        <v>0</v>
      </c>
      <c r="DF148" s="276">
        <f>SUMIF('20Ф'!$H:$H,$B:$B,'20Ф'!AO:AO)*1.2</f>
        <v>0</v>
      </c>
      <c r="DG148" s="276">
        <f>SUMIF('20Ф'!$H:$H,$B:$B,'20Ф'!AP:AP)*1.2</f>
        <v>0</v>
      </c>
      <c r="DH148" s="276">
        <f>SUMIF('20Ф'!$H:$H,$B:$B,'20Ф'!AQ:AQ)*1.2</f>
        <v>0</v>
      </c>
      <c r="DI148" s="276">
        <f>SUMIF('20Ф'!$H:$H,$B:$B,'20Ф'!BA:BA)*1.2</f>
        <v>0</v>
      </c>
      <c r="DJ148" s="276">
        <f>SUMIF('20Ф'!$H:$H,$B:$B,'20Ф'!BB:BB)*1.2</f>
        <v>19813.2</v>
      </c>
      <c r="DK148" s="276">
        <f>SUMIF('20Ф'!$H:$H,$B:$B,'20Ф'!BC:BC)*1.2</f>
        <v>0</v>
      </c>
      <c r="DL148" s="276">
        <f>$D148/$D$281*'20Ф'!$H$218</f>
        <v>29149.498788043817</v>
      </c>
      <c r="DM148" s="240">
        <f t="shared" si="26"/>
        <v>343110.90193309501</v>
      </c>
      <c r="DN148" s="276">
        <f>SUMIF('20Ф'!$H:$H,$B:$B,'20Ф'!AV:AV)*1.2</f>
        <v>0</v>
      </c>
      <c r="DO148" s="276">
        <f>SUMIF('20Ф'!$H:$H,$B:$B,'20Ф'!AW:AW)*1.2+$D148/$D$281*'26Ф'!$D$42</f>
        <v>15511.854356624186</v>
      </c>
      <c r="DP148" s="276">
        <f>SUMIF('20Ф'!$H:$H,$B:$B,'20Ф'!AX:AX)*1.2</f>
        <v>0</v>
      </c>
      <c r="DQ148" s="276">
        <f>SUMIF('20Ф'!$H:$H,$B:$B,'20Ф'!AY:AY)*1.2</f>
        <v>30075</v>
      </c>
      <c r="DR148" s="276">
        <f>SUMIF('20Ф'!$H:$H,$B:$B,'20Ф'!AU:AU)*1.2</f>
        <v>0</v>
      </c>
      <c r="DS148" s="276">
        <f>SUMIF('20Ф'!$H:$H,$B:$B,'20Ф'!AS:AS)*1.2</f>
        <v>23897.435999999998</v>
      </c>
      <c r="DT148" s="276">
        <f>SUMIF('20Ф'!$H:$H,$B:$B,'20Ф'!AR:AR)*1.2</f>
        <v>0</v>
      </c>
      <c r="DU148" s="276">
        <f>SUMIF('20Ф'!$H:$H,$B:$B,'20Ф'!X:X)*1.2</f>
        <v>0</v>
      </c>
      <c r="DV148" s="276">
        <f>SUMIF('20Ф'!$H:$H,$B:$B,'20Ф'!AA:AA)*1.2</f>
        <v>0</v>
      </c>
      <c r="DW148" s="276">
        <f>SUMIF('20Ф'!$H:$H,$B:$B,'20Ф'!N:N)*1.2</f>
        <v>0</v>
      </c>
      <c r="DX148" s="276">
        <f>$D148/$D$281*('25Ф'!$D$37)</f>
        <v>260734.86604155757</v>
      </c>
      <c r="DY148" s="276">
        <f>$D148/$D$281*'25Ф'!$D$30</f>
        <v>8321.8384306214666</v>
      </c>
      <c r="DZ148" s="276">
        <f>$D148/$D$281*'25Ф'!$D$31</f>
        <v>4569.9071042917876</v>
      </c>
      <c r="EA148" s="276"/>
      <c r="EB148" s="276">
        <f t="shared" si="27"/>
        <v>164267.05785521842</v>
      </c>
      <c r="EC148" s="276">
        <f>$D148/$D$281*'26Ф'!$D$36</f>
        <v>85506.293795036268</v>
      </c>
      <c r="ED148" s="276">
        <f>$D148/$D$281*'26Ф'!$D$37</f>
        <v>10273.489876971536</v>
      </c>
      <c r="EE148" s="276">
        <f>$D148/$D$281*'26Ф'!$D$38</f>
        <v>10378.854624914649</v>
      </c>
      <c r="EF148" s="276">
        <f>$D148/$D$281*'26Ф'!$D$39</f>
        <v>7280.7570468420454</v>
      </c>
      <c r="EG148" s="276">
        <f>$D148/$D$281*'91Ф'!$D$10</f>
        <v>2246.1105209245097</v>
      </c>
      <c r="EH148" s="276">
        <f>$D148/$D$281*('20Ф'!$I$509+'26Ф'!$D$41+'20Ф'!$I$507)</f>
        <v>15890.492326355867</v>
      </c>
      <c r="EI148" s="276">
        <f>$D148/$D$281*'91Ф'!$D$31</f>
        <v>29129.606424968177</v>
      </c>
      <c r="EJ148" s="276">
        <f>$D148/$D$281*'20Ф'!$I$1316</f>
        <v>3561.4532392053788</v>
      </c>
      <c r="EK148" s="276">
        <f>$D148/$D$281*('20Ф'!$I$1105+'20Ф'!$I$1282+'91Ф'!$D$17+'91Ф'!$D$41)</f>
        <v>116962.09219108579</v>
      </c>
      <c r="EL148" s="276">
        <f>$D148/$D$281*отчёт!BX$294</f>
        <v>195524.94748940037</v>
      </c>
      <c r="EM148" s="276">
        <f>$D148/$D$281*отчёт!BY$294</f>
        <v>171953.6959210115</v>
      </c>
      <c r="EN148" s="276">
        <f>$D148/$D$283*отчёт!BZ$294</f>
        <v>30860.313246903981</v>
      </c>
      <c r="EO148" s="240">
        <f t="shared" si="35"/>
        <v>183329.12150099798</v>
      </c>
      <c r="EP148" s="276">
        <f>SUMIF('20Ф'!$H:$H,$B:$B,'20Ф'!T:T)*1.2</f>
        <v>5465.7120000000004</v>
      </c>
      <c r="EQ148" s="276">
        <f>SUM(H148:I148)/SUM($H$284:$I$284)*SUM('60Ф'!$O$155:$P$155)</f>
        <v>172510.26175648702</v>
      </c>
      <c r="ER148" s="276">
        <f>SUM($H148:$I148)/SUM($H$284:$I$284)*SUM('60Ф'!$P$227)</f>
        <v>5353.1477445109776</v>
      </c>
      <c r="ES148" s="239">
        <f t="shared" si="31"/>
        <v>65442.274393549975</v>
      </c>
      <c r="ET148" s="276">
        <f>$D148/$D$282*'20Ф'!$I$381</f>
        <v>5001.8157336362437</v>
      </c>
      <c r="EU148" s="276">
        <f>$D148/$D$282*('20Ф'!$I$75+'20Ф'!$I$1098)*1.2</f>
        <v>57773.192166589237</v>
      </c>
      <c r="EV148" s="276">
        <f>$D148/$D$282*('20Ф'!$I$1286)</f>
        <v>2667.2664933244992</v>
      </c>
      <c r="EW148" s="276">
        <f>SUMIF('91.1Ф'!$N:$N,$B:$B,'91.1Ф'!$F:$F)+$D148/$D$281*('91Ф'!$D$12+'91Ф'!$D$11+'91Ф'!$D$19+'91Ф'!$D$20)</f>
        <v>15415.032062768392</v>
      </c>
      <c r="EX148" s="276">
        <f t="shared" si="29"/>
        <v>32412.852590065624</v>
      </c>
      <c r="EY148" s="276">
        <f>SUMIF('20Ф'!$H:$H,$B:$B,'20Ф'!$AY:$AY)*1.2</f>
        <v>30075</v>
      </c>
      <c r="EZ148" s="295">
        <f>D148/$D$286*'20Ф'!$I$1163</f>
        <v>2337.8525900656259</v>
      </c>
      <c r="FA148" s="277">
        <f>SUMIF(отчёт!$B:$B,$B:$B,отчёт!$CU:$CU)/отчёт!$CU$281*'20Ф'!$I$1341</f>
        <v>920.96385542168503</v>
      </c>
      <c r="FB148" s="276">
        <f>SUMIF(Сальдо!$A:$A,$B:$B,Сальдо!$H:$H)-SUMIF(Сальдо!$A:$A,$B:$B,Сальдо!$I:$I)</f>
        <v>207546.22</v>
      </c>
    </row>
    <row r="149" spans="1:158" ht="12" customHeight="1" x14ac:dyDescent="0.25">
      <c r="A149" s="3">
        <f t="shared" si="32"/>
        <v>145</v>
      </c>
      <c r="B149" s="4" t="s">
        <v>194</v>
      </c>
      <c r="C149" s="4" t="s">
        <v>194</v>
      </c>
      <c r="D149" s="5">
        <v>7068.4</v>
      </c>
      <c r="E149" s="6">
        <v>7068.4</v>
      </c>
      <c r="F149" s="6">
        <v>0</v>
      </c>
      <c r="G149" s="6">
        <v>1732.7</v>
      </c>
      <c r="H149" s="5">
        <f>SUMIF(отчёт!$B:$B,$B:$B,отчёт!I:I)</f>
        <v>4</v>
      </c>
      <c r="I149" s="5">
        <f>SUMIF(отчёт!$B:$B,$B:$B,отчёт!J:J)</f>
        <v>0</v>
      </c>
      <c r="J149" s="3" t="s">
        <v>51</v>
      </c>
      <c r="K149" s="105">
        <v>3</v>
      </c>
      <c r="L149" s="105" t="s">
        <v>52</v>
      </c>
      <c r="M149" s="7">
        <v>45.06</v>
      </c>
      <c r="N149" s="8">
        <v>5.0999999999999996</v>
      </c>
      <c r="O149" s="8">
        <v>8.6300000000000008</v>
      </c>
      <c r="P149" s="8">
        <v>13.43</v>
      </c>
      <c r="Q149" s="8">
        <v>6.91</v>
      </c>
      <c r="R149" s="8">
        <v>3.15</v>
      </c>
      <c r="S149" s="8">
        <v>1.81</v>
      </c>
      <c r="T149" s="8">
        <v>5.77</v>
      </c>
      <c r="U149" s="8">
        <v>0.26</v>
      </c>
      <c r="V149" s="9">
        <v>40</v>
      </c>
      <c r="W149" s="9">
        <v>40</v>
      </c>
      <c r="X149" s="9">
        <v>2604.04</v>
      </c>
      <c r="Y149" s="8">
        <v>195.98199600000001</v>
      </c>
      <c r="Z149" s="9">
        <v>42.3</v>
      </c>
      <c r="AA149" s="9">
        <v>2604.04</v>
      </c>
      <c r="AB149" s="8">
        <v>7.85</v>
      </c>
      <c r="AC149" s="10">
        <v>0</v>
      </c>
      <c r="AD149" s="8">
        <v>6.73</v>
      </c>
      <c r="AE149" s="8">
        <v>10.67</v>
      </c>
      <c r="AF149" s="8">
        <v>14</v>
      </c>
      <c r="AG149" s="7">
        <v>1911012.6239999998</v>
      </c>
      <c r="AH149" s="8">
        <v>216293.03999999998</v>
      </c>
      <c r="AI149" s="8">
        <v>366001.75199999998</v>
      </c>
      <c r="AJ149" s="8">
        <v>569571.67200000002</v>
      </c>
      <c r="AK149" s="8">
        <v>293055.864</v>
      </c>
      <c r="AL149" s="8">
        <v>133592.76</v>
      </c>
      <c r="AM149" s="8">
        <v>76762.823999999993</v>
      </c>
      <c r="AN149" s="8">
        <v>244708.00799999997</v>
      </c>
      <c r="AO149" s="8">
        <v>11026.704</v>
      </c>
      <c r="AQ149" s="104">
        <v>48.44</v>
      </c>
      <c r="AR149" s="375">
        <v>18.489999999999998</v>
      </c>
      <c r="AS149" s="376"/>
      <c r="AT149" s="104">
        <v>6.67</v>
      </c>
      <c r="AU149" s="104">
        <v>1.53</v>
      </c>
      <c r="AV149" s="104">
        <v>0.32</v>
      </c>
      <c r="AW149" s="104">
        <v>0.87</v>
      </c>
      <c r="AX149" s="104">
        <v>5.01</v>
      </c>
      <c r="AY149" s="104">
        <v>4.99</v>
      </c>
      <c r="AZ149" s="104">
        <v>2.7</v>
      </c>
      <c r="BA149" s="104">
        <v>6.46</v>
      </c>
      <c r="BB149" s="104">
        <v>0.47</v>
      </c>
      <c r="BC149" s="101">
        <v>0.93</v>
      </c>
      <c r="BD149" s="104">
        <v>54.88252</v>
      </c>
      <c r="BE149" s="375">
        <v>20.949169999999999</v>
      </c>
      <c r="BF149" s="376">
        <v>0</v>
      </c>
      <c r="BG149" s="104">
        <v>7.5571100000000007</v>
      </c>
      <c r="BH149" s="104">
        <v>1.7334900000000002</v>
      </c>
      <c r="BI149" s="104">
        <v>0.36256000000000005</v>
      </c>
      <c r="BJ149" s="104">
        <v>0.98571000000000009</v>
      </c>
      <c r="BK149" s="104">
        <v>5.6763300000000001</v>
      </c>
      <c r="BL149" s="104">
        <v>5.65367</v>
      </c>
      <c r="BM149" s="104">
        <v>3.0591000000000004</v>
      </c>
      <c r="BN149" s="104">
        <v>7.3191800000000002</v>
      </c>
      <c r="BO149" s="104">
        <v>0.53250999999999993</v>
      </c>
      <c r="BP149" s="101">
        <v>1.05369</v>
      </c>
      <c r="BQ149" s="103">
        <v>4564102.6356799994</v>
      </c>
      <c r="BR149" s="371">
        <v>1742160.5642799996</v>
      </c>
      <c r="BS149" s="371">
        <v>0</v>
      </c>
      <c r="BT149" s="103">
        <v>628459.21924000001</v>
      </c>
      <c r="BU149" s="103">
        <v>144159.31115999998</v>
      </c>
      <c r="BV149" s="103">
        <v>30150.96704</v>
      </c>
      <c r="BW149" s="103">
        <v>81972.941640000005</v>
      </c>
      <c r="BX149" s="103">
        <v>472051.07771999994</v>
      </c>
      <c r="BY149" s="103">
        <v>470166.64227999997</v>
      </c>
      <c r="BZ149" s="103">
        <v>254398.78440000003</v>
      </c>
      <c r="CA149" s="103">
        <v>608672.64711999998</v>
      </c>
      <c r="CB149" s="103">
        <v>44284.23283999999</v>
      </c>
      <c r="CC149" s="103">
        <v>87626.247959999993</v>
      </c>
      <c r="CD149" s="1">
        <v>1</v>
      </c>
      <c r="CF149" s="277">
        <f>SUMIF(Оборот!$A:$A,$B:$B,Оборот!H:H)</f>
        <v>3915347.65</v>
      </c>
      <c r="CG149" s="277">
        <f>SUMIF(Оборот!$A:$A,$B:$B,Оборот!I:I)</f>
        <v>3819372.24</v>
      </c>
      <c r="CH149" s="277">
        <f t="shared" si="25"/>
        <v>2963069.0019874005</v>
      </c>
      <c r="CI149" s="239">
        <f t="shared" si="30"/>
        <v>143788.82891382804</v>
      </c>
      <c r="CJ149" s="276">
        <f>SUMIF('20Ф'!$H:$H,$B:$B,'20Ф'!M:M)*1.2</f>
        <v>0</v>
      </c>
      <c r="CK149" s="276">
        <f>SUMIF('20Ф'!$H:$H,$B:$B,'20Ф'!O:O)*1.2</f>
        <v>0</v>
      </c>
      <c r="CL149" s="276">
        <f>SUMIF('20Ф'!$H:$H,$B:$B,'20Ф'!Q:Q)*1.2</f>
        <v>0</v>
      </c>
      <c r="CM149" s="276">
        <f>SUMIF('20Ф'!$H:$H,$B:$B,'20Ф'!R:R)*1.2</f>
        <v>0</v>
      </c>
      <c r="CN149" s="276">
        <f>SUMIF('20Ф'!$H:$H,$B:$B,'20Ф'!S:S)*1.2</f>
        <v>0</v>
      </c>
      <c r="CO149" s="276">
        <f>SUMIF('20Ф'!$H:$H,$B:$B,'20Ф'!W:W)*1.2</f>
        <v>0</v>
      </c>
      <c r="CP149" s="276">
        <f>SUMIF('20Ф'!$H:$H,$B:$B,'20Ф'!P:P)*1.2</f>
        <v>0</v>
      </c>
      <c r="CQ149" s="276">
        <f>SUMIF('20Ф'!$H:$H,$B:$B,'20Ф'!Y:Y)*1.2</f>
        <v>0</v>
      </c>
      <c r="CR149" s="276">
        <f>SUMIF('20Ф'!$H:$H,$B:$B,'20Ф'!Z:Z)*1.2</f>
        <v>0</v>
      </c>
      <c r="CS149" s="276">
        <f>SUMIF('20Ф'!$H:$H,$B:$B,'20Ф'!AB:AB)*1.2</f>
        <v>0</v>
      </c>
      <c r="CT149" s="276">
        <f>SUMIF('20Ф'!$H:$H,$B:$B,'20Ф'!AC:AC)*1.2</f>
        <v>0</v>
      </c>
      <c r="CU149" s="276">
        <f>SUMIF('20Ф'!$H:$H,$B:$B,'20Ф'!AD:AD)*1.2</f>
        <v>0</v>
      </c>
      <c r="CV149" s="276">
        <f>SUMIF('20Ф'!$H:$H,$B:$B,'20Ф'!AE:AE)*1.2</f>
        <v>0</v>
      </c>
      <c r="CW149" s="276">
        <f>SUMIF('20Ф'!$H:$H,$B:$B,'20Ф'!AF:AF)*1.2</f>
        <v>0</v>
      </c>
      <c r="CX149" s="276">
        <f>SUMIF('20Ф'!$H:$H,$B:$B,'20Ф'!AG:AG)*1.2</f>
        <v>0</v>
      </c>
      <c r="CY149" s="276">
        <f>SUMIF('20Ф'!$H:$H,$B:$B,'20Ф'!AH:AH)*1.2</f>
        <v>0</v>
      </c>
      <c r="CZ149" s="276">
        <f>SUMIF('20Ф'!$H:$H,$B:$B,'20Ф'!AI:AI)*1.2</f>
        <v>0</v>
      </c>
      <c r="DA149" s="276">
        <f>SUMIF('20Ф'!$H:$H,$B:$B,'20Ф'!AJ:AJ)*1.2</f>
        <v>0</v>
      </c>
      <c r="DB149" s="276">
        <f>SUMIF('20Ф'!$H:$H,$B:$B,'20Ф'!AK:AK)*1.2</f>
        <v>0</v>
      </c>
      <c r="DC149" s="276">
        <f>SUMIF('20Ф'!$H:$H,$B:$B,'20Ф'!AL:AL)*1.2</f>
        <v>73128.683999999994</v>
      </c>
      <c r="DD149" s="276">
        <f>SUMIF('20Ф'!$H:$H,$B:$B,'20Ф'!AM:AM)*1.2</f>
        <v>0</v>
      </c>
      <c r="DE149" s="276">
        <f>SUMIF('20Ф'!$H:$H,$B:$B,'20Ф'!AN:AN)*1.2</f>
        <v>0</v>
      </c>
      <c r="DF149" s="276">
        <f>SUMIF('20Ф'!$H:$H,$B:$B,'20Ф'!AO:AO)*1.2</f>
        <v>0</v>
      </c>
      <c r="DG149" s="276">
        <f>SUMIF('20Ф'!$H:$H,$B:$B,'20Ф'!AP:AP)*1.2</f>
        <v>0</v>
      </c>
      <c r="DH149" s="276">
        <f>SUMIF('20Ф'!$H:$H,$B:$B,'20Ф'!AQ:AQ)*1.2</f>
        <v>0</v>
      </c>
      <c r="DI149" s="276">
        <f>SUMIF('20Ф'!$H:$H,$B:$B,'20Ф'!BA:BA)*1.2</f>
        <v>0</v>
      </c>
      <c r="DJ149" s="276">
        <f>SUMIF('20Ф'!$H:$H,$B:$B,'20Ф'!BB:BB)*1.2</f>
        <v>8491.1999999999989</v>
      </c>
      <c r="DK149" s="276">
        <f>SUMIF('20Ф'!$H:$H,$B:$B,'20Ф'!BC:BC)*1.2</f>
        <v>0</v>
      </c>
      <c r="DL149" s="276">
        <f>$D149/$D$281*'20Ф'!$H$218</f>
        <v>62168.944913828047</v>
      </c>
      <c r="DM149" s="240">
        <f t="shared" si="26"/>
        <v>753079.94454911863</v>
      </c>
      <c r="DN149" s="276">
        <f>SUMIF('20Ф'!$H:$H,$B:$B,'20Ф'!AV:AV)*1.2</f>
        <v>0</v>
      </c>
      <c r="DO149" s="276">
        <f>SUMIF('20Ф'!$H:$H,$B:$B,'20Ф'!AW:AW)*1.2+$D149/$D$281*'26Ф'!$D$42</f>
        <v>33083.094361946292</v>
      </c>
      <c r="DP149" s="276">
        <f>SUMIF('20Ф'!$H:$H,$B:$B,'20Ф'!AX:AX)*1.2</f>
        <v>0</v>
      </c>
      <c r="DQ149" s="276">
        <f>SUMIF('20Ф'!$H:$H,$B:$B,'20Ф'!AY:AY)*1.2</f>
        <v>73296.3</v>
      </c>
      <c r="DR149" s="276">
        <f>SUMIF('20Ф'!$H:$H,$B:$B,'20Ф'!AU:AU)*1.2</f>
        <v>0</v>
      </c>
      <c r="DS149" s="276">
        <f>SUMIF('20Ф'!$H:$H,$B:$B,'20Ф'!AS:AS)*1.2</f>
        <v>63120.095999999998</v>
      </c>
      <c r="DT149" s="276">
        <f>SUMIF('20Ф'!$H:$H,$B:$B,'20Ф'!AR:AR)*1.2</f>
        <v>0</v>
      </c>
      <c r="DU149" s="276">
        <f>SUMIF('20Ф'!$H:$H,$B:$B,'20Ф'!X:X)*1.2</f>
        <v>0</v>
      </c>
      <c r="DV149" s="276">
        <f>SUMIF('20Ф'!$H:$H,$B:$B,'20Ф'!AA:AA)*1.2</f>
        <v>0</v>
      </c>
      <c r="DW149" s="276">
        <f>SUMIF('20Ф'!$H:$H,$B:$B,'20Ф'!N:N)*1.2</f>
        <v>0</v>
      </c>
      <c r="DX149" s="276">
        <f>$D149/$D$281*('25Ф'!$D$37)</f>
        <v>556085.42849802237</v>
      </c>
      <c r="DY149" s="276">
        <f>$D149/$D$281*'25Ф'!$D$30</f>
        <v>17748.501225938322</v>
      </c>
      <c r="DZ149" s="276">
        <f>$D149/$D$281*'25Ф'!$D$31</f>
        <v>9746.5244632116573</v>
      </c>
      <c r="EA149" s="276"/>
      <c r="EB149" s="276">
        <f t="shared" si="27"/>
        <v>350342.54774721689</v>
      </c>
      <c r="EC149" s="276">
        <f>$D149/$D$281*'26Ф'!$D$36</f>
        <v>182364.57880056556</v>
      </c>
      <c r="ED149" s="276">
        <f>$D149/$D$281*'26Ф'!$D$37</f>
        <v>21910.909373720842</v>
      </c>
      <c r="EE149" s="276">
        <f>$D149/$D$281*'26Ф'!$D$38</f>
        <v>22135.62730998332</v>
      </c>
      <c r="EF149" s="276">
        <f>$D149/$D$281*'26Ф'!$D$39</f>
        <v>15528.122355288851</v>
      </c>
      <c r="EG149" s="276">
        <f>$D149/$D$281*'91Ф'!$D$10</f>
        <v>4790.419288547102</v>
      </c>
      <c r="EH149" s="276">
        <f>$D149/$D$281*('20Ф'!$I$509+'26Ф'!$D$41+'20Ф'!$I$507)</f>
        <v>33890.639056065964</v>
      </c>
      <c r="EI149" s="276">
        <f>$D149/$D$281*'91Ф'!$D$31</f>
        <v>62126.519236692133</v>
      </c>
      <c r="EJ149" s="276">
        <f>$D149/$D$281*'20Ф'!$I$1316</f>
        <v>7595.732326353057</v>
      </c>
      <c r="EK149" s="276">
        <f>$D149/$D$281*('20Ф'!$I$1105+'20Ф'!$I$1282+'91Ф'!$D$17+'91Ф'!$D$41)</f>
        <v>249452.31200394387</v>
      </c>
      <c r="EL149" s="276">
        <f>$D149/$D$281*отчёт!BX$294</f>
        <v>417008.18865309202</v>
      </c>
      <c r="EM149" s="276">
        <f>$D149/$D$281*отчёт!BY$294</f>
        <v>366736.31773824082</v>
      </c>
      <c r="EN149" s="276">
        <f>$D149/$D$283*отчёт!BZ$294</f>
        <v>65817.705073446414</v>
      </c>
      <c r="EO149" s="240">
        <f t="shared" si="35"/>
        <v>366111.37900199601</v>
      </c>
      <c r="EP149" s="276">
        <f>SUMIF('20Ф'!$H:$H,$B:$B,'20Ф'!T:T)*1.2</f>
        <v>10384.56</v>
      </c>
      <c r="EQ149" s="276">
        <f>SUM(H149:I149)/SUM($H$284:$I$284)*SUM('60Ф'!$O$155:$P$155)</f>
        <v>345020.52351297403</v>
      </c>
      <c r="ER149" s="276">
        <f>SUM($H149:$I149)/SUM($H$284:$I$284)*SUM('60Ф'!$P$227)</f>
        <v>10706.295489021955</v>
      </c>
      <c r="ES149" s="239">
        <f t="shared" si="31"/>
        <v>139572.79956652244</v>
      </c>
      <c r="ET149" s="276">
        <f>$D149/$D$282*'20Ф'!$I$381</f>
        <v>10667.682798755182</v>
      </c>
      <c r="EU149" s="276">
        <f>$D149/$D$282*('20Ф'!$I$75+'20Ф'!$I$1098)*1.2</f>
        <v>123216.47200238951</v>
      </c>
      <c r="EV149" s="276">
        <f>$D149/$D$282*('20Ф'!$I$1286)</f>
        <v>5688.6447653777341</v>
      </c>
      <c r="EW149" s="276">
        <f>SUMIF('91.1Ф'!$N:$N,$B:$B,'91.1Ф'!$F:$F)+$D149/$D$281*('91Ф'!$D$12+'91Ф'!$D$11+'91Ф'!$D$19+'91Ф'!$D$20)</f>
        <v>32876.595447610918</v>
      </c>
      <c r="EX149" s="276">
        <f t="shared" si="29"/>
        <v>78282.383292384242</v>
      </c>
      <c r="EY149" s="276">
        <f>SUMIF('20Ф'!$H:$H,$B:$B,'20Ф'!$AY:$AY)*1.2</f>
        <v>73296.3</v>
      </c>
      <c r="EZ149" s="295">
        <f>D149/$D$286*'20Ф'!$I$1163</f>
        <v>4986.0832923842463</v>
      </c>
      <c r="FA149" s="277">
        <f>SUMIF(отчёт!$B:$B,$B:$B,отчёт!$CU:$CU)/отчёт!$CU$281*'20Ф'!$I$1341</f>
        <v>3683.8554216867401</v>
      </c>
      <c r="FB149" s="276">
        <f>SUMIF(Сальдо!$A:$A,$B:$B,Сальдо!$H:$H)-SUMIF(Сальдо!$A:$A,$B:$B,Сальдо!$I:$I)</f>
        <v>707183.08</v>
      </c>
    </row>
    <row r="150" spans="1:158" ht="12" customHeight="1" x14ac:dyDescent="0.25">
      <c r="A150" s="3">
        <f t="shared" si="32"/>
        <v>146</v>
      </c>
      <c r="B150" s="4" t="s">
        <v>195</v>
      </c>
      <c r="C150" s="4" t="s">
        <v>195</v>
      </c>
      <c r="D150" s="5">
        <v>6953.13</v>
      </c>
      <c r="E150" s="6">
        <v>6953.13</v>
      </c>
      <c r="F150" s="6">
        <v>0</v>
      </c>
      <c r="G150" s="6">
        <v>1296.2</v>
      </c>
      <c r="H150" s="5">
        <f>SUMIF(отчёт!$B:$B,$B:$B,отчёт!I:I)</f>
        <v>4</v>
      </c>
      <c r="I150" s="5">
        <f>SUMIF(отчёт!$B:$B,$B:$B,отчёт!J:J)</f>
        <v>0</v>
      </c>
      <c r="J150" s="3" t="s">
        <v>51</v>
      </c>
      <c r="K150" s="105">
        <v>3</v>
      </c>
      <c r="L150" s="105" t="s">
        <v>52</v>
      </c>
      <c r="M150" s="7">
        <v>45.06</v>
      </c>
      <c r="N150" s="8">
        <v>5.0999999999999996</v>
      </c>
      <c r="O150" s="8">
        <v>8.6300000000000008</v>
      </c>
      <c r="P150" s="8">
        <v>13.43</v>
      </c>
      <c r="Q150" s="8">
        <v>6.91</v>
      </c>
      <c r="R150" s="8">
        <v>3.15</v>
      </c>
      <c r="S150" s="8">
        <v>1.81</v>
      </c>
      <c r="T150" s="8">
        <v>5.77</v>
      </c>
      <c r="U150" s="8">
        <v>0.26</v>
      </c>
      <c r="V150" s="9">
        <v>40</v>
      </c>
      <c r="W150" s="9">
        <v>40</v>
      </c>
      <c r="X150" s="9">
        <v>2604.04</v>
      </c>
      <c r="Y150" s="8">
        <v>195.98199600000001</v>
      </c>
      <c r="Z150" s="9">
        <v>42.3</v>
      </c>
      <c r="AA150" s="9">
        <v>2604.04</v>
      </c>
      <c r="AB150" s="8">
        <v>7.85</v>
      </c>
      <c r="AC150" s="10">
        <v>0</v>
      </c>
      <c r="AD150" s="8">
        <v>6.73</v>
      </c>
      <c r="AE150" s="8">
        <v>10.67</v>
      </c>
      <c r="AF150" s="8">
        <v>14</v>
      </c>
      <c r="AG150" s="7">
        <v>1879848.2268000003</v>
      </c>
      <c r="AH150" s="8">
        <v>212765.77799999999</v>
      </c>
      <c r="AI150" s="8">
        <v>360033.07140000002</v>
      </c>
      <c r="AJ150" s="8">
        <v>560283.21539999999</v>
      </c>
      <c r="AK150" s="8">
        <v>288276.76980000001</v>
      </c>
      <c r="AL150" s="8">
        <v>131414.15700000001</v>
      </c>
      <c r="AM150" s="8">
        <v>75510.991800000003</v>
      </c>
      <c r="AN150" s="8">
        <v>240717.36059999996</v>
      </c>
      <c r="AO150" s="8">
        <v>10846.882800000001</v>
      </c>
      <c r="AQ150" s="104">
        <v>48.44</v>
      </c>
      <c r="AR150" s="375">
        <v>18.489999999999998</v>
      </c>
      <c r="AS150" s="376"/>
      <c r="AT150" s="104">
        <v>6.67</v>
      </c>
      <c r="AU150" s="104">
        <v>1.53</v>
      </c>
      <c r="AV150" s="104">
        <v>0.32</v>
      </c>
      <c r="AW150" s="104">
        <v>0.87</v>
      </c>
      <c r="AX150" s="104">
        <v>5.01</v>
      </c>
      <c r="AY150" s="104">
        <v>4.99</v>
      </c>
      <c r="AZ150" s="104">
        <v>2.7</v>
      </c>
      <c r="BA150" s="104">
        <v>6.46</v>
      </c>
      <c r="BB150" s="104">
        <v>0.47</v>
      </c>
      <c r="BC150" s="101">
        <v>0.93</v>
      </c>
      <c r="BD150" s="104">
        <v>54.88252</v>
      </c>
      <c r="BE150" s="375">
        <v>20.949169999999999</v>
      </c>
      <c r="BF150" s="376">
        <v>0</v>
      </c>
      <c r="BG150" s="104">
        <v>7.5571100000000007</v>
      </c>
      <c r="BH150" s="104">
        <v>1.7334900000000002</v>
      </c>
      <c r="BI150" s="104">
        <v>0.36256000000000005</v>
      </c>
      <c r="BJ150" s="104">
        <v>0.98571000000000009</v>
      </c>
      <c r="BK150" s="104">
        <v>5.6763300000000001</v>
      </c>
      <c r="BL150" s="104">
        <v>5.65367</v>
      </c>
      <c r="BM150" s="104">
        <v>3.0591000000000004</v>
      </c>
      <c r="BN150" s="104">
        <v>7.3191800000000002</v>
      </c>
      <c r="BO150" s="104">
        <v>0.53250999999999993</v>
      </c>
      <c r="BP150" s="101">
        <v>1.05369</v>
      </c>
      <c r="BQ150" s="103">
        <v>4489672.1972759999</v>
      </c>
      <c r="BR150" s="371">
        <v>1713749.7714209999</v>
      </c>
      <c r="BS150" s="371">
        <v>0</v>
      </c>
      <c r="BT150" s="103">
        <v>618210.43674300006</v>
      </c>
      <c r="BU150" s="103">
        <v>141808.39103699999</v>
      </c>
      <c r="BV150" s="103">
        <v>29659.271328000003</v>
      </c>
      <c r="BW150" s="103">
        <v>80636.143923000011</v>
      </c>
      <c r="BX150" s="103">
        <v>464352.96672899998</v>
      </c>
      <c r="BY150" s="103">
        <v>462499.26227100001</v>
      </c>
      <c r="BZ150" s="103">
        <v>250250.10183000006</v>
      </c>
      <c r="CA150" s="103">
        <v>598746.539934</v>
      </c>
      <c r="CB150" s="103">
        <v>43562.054762999993</v>
      </c>
      <c r="CC150" s="103">
        <v>86197.257296999989</v>
      </c>
      <c r="CD150" s="1">
        <v>1</v>
      </c>
      <c r="CF150" s="277">
        <f>SUMIF(Оборот!$A:$A,$B:$B,Оборот!H:H)</f>
        <v>3853702.6700000004</v>
      </c>
      <c r="CG150" s="277">
        <f>SUMIF(Оборот!$A:$A,$B:$B,Оборот!I:I)</f>
        <v>3941984.79</v>
      </c>
      <c r="CH150" s="277">
        <f t="shared" si="25"/>
        <v>2853853.5153689673</v>
      </c>
      <c r="CI150" s="239">
        <f t="shared" si="30"/>
        <v>61155.106664688647</v>
      </c>
      <c r="CJ150" s="276">
        <f>SUMIF('20Ф'!$H:$H,$B:$B,'20Ф'!M:M)*1.2</f>
        <v>0</v>
      </c>
      <c r="CK150" s="276">
        <f>SUMIF('20Ф'!$H:$H,$B:$B,'20Ф'!O:O)*1.2</f>
        <v>0</v>
      </c>
      <c r="CL150" s="276">
        <f>SUMIF('20Ф'!$H:$H,$B:$B,'20Ф'!Q:Q)*1.2</f>
        <v>0</v>
      </c>
      <c r="CM150" s="276">
        <f>SUMIF('20Ф'!$H:$H,$B:$B,'20Ф'!R:R)*1.2</f>
        <v>0</v>
      </c>
      <c r="CN150" s="276">
        <f>SUMIF('20Ф'!$H:$H,$B:$B,'20Ф'!S:S)*1.2</f>
        <v>0</v>
      </c>
      <c r="CO150" s="276">
        <f>SUMIF('20Ф'!$H:$H,$B:$B,'20Ф'!W:W)*1.2</f>
        <v>0</v>
      </c>
      <c r="CP150" s="276">
        <f>SUMIF('20Ф'!$H:$H,$B:$B,'20Ф'!P:P)*1.2</f>
        <v>0</v>
      </c>
      <c r="CQ150" s="276">
        <f>SUMIF('20Ф'!$H:$H,$B:$B,'20Ф'!Y:Y)*1.2</f>
        <v>0</v>
      </c>
      <c r="CR150" s="276">
        <f>SUMIF('20Ф'!$H:$H,$B:$B,'20Ф'!Z:Z)*1.2</f>
        <v>0</v>
      </c>
      <c r="CS150" s="276">
        <f>SUMIF('20Ф'!$H:$H,$B:$B,'20Ф'!AB:AB)*1.2</f>
        <v>0</v>
      </c>
      <c r="CT150" s="276">
        <f>SUMIF('20Ф'!$H:$H,$B:$B,'20Ф'!AC:AC)*1.2</f>
        <v>0</v>
      </c>
      <c r="CU150" s="276">
        <f>SUMIF('20Ф'!$H:$H,$B:$B,'20Ф'!AD:AD)*1.2</f>
        <v>0</v>
      </c>
      <c r="CV150" s="276">
        <f>SUMIF('20Ф'!$H:$H,$B:$B,'20Ф'!AE:AE)*1.2</f>
        <v>0</v>
      </c>
      <c r="CW150" s="276">
        <f>SUMIF('20Ф'!$H:$H,$B:$B,'20Ф'!AF:AF)*1.2</f>
        <v>0</v>
      </c>
      <c r="CX150" s="276">
        <f>SUMIF('20Ф'!$H:$H,$B:$B,'20Ф'!AG:AG)*1.2</f>
        <v>0</v>
      </c>
      <c r="CY150" s="276">
        <f>SUMIF('20Ф'!$H:$H,$B:$B,'20Ф'!AH:AH)*1.2</f>
        <v>0</v>
      </c>
      <c r="CZ150" s="276">
        <f>SUMIF('20Ф'!$H:$H,$B:$B,'20Ф'!AI:AI)*1.2</f>
        <v>0</v>
      </c>
      <c r="DA150" s="276">
        <f>SUMIF('20Ф'!$H:$H,$B:$B,'20Ф'!AJ:AJ)*1.2</f>
        <v>0</v>
      </c>
      <c r="DB150" s="276">
        <f>SUMIF('20Ф'!$H:$H,$B:$B,'20Ф'!AK:AK)*1.2</f>
        <v>0</v>
      </c>
      <c r="DC150" s="276">
        <f>SUMIF('20Ф'!$H:$H,$B:$B,'20Ф'!AL:AL)*1.2</f>
        <v>0</v>
      </c>
      <c r="DD150" s="276">
        <f>SUMIF('20Ф'!$H:$H,$B:$B,'20Ф'!AM:AM)*1.2</f>
        <v>0</v>
      </c>
      <c r="DE150" s="276">
        <f>SUMIF('20Ф'!$H:$H,$B:$B,'20Ф'!AN:AN)*1.2</f>
        <v>0</v>
      </c>
      <c r="DF150" s="276">
        <f>SUMIF('20Ф'!$H:$H,$B:$B,'20Ф'!AO:AO)*1.2</f>
        <v>0</v>
      </c>
      <c r="DG150" s="276">
        <f>SUMIF('20Ф'!$H:$H,$B:$B,'20Ф'!AP:AP)*1.2</f>
        <v>0</v>
      </c>
      <c r="DH150" s="276">
        <f>SUMIF('20Ф'!$H:$H,$B:$B,'20Ф'!AQ:AQ)*1.2</f>
        <v>0</v>
      </c>
      <c r="DI150" s="276">
        <f>SUMIF('20Ф'!$H:$H,$B:$B,'20Ф'!BA:BA)*1.2</f>
        <v>0</v>
      </c>
      <c r="DJ150" s="276">
        <f>SUMIF('20Ф'!$H:$H,$B:$B,'20Ф'!BB:BB)*1.2</f>
        <v>0</v>
      </c>
      <c r="DK150" s="276">
        <f>SUMIF('20Ф'!$H:$H,$B:$B,'20Ф'!BC:BC)*1.2</f>
        <v>0</v>
      </c>
      <c r="DL150" s="276">
        <f>$D150/$D$281*'20Ф'!$H$218</f>
        <v>61155.106664688647</v>
      </c>
      <c r="DM150" s="240">
        <f t="shared" si="26"/>
        <v>750962.07540129765</v>
      </c>
      <c r="DN150" s="276">
        <f>SUMIF('20Ф'!$H:$H,$B:$B,'20Ф'!AV:AV)*1.2</f>
        <v>0</v>
      </c>
      <c r="DO150" s="276">
        <f>SUMIF('20Ф'!$H:$H,$B:$B,'20Ф'!AW:AW)*1.2+$D150/$D$281*'26Ф'!$D$42</f>
        <v>32543.582126206726</v>
      </c>
      <c r="DP150" s="276">
        <f>SUMIF('20Ф'!$H:$H,$B:$B,'20Ф'!AX:AX)*1.2</f>
        <v>0</v>
      </c>
      <c r="DQ150" s="276">
        <f>SUMIF('20Ф'!$H:$H,$B:$B,'20Ф'!AY:AY)*1.2</f>
        <v>75361.8</v>
      </c>
      <c r="DR150" s="276">
        <f>SUMIF('20Ф'!$H:$H,$B:$B,'20Ф'!AU:AU)*1.2</f>
        <v>0</v>
      </c>
      <c r="DS150" s="276">
        <f>SUMIF('20Ф'!$H:$H,$B:$B,'20Ф'!AS:AS)*1.2</f>
        <v>68993.148000000001</v>
      </c>
      <c r="DT150" s="276">
        <f>SUMIF('20Ф'!$H:$H,$B:$B,'20Ф'!AR:AR)*1.2</f>
        <v>0</v>
      </c>
      <c r="DU150" s="276">
        <f>SUMIF('20Ф'!$H:$H,$B:$B,'20Ф'!X:X)*1.2</f>
        <v>0</v>
      </c>
      <c r="DV150" s="276">
        <f>SUMIF('20Ф'!$H:$H,$B:$B,'20Ф'!AA:AA)*1.2</f>
        <v>0</v>
      </c>
      <c r="DW150" s="276">
        <f>SUMIF('20Ф'!$H:$H,$B:$B,'20Ф'!N:N)*1.2</f>
        <v>0</v>
      </c>
      <c r="DX150" s="276">
        <f>$D150/$D$281*('25Ф'!$D$37)</f>
        <v>547016.90275768971</v>
      </c>
      <c r="DY150" s="276">
        <f>$D150/$D$281*'25Ф'!$D$30</f>
        <v>17459.062352032783</v>
      </c>
      <c r="DZ150" s="276">
        <f>$D150/$D$281*'25Ф'!$D$31</f>
        <v>9587.580165368523</v>
      </c>
      <c r="EA150" s="276"/>
      <c r="EB150" s="276">
        <f t="shared" si="27"/>
        <v>344629.23419976316</v>
      </c>
      <c r="EC150" s="276">
        <f>$D150/$D$281*'26Ф'!$D$36</f>
        <v>179390.61510321664</v>
      </c>
      <c r="ED150" s="276">
        <f>$D150/$D$281*'26Ф'!$D$37</f>
        <v>21553.590811739516</v>
      </c>
      <c r="EE150" s="276">
        <f>$D150/$D$281*'26Ф'!$D$38</f>
        <v>21774.644094542513</v>
      </c>
      <c r="EF150" s="276">
        <f>$D150/$D$281*'26Ф'!$D$39</f>
        <v>15274.892959117986</v>
      </c>
      <c r="EG150" s="276">
        <f>$D150/$D$281*'91Ф'!$D$10</f>
        <v>4712.2981251450838</v>
      </c>
      <c r="EH150" s="276">
        <f>$D150/$D$281*('20Ф'!$I$509+'26Ф'!$D$41+'20Ф'!$I$507)</f>
        <v>33337.957549078143</v>
      </c>
      <c r="EI150" s="276">
        <f>$D150/$D$281*'91Ф'!$D$31</f>
        <v>61113.372856689093</v>
      </c>
      <c r="EJ150" s="276">
        <f>$D150/$D$281*'20Ф'!$I$1316</f>
        <v>7471.8627002341736</v>
      </c>
      <c r="EK150" s="276">
        <f>$D150/$D$281*('20Ф'!$I$1105+'20Ф'!$I$1282+'91Ф'!$D$17+'91Ф'!$D$41)</f>
        <v>245384.29547903093</v>
      </c>
      <c r="EL150" s="276">
        <f>$D150/$D$281*отчёт!BX$294</f>
        <v>410207.70567164762</v>
      </c>
      <c r="EM150" s="276">
        <f>$D150/$D$281*отчёт!BY$294</f>
        <v>360755.65799265663</v>
      </c>
      <c r="EN150" s="276">
        <f>$D150/$D$283*отчёт!BZ$294</f>
        <v>64744.36360100341</v>
      </c>
      <c r="EO150" s="240">
        <f t="shared" si="35"/>
        <v>366111.37900199601</v>
      </c>
      <c r="EP150" s="276">
        <f>SUMIF('20Ф'!$H:$H,$B:$B,'20Ф'!T:T)*1.2</f>
        <v>10384.56</v>
      </c>
      <c r="EQ150" s="276">
        <f>SUM(H150:I150)/SUM($H$284:$I$284)*SUM('60Ф'!$O$155:$P$155)</f>
        <v>345020.52351297403</v>
      </c>
      <c r="ER150" s="276">
        <f>SUM($H150:$I150)/SUM($H$284:$I$284)*SUM('60Ф'!$P$227)</f>
        <v>10706.295489021955</v>
      </c>
      <c r="ES150" s="239">
        <f t="shared" si="31"/>
        <v>137296.67532255873</v>
      </c>
      <c r="ET150" s="276">
        <f>$D150/$D$282*'20Ф'!$I$381</f>
        <v>10493.716441982431</v>
      </c>
      <c r="EU150" s="276">
        <f>$D150/$D$282*('20Ф'!$I$75+'20Ф'!$I$1098)*1.2</f>
        <v>121207.08335323053</v>
      </c>
      <c r="EV150" s="276">
        <f>$D150/$D$282*('20Ф'!$I$1286)</f>
        <v>5595.8755273457764</v>
      </c>
      <c r="EW150" s="276">
        <f>SUMIF('91.1Ф'!$N:$N,$B:$B,'91.1Ф'!$F:$F)+$D150/$D$281*('91Ф'!$D$12+'91Ф'!$D$11+'91Ф'!$D$19+'91Ф'!$D$20)</f>
        <v>32340.450753302997</v>
      </c>
      <c r="EX150" s="276">
        <f t="shared" si="29"/>
        <v>80266.57128102197</v>
      </c>
      <c r="EY150" s="276">
        <f>SUMIF('20Ф'!$H:$H,$B:$B,'20Ф'!$AY:$AY)*1.2</f>
        <v>75361.8</v>
      </c>
      <c r="EZ150" s="295">
        <f>D150/$D$286*'20Ф'!$I$1163</f>
        <v>4904.7712810219682</v>
      </c>
      <c r="FA150" s="277">
        <f>SUMIF(отчёт!$B:$B,$B:$B,отчёт!$CU:$CU)/отчёт!$CU$281*'20Ф'!$I$1341</f>
        <v>3683.8554216867401</v>
      </c>
      <c r="FB150" s="276">
        <f>SUMIF(Сальдо!$A:$A,$B:$B,Сальдо!$H:$H)-SUMIF(Сальдо!$A:$A,$B:$B,Сальдо!$I:$I)</f>
        <v>946988.5</v>
      </c>
    </row>
    <row r="151" spans="1:158" ht="12" customHeight="1" x14ac:dyDescent="0.25">
      <c r="A151" s="3">
        <f t="shared" si="32"/>
        <v>147</v>
      </c>
      <c r="B151" s="4" t="s">
        <v>196</v>
      </c>
      <c r="C151" s="4" t="s">
        <v>196</v>
      </c>
      <c r="D151" s="5">
        <v>2231.3000000000002</v>
      </c>
      <c r="E151" s="6">
        <v>2231.3000000000002</v>
      </c>
      <c r="F151" s="6">
        <v>0</v>
      </c>
      <c r="G151" s="6">
        <v>485.7</v>
      </c>
      <c r="H151" s="5">
        <f>SUMIF(отчёт!$B:$B,$B:$B,отчёт!I:I)</f>
        <v>1</v>
      </c>
      <c r="I151" s="5">
        <f>SUMIF(отчёт!$B:$B,$B:$B,отчёт!J:J)</f>
        <v>0</v>
      </c>
      <c r="J151" s="3" t="s">
        <v>51</v>
      </c>
      <c r="K151" s="105">
        <v>3</v>
      </c>
      <c r="L151" s="105" t="s">
        <v>75</v>
      </c>
      <c r="M151" s="7">
        <v>45.06</v>
      </c>
      <c r="N151" s="8">
        <v>5.0999999999999996</v>
      </c>
      <c r="O151" s="8">
        <v>8.6300000000000008</v>
      </c>
      <c r="P151" s="8">
        <v>13.43</v>
      </c>
      <c r="Q151" s="8">
        <v>6.91</v>
      </c>
      <c r="R151" s="8">
        <v>3.15</v>
      </c>
      <c r="S151" s="8">
        <v>1.81</v>
      </c>
      <c r="T151" s="8">
        <v>5.77</v>
      </c>
      <c r="U151" s="8">
        <v>0.26</v>
      </c>
      <c r="V151" s="9">
        <v>40</v>
      </c>
      <c r="W151" s="9">
        <v>40</v>
      </c>
      <c r="X151" s="9">
        <v>2604.04</v>
      </c>
      <c r="Y151" s="8">
        <v>195.98199600000001</v>
      </c>
      <c r="Z151" s="9">
        <v>42.3</v>
      </c>
      <c r="AA151" s="9">
        <v>2604.04</v>
      </c>
      <c r="AB151" s="8">
        <v>7.85</v>
      </c>
      <c r="AC151" s="10">
        <v>0</v>
      </c>
      <c r="AD151" s="8">
        <v>6.73</v>
      </c>
      <c r="AE151" s="8">
        <v>10.67</v>
      </c>
      <c r="AF151" s="8">
        <v>14</v>
      </c>
      <c r="AG151" s="7">
        <v>603254.26800000004</v>
      </c>
      <c r="AH151" s="8">
        <v>68277.78</v>
      </c>
      <c r="AI151" s="8">
        <v>115536.71400000001</v>
      </c>
      <c r="AJ151" s="8">
        <v>179798.15400000001</v>
      </c>
      <c r="AK151" s="8">
        <v>92509.698000000004</v>
      </c>
      <c r="AL151" s="8">
        <v>42171.57</v>
      </c>
      <c r="AM151" s="8">
        <v>24231.918000000001</v>
      </c>
      <c r="AN151" s="8">
        <v>77247.606</v>
      </c>
      <c r="AO151" s="8">
        <v>3480.8280000000004</v>
      </c>
      <c r="AQ151" s="104">
        <v>48.44</v>
      </c>
      <c r="AR151" s="375">
        <v>18.489999999999998</v>
      </c>
      <c r="AS151" s="376"/>
      <c r="AT151" s="104">
        <v>6.67</v>
      </c>
      <c r="AU151" s="104">
        <v>1.53</v>
      </c>
      <c r="AV151" s="104">
        <v>0.32</v>
      </c>
      <c r="AW151" s="104">
        <v>0.87</v>
      </c>
      <c r="AX151" s="104">
        <v>5.01</v>
      </c>
      <c r="AY151" s="104">
        <v>4.99</v>
      </c>
      <c r="AZ151" s="104">
        <v>2.7</v>
      </c>
      <c r="BA151" s="104">
        <v>6.46</v>
      </c>
      <c r="BB151" s="104">
        <v>0.47</v>
      </c>
      <c r="BC151" s="101">
        <v>0.93</v>
      </c>
      <c r="BD151" s="104">
        <v>54.88252</v>
      </c>
      <c r="BE151" s="375">
        <v>20.949169999999999</v>
      </c>
      <c r="BF151" s="376">
        <v>0</v>
      </c>
      <c r="BG151" s="104">
        <v>7.5571100000000007</v>
      </c>
      <c r="BH151" s="104">
        <v>1.7334900000000002</v>
      </c>
      <c r="BI151" s="104">
        <v>0.36256000000000005</v>
      </c>
      <c r="BJ151" s="104">
        <v>0.98571000000000009</v>
      </c>
      <c r="BK151" s="104">
        <v>5.6763300000000001</v>
      </c>
      <c r="BL151" s="104">
        <v>5.65367</v>
      </c>
      <c r="BM151" s="104">
        <v>3.0591000000000004</v>
      </c>
      <c r="BN151" s="104">
        <v>7.3191800000000002</v>
      </c>
      <c r="BO151" s="104">
        <v>0.53250999999999993</v>
      </c>
      <c r="BP151" s="101">
        <v>1.05369</v>
      </c>
      <c r="BQ151" s="103">
        <v>1440762.0127600003</v>
      </c>
      <c r="BR151" s="371">
        <v>549952.30420999997</v>
      </c>
      <c r="BS151" s="371">
        <v>0</v>
      </c>
      <c r="BT151" s="103">
        <v>198387.33743000001</v>
      </c>
      <c r="BU151" s="103">
        <v>45507.140370000001</v>
      </c>
      <c r="BV151" s="103">
        <v>9517.8332800000007</v>
      </c>
      <c r="BW151" s="103">
        <v>25876.609230000005</v>
      </c>
      <c r="BX151" s="103">
        <v>149013.57729000002</v>
      </c>
      <c r="BY151" s="103">
        <v>148418.71271000002</v>
      </c>
      <c r="BZ151" s="103">
        <v>80306.718300000022</v>
      </c>
      <c r="CA151" s="103">
        <v>192141.25934000002</v>
      </c>
      <c r="CB151" s="103">
        <v>13979.317629999998</v>
      </c>
      <c r="CC151" s="103">
        <v>27661.202969999998</v>
      </c>
      <c r="CD151" s="1">
        <v>1</v>
      </c>
      <c r="CF151" s="277">
        <f>SUMIF(Оборот!$A:$A,$B:$B,Оборот!H:H)</f>
        <v>1236675.68</v>
      </c>
      <c r="CG151" s="277">
        <f>SUMIF(Оборот!$A:$A,$B:$B,Оборот!I:I)</f>
        <v>1422336.6600000001</v>
      </c>
      <c r="CH151" s="277">
        <f t="shared" si="25"/>
        <v>881139.25755233993</v>
      </c>
      <c r="CI151" s="239">
        <f t="shared" si="30"/>
        <v>19625.03066977315</v>
      </c>
      <c r="CJ151" s="276">
        <f>SUMIF('20Ф'!$H:$H,$B:$B,'20Ф'!M:M)*1.2</f>
        <v>0</v>
      </c>
      <c r="CK151" s="276">
        <f>SUMIF('20Ф'!$H:$H,$B:$B,'20Ф'!O:O)*1.2</f>
        <v>0</v>
      </c>
      <c r="CL151" s="276">
        <f>SUMIF('20Ф'!$H:$H,$B:$B,'20Ф'!Q:Q)*1.2</f>
        <v>0</v>
      </c>
      <c r="CM151" s="276">
        <f>SUMIF('20Ф'!$H:$H,$B:$B,'20Ф'!R:R)*1.2</f>
        <v>0</v>
      </c>
      <c r="CN151" s="276">
        <f>SUMIF('20Ф'!$H:$H,$B:$B,'20Ф'!S:S)*1.2</f>
        <v>0</v>
      </c>
      <c r="CO151" s="276">
        <f>SUMIF('20Ф'!$H:$H,$B:$B,'20Ф'!W:W)*1.2</f>
        <v>0</v>
      </c>
      <c r="CP151" s="276">
        <f>SUMIF('20Ф'!$H:$H,$B:$B,'20Ф'!P:P)*1.2</f>
        <v>0</v>
      </c>
      <c r="CQ151" s="276">
        <f>SUMIF('20Ф'!$H:$H,$B:$B,'20Ф'!Y:Y)*1.2</f>
        <v>0</v>
      </c>
      <c r="CR151" s="276">
        <f>SUMIF('20Ф'!$H:$H,$B:$B,'20Ф'!Z:Z)*1.2</f>
        <v>0</v>
      </c>
      <c r="CS151" s="276">
        <f>SUMIF('20Ф'!$H:$H,$B:$B,'20Ф'!AB:AB)*1.2</f>
        <v>0</v>
      </c>
      <c r="CT151" s="276">
        <f>SUMIF('20Ф'!$H:$H,$B:$B,'20Ф'!AC:AC)*1.2</f>
        <v>0</v>
      </c>
      <c r="CU151" s="276">
        <f>SUMIF('20Ф'!$H:$H,$B:$B,'20Ф'!AD:AD)*1.2</f>
        <v>0</v>
      </c>
      <c r="CV151" s="276">
        <f>SUMIF('20Ф'!$H:$H,$B:$B,'20Ф'!AE:AE)*1.2</f>
        <v>0</v>
      </c>
      <c r="CW151" s="276">
        <f>SUMIF('20Ф'!$H:$H,$B:$B,'20Ф'!AF:AF)*1.2</f>
        <v>0</v>
      </c>
      <c r="CX151" s="276">
        <f>SUMIF('20Ф'!$H:$H,$B:$B,'20Ф'!AG:AG)*1.2</f>
        <v>0</v>
      </c>
      <c r="CY151" s="276">
        <f>SUMIF('20Ф'!$H:$H,$B:$B,'20Ф'!AH:AH)*1.2</f>
        <v>0</v>
      </c>
      <c r="CZ151" s="276">
        <f>SUMIF('20Ф'!$H:$H,$B:$B,'20Ф'!AI:AI)*1.2</f>
        <v>0</v>
      </c>
      <c r="DA151" s="276">
        <f>SUMIF('20Ф'!$H:$H,$B:$B,'20Ф'!AJ:AJ)*1.2</f>
        <v>0</v>
      </c>
      <c r="DB151" s="276">
        <f>SUMIF('20Ф'!$H:$H,$B:$B,'20Ф'!AK:AK)*1.2</f>
        <v>0</v>
      </c>
      <c r="DC151" s="276">
        <f>SUMIF('20Ф'!$H:$H,$B:$B,'20Ф'!AL:AL)*1.2</f>
        <v>0</v>
      </c>
      <c r="DD151" s="276">
        <f>SUMIF('20Ф'!$H:$H,$B:$B,'20Ф'!AM:AM)*1.2</f>
        <v>0</v>
      </c>
      <c r="DE151" s="276">
        <f>SUMIF('20Ф'!$H:$H,$B:$B,'20Ф'!AN:AN)*1.2</f>
        <v>0</v>
      </c>
      <c r="DF151" s="276">
        <f>SUMIF('20Ф'!$H:$H,$B:$B,'20Ф'!AO:AO)*1.2</f>
        <v>0</v>
      </c>
      <c r="DG151" s="276">
        <f>SUMIF('20Ф'!$H:$H,$B:$B,'20Ф'!AP:AP)*1.2</f>
        <v>0</v>
      </c>
      <c r="DH151" s="276">
        <f>SUMIF('20Ф'!$H:$H,$B:$B,'20Ф'!AQ:AQ)*1.2</f>
        <v>0</v>
      </c>
      <c r="DI151" s="276">
        <f>SUMIF('20Ф'!$H:$H,$B:$B,'20Ф'!BA:BA)*1.2</f>
        <v>0</v>
      </c>
      <c r="DJ151" s="276">
        <f>SUMIF('20Ф'!$H:$H,$B:$B,'20Ф'!BB:BB)*1.2</f>
        <v>0</v>
      </c>
      <c r="DK151" s="276">
        <f>SUMIF('20Ф'!$H:$H,$B:$B,'20Ф'!BC:BC)*1.2</f>
        <v>0</v>
      </c>
      <c r="DL151" s="276">
        <f>$D151/$D$281*'20Ф'!$H$218</f>
        <v>19625.03066977315</v>
      </c>
      <c r="DM151" s="240">
        <f t="shared" si="26"/>
        <v>256452.5957377693</v>
      </c>
      <c r="DN151" s="276">
        <f>SUMIF('20Ф'!$H:$H,$B:$B,'20Ф'!AV:AV)*1.2</f>
        <v>0</v>
      </c>
      <c r="DO151" s="276">
        <f>SUMIF('20Ф'!$H:$H,$B:$B,'20Ф'!AW:AW)*1.2+$D151/$D$281*'26Ф'!$D$42</f>
        <v>10443.425449862878</v>
      </c>
      <c r="DP151" s="276">
        <f>SUMIF('20Ф'!$H:$H,$B:$B,'20Ф'!AX:AX)*1.2</f>
        <v>0</v>
      </c>
      <c r="DQ151" s="276">
        <f>SUMIF('20Ф'!$H:$H,$B:$B,'20Ф'!AY:AY)*1.2</f>
        <v>0</v>
      </c>
      <c r="DR151" s="276">
        <f>SUMIF('20Ф'!$H:$H,$B:$B,'20Ф'!AU:AU)*1.2</f>
        <v>0</v>
      </c>
      <c r="DS151" s="276">
        <f>SUMIF('20Ф'!$H:$H,$B:$B,'20Ф'!AS:AS)*1.2</f>
        <v>61788.828000000001</v>
      </c>
      <c r="DT151" s="276">
        <f>SUMIF('20Ф'!$H:$H,$B:$B,'20Ф'!AR:AR)*1.2</f>
        <v>0</v>
      </c>
      <c r="DU151" s="276">
        <f>SUMIF('20Ф'!$H:$H,$B:$B,'20Ф'!X:X)*1.2</f>
        <v>0</v>
      </c>
      <c r="DV151" s="276">
        <f>SUMIF('20Ф'!$H:$H,$B:$B,'20Ф'!AA:AA)*1.2</f>
        <v>0</v>
      </c>
      <c r="DW151" s="276">
        <f>SUMIF('20Ф'!$H:$H,$B:$B,'20Ф'!N:N)*1.2</f>
        <v>0</v>
      </c>
      <c r="DX151" s="276">
        <f>$D151/$D$281*('25Ф'!$D$37)</f>
        <v>175540.91684223266</v>
      </c>
      <c r="DY151" s="276">
        <f>$D151/$D$281*'25Ф'!$D$30</f>
        <v>5602.7150112382124</v>
      </c>
      <c r="DZ151" s="276">
        <f>$D151/$D$281*'25Ф'!$D$31</f>
        <v>3076.7104344355403</v>
      </c>
      <c r="EA151" s="276"/>
      <c r="EB151" s="276">
        <f t="shared" si="27"/>
        <v>110593.53273560708</v>
      </c>
      <c r="EC151" s="276">
        <f>$D151/$D$281*'26Ф'!$D$36</f>
        <v>57567.495427211536</v>
      </c>
      <c r="ED151" s="276">
        <f>$D151/$D$281*'26Ф'!$D$37</f>
        <v>6916.6730922957559</v>
      </c>
      <c r="EE151" s="276">
        <f>$D151/$D$281*'26Ф'!$D$38</f>
        <v>6987.6103809583192</v>
      </c>
      <c r="EF151" s="276">
        <f>$D151/$D$281*'26Ф'!$D$39</f>
        <v>4901.8023048152363</v>
      </c>
      <c r="EG151" s="276">
        <f>$D151/$D$281*'91Ф'!$D$10</f>
        <v>1512.2039724032525</v>
      </c>
      <c r="EH151" s="276">
        <f>$D151/$D$281*('20Ф'!$I$509+'26Ф'!$D$41+'20Ф'!$I$507)</f>
        <v>10698.345159555201</v>
      </c>
      <c r="EI151" s="276">
        <f>$D151/$D$281*'91Ф'!$D$31</f>
        <v>19611.63804720038</v>
      </c>
      <c r="EJ151" s="276">
        <f>$D151/$D$281*'20Ф'!$I$1316</f>
        <v>2397.76435116739</v>
      </c>
      <c r="EK151" s="276">
        <f>$D151/$D$281*('20Ф'!$I$1105+'20Ф'!$I$1282+'91Ф'!$D$17+'91Ф'!$D$41)</f>
        <v>78745.252641955754</v>
      </c>
      <c r="EL151" s="276">
        <f>$D151/$D$281*отчёт!BX$294</f>
        <v>131638.04698965032</v>
      </c>
      <c r="EM151" s="276">
        <f>$D151/$D$281*отчёт!BY$294</f>
        <v>115768.59625507001</v>
      </c>
      <c r="EN151" s="276">
        <f>$D151/$D$283*отчёт!BZ$294</f>
        <v>20776.844169880173</v>
      </c>
      <c r="EO151" s="240">
        <f t="shared" si="35"/>
        <v>91527.844750499004</v>
      </c>
      <c r="EP151" s="276">
        <f>SUMIF('20Ф'!$H:$H,$B:$B,'20Ф'!T:T)*1.2</f>
        <v>2596.14</v>
      </c>
      <c r="EQ151" s="276">
        <f>SUM(H151:I151)/SUM($H$284:$I$284)*SUM('60Ф'!$O$155:$P$155)</f>
        <v>86255.130878243508</v>
      </c>
      <c r="ER151" s="276">
        <f>SUM($H151:$I151)/SUM($H$284:$I$284)*SUM('60Ф'!$P$227)</f>
        <v>2676.5738722554888</v>
      </c>
      <c r="ES151" s="239">
        <f t="shared" si="31"/>
        <v>44059.304463921333</v>
      </c>
      <c r="ET151" s="276">
        <f>$D151/$D$282*'20Ф'!$I$381</f>
        <v>3367.494854403039</v>
      </c>
      <c r="EU151" s="276">
        <f>$D151/$D$282*('20Ф'!$I$75+'20Ф'!$I$1098)*1.2</f>
        <v>38896.060491615041</v>
      </c>
      <c r="EV151" s="276">
        <f>$D151/$D$282*('20Ф'!$I$1286)</f>
        <v>1795.7491179032511</v>
      </c>
      <c r="EW151" s="276">
        <f>SUMIF('91.1Ф'!$N:$N,$B:$B,'91.1Ф'!$F:$F)+$D151/$D$281*('91Ф'!$D$12+'91Ф'!$D$11+'91Ф'!$D$19+'91Ф'!$D$20)</f>
        <v>10378.239406690942</v>
      </c>
      <c r="EX151" s="276">
        <f t="shared" si="29"/>
        <v>1573.9697315229714</v>
      </c>
      <c r="EY151" s="276">
        <f>SUMIF('20Ф'!$H:$H,$B:$B,'20Ф'!$AY:$AY)*1.2</f>
        <v>0</v>
      </c>
      <c r="EZ151" s="295">
        <f>D151/$D$286*'20Ф'!$I$1163</f>
        <v>1573.9697315229714</v>
      </c>
      <c r="FA151" s="277">
        <f>SUMIF(отчёт!$B:$B,$B:$B,отчёт!$CU:$CU)/отчёт!$CU$281*'20Ф'!$I$1341</f>
        <v>920.96385542168503</v>
      </c>
      <c r="FB151" s="276">
        <f>SUMIF(Сальдо!$A:$A,$B:$B,Сальдо!$H:$H)-SUMIF(Сальдо!$A:$A,$B:$B,Сальдо!$I:$I)</f>
        <v>106336.9</v>
      </c>
    </row>
    <row r="152" spans="1:158" ht="12" customHeight="1" x14ac:dyDescent="0.25">
      <c r="A152" s="3">
        <f t="shared" si="32"/>
        <v>148</v>
      </c>
      <c r="B152" s="4" t="s">
        <v>197</v>
      </c>
      <c r="C152" s="4" t="s">
        <v>197</v>
      </c>
      <c r="D152" s="5">
        <v>3500.1</v>
      </c>
      <c r="E152" s="6">
        <v>3454.1</v>
      </c>
      <c r="F152" s="6">
        <v>46</v>
      </c>
      <c r="G152" s="6">
        <v>221.6</v>
      </c>
      <c r="H152" s="5">
        <f>SUMIF(отчёт!$B:$B,$B:$B,отчёт!I:I)</f>
        <v>0</v>
      </c>
      <c r="I152" s="5">
        <f>SUMIF(отчёт!$B:$B,$B:$B,отчёт!J:J)</f>
        <v>0</v>
      </c>
      <c r="J152" s="3" t="s">
        <v>51</v>
      </c>
      <c r="K152" s="105">
        <v>7</v>
      </c>
      <c r="L152" s="105" t="s">
        <v>52</v>
      </c>
      <c r="M152" s="7">
        <v>31</v>
      </c>
      <c r="N152" s="8">
        <v>5.0999999999999996</v>
      </c>
      <c r="O152" s="8">
        <v>6.59</v>
      </c>
      <c r="P152" s="8">
        <v>8.98</v>
      </c>
      <c r="Q152" s="8">
        <v>6.92</v>
      </c>
      <c r="R152" s="8">
        <v>3.15</v>
      </c>
      <c r="S152" s="8">
        <v>0</v>
      </c>
      <c r="T152" s="8">
        <v>0</v>
      </c>
      <c r="U152" s="8">
        <v>0.26</v>
      </c>
      <c r="V152" s="9">
        <v>40</v>
      </c>
      <c r="W152" s="9">
        <v>40</v>
      </c>
      <c r="X152" s="9">
        <v>2604.04</v>
      </c>
      <c r="Y152" s="8">
        <v>195.98199600000001</v>
      </c>
      <c r="Z152" s="9">
        <v>42.3</v>
      </c>
      <c r="AA152" s="9">
        <v>2604.04</v>
      </c>
      <c r="AB152" s="8">
        <v>7.85</v>
      </c>
      <c r="AC152" s="10">
        <v>0</v>
      </c>
      <c r="AD152" s="8">
        <v>6.73</v>
      </c>
      <c r="AE152" s="8">
        <v>10.67</v>
      </c>
      <c r="AF152" s="8">
        <v>14</v>
      </c>
      <c r="AG152" s="7">
        <v>651018.6</v>
      </c>
      <c r="AH152" s="8">
        <v>107103.06</v>
      </c>
      <c r="AI152" s="8">
        <v>138393.954</v>
      </c>
      <c r="AJ152" s="8">
        <v>188585.38800000001</v>
      </c>
      <c r="AK152" s="8">
        <v>145324.152</v>
      </c>
      <c r="AL152" s="8">
        <v>66151.889999999985</v>
      </c>
      <c r="AM152" s="8">
        <v>0</v>
      </c>
      <c r="AN152" s="8">
        <v>0</v>
      </c>
      <c r="AO152" s="8">
        <v>5460.1559999999999</v>
      </c>
      <c r="AQ152" s="104">
        <v>33.17</v>
      </c>
      <c r="AR152" s="375">
        <v>13.89</v>
      </c>
      <c r="AS152" s="376"/>
      <c r="AT152" s="104">
        <v>5.9</v>
      </c>
      <c r="AU152" s="104">
        <v>1.53</v>
      </c>
      <c r="AV152" s="104">
        <v>0.32</v>
      </c>
      <c r="AW152" s="104">
        <v>0.6</v>
      </c>
      <c r="AX152" s="104">
        <v>5.01</v>
      </c>
      <c r="AY152" s="104">
        <v>4.99</v>
      </c>
      <c r="AZ152" s="104">
        <v>0</v>
      </c>
      <c r="BA152" s="104">
        <v>0</v>
      </c>
      <c r="BB152" s="104">
        <v>0</v>
      </c>
      <c r="BC152" s="101">
        <v>0.93</v>
      </c>
      <c r="BD152" s="104">
        <v>37.581610000000005</v>
      </c>
      <c r="BE152" s="375">
        <v>15.737370000000004</v>
      </c>
      <c r="BF152" s="376">
        <v>0</v>
      </c>
      <c r="BG152" s="104">
        <v>6.6847000000000012</v>
      </c>
      <c r="BH152" s="104">
        <v>1.7334900000000002</v>
      </c>
      <c r="BI152" s="104">
        <v>0.36256000000000005</v>
      </c>
      <c r="BJ152" s="104">
        <v>0.67980000000000007</v>
      </c>
      <c r="BK152" s="104">
        <v>5.6763300000000001</v>
      </c>
      <c r="BL152" s="104">
        <v>5.65367</v>
      </c>
      <c r="BM152" s="104">
        <v>0</v>
      </c>
      <c r="BN152" s="104">
        <v>0</v>
      </c>
      <c r="BO152" s="104">
        <v>0</v>
      </c>
      <c r="BP152" s="101">
        <v>1.0536900000000002</v>
      </c>
      <c r="BQ152" s="103">
        <v>1547590.5656100004</v>
      </c>
      <c r="BR152" s="371">
        <v>648056.46537000011</v>
      </c>
      <c r="BS152" s="371">
        <v>0</v>
      </c>
      <c r="BT152" s="103">
        <v>275272.36470000003</v>
      </c>
      <c r="BU152" s="103">
        <v>71384.189490000004</v>
      </c>
      <c r="BV152" s="103">
        <v>14930.02656</v>
      </c>
      <c r="BW152" s="103">
        <v>27993.799800000004</v>
      </c>
      <c r="BX152" s="103">
        <v>233748.22832999998</v>
      </c>
      <c r="BY152" s="103">
        <v>232815.10167</v>
      </c>
      <c r="BZ152" s="103">
        <v>0</v>
      </c>
      <c r="CA152" s="103">
        <v>0</v>
      </c>
      <c r="CB152" s="103">
        <v>0</v>
      </c>
      <c r="CC152" s="103">
        <v>43390.389690000004</v>
      </c>
      <c r="CD152" s="1">
        <v>1</v>
      </c>
      <c r="CF152" s="277">
        <f>SUMIF(Оборот!$A:$A,$B:$B,Оборот!H:H)</f>
        <v>1314620.24</v>
      </c>
      <c r="CG152" s="277">
        <f>SUMIF(Оборот!$A:$A,$B:$B,Оборот!I:I)</f>
        <v>1345221.69</v>
      </c>
      <c r="CH152" s="277">
        <f t="shared" si="25"/>
        <v>1373456.9324375591</v>
      </c>
      <c r="CI152" s="239">
        <f t="shared" si="30"/>
        <v>80039.691538239145</v>
      </c>
      <c r="CJ152" s="276">
        <f>SUMIF('20Ф'!$H:$H,$B:$B,'20Ф'!M:M)*1.2</f>
        <v>0</v>
      </c>
      <c r="CK152" s="276">
        <f>SUMIF('20Ф'!$H:$H,$B:$B,'20Ф'!O:O)*1.2</f>
        <v>30771.359999999997</v>
      </c>
      <c r="CL152" s="276">
        <f>SUMIF('20Ф'!$H:$H,$B:$B,'20Ф'!Q:Q)*1.2</f>
        <v>0</v>
      </c>
      <c r="CM152" s="276">
        <f>SUMIF('20Ф'!$H:$H,$B:$B,'20Ф'!R:R)*1.2</f>
        <v>0</v>
      </c>
      <c r="CN152" s="276">
        <f>SUMIF('20Ф'!$H:$H,$B:$B,'20Ф'!S:S)*1.2</f>
        <v>0</v>
      </c>
      <c r="CO152" s="276">
        <f>SUMIF('20Ф'!$H:$H,$B:$B,'20Ф'!W:W)*1.2</f>
        <v>0</v>
      </c>
      <c r="CP152" s="276">
        <f>SUMIF('20Ф'!$H:$H,$B:$B,'20Ф'!P:P)*1.2</f>
        <v>0</v>
      </c>
      <c r="CQ152" s="276">
        <f>SUMIF('20Ф'!$H:$H,$B:$B,'20Ф'!Y:Y)*1.2</f>
        <v>0</v>
      </c>
      <c r="CR152" s="276">
        <f>SUMIF('20Ф'!$H:$H,$B:$B,'20Ф'!Z:Z)*1.2</f>
        <v>0</v>
      </c>
      <c r="CS152" s="276">
        <f>SUMIF('20Ф'!$H:$H,$B:$B,'20Ф'!AB:AB)*1.2</f>
        <v>0</v>
      </c>
      <c r="CT152" s="276">
        <f>SUMIF('20Ф'!$H:$H,$B:$B,'20Ф'!AC:AC)*1.2</f>
        <v>0</v>
      </c>
      <c r="CU152" s="276">
        <f>SUMIF('20Ф'!$H:$H,$B:$B,'20Ф'!AD:AD)*1.2</f>
        <v>0</v>
      </c>
      <c r="CV152" s="276">
        <f>SUMIF('20Ф'!$H:$H,$B:$B,'20Ф'!AE:AE)*1.2</f>
        <v>0</v>
      </c>
      <c r="CW152" s="276">
        <f>SUMIF('20Ф'!$H:$H,$B:$B,'20Ф'!AF:AF)*1.2</f>
        <v>0</v>
      </c>
      <c r="CX152" s="276">
        <f>SUMIF('20Ф'!$H:$H,$B:$B,'20Ф'!AG:AG)*1.2</f>
        <v>18483.78</v>
      </c>
      <c r="CY152" s="276">
        <f>SUMIF('20Ф'!$H:$H,$B:$B,'20Ф'!AH:AH)*1.2</f>
        <v>0</v>
      </c>
      <c r="CZ152" s="276">
        <f>SUMIF('20Ф'!$H:$H,$B:$B,'20Ф'!AI:AI)*1.2</f>
        <v>0</v>
      </c>
      <c r="DA152" s="276">
        <f>SUMIF('20Ф'!$H:$H,$B:$B,'20Ф'!AJ:AJ)*1.2</f>
        <v>0</v>
      </c>
      <c r="DB152" s="276">
        <f>SUMIF('20Ф'!$H:$H,$B:$B,'20Ф'!AK:AK)*1.2</f>
        <v>0</v>
      </c>
      <c r="DC152" s="276">
        <f>SUMIF('20Ф'!$H:$H,$B:$B,'20Ф'!AL:AL)*1.2</f>
        <v>0</v>
      </c>
      <c r="DD152" s="276">
        <f>SUMIF('20Ф'!$H:$H,$B:$B,'20Ф'!AM:AM)*1.2</f>
        <v>0</v>
      </c>
      <c r="DE152" s="276">
        <f>SUMIF('20Ф'!$H:$H,$B:$B,'20Ф'!AN:AN)*1.2</f>
        <v>0</v>
      </c>
      <c r="DF152" s="276">
        <f>SUMIF('20Ф'!$H:$H,$B:$B,'20Ф'!AO:AO)*1.2</f>
        <v>0</v>
      </c>
      <c r="DG152" s="276">
        <f>SUMIF('20Ф'!$H:$H,$B:$B,'20Ф'!AP:AP)*1.2</f>
        <v>0</v>
      </c>
      <c r="DH152" s="276">
        <f>SUMIF('20Ф'!$H:$H,$B:$B,'20Ф'!AQ:AQ)*1.2</f>
        <v>0</v>
      </c>
      <c r="DI152" s="276">
        <f>SUMIF('20Ф'!$H:$H,$B:$B,'20Ф'!BA:BA)*1.2</f>
        <v>0</v>
      </c>
      <c r="DJ152" s="276">
        <f>SUMIF('20Ф'!$H:$H,$B:$B,'20Ф'!BB:BB)*1.2</f>
        <v>0</v>
      </c>
      <c r="DK152" s="276">
        <f>SUMIF('20Ф'!$H:$H,$B:$B,'20Ф'!BC:BC)*1.2</f>
        <v>0</v>
      </c>
      <c r="DL152" s="276">
        <f>$D152/$D$281*'20Ф'!$H$218</f>
        <v>30784.551538239142</v>
      </c>
      <c r="DM152" s="240">
        <f t="shared" si="26"/>
        <v>460040.41148163239</v>
      </c>
      <c r="DN152" s="276">
        <f>SUMIF('20Ф'!$H:$H,$B:$B,'20Ф'!AV:AV)*1.2</f>
        <v>0</v>
      </c>
      <c r="DO152" s="276">
        <f>SUMIF('20Ф'!$H:$H,$B:$B,'20Ф'!AW:AW)*1.2+$D152/$D$281*'26Ф'!$D$42</f>
        <v>16381.944793199056</v>
      </c>
      <c r="DP152" s="276">
        <f>SUMIF('20Ф'!$H:$H,$B:$B,'20Ф'!AX:AX)*1.2</f>
        <v>0</v>
      </c>
      <c r="DQ152" s="276">
        <f>SUMIF('20Ф'!$H:$H,$B:$B,'20Ф'!AY:AY)*1.2</f>
        <v>60420</v>
      </c>
      <c r="DR152" s="276">
        <f>SUMIF('20Ф'!$H:$H,$B:$B,'20Ф'!AU:AU)*1.2</f>
        <v>0</v>
      </c>
      <c r="DS152" s="276">
        <f>SUMIF('20Ф'!$H:$H,$B:$B,'20Ф'!AS:AS)*1.2</f>
        <v>35571.503999999994</v>
      </c>
      <c r="DT152" s="276">
        <f>SUMIF('20Ф'!$H:$H,$B:$B,'20Ф'!AR:AR)*1.2</f>
        <v>0</v>
      </c>
      <c r="DU152" s="276">
        <f>SUMIF('20Ф'!$H:$H,$B:$B,'20Ф'!X:X)*1.2</f>
        <v>58692.095999999998</v>
      </c>
      <c r="DV152" s="276">
        <f>SUMIF('20Ф'!$H:$H,$B:$B,'20Ф'!AA:AA)*1.2</f>
        <v>0</v>
      </c>
      <c r="DW152" s="276">
        <f>SUMIF('20Ф'!$H:$H,$B:$B,'20Ф'!N:N)*1.2</f>
        <v>0</v>
      </c>
      <c r="DX152" s="276">
        <f>$D152/$D$281*('25Ф'!$D$37)</f>
        <v>275359.99777685589</v>
      </c>
      <c r="DY152" s="276">
        <f>$D152/$D$281*'25Ф'!$D$30</f>
        <v>8788.6267247052674</v>
      </c>
      <c r="DZ152" s="276">
        <f>$D152/$D$281*'25Ф'!$D$31</f>
        <v>4826.2421868721522</v>
      </c>
      <c r="EA152" s="276"/>
      <c r="EB152" s="276">
        <f t="shared" si="27"/>
        <v>173481.12039075798</v>
      </c>
      <c r="EC152" s="276">
        <f>$D152/$D$281*'26Ф'!$D$36</f>
        <v>90302.510081469576</v>
      </c>
      <c r="ED152" s="276">
        <f>$D152/$D$281*'26Ф'!$D$37</f>
        <v>10849.750141327644</v>
      </c>
      <c r="EE152" s="276">
        <f>$D152/$D$281*'26Ф'!$D$38</f>
        <v>10961.025005329722</v>
      </c>
      <c r="EF152" s="276">
        <f>$D152/$D$281*'26Ф'!$D$39</f>
        <v>7689.1490373700572</v>
      </c>
      <c r="EG152" s="276">
        <f>$D152/$D$281*'91Ф'!$D$10</f>
        <v>2372.0992801544494</v>
      </c>
      <c r="EH152" s="276">
        <f>$D152/$D$281*('20Ф'!$I$509+'26Ф'!$D$41+'20Ф'!$I$507)</f>
        <v>16781.821311773027</v>
      </c>
      <c r="EI152" s="276">
        <f>$D152/$D$281*'91Ф'!$D$31</f>
        <v>30763.543373372493</v>
      </c>
      <c r="EJ152" s="276">
        <f>$D152/$D$281*'20Ф'!$I$1316</f>
        <v>3761.2221599610002</v>
      </c>
      <c r="EK152" s="276">
        <f>$D152/$D$281*('20Ф'!$I$1105+'20Ф'!$I$1282+'91Ф'!$D$17+'91Ф'!$D$41)</f>
        <v>123522.72611128457</v>
      </c>
      <c r="EL152" s="276">
        <f>$D152/$D$281*отчёт!BX$294</f>
        <v>206492.32656678846</v>
      </c>
      <c r="EM152" s="276">
        <f>$D152/$D$281*отчёт!BY$294</f>
        <v>181598.91711216353</v>
      </c>
      <c r="EN152" s="276">
        <f>SUMIF(отчёт!$B:$B,$B:$B,отчёт!BZ:BZ)/отчёт!BZ$281*('60Ф'!$O$151+'60Ф'!$P$151)*отчёт!BZ$293</f>
        <v>0</v>
      </c>
      <c r="EO152" s="240">
        <f t="shared" si="28"/>
        <v>0</v>
      </c>
      <c r="EP152" s="276">
        <f>SUMIF('20Ф'!$H:$H,$B:$B,'20Ф'!T:T)*1.2</f>
        <v>0</v>
      </c>
      <c r="EQ152" s="276">
        <f>SUMIF('20Ф'!$H:$H,$B:$B,'20Ф'!U:U)*1.2</f>
        <v>0</v>
      </c>
      <c r="ER152" s="236"/>
      <c r="ES152" s="239">
        <f t="shared" si="31"/>
        <v>69113.060347855979</v>
      </c>
      <c r="ET152" s="276">
        <f>$D152/$D$282*'20Ф'!$I$381</f>
        <v>5282.3774211876826</v>
      </c>
      <c r="EU152" s="276">
        <f>$D152/$D$282*('20Ф'!$I$75+'20Ф'!$I$1098)*1.2</f>
        <v>61013.804206830901</v>
      </c>
      <c r="EV152" s="276">
        <f>$D152/$D$282*('20Ф'!$I$1286)</f>
        <v>2816.8787198373902</v>
      </c>
      <c r="EW152" s="276">
        <f>SUMIF('91.1Ф'!$N:$N,$B:$B,'91.1Ф'!$F:$F)+$D152/$D$281*('91Ф'!$D$12+'91Ф'!$D$11+'91Ф'!$D$19+'91Ф'!$D$20)</f>
        <v>16279.691546344713</v>
      </c>
      <c r="EX152" s="276">
        <f t="shared" si="29"/>
        <v>62888.987342492517</v>
      </c>
      <c r="EY152" s="276">
        <f>SUMIF('20Ф'!$H:$H,$B:$B,'20Ф'!$AY:$AY)*1.2</f>
        <v>60420</v>
      </c>
      <c r="EZ152" s="295">
        <f>D152/$D$286*'20Ф'!$I$1163</f>
        <v>2468.9873424925163</v>
      </c>
      <c r="FA152" s="277">
        <f>SUMIF(отчёт!$B:$B,$B:$B,отчёт!$CU:$CU)/отчёт!$CU$281*'20Ф'!$I$1341</f>
        <v>3683.8554216867401</v>
      </c>
      <c r="FB152" s="276">
        <f>SUMIF(Сальдо!$A:$A,$B:$B,Сальдо!$H:$H)-SUMIF(Сальдо!$A:$A,$B:$B,Сальдо!$I:$I)</f>
        <v>469562.66000000003</v>
      </c>
    </row>
    <row r="153" spans="1:158" ht="12" customHeight="1" x14ac:dyDescent="0.25">
      <c r="A153" s="3">
        <f t="shared" si="32"/>
        <v>149</v>
      </c>
      <c r="B153" s="4" t="s">
        <v>198</v>
      </c>
      <c r="C153" s="4" t="s">
        <v>198</v>
      </c>
      <c r="D153" s="5">
        <v>4927</v>
      </c>
      <c r="E153" s="6">
        <v>4927</v>
      </c>
      <c r="F153" s="6">
        <v>0</v>
      </c>
      <c r="G153" s="6">
        <v>436.6</v>
      </c>
      <c r="H153" s="5">
        <f>SUMIF(отчёт!$B:$B,$B:$B,отчёт!I:I)</f>
        <v>0</v>
      </c>
      <c r="I153" s="5">
        <f>SUMIF(отчёт!$B:$B,$B:$B,отчёт!J:J)</f>
        <v>0</v>
      </c>
      <c r="J153" s="3" t="s">
        <v>51</v>
      </c>
      <c r="K153" s="105">
        <v>7</v>
      </c>
      <c r="L153" s="105" t="s">
        <v>52</v>
      </c>
      <c r="M153" s="7">
        <v>31</v>
      </c>
      <c r="N153" s="8">
        <v>5.0999999999999996</v>
      </c>
      <c r="O153" s="8">
        <v>6.59</v>
      </c>
      <c r="P153" s="8">
        <v>8.98</v>
      </c>
      <c r="Q153" s="8">
        <v>6.92</v>
      </c>
      <c r="R153" s="8">
        <v>3.15</v>
      </c>
      <c r="S153" s="8">
        <v>0</v>
      </c>
      <c r="T153" s="8">
        <v>0</v>
      </c>
      <c r="U153" s="8">
        <v>0.26</v>
      </c>
      <c r="V153" s="9">
        <v>40</v>
      </c>
      <c r="W153" s="9">
        <v>40</v>
      </c>
      <c r="X153" s="9">
        <v>2604.04</v>
      </c>
      <c r="Y153" s="8">
        <v>195.98199600000001</v>
      </c>
      <c r="Z153" s="9">
        <v>42.3</v>
      </c>
      <c r="AA153" s="9">
        <v>2604.04</v>
      </c>
      <c r="AB153" s="8">
        <v>7.85</v>
      </c>
      <c r="AC153" s="10">
        <v>0</v>
      </c>
      <c r="AD153" s="8">
        <v>6.73</v>
      </c>
      <c r="AE153" s="8">
        <v>10.67</v>
      </c>
      <c r="AF153" s="8">
        <v>14</v>
      </c>
      <c r="AG153" s="7">
        <v>916422</v>
      </c>
      <c r="AH153" s="8">
        <v>150766.19999999998</v>
      </c>
      <c r="AI153" s="8">
        <v>194813.58000000002</v>
      </c>
      <c r="AJ153" s="8">
        <v>265466.76</v>
      </c>
      <c r="AK153" s="8">
        <v>204569.03999999998</v>
      </c>
      <c r="AL153" s="8">
        <v>93120.299999999988</v>
      </c>
      <c r="AM153" s="8">
        <v>0</v>
      </c>
      <c r="AN153" s="8">
        <v>0</v>
      </c>
      <c r="AO153" s="8">
        <v>7686.12</v>
      </c>
      <c r="AQ153" s="104">
        <v>33.17</v>
      </c>
      <c r="AR153" s="375">
        <v>13.89</v>
      </c>
      <c r="AS153" s="376"/>
      <c r="AT153" s="104">
        <v>5.9</v>
      </c>
      <c r="AU153" s="104">
        <v>1.53</v>
      </c>
      <c r="AV153" s="104">
        <v>0.32</v>
      </c>
      <c r="AW153" s="104">
        <v>0.6</v>
      </c>
      <c r="AX153" s="104">
        <v>5.01</v>
      </c>
      <c r="AY153" s="104">
        <v>4.99</v>
      </c>
      <c r="AZ153" s="104">
        <v>0</v>
      </c>
      <c r="BA153" s="104">
        <v>0</v>
      </c>
      <c r="BB153" s="104">
        <v>0</v>
      </c>
      <c r="BC153" s="101">
        <v>0.93</v>
      </c>
      <c r="BD153" s="104">
        <v>37.581610000000005</v>
      </c>
      <c r="BE153" s="375">
        <v>15.737370000000004</v>
      </c>
      <c r="BF153" s="376">
        <v>0</v>
      </c>
      <c r="BG153" s="104">
        <v>6.6847000000000012</v>
      </c>
      <c r="BH153" s="104">
        <v>1.7334900000000002</v>
      </c>
      <c r="BI153" s="104">
        <v>0.36256000000000005</v>
      </c>
      <c r="BJ153" s="104">
        <v>0.67980000000000007</v>
      </c>
      <c r="BK153" s="104">
        <v>5.6763300000000001</v>
      </c>
      <c r="BL153" s="104">
        <v>5.65367</v>
      </c>
      <c r="BM153" s="104">
        <v>0</v>
      </c>
      <c r="BN153" s="104">
        <v>0</v>
      </c>
      <c r="BO153" s="104">
        <v>0</v>
      </c>
      <c r="BP153" s="101">
        <v>1.0536900000000002</v>
      </c>
      <c r="BQ153" s="103">
        <v>2178503.1047</v>
      </c>
      <c r="BR153" s="371">
        <v>912252.2799000002</v>
      </c>
      <c r="BS153" s="371">
        <v>0</v>
      </c>
      <c r="BT153" s="103">
        <v>387493.76900000003</v>
      </c>
      <c r="BU153" s="103">
        <v>100485.67230000001</v>
      </c>
      <c r="BV153" s="103">
        <v>21016.611199999999</v>
      </c>
      <c r="BW153" s="103">
        <v>39406.146000000008</v>
      </c>
      <c r="BX153" s="103">
        <v>329041.31909999996</v>
      </c>
      <c r="BY153" s="103">
        <v>327727.78090000001</v>
      </c>
      <c r="BZ153" s="103">
        <v>0</v>
      </c>
      <c r="CA153" s="103">
        <v>0</v>
      </c>
      <c r="CB153" s="103">
        <v>0</v>
      </c>
      <c r="CC153" s="103">
        <v>61079.526300000012</v>
      </c>
      <c r="CD153" s="1">
        <v>1</v>
      </c>
      <c r="CF153" s="277">
        <f>SUMIF(Оборот!$A:$A,$B:$B,Оборот!H:H)</f>
        <v>1875531.47</v>
      </c>
      <c r="CG153" s="277">
        <f>SUMIF(Оборот!$A:$A,$B:$B,Оборот!I:I)</f>
        <v>1871287.2999999998</v>
      </c>
      <c r="CH153" s="277">
        <f t="shared" si="25"/>
        <v>1879684.02664674</v>
      </c>
      <c r="CI153" s="239">
        <f t="shared" si="30"/>
        <v>48432.946847834137</v>
      </c>
      <c r="CJ153" s="276">
        <f>SUMIF('20Ф'!$H:$H,$B:$B,'20Ф'!M:M)*1.2</f>
        <v>0</v>
      </c>
      <c r="CK153" s="276">
        <f>SUMIF('20Ф'!$H:$H,$B:$B,'20Ф'!O:O)*1.2</f>
        <v>0</v>
      </c>
      <c r="CL153" s="276">
        <f>SUMIF('20Ф'!$H:$H,$B:$B,'20Ф'!Q:Q)*1.2</f>
        <v>0</v>
      </c>
      <c r="CM153" s="276">
        <f>SUMIF('20Ф'!$H:$H,$B:$B,'20Ф'!R:R)*1.2</f>
        <v>0</v>
      </c>
      <c r="CN153" s="276">
        <f>SUMIF('20Ф'!$H:$H,$B:$B,'20Ф'!S:S)*1.2</f>
        <v>0</v>
      </c>
      <c r="CO153" s="276">
        <f>SUMIF('20Ф'!$H:$H,$B:$B,'20Ф'!W:W)*1.2</f>
        <v>0</v>
      </c>
      <c r="CP153" s="276">
        <f>SUMIF('20Ф'!$H:$H,$B:$B,'20Ф'!P:P)*1.2</f>
        <v>0</v>
      </c>
      <c r="CQ153" s="276">
        <f>SUMIF('20Ф'!$H:$H,$B:$B,'20Ф'!Y:Y)*1.2</f>
        <v>0</v>
      </c>
      <c r="CR153" s="276">
        <f>SUMIF('20Ф'!$H:$H,$B:$B,'20Ф'!Z:Z)*1.2</f>
        <v>0</v>
      </c>
      <c r="CS153" s="276">
        <f>SUMIF('20Ф'!$H:$H,$B:$B,'20Ф'!AB:AB)*1.2</f>
        <v>0</v>
      </c>
      <c r="CT153" s="276">
        <f>SUMIF('20Ф'!$H:$H,$B:$B,'20Ф'!AC:AC)*1.2</f>
        <v>0</v>
      </c>
      <c r="CU153" s="276">
        <f>SUMIF('20Ф'!$H:$H,$B:$B,'20Ф'!AD:AD)*1.2</f>
        <v>0</v>
      </c>
      <c r="CV153" s="276">
        <f>SUMIF('20Ф'!$H:$H,$B:$B,'20Ф'!AE:AE)*1.2</f>
        <v>0</v>
      </c>
      <c r="CW153" s="276">
        <f>SUMIF('20Ф'!$H:$H,$B:$B,'20Ф'!AF:AF)*1.2</f>
        <v>0</v>
      </c>
      <c r="CX153" s="276">
        <f>SUMIF('20Ф'!$H:$H,$B:$B,'20Ф'!AG:AG)*1.2</f>
        <v>5098.3319999999994</v>
      </c>
      <c r="CY153" s="276">
        <f>SUMIF('20Ф'!$H:$H,$B:$B,'20Ф'!AH:AH)*1.2</f>
        <v>0</v>
      </c>
      <c r="CZ153" s="276">
        <f>SUMIF('20Ф'!$H:$H,$B:$B,'20Ф'!AI:AI)*1.2</f>
        <v>0</v>
      </c>
      <c r="DA153" s="276">
        <f>SUMIF('20Ф'!$H:$H,$B:$B,'20Ф'!AJ:AJ)*1.2</f>
        <v>0</v>
      </c>
      <c r="DB153" s="276">
        <f>SUMIF('20Ф'!$H:$H,$B:$B,'20Ф'!AK:AK)*1.2</f>
        <v>0</v>
      </c>
      <c r="DC153" s="276">
        <f>SUMIF('20Ф'!$H:$H,$B:$B,'20Ф'!AL:AL)*1.2</f>
        <v>0</v>
      </c>
      <c r="DD153" s="276">
        <f>SUMIF('20Ф'!$H:$H,$B:$B,'20Ф'!AM:AM)*1.2</f>
        <v>0</v>
      </c>
      <c r="DE153" s="276">
        <f>SUMIF('20Ф'!$H:$H,$B:$B,'20Ф'!AN:AN)*1.2</f>
        <v>0</v>
      </c>
      <c r="DF153" s="276">
        <f>SUMIF('20Ф'!$H:$H,$B:$B,'20Ф'!AO:AO)*1.2</f>
        <v>0</v>
      </c>
      <c r="DG153" s="276">
        <f>SUMIF('20Ф'!$H:$H,$B:$B,'20Ф'!AP:AP)*1.2</f>
        <v>0</v>
      </c>
      <c r="DH153" s="276">
        <f>SUMIF('20Ф'!$H:$H,$B:$B,'20Ф'!AQ:AQ)*1.2</f>
        <v>0</v>
      </c>
      <c r="DI153" s="276">
        <f>SUMIF('20Ф'!$H:$H,$B:$B,'20Ф'!BA:BA)*1.2</f>
        <v>0</v>
      </c>
      <c r="DJ153" s="276">
        <f>SUMIF('20Ф'!$H:$H,$B:$B,'20Ф'!BB:BB)*1.2</f>
        <v>0</v>
      </c>
      <c r="DK153" s="276">
        <f>SUMIF('20Ф'!$H:$H,$B:$B,'20Ф'!BC:BC)*1.2</f>
        <v>0</v>
      </c>
      <c r="DL153" s="276">
        <f>$D153/$D$281*'20Ф'!$H$218</f>
        <v>43334.614847834135</v>
      </c>
      <c r="DM153" s="240">
        <f t="shared" si="26"/>
        <v>632599.49653815676</v>
      </c>
      <c r="DN153" s="276">
        <f>SUMIF('20Ф'!$H:$H,$B:$B,'20Ф'!AV:AV)*1.2</f>
        <v>0</v>
      </c>
      <c r="DO153" s="276">
        <f>SUMIF('20Ф'!$H:$H,$B:$B,'20Ф'!AW:AW)*1.2+$D153/$D$281*'26Ф'!$D$42</f>
        <v>23060.438843487831</v>
      </c>
      <c r="DP153" s="276">
        <f>SUMIF('20Ф'!$H:$H,$B:$B,'20Ф'!AX:AX)*1.2</f>
        <v>0</v>
      </c>
      <c r="DQ153" s="276">
        <f>SUMIF('20Ф'!$H:$H,$B:$B,'20Ф'!AY:AY)*1.2</f>
        <v>110580.3</v>
      </c>
      <c r="DR153" s="276">
        <f>SUMIF('20Ф'!$H:$H,$B:$B,'20Ф'!AU:AU)*1.2</f>
        <v>0</v>
      </c>
      <c r="DS153" s="276">
        <f>SUMIF('20Ф'!$H:$H,$B:$B,'20Ф'!AS:AS)*1.2</f>
        <v>16005.108</v>
      </c>
      <c r="DT153" s="276">
        <f>SUMIF('20Ф'!$H:$H,$B:$B,'20Ф'!AR:AR)*1.2</f>
        <v>0</v>
      </c>
      <c r="DU153" s="276">
        <f>SUMIF('20Ф'!$H:$H,$B:$B,'20Ф'!X:X)*1.2</f>
        <v>76171.223999999987</v>
      </c>
      <c r="DV153" s="276">
        <f>SUMIF('20Ф'!$H:$H,$B:$B,'20Ф'!AA:AA)*1.2</f>
        <v>0</v>
      </c>
      <c r="DW153" s="276">
        <f>SUMIF('20Ф'!$H:$H,$B:$B,'20Ф'!N:N)*1.2</f>
        <v>0</v>
      </c>
      <c r="DX153" s="276">
        <f>$D153/$D$281*('25Ф'!$D$37)</f>
        <v>387617.1278096537</v>
      </c>
      <c r="DY153" s="276">
        <f>$D153/$D$281*'25Ф'!$D$30</f>
        <v>12371.521920123098</v>
      </c>
      <c r="DZ153" s="276">
        <f>$D153/$D$281*'25Ф'!$D$31</f>
        <v>6793.7759648921729</v>
      </c>
      <c r="EA153" s="276"/>
      <c r="EB153" s="276">
        <f t="shared" si="27"/>
        <v>244204.87419367005</v>
      </c>
      <c r="EC153" s="276">
        <f>$D153/$D$281*'26Ф'!$D$36</f>
        <v>127116.50157749797</v>
      </c>
      <c r="ED153" s="276">
        <f>$D153/$D$281*'26Ф'!$D$37</f>
        <v>15272.911901466045</v>
      </c>
      <c r="EE153" s="276">
        <f>$D153/$D$281*'26Ф'!$D$38</f>
        <v>15429.550641770105</v>
      </c>
      <c r="EF153" s="276">
        <f>$D153/$D$281*'26Ф'!$D$39</f>
        <v>10823.815693015134</v>
      </c>
      <c r="EG153" s="276">
        <f>$D153/$D$281*'91Ф'!$D$10</f>
        <v>3339.1426397305713</v>
      </c>
      <c r="EH153" s="276">
        <f>$D153/$D$281*('20Ф'!$I$509+'26Ф'!$D$41+'20Ф'!$I$507)</f>
        <v>23623.334648468819</v>
      </c>
      <c r="EI153" s="276">
        <f>$D153/$D$281*'91Ф'!$D$31</f>
        <v>43305.042198967538</v>
      </c>
      <c r="EJ153" s="276">
        <f>$D153/$D$281*'20Ф'!$I$1316</f>
        <v>5294.574892753878</v>
      </c>
      <c r="EK153" s="276">
        <f>$D153/$D$281*('20Ф'!$I$1105+'20Ф'!$I$1282+'91Ф'!$D$17+'91Ф'!$D$41)</f>
        <v>173879.73816470933</v>
      </c>
      <c r="EL153" s="276">
        <f>$D153/$D$281*отчёт!BX$294</f>
        <v>290673.89303007536</v>
      </c>
      <c r="EM153" s="276">
        <f>$D153/$D$281*отчёт!BY$294</f>
        <v>255632.08611514806</v>
      </c>
      <c r="EN153" s="276">
        <f>SUMIF(отчёт!$B:$B,$B:$B,отчёт!BZ:BZ)/отчёт!BZ$281*('60Ф'!$O$151+'60Ф'!$P$151)*отчёт!BZ$293</f>
        <v>0</v>
      </c>
      <c r="EO153" s="240">
        <f t="shared" si="28"/>
        <v>0</v>
      </c>
      <c r="EP153" s="276">
        <f>SUMIF('20Ф'!$H:$H,$B:$B,'20Ф'!T:T)*1.2</f>
        <v>0</v>
      </c>
      <c r="EQ153" s="276">
        <f>SUMIF('20Ф'!$H:$H,$B:$B,'20Ф'!U:U)*1.2</f>
        <v>0</v>
      </c>
      <c r="ER153" s="236"/>
      <c r="ES153" s="239">
        <f t="shared" si="31"/>
        <v>97288.662705033115</v>
      </c>
      <c r="ET153" s="276">
        <f>$D153/$D$282*'20Ф'!$I$381</f>
        <v>7435.865705034631</v>
      </c>
      <c r="EU153" s="276">
        <f>$D153/$D$282*('20Ф'!$I$75+'20Ф'!$I$1098)*1.2</f>
        <v>85887.549877733734</v>
      </c>
      <c r="EV153" s="276">
        <f>$D153/$D$282*('20Ф'!$I$1286)</f>
        <v>3965.2471222647414</v>
      </c>
      <c r="EW153" s="276">
        <f>SUMIF('91.1Ф'!$N:$N,$B:$B,'91.1Ф'!$F:$F)+$D153/$D$281*('91Ф'!$D$12+'91Ф'!$D$11+'91Ф'!$D$19+'91Ф'!$D$20)</f>
        <v>22916.499599680126</v>
      </c>
      <c r="EX153" s="276">
        <f t="shared" si="29"/>
        <v>114055.82945243297</v>
      </c>
      <c r="EY153" s="276">
        <f>SUMIF('20Ф'!$H:$H,$B:$B,'20Ф'!$AY:$AY)*1.2</f>
        <v>110580.3</v>
      </c>
      <c r="EZ153" s="295">
        <f>D153/$D$286*'20Ф'!$I$1163</f>
        <v>3475.529452432967</v>
      </c>
      <c r="FA153" s="277">
        <f>SUMIF(отчёт!$B:$B,$B:$B,отчёт!$CU:$CU)/отчёт!$CU$281*'20Ф'!$I$1341</f>
        <v>5525.7831325301113</v>
      </c>
      <c r="FB153" s="276">
        <f>SUMIF(Сальдо!$A:$A,$B:$B,Сальдо!$H:$H)-SUMIF(Сальдо!$A:$A,$B:$B,Сальдо!$I:$I)</f>
        <v>664418.57000000007</v>
      </c>
    </row>
    <row r="154" spans="1:158" ht="12" customHeight="1" x14ac:dyDescent="0.25">
      <c r="A154" s="3">
        <f t="shared" si="32"/>
        <v>150</v>
      </c>
      <c r="B154" s="4" t="s">
        <v>199</v>
      </c>
      <c r="C154" s="4" t="s">
        <v>199</v>
      </c>
      <c r="D154" s="5">
        <v>4940.66</v>
      </c>
      <c r="E154" s="6">
        <v>4940.66</v>
      </c>
      <c r="F154" s="6">
        <v>0</v>
      </c>
      <c r="G154" s="6">
        <v>452.8</v>
      </c>
      <c r="H154" s="5">
        <f>SUMIF(отчёт!$B:$B,$B:$B,отчёт!I:I)</f>
        <v>0</v>
      </c>
      <c r="I154" s="5">
        <f>SUMIF(отчёт!$B:$B,$B:$B,отчёт!J:J)</f>
        <v>0</v>
      </c>
      <c r="J154" s="3" t="s">
        <v>51</v>
      </c>
      <c r="K154" s="105">
        <v>7</v>
      </c>
      <c r="L154" s="105" t="s">
        <v>52</v>
      </c>
      <c r="M154" s="7">
        <v>31</v>
      </c>
      <c r="N154" s="8">
        <v>5.0999999999999996</v>
      </c>
      <c r="O154" s="8">
        <v>6.59</v>
      </c>
      <c r="P154" s="8">
        <v>8.98</v>
      </c>
      <c r="Q154" s="8">
        <v>6.92</v>
      </c>
      <c r="R154" s="8">
        <v>3.15</v>
      </c>
      <c r="S154" s="8">
        <v>0</v>
      </c>
      <c r="T154" s="8">
        <v>0</v>
      </c>
      <c r="U154" s="8">
        <v>0.26</v>
      </c>
      <c r="V154" s="9">
        <v>40</v>
      </c>
      <c r="W154" s="9">
        <v>40</v>
      </c>
      <c r="X154" s="9">
        <v>2604.04</v>
      </c>
      <c r="Y154" s="8">
        <v>195.98199600000001</v>
      </c>
      <c r="Z154" s="9">
        <v>42.3</v>
      </c>
      <c r="AA154" s="9">
        <v>2604.04</v>
      </c>
      <c r="AB154" s="8">
        <v>7.85</v>
      </c>
      <c r="AC154" s="10">
        <v>0</v>
      </c>
      <c r="AD154" s="8">
        <v>6.73</v>
      </c>
      <c r="AE154" s="8">
        <v>10.67</v>
      </c>
      <c r="AF154" s="8">
        <v>14</v>
      </c>
      <c r="AG154" s="7">
        <v>918962.76</v>
      </c>
      <c r="AH154" s="8">
        <v>151184.196</v>
      </c>
      <c r="AI154" s="8">
        <v>195353.69639999999</v>
      </c>
      <c r="AJ154" s="8">
        <v>266202.76079999999</v>
      </c>
      <c r="AK154" s="8">
        <v>205136.20319999999</v>
      </c>
      <c r="AL154" s="8">
        <v>93378.474000000002</v>
      </c>
      <c r="AM154" s="8">
        <v>0</v>
      </c>
      <c r="AN154" s="8">
        <v>0</v>
      </c>
      <c r="AO154" s="8">
        <v>7707.4295999999995</v>
      </c>
      <c r="AQ154" s="104">
        <v>33.17</v>
      </c>
      <c r="AR154" s="375">
        <v>13.89</v>
      </c>
      <c r="AS154" s="376"/>
      <c r="AT154" s="104">
        <v>5.9</v>
      </c>
      <c r="AU154" s="104">
        <v>1.53</v>
      </c>
      <c r="AV154" s="104">
        <v>0.32</v>
      </c>
      <c r="AW154" s="104">
        <v>0.6</v>
      </c>
      <c r="AX154" s="104">
        <v>5.01</v>
      </c>
      <c r="AY154" s="104">
        <v>4.99</v>
      </c>
      <c r="AZ154" s="104">
        <v>0</v>
      </c>
      <c r="BA154" s="104">
        <v>0</v>
      </c>
      <c r="BB154" s="104">
        <v>0</v>
      </c>
      <c r="BC154" s="101">
        <v>0.93</v>
      </c>
      <c r="BD154" s="104">
        <v>37.581610000000005</v>
      </c>
      <c r="BE154" s="375">
        <v>15.737370000000004</v>
      </c>
      <c r="BF154" s="376">
        <v>0</v>
      </c>
      <c r="BG154" s="104">
        <v>6.6847000000000012</v>
      </c>
      <c r="BH154" s="104">
        <v>1.7334900000000002</v>
      </c>
      <c r="BI154" s="104">
        <v>0.36256000000000005</v>
      </c>
      <c r="BJ154" s="104">
        <v>0.67980000000000007</v>
      </c>
      <c r="BK154" s="104">
        <v>5.6763300000000001</v>
      </c>
      <c r="BL154" s="104">
        <v>5.65367</v>
      </c>
      <c r="BM154" s="104">
        <v>0</v>
      </c>
      <c r="BN154" s="104">
        <v>0</v>
      </c>
      <c r="BO154" s="104">
        <v>0</v>
      </c>
      <c r="BP154" s="101">
        <v>1.0536900000000002</v>
      </c>
      <c r="BQ154" s="103">
        <v>2184542.9570260001</v>
      </c>
      <c r="BR154" s="371">
        <v>914781.47944200016</v>
      </c>
      <c r="BS154" s="371">
        <v>0</v>
      </c>
      <c r="BT154" s="103">
        <v>388568.08702000004</v>
      </c>
      <c r="BU154" s="103">
        <v>100764.266634</v>
      </c>
      <c r="BV154" s="103">
        <v>21074.879295999999</v>
      </c>
      <c r="BW154" s="103">
        <v>39515.398680000006</v>
      </c>
      <c r="BX154" s="103">
        <v>329953.57897799998</v>
      </c>
      <c r="BY154" s="103">
        <v>328636.39902199997</v>
      </c>
      <c r="BZ154" s="103">
        <v>0</v>
      </c>
      <c r="CA154" s="103">
        <v>0</v>
      </c>
      <c r="CB154" s="103">
        <v>0</v>
      </c>
      <c r="CC154" s="103">
        <v>61248.867954000008</v>
      </c>
      <c r="CD154" s="1">
        <v>1</v>
      </c>
      <c r="CF154" s="277">
        <f>SUMIF(Оборот!$A:$A,$B:$B,Оборот!H:H)</f>
        <v>1875319.3699999996</v>
      </c>
      <c r="CG154" s="277">
        <f>SUMIF(Оборот!$A:$A,$B:$B,Оборот!I:I)</f>
        <v>1807615.5700000003</v>
      </c>
      <c r="CH154" s="277">
        <f t="shared" si="25"/>
        <v>1826405.2467769925</v>
      </c>
      <c r="CI154" s="239">
        <f t="shared" si="30"/>
        <v>43454.759122001255</v>
      </c>
      <c r="CJ154" s="276">
        <f>SUMIF('20Ф'!$H:$H,$B:$B,'20Ф'!M:M)*1.2</f>
        <v>0</v>
      </c>
      <c r="CK154" s="276">
        <f>SUMIF('20Ф'!$H:$H,$B:$B,'20Ф'!O:O)*1.2</f>
        <v>0</v>
      </c>
      <c r="CL154" s="276">
        <f>SUMIF('20Ф'!$H:$H,$B:$B,'20Ф'!Q:Q)*1.2</f>
        <v>0</v>
      </c>
      <c r="CM154" s="276">
        <f>SUMIF('20Ф'!$H:$H,$B:$B,'20Ф'!R:R)*1.2</f>
        <v>0</v>
      </c>
      <c r="CN154" s="276">
        <f>SUMIF('20Ф'!$H:$H,$B:$B,'20Ф'!S:S)*1.2</f>
        <v>0</v>
      </c>
      <c r="CO154" s="276">
        <f>SUMIF('20Ф'!$H:$H,$B:$B,'20Ф'!W:W)*1.2</f>
        <v>0</v>
      </c>
      <c r="CP154" s="276">
        <f>SUMIF('20Ф'!$H:$H,$B:$B,'20Ф'!P:P)*1.2</f>
        <v>0</v>
      </c>
      <c r="CQ154" s="276">
        <f>SUMIF('20Ф'!$H:$H,$B:$B,'20Ф'!Y:Y)*1.2</f>
        <v>0</v>
      </c>
      <c r="CR154" s="276">
        <f>SUMIF('20Ф'!$H:$H,$B:$B,'20Ф'!Z:Z)*1.2</f>
        <v>0</v>
      </c>
      <c r="CS154" s="276">
        <f>SUMIF('20Ф'!$H:$H,$B:$B,'20Ф'!AB:AB)*1.2</f>
        <v>0</v>
      </c>
      <c r="CT154" s="276">
        <f>SUMIF('20Ф'!$H:$H,$B:$B,'20Ф'!AC:AC)*1.2</f>
        <v>0</v>
      </c>
      <c r="CU154" s="276">
        <f>SUMIF('20Ф'!$H:$H,$B:$B,'20Ф'!AD:AD)*1.2</f>
        <v>0</v>
      </c>
      <c r="CV154" s="276">
        <f>SUMIF('20Ф'!$H:$H,$B:$B,'20Ф'!AE:AE)*1.2</f>
        <v>0</v>
      </c>
      <c r="CW154" s="276">
        <f>SUMIF('20Ф'!$H:$H,$B:$B,'20Ф'!AF:AF)*1.2</f>
        <v>0</v>
      </c>
      <c r="CX154" s="276">
        <f>SUMIF('20Ф'!$H:$H,$B:$B,'20Ф'!AG:AG)*1.2</f>
        <v>0</v>
      </c>
      <c r="CY154" s="276">
        <f>SUMIF('20Ф'!$H:$H,$B:$B,'20Ф'!AH:AH)*1.2</f>
        <v>0</v>
      </c>
      <c r="CZ154" s="276">
        <f>SUMIF('20Ф'!$H:$H,$B:$B,'20Ф'!AI:AI)*1.2</f>
        <v>0</v>
      </c>
      <c r="DA154" s="276">
        <f>SUMIF('20Ф'!$H:$H,$B:$B,'20Ф'!AJ:AJ)*1.2</f>
        <v>0</v>
      </c>
      <c r="DB154" s="276">
        <f>SUMIF('20Ф'!$H:$H,$B:$B,'20Ф'!AK:AK)*1.2</f>
        <v>0</v>
      </c>
      <c r="DC154" s="276">
        <f>SUMIF('20Ф'!$H:$H,$B:$B,'20Ф'!AL:AL)*1.2</f>
        <v>0</v>
      </c>
      <c r="DD154" s="276">
        <f>SUMIF('20Ф'!$H:$H,$B:$B,'20Ф'!AM:AM)*1.2</f>
        <v>0</v>
      </c>
      <c r="DE154" s="276">
        <f>SUMIF('20Ф'!$H:$H,$B:$B,'20Ф'!AN:AN)*1.2</f>
        <v>0</v>
      </c>
      <c r="DF154" s="276">
        <f>SUMIF('20Ф'!$H:$H,$B:$B,'20Ф'!AO:AO)*1.2</f>
        <v>0</v>
      </c>
      <c r="DG154" s="276">
        <f>SUMIF('20Ф'!$H:$H,$B:$B,'20Ф'!AP:AP)*1.2</f>
        <v>0</v>
      </c>
      <c r="DH154" s="276">
        <f>SUMIF('20Ф'!$H:$H,$B:$B,'20Ф'!AQ:AQ)*1.2</f>
        <v>0</v>
      </c>
      <c r="DI154" s="276">
        <f>SUMIF('20Ф'!$H:$H,$B:$B,'20Ф'!BA:BA)*1.2</f>
        <v>0</v>
      </c>
      <c r="DJ154" s="276">
        <f>SUMIF('20Ф'!$H:$H,$B:$B,'20Ф'!BB:BB)*1.2</f>
        <v>0</v>
      </c>
      <c r="DK154" s="276">
        <f>SUMIF('20Ф'!$H:$H,$B:$B,'20Ф'!BC:BC)*1.2</f>
        <v>0</v>
      </c>
      <c r="DL154" s="276">
        <f>$D154/$D$281*'20Ф'!$H$218</f>
        <v>43454.759122001255</v>
      </c>
      <c r="DM154" s="240">
        <f t="shared" si="26"/>
        <v>587959.89050154039</v>
      </c>
      <c r="DN154" s="276">
        <f>SUMIF('20Ф'!$H:$H,$B:$B,'20Ф'!AV:AV)*1.2</f>
        <v>0</v>
      </c>
      <c r="DO154" s="276">
        <f>SUMIF('20Ф'!$H:$H,$B:$B,'20Ф'!AW:AW)*1.2+$D154/$D$281*'26Ф'!$D$42</f>
        <v>23124.373407036041</v>
      </c>
      <c r="DP154" s="276">
        <f>SUMIF('20Ф'!$H:$H,$B:$B,'20Ф'!AX:AX)*1.2</f>
        <v>0</v>
      </c>
      <c r="DQ154" s="276">
        <f>SUMIF('20Ф'!$H:$H,$B:$B,'20Ф'!AY:AY)*1.2</f>
        <v>103902.66</v>
      </c>
      <c r="DR154" s="276">
        <f>SUMIF('20Ф'!$H:$H,$B:$B,'20Ф'!AU:AU)*1.2</f>
        <v>0</v>
      </c>
      <c r="DS154" s="276">
        <f>SUMIF('20Ф'!$H:$H,$B:$B,'20Ф'!AS:AS)*1.2</f>
        <v>53022.635999999999</v>
      </c>
      <c r="DT154" s="276">
        <f>SUMIF('20Ф'!$H:$H,$B:$B,'20Ф'!AR:AR)*1.2</f>
        <v>0</v>
      </c>
      <c r="DU154" s="276">
        <f>SUMIF('20Ф'!$H:$H,$B:$B,'20Ф'!X:X)*1.2</f>
        <v>0</v>
      </c>
      <c r="DV154" s="276">
        <f>SUMIF('20Ф'!$H:$H,$B:$B,'20Ф'!AA:AA)*1.2</f>
        <v>0</v>
      </c>
      <c r="DW154" s="276">
        <f>SUMIF('20Ф'!$H:$H,$B:$B,'20Ф'!N:N)*1.2</f>
        <v>0</v>
      </c>
      <c r="DX154" s="276">
        <f>$D154/$D$281*('25Ф'!$D$37)</f>
        <v>388691.78783926193</v>
      </c>
      <c r="DY154" s="276">
        <f>$D154/$D$281*'25Ф'!$D$30</f>
        <v>12405.821694717959</v>
      </c>
      <c r="DZ154" s="276">
        <f>$D154/$D$281*'25Ф'!$D$31</f>
        <v>6812.6115605244904</v>
      </c>
      <c r="EA154" s="276"/>
      <c r="EB154" s="276">
        <f t="shared" si="27"/>
        <v>244881.9268791755</v>
      </c>
      <c r="EC154" s="276">
        <f>$D154/$D$281*'26Ф'!$D$36</f>
        <v>127468.92930462371</v>
      </c>
      <c r="ED154" s="276">
        <f>$D154/$D$281*'26Ф'!$D$37</f>
        <v>15315.255716480055</v>
      </c>
      <c r="EE154" s="276">
        <f>$D154/$D$281*'26Ф'!$D$38</f>
        <v>15472.328734273977</v>
      </c>
      <c r="EF154" s="276">
        <f>$D154/$D$281*'26Ф'!$D$39</f>
        <v>10853.824485864045</v>
      </c>
      <c r="EG154" s="276">
        <f>$D154/$D$281*'91Ф'!$D$10</f>
        <v>3348.4003398439709</v>
      </c>
      <c r="EH154" s="276">
        <f>$D154/$D$281*('20Ф'!$I$509+'26Ф'!$D$41+'20Ф'!$I$507)</f>
        <v>23688.82982835477</v>
      </c>
      <c r="EI154" s="276">
        <f>$D154/$D$281*'91Ф'!$D$31</f>
        <v>43425.104483610907</v>
      </c>
      <c r="EJ154" s="276">
        <f>$D154/$D$281*'20Ф'!$I$1316</f>
        <v>5309.2539861240866</v>
      </c>
      <c r="EK154" s="276">
        <f>$D154/$D$281*('20Ф'!$I$1105+'20Ф'!$I$1282+'91Ф'!$D$17+'91Ф'!$D$41)</f>
        <v>174361.81594496709</v>
      </c>
      <c r="EL154" s="276">
        <f>$D154/$D$281*отчёт!BX$294</f>
        <v>291479.78005641809</v>
      </c>
      <c r="EM154" s="276">
        <f>$D154/$D$281*отчёт!BY$294</f>
        <v>256340.82049638062</v>
      </c>
      <c r="EN154" s="276">
        <f>SUMIF(отчёт!$B:$B,$B:$B,отчёт!BZ:BZ)/отчёт!BZ$281*('60Ф'!$O$151+'60Ф'!$P$151)*отчёт!BZ$293</f>
        <v>0</v>
      </c>
      <c r="EO154" s="240">
        <f t="shared" si="28"/>
        <v>0</v>
      </c>
      <c r="EP154" s="276">
        <f>SUMIF('20Ф'!$H:$H,$B:$B,'20Ф'!T:T)*1.2</f>
        <v>0</v>
      </c>
      <c r="EQ154" s="276">
        <f>SUMIF('20Ф'!$H:$H,$B:$B,'20Ф'!U:U)*1.2</f>
        <v>0</v>
      </c>
      <c r="ER154" s="236"/>
      <c r="ES154" s="239">
        <f t="shared" si="31"/>
        <v>97558.393399685185</v>
      </c>
      <c r="ET154" s="276">
        <f>$D154/$D$282*'20Ф'!$I$381</f>
        <v>7456.4814804620255</v>
      </c>
      <c r="EU154" s="276">
        <f>$D154/$D$282*('20Ф'!$I$75+'20Ф'!$I$1098)*1.2</f>
        <v>86125.671235827889</v>
      </c>
      <c r="EV154" s="276">
        <f>$D154/$D$282*('20Ф'!$I$1286)</f>
        <v>3976.2406833952741</v>
      </c>
      <c r="EW154" s="276">
        <f>SUMIF('91.1Ф'!$N:$N,$B:$B,'91.1Ф'!$F:$F)+$D154/$D$281*('91Ф'!$D$12+'91Ф'!$D$11+'91Ф'!$D$19+'91Ф'!$D$20)</f>
        <v>22980.035094815426</v>
      </c>
      <c r="EX154" s="276">
        <f t="shared" si="29"/>
        <v>107387.82528200882</v>
      </c>
      <c r="EY154" s="276">
        <f>SUMIF('20Ф'!$H:$H,$B:$B,'20Ф'!$AY:$AY)*1.2</f>
        <v>103902.66</v>
      </c>
      <c r="EZ154" s="295">
        <f>D154/$D$286*'20Ф'!$I$1163</f>
        <v>3485.1652820088216</v>
      </c>
      <c r="FA154" s="277">
        <f>SUMIF(отчёт!$B:$B,$B:$B,отчёт!$CU:$CU)/отчёт!$CU$281*'20Ф'!$I$1341</f>
        <v>0</v>
      </c>
      <c r="FB154" s="276">
        <f>SUMIF(Сальдо!$A:$A,$B:$B,Сальдо!$H:$H)-SUMIF(Сальдо!$A:$A,$B:$B,Сальдо!$I:$I)</f>
        <v>806441.32000000007</v>
      </c>
    </row>
    <row r="155" spans="1:158" ht="12" customHeight="1" x14ac:dyDescent="0.25">
      <c r="A155" s="3">
        <f t="shared" si="32"/>
        <v>151</v>
      </c>
      <c r="B155" s="4" t="s">
        <v>200</v>
      </c>
      <c r="C155" s="4" t="s">
        <v>200</v>
      </c>
      <c r="D155" s="5">
        <v>3456.99</v>
      </c>
      <c r="E155" s="6">
        <v>3456.99</v>
      </c>
      <c r="F155" s="6">
        <v>0</v>
      </c>
      <c r="G155" s="6">
        <v>619</v>
      </c>
      <c r="H155" s="5">
        <f>SUMIF(отчёт!$B:$B,$B:$B,отчёт!I:I)</f>
        <v>0</v>
      </c>
      <c r="I155" s="5">
        <f>SUMIF(отчёт!$B:$B,$B:$B,отчёт!J:J)</f>
        <v>0</v>
      </c>
      <c r="J155" s="3" t="s">
        <v>51</v>
      </c>
      <c r="K155" s="105">
        <v>7</v>
      </c>
      <c r="L155" s="105" t="s">
        <v>52</v>
      </c>
      <c r="M155" s="7">
        <v>31</v>
      </c>
      <c r="N155" s="8">
        <v>5.0999999999999996</v>
      </c>
      <c r="O155" s="8">
        <v>6.59</v>
      </c>
      <c r="P155" s="8">
        <v>8.98</v>
      </c>
      <c r="Q155" s="8">
        <v>6.92</v>
      </c>
      <c r="R155" s="8">
        <v>3.15</v>
      </c>
      <c r="S155" s="8">
        <v>0</v>
      </c>
      <c r="T155" s="8">
        <v>0</v>
      </c>
      <c r="U155" s="8">
        <v>0.26</v>
      </c>
      <c r="V155" s="9">
        <v>40</v>
      </c>
      <c r="W155" s="9">
        <v>40</v>
      </c>
      <c r="X155" s="9">
        <v>2604.04</v>
      </c>
      <c r="Y155" s="8">
        <v>195.98199600000001</v>
      </c>
      <c r="Z155" s="9">
        <v>42.3</v>
      </c>
      <c r="AA155" s="9">
        <v>2604.04</v>
      </c>
      <c r="AB155" s="8">
        <v>7.85</v>
      </c>
      <c r="AC155" s="10">
        <v>0</v>
      </c>
      <c r="AD155" s="8">
        <v>6.73</v>
      </c>
      <c r="AE155" s="8">
        <v>10.67</v>
      </c>
      <c r="AF155" s="8">
        <v>14</v>
      </c>
      <c r="AG155" s="7">
        <v>643000.1399999999</v>
      </c>
      <c r="AH155" s="8">
        <v>105783.89399999999</v>
      </c>
      <c r="AI155" s="8">
        <v>136689.38459999999</v>
      </c>
      <c r="AJ155" s="8">
        <v>186262.62119999999</v>
      </c>
      <c r="AK155" s="8">
        <v>143534.22479999997</v>
      </c>
      <c r="AL155" s="8">
        <v>65337.11099999999</v>
      </c>
      <c r="AM155" s="8">
        <v>0</v>
      </c>
      <c r="AN155" s="8">
        <v>0</v>
      </c>
      <c r="AO155" s="8">
        <v>5392.9044000000004</v>
      </c>
      <c r="AQ155" s="104">
        <v>33.17</v>
      </c>
      <c r="AR155" s="375">
        <v>13.89</v>
      </c>
      <c r="AS155" s="376"/>
      <c r="AT155" s="104">
        <v>5.9</v>
      </c>
      <c r="AU155" s="104">
        <v>1.53</v>
      </c>
      <c r="AV155" s="104">
        <v>0.32</v>
      </c>
      <c r="AW155" s="104">
        <v>0.6</v>
      </c>
      <c r="AX155" s="104">
        <v>5.01</v>
      </c>
      <c r="AY155" s="104">
        <v>4.99</v>
      </c>
      <c r="AZ155" s="104">
        <v>0</v>
      </c>
      <c r="BA155" s="104">
        <v>0</v>
      </c>
      <c r="BB155" s="104">
        <v>0</v>
      </c>
      <c r="BC155" s="101">
        <v>0.93</v>
      </c>
      <c r="BD155" s="104">
        <v>37.581610000000005</v>
      </c>
      <c r="BE155" s="375">
        <v>15.737370000000004</v>
      </c>
      <c r="BF155" s="376">
        <v>0</v>
      </c>
      <c r="BG155" s="104">
        <v>6.6847000000000012</v>
      </c>
      <c r="BH155" s="104">
        <v>1.7334900000000002</v>
      </c>
      <c r="BI155" s="104">
        <v>0.36256000000000005</v>
      </c>
      <c r="BJ155" s="104">
        <v>0.67980000000000007</v>
      </c>
      <c r="BK155" s="104">
        <v>5.6763300000000001</v>
      </c>
      <c r="BL155" s="104">
        <v>5.65367</v>
      </c>
      <c r="BM155" s="104">
        <v>0</v>
      </c>
      <c r="BN155" s="104">
        <v>0</v>
      </c>
      <c r="BO155" s="104">
        <v>0</v>
      </c>
      <c r="BP155" s="101">
        <v>1.0536900000000002</v>
      </c>
      <c r="BQ155" s="103">
        <v>1528529.2161390001</v>
      </c>
      <c r="BR155" s="371">
        <v>640074.48936300015</v>
      </c>
      <c r="BS155" s="371">
        <v>0</v>
      </c>
      <c r="BT155" s="103">
        <v>271881.89253000001</v>
      </c>
      <c r="BU155" s="103">
        <v>70504.965350999992</v>
      </c>
      <c r="BV155" s="103">
        <v>14746.136543999999</v>
      </c>
      <c r="BW155" s="103">
        <v>27649.006020000001</v>
      </c>
      <c r="BX155" s="103">
        <v>230869.20026699998</v>
      </c>
      <c r="BY155" s="103">
        <v>229947.56673299999</v>
      </c>
      <c r="BZ155" s="103">
        <v>0</v>
      </c>
      <c r="CA155" s="103">
        <v>0</v>
      </c>
      <c r="CB155" s="103">
        <v>0</v>
      </c>
      <c r="CC155" s="103">
        <v>42855.959331000005</v>
      </c>
      <c r="CD155" s="1">
        <v>1</v>
      </c>
      <c r="CF155" s="277">
        <f>SUMIF(Оборот!$A:$A,$B:$B,Оборот!H:H)</f>
        <v>1316007.0799999996</v>
      </c>
      <c r="CG155" s="277">
        <f>SUMIF(Оборот!$A:$A,$B:$B,Оборот!I:I)</f>
        <v>1268100.25</v>
      </c>
      <c r="CH155" s="277">
        <f t="shared" si="25"/>
        <v>1555126.8098595808</v>
      </c>
      <c r="CI155" s="239">
        <f t="shared" si="30"/>
        <v>270855.54065248917</v>
      </c>
      <c r="CJ155" s="276">
        <f>SUMIF('20Ф'!$H:$H,$B:$B,'20Ф'!M:M)*1.2</f>
        <v>0</v>
      </c>
      <c r="CK155" s="276">
        <f>SUMIF('20Ф'!$H:$H,$B:$B,'20Ф'!O:O)*1.2</f>
        <v>0</v>
      </c>
      <c r="CL155" s="276">
        <f>SUMIF('20Ф'!$H:$H,$B:$B,'20Ф'!Q:Q)*1.2</f>
        <v>0</v>
      </c>
      <c r="CM155" s="276">
        <f>SUMIF('20Ф'!$H:$H,$B:$B,'20Ф'!R:R)*1.2</f>
        <v>0</v>
      </c>
      <c r="CN155" s="276">
        <f>SUMIF('20Ф'!$H:$H,$B:$B,'20Ф'!S:S)*1.2</f>
        <v>0</v>
      </c>
      <c r="CO155" s="276">
        <f>SUMIF('20Ф'!$H:$H,$B:$B,'20Ф'!W:W)*1.2</f>
        <v>0</v>
      </c>
      <c r="CP155" s="276">
        <f>SUMIF('20Ф'!$H:$H,$B:$B,'20Ф'!P:P)*1.2</f>
        <v>0</v>
      </c>
      <c r="CQ155" s="276">
        <f>SUMIF('20Ф'!$H:$H,$B:$B,'20Ф'!Y:Y)*1.2</f>
        <v>0</v>
      </c>
      <c r="CR155" s="276">
        <f>SUMIF('20Ф'!$H:$H,$B:$B,'20Ф'!Z:Z)*1.2</f>
        <v>0</v>
      </c>
      <c r="CS155" s="276">
        <f>SUMIF('20Ф'!$H:$H,$B:$B,'20Ф'!AB:AB)*1.2</f>
        <v>0</v>
      </c>
      <c r="CT155" s="276">
        <f>SUMIF('20Ф'!$H:$H,$B:$B,'20Ф'!AC:AC)*1.2</f>
        <v>0</v>
      </c>
      <c r="CU155" s="276">
        <f>SUMIF('20Ф'!$H:$H,$B:$B,'20Ф'!AD:AD)*1.2</f>
        <v>0</v>
      </c>
      <c r="CV155" s="276">
        <f>SUMIF('20Ф'!$H:$H,$B:$B,'20Ф'!AE:AE)*1.2</f>
        <v>0</v>
      </c>
      <c r="CW155" s="276">
        <f>SUMIF('20Ф'!$H:$H,$B:$B,'20Ф'!AF:AF)*1.2</f>
        <v>0</v>
      </c>
      <c r="CX155" s="276">
        <f>SUMIF('20Ф'!$H:$H,$B:$B,'20Ф'!AG:AG)*1.2</f>
        <v>10668.24</v>
      </c>
      <c r="CY155" s="276">
        <f>SUMIF('20Ф'!$H:$H,$B:$B,'20Ф'!AH:AH)*1.2</f>
        <v>0</v>
      </c>
      <c r="CZ155" s="276">
        <f>SUMIF('20Ф'!$H:$H,$B:$B,'20Ф'!AI:AI)*1.2</f>
        <v>0</v>
      </c>
      <c r="DA155" s="276">
        <f>SUMIF('20Ф'!$H:$H,$B:$B,'20Ф'!AJ:AJ)*1.2</f>
        <v>0</v>
      </c>
      <c r="DB155" s="276">
        <f>SUMIF('20Ф'!$H:$H,$B:$B,'20Ф'!AK:AK)*1.2</f>
        <v>0</v>
      </c>
      <c r="DC155" s="276">
        <f>SUMIF('20Ф'!$H:$H,$B:$B,'20Ф'!AL:AL)*1.2</f>
        <v>229781.916</v>
      </c>
      <c r="DD155" s="276">
        <f>SUMIF('20Ф'!$H:$H,$B:$B,'20Ф'!AM:AM)*1.2</f>
        <v>0</v>
      </c>
      <c r="DE155" s="276">
        <f>SUMIF('20Ф'!$H:$H,$B:$B,'20Ф'!AN:AN)*1.2</f>
        <v>0</v>
      </c>
      <c r="DF155" s="276">
        <f>SUMIF('20Ф'!$H:$H,$B:$B,'20Ф'!AO:AO)*1.2</f>
        <v>0</v>
      </c>
      <c r="DG155" s="276">
        <f>SUMIF('20Ф'!$H:$H,$B:$B,'20Ф'!AP:AP)*1.2</f>
        <v>0</v>
      </c>
      <c r="DH155" s="276">
        <f>SUMIF('20Ф'!$H:$H,$B:$B,'20Ф'!AQ:AQ)*1.2</f>
        <v>0</v>
      </c>
      <c r="DI155" s="276">
        <f>SUMIF('20Ф'!$H:$H,$B:$B,'20Ф'!BA:BA)*1.2</f>
        <v>0</v>
      </c>
      <c r="DJ155" s="276">
        <f>SUMIF('20Ф'!$H:$H,$B:$B,'20Ф'!BB:BB)*1.2</f>
        <v>0</v>
      </c>
      <c r="DK155" s="276">
        <f>SUMIF('20Ф'!$H:$H,$B:$B,'20Ф'!BC:BC)*1.2</f>
        <v>0</v>
      </c>
      <c r="DL155" s="276">
        <f>$D155/$D$281*'20Ф'!$H$218</f>
        <v>30405.384652489167</v>
      </c>
      <c r="DM155" s="240">
        <f t="shared" si="26"/>
        <v>460212.2874698118</v>
      </c>
      <c r="DN155" s="276">
        <f>SUMIF('20Ф'!$H:$H,$B:$B,'20Ф'!AV:AV)*1.2</f>
        <v>0</v>
      </c>
      <c r="DO155" s="276">
        <f>SUMIF('20Ф'!$H:$H,$B:$B,'20Ф'!AW:AW)*1.2+$D155/$D$281*'26Ф'!$D$42</f>
        <v>16180.171803845949</v>
      </c>
      <c r="DP155" s="276">
        <f>SUMIF('20Ф'!$H:$H,$B:$B,'20Ф'!AX:AX)*1.2</f>
        <v>0</v>
      </c>
      <c r="DQ155" s="276">
        <f>SUMIF('20Ф'!$H:$H,$B:$B,'20Ф'!AY:AY)*1.2</f>
        <v>60622.5</v>
      </c>
      <c r="DR155" s="276">
        <f>SUMIF('20Ф'!$H:$H,$B:$B,'20Ф'!AU:AU)*1.2</f>
        <v>0</v>
      </c>
      <c r="DS155" s="276">
        <f>SUMIF('20Ф'!$H:$H,$B:$B,'20Ф'!AS:AS)*1.2</f>
        <v>97993.991999999998</v>
      </c>
      <c r="DT155" s="276">
        <f>SUMIF('20Ф'!$H:$H,$B:$B,'20Ф'!AR:AR)*1.2</f>
        <v>0</v>
      </c>
      <c r="DU155" s="276">
        <f>SUMIF('20Ф'!$H:$H,$B:$B,'20Ф'!X:X)*1.2</f>
        <v>0</v>
      </c>
      <c r="DV155" s="276">
        <f>SUMIF('20Ф'!$H:$H,$B:$B,'20Ф'!AA:AA)*1.2</f>
        <v>0</v>
      </c>
      <c r="DW155" s="276">
        <f>SUMIF('20Ф'!$H:$H,$B:$B,'20Ф'!N:N)*1.2</f>
        <v>0</v>
      </c>
      <c r="DX155" s="276">
        <f>$D155/$D$281*('25Ф'!$D$37)</f>
        <v>271968.44624856801</v>
      </c>
      <c r="DY155" s="276">
        <f>$D155/$D$281*'25Ф'!$D$30</f>
        <v>8680.3790466097726</v>
      </c>
      <c r="DZ155" s="276">
        <f>$D155/$D$281*'25Ф'!$D$31</f>
        <v>4766.7983707880239</v>
      </c>
      <c r="EA155" s="276"/>
      <c r="EB155" s="276">
        <f t="shared" si="27"/>
        <v>171344.38969733618</v>
      </c>
      <c r="EC155" s="276">
        <f>$D155/$D$281*'26Ф'!$D$36</f>
        <v>89190.272942641503</v>
      </c>
      <c r="ED155" s="276">
        <f>$D155/$D$281*'26Ф'!$D$37</f>
        <v>10716.116036989872</v>
      </c>
      <c r="EE155" s="276">
        <f>$D155/$D$281*'26Ф'!$D$38</f>
        <v>10826.020351754178</v>
      </c>
      <c r="EF155" s="276">
        <f>$D155/$D$281*'26Ф'!$D$39</f>
        <v>7594.4433961023724</v>
      </c>
      <c r="EG155" s="276">
        <f>$D155/$D$281*'91Ф'!$D$10</f>
        <v>2342.882629210917</v>
      </c>
      <c r="EH155" s="276">
        <f>$D155/$D$281*('20Ф'!$I$509+'26Ф'!$D$41+'20Ф'!$I$507)</f>
        <v>16575.123126935301</v>
      </c>
      <c r="EI155" s="276">
        <f>$D155/$D$281*'91Ф'!$D$31</f>
        <v>30384.635240797397</v>
      </c>
      <c r="EJ155" s="276">
        <f>$D155/$D$281*'20Ф'!$I$1316</f>
        <v>3714.8959729046537</v>
      </c>
      <c r="EK155" s="276">
        <f>$D155/$D$281*('20Ф'!$I$1105+'20Ф'!$I$1282+'91Ф'!$D$17+'91Ф'!$D$41)</f>
        <v>122001.3225163423</v>
      </c>
      <c r="EL155" s="276">
        <f>$D155/$D$281*отчёт!BX$294</f>
        <v>203949.00374792778</v>
      </c>
      <c r="EM155" s="276">
        <f>$D155/$D$281*отчёт!BY$294</f>
        <v>179362.20121355908</v>
      </c>
      <c r="EN155" s="276">
        <f>SUMIF(отчёт!$B:$B,$B:$B,отчёт!BZ:BZ)/отчёт!BZ$281*('60Ф'!$O$151+'60Ф'!$P$151)*отчёт!BZ$293</f>
        <v>0</v>
      </c>
      <c r="EO155" s="240">
        <f t="shared" si="28"/>
        <v>0</v>
      </c>
      <c r="EP155" s="276">
        <f>SUMIF('20Ф'!$H:$H,$B:$B,'20Ф'!T:T)*1.2</f>
        <v>0</v>
      </c>
      <c r="EQ155" s="276">
        <f>SUMIF('20Ф'!$H:$H,$B:$B,'20Ф'!U:U)*1.2</f>
        <v>0</v>
      </c>
      <c r="ER155" s="236"/>
      <c r="ES155" s="239">
        <f t="shared" si="31"/>
        <v>68261.809231717547</v>
      </c>
      <c r="ET155" s="276">
        <f>$D155/$D$282*'20Ф'!$I$381</f>
        <v>5217.3154827780936</v>
      </c>
      <c r="EU155" s="276">
        <f>$D155/$D$282*('20Ф'!$I$75+'20Ф'!$I$1098)*1.2</f>
        <v>60262.309935422512</v>
      </c>
      <c r="EV155" s="276">
        <f>$D155/$D$282*('20Ф'!$I$1286)</f>
        <v>2782.1838135169451</v>
      </c>
      <c r="EW155" s="276">
        <f>SUMIF('91.1Ф'!$N:$N,$B:$B,'91.1Ф'!$F:$F)+$D155/$D$281*('91Ф'!$D$12+'91Ф'!$D$11+'91Ф'!$D$19+'91Ф'!$D$20)</f>
        <v>16079.177988856951</v>
      </c>
      <c r="EX155" s="276">
        <f t="shared" si="29"/>
        <v>63061.077341539727</v>
      </c>
      <c r="EY155" s="276">
        <f>SUMIF('20Ф'!$H:$H,$B:$B,'20Ф'!$AY:$AY)*1.2</f>
        <v>60622.5</v>
      </c>
      <c r="EZ155" s="295">
        <f>D155/$D$286*'20Ф'!$I$1163</f>
        <v>2438.5773415397284</v>
      </c>
      <c r="FA155" s="277">
        <f>SUMIF(отчёт!$B:$B,$B:$B,отчёт!$CU:$CU)/отчёт!$CU$281*'20Ф'!$I$1341</f>
        <v>3683.8554216867401</v>
      </c>
      <c r="FB155" s="276">
        <f>SUMIF(Сальдо!$A:$A,$B:$B,Сальдо!$H:$H)-SUMIF(Сальдо!$A:$A,$B:$B,Сальдо!$I:$I)</f>
        <v>632145.93000000005</v>
      </c>
    </row>
    <row r="156" spans="1:158" ht="12" customHeight="1" x14ac:dyDescent="0.25">
      <c r="A156" s="3">
        <f t="shared" si="32"/>
        <v>152</v>
      </c>
      <c r="B156" s="4" t="s">
        <v>201</v>
      </c>
      <c r="C156" s="4" t="s">
        <v>201</v>
      </c>
      <c r="D156" s="5">
        <v>3483.9</v>
      </c>
      <c r="E156" s="6">
        <v>3483.9</v>
      </c>
      <c r="F156" s="6">
        <v>0</v>
      </c>
      <c r="G156" s="6">
        <v>445.9</v>
      </c>
      <c r="H156" s="5">
        <f>SUMIF(отчёт!$B:$B,$B:$B,отчёт!I:I)</f>
        <v>0</v>
      </c>
      <c r="I156" s="5">
        <f>SUMIF(отчёт!$B:$B,$B:$B,отчёт!J:J)</f>
        <v>0</v>
      </c>
      <c r="J156" s="3" t="s">
        <v>51</v>
      </c>
      <c r="K156" s="105">
        <v>7</v>
      </c>
      <c r="L156" s="105" t="s">
        <v>52</v>
      </c>
      <c r="M156" s="7">
        <v>31</v>
      </c>
      <c r="N156" s="8">
        <v>5.0999999999999996</v>
      </c>
      <c r="O156" s="8">
        <v>6.59</v>
      </c>
      <c r="P156" s="8">
        <v>8.98</v>
      </c>
      <c r="Q156" s="8">
        <v>6.92</v>
      </c>
      <c r="R156" s="8">
        <v>3.15</v>
      </c>
      <c r="S156" s="8">
        <v>0</v>
      </c>
      <c r="T156" s="8">
        <v>0</v>
      </c>
      <c r="U156" s="8">
        <v>0.26</v>
      </c>
      <c r="V156" s="9">
        <v>40</v>
      </c>
      <c r="W156" s="9">
        <v>40</v>
      </c>
      <c r="X156" s="9">
        <v>2604.04</v>
      </c>
      <c r="Y156" s="8">
        <v>195.98199600000001</v>
      </c>
      <c r="Z156" s="9">
        <v>42.3</v>
      </c>
      <c r="AA156" s="9">
        <v>2604.04</v>
      </c>
      <c r="AB156" s="8">
        <v>7.85</v>
      </c>
      <c r="AC156" s="10">
        <v>0</v>
      </c>
      <c r="AD156" s="8">
        <v>6.73</v>
      </c>
      <c r="AE156" s="8">
        <v>10.67</v>
      </c>
      <c r="AF156" s="8">
        <v>14</v>
      </c>
      <c r="AG156" s="7">
        <v>648005.4</v>
      </c>
      <c r="AH156" s="8">
        <v>106607.34</v>
      </c>
      <c r="AI156" s="8">
        <v>137753.40600000002</v>
      </c>
      <c r="AJ156" s="8">
        <v>187712.53200000001</v>
      </c>
      <c r="AK156" s="8">
        <v>144651.52799999999</v>
      </c>
      <c r="AL156" s="8">
        <v>65845.709999999992</v>
      </c>
      <c r="AM156" s="8">
        <v>0</v>
      </c>
      <c r="AN156" s="8">
        <v>0</v>
      </c>
      <c r="AO156" s="8">
        <v>5434.884</v>
      </c>
      <c r="AQ156" s="104">
        <v>33.17</v>
      </c>
      <c r="AR156" s="375">
        <v>13.89</v>
      </c>
      <c r="AS156" s="376"/>
      <c r="AT156" s="104">
        <v>5.9</v>
      </c>
      <c r="AU156" s="104">
        <v>1.53</v>
      </c>
      <c r="AV156" s="104">
        <v>0.32</v>
      </c>
      <c r="AW156" s="104">
        <v>0.6</v>
      </c>
      <c r="AX156" s="104">
        <v>5.01</v>
      </c>
      <c r="AY156" s="104">
        <v>4.99</v>
      </c>
      <c r="AZ156" s="104">
        <v>0</v>
      </c>
      <c r="BA156" s="104">
        <v>0</v>
      </c>
      <c r="BB156" s="104">
        <v>0</v>
      </c>
      <c r="BC156" s="101">
        <v>0.93</v>
      </c>
      <c r="BD156" s="104">
        <v>37.581610000000005</v>
      </c>
      <c r="BE156" s="375">
        <v>15.737370000000004</v>
      </c>
      <c r="BF156" s="376">
        <v>0</v>
      </c>
      <c r="BG156" s="104">
        <v>6.6847000000000012</v>
      </c>
      <c r="BH156" s="104">
        <v>1.7334900000000002</v>
      </c>
      <c r="BI156" s="104">
        <v>0.36256000000000005</v>
      </c>
      <c r="BJ156" s="104">
        <v>0.67980000000000007</v>
      </c>
      <c r="BK156" s="104">
        <v>5.6763300000000001</v>
      </c>
      <c r="BL156" s="104">
        <v>5.65367</v>
      </c>
      <c r="BM156" s="104">
        <v>0</v>
      </c>
      <c r="BN156" s="104">
        <v>0</v>
      </c>
      <c r="BO156" s="104">
        <v>0</v>
      </c>
      <c r="BP156" s="101">
        <v>1.0536900000000002</v>
      </c>
      <c r="BQ156" s="103">
        <v>1540427.6367900004</v>
      </c>
      <c r="BR156" s="371">
        <v>645056.97543000022</v>
      </c>
      <c r="BS156" s="371">
        <v>0</v>
      </c>
      <c r="BT156" s="103">
        <v>273998.28330000001</v>
      </c>
      <c r="BU156" s="103">
        <v>71053.792109999995</v>
      </c>
      <c r="BV156" s="103">
        <v>14860.923840000001</v>
      </c>
      <c r="BW156" s="103">
        <v>27864.232200000006</v>
      </c>
      <c r="BX156" s="103">
        <v>232666.33887000001</v>
      </c>
      <c r="BY156" s="103">
        <v>231737.53113000002</v>
      </c>
      <c r="BZ156" s="103">
        <v>0</v>
      </c>
      <c r="CA156" s="103">
        <v>0</v>
      </c>
      <c r="CB156" s="103">
        <v>0</v>
      </c>
      <c r="CC156" s="103">
        <v>43189.559910000011</v>
      </c>
      <c r="CD156" s="1">
        <v>1</v>
      </c>
      <c r="CF156" s="277">
        <f>SUMIF(Оборот!$A:$A,$B:$B,Оборот!H:H)</f>
        <v>1326251.24</v>
      </c>
      <c r="CG156" s="277">
        <f>SUMIF(Оборот!$A:$A,$B:$B,Оборот!I:I)</f>
        <v>1224186.3399999999</v>
      </c>
      <c r="CH156" s="277">
        <f t="shared" si="25"/>
        <v>1408821.4149009492</v>
      </c>
      <c r="CI156" s="239">
        <f t="shared" si="30"/>
        <v>143235.79911353142</v>
      </c>
      <c r="CJ156" s="276">
        <f>SUMIF('20Ф'!$H:$H,$B:$B,'20Ф'!M:M)*1.2</f>
        <v>0</v>
      </c>
      <c r="CK156" s="276">
        <f>SUMIF('20Ф'!$H:$H,$B:$B,'20Ф'!O:O)*1.2</f>
        <v>0</v>
      </c>
      <c r="CL156" s="276">
        <f>SUMIF('20Ф'!$H:$H,$B:$B,'20Ф'!Q:Q)*1.2</f>
        <v>0</v>
      </c>
      <c r="CM156" s="276">
        <f>SUMIF('20Ф'!$H:$H,$B:$B,'20Ф'!R:R)*1.2</f>
        <v>0</v>
      </c>
      <c r="CN156" s="276">
        <f>SUMIF('20Ф'!$H:$H,$B:$B,'20Ф'!S:S)*1.2</f>
        <v>0</v>
      </c>
      <c r="CO156" s="276">
        <f>SUMIF('20Ф'!$H:$H,$B:$B,'20Ф'!W:W)*1.2</f>
        <v>0</v>
      </c>
      <c r="CP156" s="276">
        <f>SUMIF('20Ф'!$H:$H,$B:$B,'20Ф'!P:P)*1.2</f>
        <v>0</v>
      </c>
      <c r="CQ156" s="276">
        <f>SUMIF('20Ф'!$H:$H,$B:$B,'20Ф'!Y:Y)*1.2</f>
        <v>0</v>
      </c>
      <c r="CR156" s="276">
        <f>SUMIF('20Ф'!$H:$H,$B:$B,'20Ф'!Z:Z)*1.2</f>
        <v>0</v>
      </c>
      <c r="CS156" s="276">
        <f>SUMIF('20Ф'!$H:$H,$B:$B,'20Ф'!AB:AB)*1.2</f>
        <v>0</v>
      </c>
      <c r="CT156" s="276">
        <f>SUMIF('20Ф'!$H:$H,$B:$B,'20Ф'!AC:AC)*1.2</f>
        <v>0</v>
      </c>
      <c r="CU156" s="276">
        <f>SUMIF('20Ф'!$H:$H,$B:$B,'20Ф'!AD:AD)*1.2</f>
        <v>0</v>
      </c>
      <c r="CV156" s="276">
        <f>SUMIF('20Ф'!$H:$H,$B:$B,'20Ф'!AE:AE)*1.2</f>
        <v>0</v>
      </c>
      <c r="CW156" s="276">
        <f>SUMIF('20Ф'!$H:$H,$B:$B,'20Ф'!AF:AF)*1.2</f>
        <v>0</v>
      </c>
      <c r="CX156" s="276">
        <f>SUMIF('20Ф'!$H:$H,$B:$B,'20Ф'!AG:AG)*1.2</f>
        <v>5909.268</v>
      </c>
      <c r="CY156" s="276">
        <f>SUMIF('20Ф'!$H:$H,$B:$B,'20Ф'!AH:AH)*1.2</f>
        <v>0</v>
      </c>
      <c r="CZ156" s="276">
        <f>SUMIF('20Ф'!$H:$H,$B:$B,'20Ф'!AI:AI)*1.2</f>
        <v>0</v>
      </c>
      <c r="DA156" s="276">
        <f>SUMIF('20Ф'!$H:$H,$B:$B,'20Ф'!AJ:AJ)*1.2</f>
        <v>106684.46399999999</v>
      </c>
      <c r="DB156" s="276">
        <f>SUMIF('20Ф'!$H:$H,$B:$B,'20Ф'!AK:AK)*1.2</f>
        <v>0</v>
      </c>
      <c r="DC156" s="276">
        <f>SUMIF('20Ф'!$H:$H,$B:$B,'20Ф'!AL:AL)*1.2</f>
        <v>0</v>
      </c>
      <c r="DD156" s="276">
        <f>SUMIF('20Ф'!$H:$H,$B:$B,'20Ф'!AM:AM)*1.2</f>
        <v>0</v>
      </c>
      <c r="DE156" s="276">
        <f>SUMIF('20Ф'!$H:$H,$B:$B,'20Ф'!AN:AN)*1.2</f>
        <v>0</v>
      </c>
      <c r="DF156" s="276">
        <f>SUMIF('20Ф'!$H:$H,$B:$B,'20Ф'!AO:AO)*1.2</f>
        <v>0</v>
      </c>
      <c r="DG156" s="276">
        <f>SUMIF('20Ф'!$H:$H,$B:$B,'20Ф'!AP:AP)*1.2</f>
        <v>0</v>
      </c>
      <c r="DH156" s="276">
        <f>SUMIF('20Ф'!$H:$H,$B:$B,'20Ф'!AQ:AQ)*1.2</f>
        <v>0</v>
      </c>
      <c r="DI156" s="276">
        <f>SUMIF('20Ф'!$H:$H,$B:$B,'20Ф'!BA:BA)*1.2</f>
        <v>0</v>
      </c>
      <c r="DJ156" s="276">
        <f>SUMIF('20Ф'!$H:$H,$B:$B,'20Ф'!BB:BB)*1.2</f>
        <v>0</v>
      </c>
      <c r="DK156" s="276">
        <f>SUMIF('20Ф'!$H:$H,$B:$B,'20Ф'!BC:BC)*1.2</f>
        <v>0</v>
      </c>
      <c r="DL156" s="276">
        <f>$D156/$D$281*'20Ф'!$H$218</f>
        <v>30642.067113531426</v>
      </c>
      <c r="DM156" s="240">
        <f t="shared" si="26"/>
        <v>435583.87004921545</v>
      </c>
      <c r="DN156" s="276">
        <f>SUMIF('20Ф'!$H:$H,$B:$B,'20Ф'!AV:AV)*1.2</f>
        <v>0</v>
      </c>
      <c r="DO156" s="276">
        <f>SUMIF('20Ф'!$H:$H,$B:$B,'20Ф'!AW:AW)*1.2+$D156/$D$281*'26Ф'!$D$42</f>
        <v>16306.121957951542</v>
      </c>
      <c r="DP156" s="276">
        <f>SUMIF('20Ф'!$H:$H,$B:$B,'20Ф'!AX:AX)*1.2</f>
        <v>0</v>
      </c>
      <c r="DQ156" s="276">
        <f>SUMIF('20Ф'!$H:$H,$B:$B,'20Ф'!AY:AY)*1.2</f>
        <v>60622.5</v>
      </c>
      <c r="DR156" s="276">
        <f>SUMIF('20Ф'!$H:$H,$B:$B,'20Ф'!AU:AU)*1.2</f>
        <v>0</v>
      </c>
      <c r="DS156" s="276">
        <f>SUMIF('20Ф'!$H:$H,$B:$B,'20Ф'!AS:AS)*1.2</f>
        <v>71017.883999999991</v>
      </c>
      <c r="DT156" s="276">
        <f>SUMIF('20Ф'!$H:$H,$B:$B,'20Ф'!AR:AR)*1.2</f>
        <v>0</v>
      </c>
      <c r="DU156" s="276">
        <f>SUMIF('20Ф'!$H:$H,$B:$B,'20Ф'!X:X)*1.2</f>
        <v>0</v>
      </c>
      <c r="DV156" s="276">
        <f>SUMIF('20Ф'!$H:$H,$B:$B,'20Ф'!AA:AA)*1.2</f>
        <v>0</v>
      </c>
      <c r="DW156" s="276">
        <f>SUMIF('20Ф'!$H:$H,$B:$B,'20Ф'!N:N)*1.2</f>
        <v>0</v>
      </c>
      <c r="DX156" s="276">
        <f>$D156/$D$281*('25Ф'!$D$37)</f>
        <v>274085.51077248884</v>
      </c>
      <c r="DY156" s="276">
        <f>$D156/$D$281*'25Ф'!$D$30</f>
        <v>8747.9491003687563</v>
      </c>
      <c r="DZ156" s="276">
        <f>$D156/$D$281*'25Ф'!$D$31</f>
        <v>4803.9042184063001</v>
      </c>
      <c r="EA156" s="276"/>
      <c r="EB156" s="276">
        <f t="shared" si="27"/>
        <v>172678.17357485835</v>
      </c>
      <c r="EC156" s="276">
        <f>$D156/$D$281*'26Ф'!$D$36</f>
        <v>89884.550405083239</v>
      </c>
      <c r="ED156" s="276">
        <f>$D156/$D$281*'26Ф'!$D$37</f>
        <v>10799.532732599462</v>
      </c>
      <c r="EE156" s="276">
        <f>$D156/$D$281*'26Ф'!$D$38</f>
        <v>10910.292567660415</v>
      </c>
      <c r="EF156" s="276">
        <f>$D156/$D$281*'26Ф'!$D$39</f>
        <v>7653.5602786473364</v>
      </c>
      <c r="EG156" s="276">
        <f>$D156/$D$281*'91Ф'!$D$10</f>
        <v>2361.1201628896565</v>
      </c>
      <c r="EH156" s="276">
        <f>$D156/$D$281*('20Ф'!$I$509+'26Ф'!$D$41+'20Ф'!$I$507)</f>
        <v>16704.147672376806</v>
      </c>
      <c r="EI156" s="276">
        <f>$D156/$D$281*'91Ф'!$D$31</f>
        <v>30621.156183678304</v>
      </c>
      <c r="EJ156" s="276">
        <f>$D156/$D$281*'20Ф'!$I$1316</f>
        <v>3743.813571923125</v>
      </c>
      <c r="EK156" s="276">
        <f>$D156/$D$281*('20Ф'!$I$1105+'20Ф'!$I$1282+'91Ф'!$D$17+'91Ф'!$D$41)</f>
        <v>122951.00868521024</v>
      </c>
      <c r="EL156" s="276">
        <f>$D156/$D$281*отчёт!BX$294</f>
        <v>205536.58939059864</v>
      </c>
      <c r="EM156" s="276">
        <f>$D156/$D$281*отчёт!BY$294</f>
        <v>180758.39756780278</v>
      </c>
      <c r="EN156" s="276">
        <f>SUMIF(отчёт!$B:$B,$B:$B,отчёт!BZ:BZ)/отчёт!BZ$281*('60Ф'!$O$151+'60Ф'!$P$151)*отчёт!BZ$293</f>
        <v>0</v>
      </c>
      <c r="EO156" s="240">
        <f t="shared" si="28"/>
        <v>0</v>
      </c>
      <c r="EP156" s="276">
        <f>SUMIF('20Ф'!$H:$H,$B:$B,'20Ф'!T:T)*1.2</f>
        <v>0</v>
      </c>
      <c r="EQ156" s="276">
        <f>SUMIF('20Ф'!$H:$H,$B:$B,'20Ф'!U:U)*1.2</f>
        <v>0</v>
      </c>
      <c r="ER156" s="236"/>
      <c r="ES156" s="239">
        <f t="shared" si="31"/>
        <v>68793.174750977254</v>
      </c>
      <c r="ET156" s="276">
        <f>$D156/$D$282*'20Ф'!$I$381</f>
        <v>5257.9282585285473</v>
      </c>
      <c r="EU156" s="276">
        <f>$D156/$D$282*('20Ф'!$I$75+'20Ф'!$I$1098)*1.2</f>
        <v>60731.405524464499</v>
      </c>
      <c r="EV156" s="276">
        <f>$D156/$D$282*('20Ф'!$I$1286)</f>
        <v>2803.8409679841957</v>
      </c>
      <c r="EW156" s="276">
        <f>SUMIF('91.1Ф'!$N:$N,$B:$B,'91.1Ф'!$F:$F)+$D156/$D$281*('91Ф'!$D$12+'91Ф'!$D$11+'91Ф'!$D$19+'91Ф'!$D$20)</f>
        <v>16204.341984031984</v>
      </c>
      <c r="EX156" s="276">
        <f t="shared" si="29"/>
        <v>63080.059784723198</v>
      </c>
      <c r="EY156" s="276">
        <f>SUMIF('20Ф'!$H:$H,$B:$B,'20Ф'!$AY:$AY)*1.2</f>
        <v>60622.5</v>
      </c>
      <c r="EZ156" s="295">
        <f>D156/$D$286*'20Ф'!$I$1163</f>
        <v>2457.5597847232016</v>
      </c>
      <c r="FA156" s="277">
        <f>SUMIF(отчёт!$B:$B,$B:$B,отчёт!$CU:$CU)/отчёт!$CU$281*'20Ф'!$I$1341</f>
        <v>3683.8554216867401</v>
      </c>
      <c r="FB156" s="276">
        <f>SUMIF(Сальдо!$A:$A,$B:$B,Сальдо!$H:$H)-SUMIF(Сальдо!$A:$A,$B:$B,Сальдо!$I:$I)</f>
        <v>584290.88</v>
      </c>
    </row>
    <row r="157" spans="1:158" ht="12" customHeight="1" x14ac:dyDescent="0.25">
      <c r="A157" s="3">
        <f t="shared" si="32"/>
        <v>153</v>
      </c>
      <c r="B157" s="4" t="s">
        <v>202</v>
      </c>
      <c r="C157" s="4" t="s">
        <v>202</v>
      </c>
      <c r="D157" s="5">
        <v>4951.3999999999996</v>
      </c>
      <c r="E157" s="6">
        <v>4951.3999999999996</v>
      </c>
      <c r="F157" s="6">
        <v>0</v>
      </c>
      <c r="G157" s="6">
        <v>456</v>
      </c>
      <c r="H157" s="5">
        <f>SUMIF(отчёт!$B:$B,$B:$B,отчёт!I:I)</f>
        <v>0</v>
      </c>
      <c r="I157" s="5">
        <f>SUMIF(отчёт!$B:$B,$B:$B,отчёт!J:J)</f>
        <v>0</v>
      </c>
      <c r="J157" s="3" t="s">
        <v>51</v>
      </c>
      <c r="K157" s="105">
        <v>7</v>
      </c>
      <c r="L157" s="105" t="s">
        <v>52</v>
      </c>
      <c r="M157" s="7">
        <v>31</v>
      </c>
      <c r="N157" s="8">
        <v>5.0999999999999996</v>
      </c>
      <c r="O157" s="8">
        <v>6.59</v>
      </c>
      <c r="P157" s="8">
        <v>8.98</v>
      </c>
      <c r="Q157" s="8">
        <v>6.92</v>
      </c>
      <c r="R157" s="8">
        <v>3.15</v>
      </c>
      <c r="S157" s="8">
        <v>0</v>
      </c>
      <c r="T157" s="8">
        <v>0</v>
      </c>
      <c r="U157" s="8">
        <v>0.26</v>
      </c>
      <c r="V157" s="9">
        <v>40</v>
      </c>
      <c r="W157" s="9">
        <v>40</v>
      </c>
      <c r="X157" s="9">
        <v>2604.04</v>
      </c>
      <c r="Y157" s="8">
        <v>195.98199600000001</v>
      </c>
      <c r="Z157" s="9">
        <v>42.3</v>
      </c>
      <c r="AA157" s="9">
        <v>2604.04</v>
      </c>
      <c r="AB157" s="8">
        <v>7.85</v>
      </c>
      <c r="AC157" s="10">
        <v>0</v>
      </c>
      <c r="AD157" s="8">
        <v>6.73</v>
      </c>
      <c r="AE157" s="8">
        <v>10.67</v>
      </c>
      <c r="AF157" s="8">
        <v>14</v>
      </c>
      <c r="AG157" s="7">
        <v>920960.39999999991</v>
      </c>
      <c r="AH157" s="8">
        <v>151512.83999999997</v>
      </c>
      <c r="AI157" s="8">
        <v>195778.35599999997</v>
      </c>
      <c r="AJ157" s="8">
        <v>266781.43200000003</v>
      </c>
      <c r="AK157" s="8">
        <v>205582.12799999997</v>
      </c>
      <c r="AL157" s="8">
        <v>93581.459999999992</v>
      </c>
      <c r="AM157" s="8">
        <v>0</v>
      </c>
      <c r="AN157" s="8">
        <v>0</v>
      </c>
      <c r="AO157" s="8">
        <v>7724.1840000000002</v>
      </c>
      <c r="AQ157" s="104">
        <v>33.17</v>
      </c>
      <c r="AR157" s="375">
        <v>13.89</v>
      </c>
      <c r="AS157" s="376"/>
      <c r="AT157" s="104">
        <v>5.9</v>
      </c>
      <c r="AU157" s="104">
        <v>1.53</v>
      </c>
      <c r="AV157" s="104">
        <v>0.32</v>
      </c>
      <c r="AW157" s="104">
        <v>0.6</v>
      </c>
      <c r="AX157" s="104">
        <v>5.01</v>
      </c>
      <c r="AY157" s="104">
        <v>4.99</v>
      </c>
      <c r="AZ157" s="104">
        <v>0</v>
      </c>
      <c r="BA157" s="104">
        <v>0</v>
      </c>
      <c r="BB157" s="104">
        <v>0</v>
      </c>
      <c r="BC157" s="101">
        <v>0.93</v>
      </c>
      <c r="BD157" s="104">
        <v>37.581610000000005</v>
      </c>
      <c r="BE157" s="375">
        <v>15.737370000000004</v>
      </c>
      <c r="BF157" s="376">
        <v>0</v>
      </c>
      <c r="BG157" s="104">
        <v>6.6847000000000012</v>
      </c>
      <c r="BH157" s="104">
        <v>1.7334900000000002</v>
      </c>
      <c r="BI157" s="104">
        <v>0.36256000000000005</v>
      </c>
      <c r="BJ157" s="104">
        <v>0.67980000000000007</v>
      </c>
      <c r="BK157" s="104">
        <v>5.6763300000000001</v>
      </c>
      <c r="BL157" s="104">
        <v>5.65367</v>
      </c>
      <c r="BM157" s="104">
        <v>0</v>
      </c>
      <c r="BN157" s="104">
        <v>0</v>
      </c>
      <c r="BO157" s="104">
        <v>0</v>
      </c>
      <c r="BP157" s="101">
        <v>1.0536900000000002</v>
      </c>
      <c r="BQ157" s="103">
        <v>2189291.7135399999</v>
      </c>
      <c r="BR157" s="371">
        <v>916770.03018000012</v>
      </c>
      <c r="BS157" s="371">
        <v>0</v>
      </c>
      <c r="BT157" s="103">
        <v>389412.75579999998</v>
      </c>
      <c r="BU157" s="103">
        <v>100983.30785999999</v>
      </c>
      <c r="BV157" s="103">
        <v>21120.69184</v>
      </c>
      <c r="BW157" s="103">
        <v>39601.297200000001</v>
      </c>
      <c r="BX157" s="103">
        <v>330670.83161999995</v>
      </c>
      <c r="BY157" s="103">
        <v>329350.78837999998</v>
      </c>
      <c r="BZ157" s="103">
        <v>0</v>
      </c>
      <c r="CA157" s="103">
        <v>0</v>
      </c>
      <c r="CB157" s="103">
        <v>0</v>
      </c>
      <c r="CC157" s="103">
        <v>61382.010660000007</v>
      </c>
      <c r="CD157" s="1">
        <v>1</v>
      </c>
      <c r="CF157" s="277">
        <f>SUMIF(Оборот!$A:$A,$B:$B,Оборот!H:H)</f>
        <v>1885127.52</v>
      </c>
      <c r="CG157" s="277">
        <f>SUMIF(Оборот!$A:$A,$B:$B,Оборот!I:I)</f>
        <v>1946452.2599999998</v>
      </c>
      <c r="CH157" s="277">
        <f t="shared" si="25"/>
        <v>2070919.4085660779</v>
      </c>
      <c r="CI157" s="239">
        <f t="shared" si="30"/>
        <v>185217.70501838156</v>
      </c>
      <c r="CJ157" s="276">
        <f>SUMIF('20Ф'!$H:$H,$B:$B,'20Ф'!M:M)*1.2</f>
        <v>0</v>
      </c>
      <c r="CK157" s="276">
        <f>SUMIF('20Ф'!$H:$H,$B:$B,'20Ф'!O:O)*1.2</f>
        <v>0</v>
      </c>
      <c r="CL157" s="276">
        <f>SUMIF('20Ф'!$H:$H,$B:$B,'20Ф'!Q:Q)*1.2</f>
        <v>0</v>
      </c>
      <c r="CM157" s="276">
        <f>SUMIF('20Ф'!$H:$H,$B:$B,'20Ф'!R:R)*1.2</f>
        <v>0</v>
      </c>
      <c r="CN157" s="276">
        <f>SUMIF('20Ф'!$H:$H,$B:$B,'20Ф'!S:S)*1.2</f>
        <v>0</v>
      </c>
      <c r="CO157" s="276">
        <f>SUMIF('20Ф'!$H:$H,$B:$B,'20Ф'!W:W)*1.2</f>
        <v>0</v>
      </c>
      <c r="CP157" s="276">
        <f>SUMIF('20Ф'!$H:$H,$B:$B,'20Ф'!P:P)*1.2</f>
        <v>0</v>
      </c>
      <c r="CQ157" s="276">
        <f>SUMIF('20Ф'!$H:$H,$B:$B,'20Ф'!Y:Y)*1.2</f>
        <v>0</v>
      </c>
      <c r="CR157" s="276">
        <f>SUMIF('20Ф'!$H:$H,$B:$B,'20Ф'!Z:Z)*1.2</f>
        <v>0</v>
      </c>
      <c r="CS157" s="276">
        <f>SUMIF('20Ф'!$H:$H,$B:$B,'20Ф'!AB:AB)*1.2</f>
        <v>0</v>
      </c>
      <c r="CT157" s="276">
        <f>SUMIF('20Ф'!$H:$H,$B:$B,'20Ф'!AC:AC)*1.2</f>
        <v>0</v>
      </c>
      <c r="CU157" s="276">
        <f>SUMIF('20Ф'!$H:$H,$B:$B,'20Ф'!AD:AD)*1.2</f>
        <v>0</v>
      </c>
      <c r="CV157" s="276">
        <f>SUMIF('20Ф'!$H:$H,$B:$B,'20Ф'!AE:AE)*1.2</f>
        <v>0</v>
      </c>
      <c r="CW157" s="276">
        <f>SUMIF('20Ф'!$H:$H,$B:$B,'20Ф'!AF:AF)*1.2</f>
        <v>0</v>
      </c>
      <c r="CX157" s="276">
        <f>SUMIF('20Ф'!$H:$H,$B:$B,'20Ф'!AG:AG)*1.2</f>
        <v>24712.080000000002</v>
      </c>
      <c r="CY157" s="276">
        <f>SUMIF('20Ф'!$H:$H,$B:$B,'20Ф'!AH:AH)*1.2</f>
        <v>0</v>
      </c>
      <c r="CZ157" s="276">
        <f>SUMIF('20Ф'!$H:$H,$B:$B,'20Ф'!AI:AI)*1.2</f>
        <v>0</v>
      </c>
      <c r="DA157" s="276">
        <f>SUMIF('20Ф'!$H:$H,$B:$B,'20Ф'!AJ:AJ)*1.2</f>
        <v>72225.911999999997</v>
      </c>
      <c r="DB157" s="276">
        <f>SUMIF('20Ф'!$H:$H,$B:$B,'20Ф'!AK:AK)*1.2</f>
        <v>0</v>
      </c>
      <c r="DC157" s="276">
        <f>SUMIF('20Ф'!$H:$H,$B:$B,'20Ф'!AL:AL)*1.2</f>
        <v>0</v>
      </c>
      <c r="DD157" s="276">
        <f>SUMIF('20Ф'!$H:$H,$B:$B,'20Ф'!AM:AM)*1.2</f>
        <v>0</v>
      </c>
      <c r="DE157" s="276">
        <f>SUMIF('20Ф'!$H:$H,$B:$B,'20Ф'!AN:AN)*1.2</f>
        <v>0</v>
      </c>
      <c r="DF157" s="276">
        <f>SUMIF('20Ф'!$H:$H,$B:$B,'20Ф'!AO:AO)*1.2</f>
        <v>0</v>
      </c>
      <c r="DG157" s="276">
        <f>SUMIF('20Ф'!$H:$H,$B:$B,'20Ф'!AP:AP)*1.2</f>
        <v>0</v>
      </c>
      <c r="DH157" s="276">
        <f>SUMIF('20Ф'!$H:$H,$B:$B,'20Ф'!AQ:AQ)*1.2</f>
        <v>44730.492000000006</v>
      </c>
      <c r="DI157" s="276">
        <f>SUMIF('20Ф'!$H:$H,$B:$B,'20Ф'!BA:BA)*1.2</f>
        <v>0</v>
      </c>
      <c r="DJ157" s="276">
        <f>SUMIF('20Ф'!$H:$H,$B:$B,'20Ф'!BB:BB)*1.2</f>
        <v>0</v>
      </c>
      <c r="DK157" s="276">
        <f>SUMIF('20Ф'!$H:$H,$B:$B,'20Ф'!BC:BC)*1.2</f>
        <v>0</v>
      </c>
      <c r="DL157" s="276">
        <f>$D157/$D$281*'20Ф'!$H$218</f>
        <v>43549.221018381555</v>
      </c>
      <c r="DM157" s="240">
        <f t="shared" si="26"/>
        <v>688339.30091784638</v>
      </c>
      <c r="DN157" s="276">
        <f>SUMIF('20Ф'!$H:$H,$B:$B,'20Ф'!AV:AV)*1.2</f>
        <v>0</v>
      </c>
      <c r="DO157" s="276">
        <f>SUMIF('20Ф'!$H:$H,$B:$B,'20Ф'!AW:AW)*1.2+$D157/$D$281*'26Ф'!$D$42</f>
        <v>23174.641138551986</v>
      </c>
      <c r="DP157" s="276">
        <f>SUMIF('20Ф'!$H:$H,$B:$B,'20Ф'!AX:AX)*1.2</f>
        <v>0</v>
      </c>
      <c r="DQ157" s="276">
        <f>SUMIF('20Ф'!$H:$H,$B:$B,'20Ф'!AY:AY)*1.2</f>
        <v>103902.66</v>
      </c>
      <c r="DR157" s="276">
        <f>SUMIF('20Ф'!$H:$H,$B:$B,'20Ф'!AU:AU)*1.2</f>
        <v>0</v>
      </c>
      <c r="DS157" s="276">
        <f>SUMIF('20Ф'!$H:$H,$B:$B,'20Ф'!AS:AS)*1.2</f>
        <v>72977.796000000002</v>
      </c>
      <c r="DT157" s="276">
        <f>SUMIF('20Ф'!$H:$H,$B:$B,'20Ф'!AR:AR)*1.2</f>
        <v>0</v>
      </c>
      <c r="DU157" s="276">
        <f>SUMIF('20Ф'!$H:$H,$B:$B,'20Ф'!X:X)*1.2</f>
        <v>79487.267999999996</v>
      </c>
      <c r="DV157" s="276">
        <f>SUMIF('20Ф'!$H:$H,$B:$B,'20Ф'!AA:AA)*1.2</f>
        <v>0</v>
      </c>
      <c r="DW157" s="276">
        <f>SUMIF('20Ф'!$H:$H,$B:$B,'20Ф'!N:N)*1.2</f>
        <v>0</v>
      </c>
      <c r="DX157" s="276">
        <f>$D157/$D$281*('25Ф'!$D$37)</f>
        <v>389536.72551993484</v>
      </c>
      <c r="DY157" s="276">
        <f>$D157/$D$281*'25Ф'!$D$30</f>
        <v>12432.789453074387</v>
      </c>
      <c r="DZ157" s="276">
        <f>$D157/$D$281*'25Ф'!$D$31</f>
        <v>6827.420806285184</v>
      </c>
      <c r="EA157" s="276"/>
      <c r="EB157" s="276">
        <f t="shared" si="27"/>
        <v>245414.25087934601</v>
      </c>
      <c r="EC157" s="276">
        <f>$D157/$D$281*'26Ф'!$D$36</f>
        <v>127746.02109007984</v>
      </c>
      <c r="ED157" s="276">
        <f>$D157/$D$281*'26Ф'!$D$37</f>
        <v>15348.54799856281</v>
      </c>
      <c r="EE157" s="276">
        <f>$D157/$D$281*'26Ф'!$D$38</f>
        <v>15505.962461469553</v>
      </c>
      <c r="EF157" s="276">
        <f>$D157/$D$281*'26Ф'!$D$39</f>
        <v>10877.418514795034</v>
      </c>
      <c r="EG157" s="276">
        <f>$D157/$D$281*'91Ф'!$D$10</f>
        <v>3355.6790879565556</v>
      </c>
      <c r="EH157" s="276">
        <f>$D157/$D$281*('20Ф'!$I$509+'26Ф'!$D$41+'20Ф'!$I$507)</f>
        <v>23740.324574473005</v>
      </c>
      <c r="EI157" s="276">
        <f>$D157/$D$281*'91Ф'!$D$31</f>
        <v>43519.501916778536</v>
      </c>
      <c r="EJ157" s="276">
        <f>$D157/$D$281*'20Ф'!$I$1316</f>
        <v>5320.7952352306784</v>
      </c>
      <c r="EK157" s="276">
        <f>$D157/$D$281*('20Ф'!$I$1105+'20Ф'!$I$1282+'91Ф'!$D$17+'91Ф'!$D$41)</f>
        <v>174740.84342373488</v>
      </c>
      <c r="EL157" s="276">
        <f>$D157/$D$281*отчёт!BX$294</f>
        <v>292113.39840655873</v>
      </c>
      <c r="EM157" s="276">
        <f>$D157/$D$281*отчёт!BY$294</f>
        <v>256898.05382393827</v>
      </c>
      <c r="EN157" s="276">
        <f>SUMIF(отчёт!$B:$B,$B:$B,отчёт!BZ:BZ)/отчёт!BZ$281*('60Ф'!$O$151+'60Ф'!$P$151)*отчёт!BZ$293</f>
        <v>0</v>
      </c>
      <c r="EO157" s="240">
        <f t="shared" si="28"/>
        <v>0</v>
      </c>
      <c r="EP157" s="276">
        <f>SUMIF('20Ф'!$H:$H,$B:$B,'20Ф'!T:T)*1.2</f>
        <v>0</v>
      </c>
      <c r="EQ157" s="276">
        <f>SUMIF('20Ф'!$H:$H,$B:$B,'20Ф'!U:U)*1.2</f>
        <v>0</v>
      </c>
      <c r="ER157" s="236"/>
      <c r="ES157" s="239">
        <f t="shared" si="31"/>
        <v>97770.46570280107</v>
      </c>
      <c r="ET157" s="276">
        <f>$D157/$D$282*'20Ф'!$I$381</f>
        <v>7472.6903697804892</v>
      </c>
      <c r="EU157" s="276">
        <f>$D157/$D$282*('20Ф'!$I$75+'20Ф'!$I$1098)*1.2</f>
        <v>86312.891103026326</v>
      </c>
      <c r="EV157" s="276">
        <f>$D157/$D$282*('20Ф'!$I$1286)</f>
        <v>3984.8842299942435</v>
      </c>
      <c r="EW157" s="276">
        <f>SUMIF('91.1Ф'!$N:$N,$B:$B,'91.1Ф'!$F:$F)+$D157/$D$281*('91Ф'!$D$12+'91Ф'!$D$11+'91Ф'!$D$19+'91Ф'!$D$20)</f>
        <v>23029.989063904235</v>
      </c>
      <c r="EX157" s="276">
        <f t="shared" si="29"/>
        <v>107395.401329567</v>
      </c>
      <c r="EY157" s="276">
        <f>SUMIF('20Ф'!$H:$H,$B:$B,'20Ф'!$AY:$AY)*1.2</f>
        <v>103902.66</v>
      </c>
      <c r="EZ157" s="295">
        <f>D157/$D$286*'20Ф'!$I$1163</f>
        <v>3492.7413295669967</v>
      </c>
      <c r="FA157" s="277">
        <f>SUMIF(отчёт!$B:$B,$B:$B,отчёт!$CU:$CU)/отчёт!$CU$281*'20Ф'!$I$1341</f>
        <v>0</v>
      </c>
      <c r="FB157" s="276">
        <f>SUMIF(Сальдо!$A:$A,$B:$B,Сальдо!$H:$H)-SUMIF(Сальдо!$A:$A,$B:$B,Сальдо!$I:$I)</f>
        <v>584688.27</v>
      </c>
    </row>
    <row r="158" spans="1:158" ht="12" customHeight="1" x14ac:dyDescent="0.25">
      <c r="A158" s="3">
        <f t="shared" si="32"/>
        <v>154</v>
      </c>
      <c r="B158" s="4" t="s">
        <v>203</v>
      </c>
      <c r="C158" s="4" t="s">
        <v>203</v>
      </c>
      <c r="D158" s="5">
        <v>4883.7</v>
      </c>
      <c r="E158" s="6">
        <v>4883.7</v>
      </c>
      <c r="F158" s="6">
        <v>0</v>
      </c>
      <c r="G158" s="6">
        <v>716.4</v>
      </c>
      <c r="H158" s="5">
        <f>SUMIF(отчёт!$B:$B,$B:$B,отчёт!I:I)</f>
        <v>0</v>
      </c>
      <c r="I158" s="5">
        <f>SUMIF(отчёт!$B:$B,$B:$B,отчёт!J:J)</f>
        <v>0</v>
      </c>
      <c r="J158" s="3" t="s">
        <v>51</v>
      </c>
      <c r="K158" s="105">
        <v>7</v>
      </c>
      <c r="L158" s="105" t="s">
        <v>52</v>
      </c>
      <c r="M158" s="7">
        <v>31</v>
      </c>
      <c r="N158" s="8">
        <v>5.0999999999999996</v>
      </c>
      <c r="O158" s="8">
        <v>6.59</v>
      </c>
      <c r="P158" s="8">
        <v>8.98</v>
      </c>
      <c r="Q158" s="8">
        <v>6.92</v>
      </c>
      <c r="R158" s="8">
        <v>3.15</v>
      </c>
      <c r="S158" s="8">
        <v>0</v>
      </c>
      <c r="T158" s="8">
        <v>0</v>
      </c>
      <c r="U158" s="8">
        <v>0.26</v>
      </c>
      <c r="V158" s="9">
        <v>40</v>
      </c>
      <c r="W158" s="9">
        <v>40</v>
      </c>
      <c r="X158" s="9">
        <v>2604.04</v>
      </c>
      <c r="Y158" s="8">
        <v>195.98199600000001</v>
      </c>
      <c r="Z158" s="9">
        <v>42.3</v>
      </c>
      <c r="AA158" s="9">
        <v>2604.04</v>
      </c>
      <c r="AB158" s="8">
        <v>7.85</v>
      </c>
      <c r="AC158" s="10">
        <v>0</v>
      </c>
      <c r="AD158" s="8">
        <v>6.73</v>
      </c>
      <c r="AE158" s="8">
        <v>10.67</v>
      </c>
      <c r="AF158" s="8">
        <v>14</v>
      </c>
      <c r="AG158" s="7">
        <v>908368.2</v>
      </c>
      <c r="AH158" s="8">
        <v>149441.22</v>
      </c>
      <c r="AI158" s="8">
        <v>193101.49799999999</v>
      </c>
      <c r="AJ158" s="8">
        <v>263133.75600000005</v>
      </c>
      <c r="AK158" s="8">
        <v>202771.22399999999</v>
      </c>
      <c r="AL158" s="8">
        <v>92301.93</v>
      </c>
      <c r="AM158" s="8">
        <v>0</v>
      </c>
      <c r="AN158" s="8">
        <v>0</v>
      </c>
      <c r="AO158" s="8">
        <v>7618.5720000000001</v>
      </c>
      <c r="AQ158" s="104">
        <v>33.17</v>
      </c>
      <c r="AR158" s="375">
        <v>13.89</v>
      </c>
      <c r="AS158" s="376"/>
      <c r="AT158" s="104">
        <v>5.9</v>
      </c>
      <c r="AU158" s="104">
        <v>1.53</v>
      </c>
      <c r="AV158" s="104">
        <v>0.32</v>
      </c>
      <c r="AW158" s="104">
        <v>0.6</v>
      </c>
      <c r="AX158" s="104">
        <v>5.01</v>
      </c>
      <c r="AY158" s="104">
        <v>4.99</v>
      </c>
      <c r="AZ158" s="104">
        <v>0</v>
      </c>
      <c r="BA158" s="104">
        <v>0</v>
      </c>
      <c r="BB158" s="104">
        <v>0</v>
      </c>
      <c r="BC158" s="101">
        <v>0.93</v>
      </c>
      <c r="BD158" s="104">
        <v>37.581610000000005</v>
      </c>
      <c r="BE158" s="375">
        <v>15.737370000000004</v>
      </c>
      <c r="BF158" s="376">
        <v>0</v>
      </c>
      <c r="BG158" s="104">
        <v>6.6847000000000012</v>
      </c>
      <c r="BH158" s="104">
        <v>1.7334900000000002</v>
      </c>
      <c r="BI158" s="104">
        <v>0.36256000000000005</v>
      </c>
      <c r="BJ158" s="104">
        <v>0.67980000000000007</v>
      </c>
      <c r="BK158" s="104">
        <v>5.6763300000000001</v>
      </c>
      <c r="BL158" s="104">
        <v>5.65367</v>
      </c>
      <c r="BM158" s="104">
        <v>0</v>
      </c>
      <c r="BN158" s="104">
        <v>0</v>
      </c>
      <c r="BO158" s="104">
        <v>0</v>
      </c>
      <c r="BP158" s="101">
        <v>1.0536900000000002</v>
      </c>
      <c r="BQ158" s="103">
        <v>2159357.7455700003</v>
      </c>
      <c r="BR158" s="371">
        <v>904235.1246900002</v>
      </c>
      <c r="BS158" s="371">
        <v>0</v>
      </c>
      <c r="BT158" s="103">
        <v>384088.35389999999</v>
      </c>
      <c r="BU158" s="103">
        <v>99602.57312999999</v>
      </c>
      <c r="BV158" s="103">
        <v>20831.91072</v>
      </c>
      <c r="BW158" s="103">
        <v>39059.832600000002</v>
      </c>
      <c r="BX158" s="103">
        <v>326149.60220999998</v>
      </c>
      <c r="BY158" s="103">
        <v>324847.60778999998</v>
      </c>
      <c r="BZ158" s="103">
        <v>0</v>
      </c>
      <c r="CA158" s="103">
        <v>0</v>
      </c>
      <c r="CB158" s="103">
        <v>0</v>
      </c>
      <c r="CC158" s="103">
        <v>60542.74053000001</v>
      </c>
      <c r="CD158" s="1">
        <v>1</v>
      </c>
      <c r="CF158" s="277">
        <f>SUMIF(Оборот!$A:$A,$B:$B,Оборот!H:H)</f>
        <v>1873331.4099999995</v>
      </c>
      <c r="CG158" s="277">
        <f>SUMIF(Оборот!$A:$A,$B:$B,Оборот!I:I)</f>
        <v>1842851.3999999997</v>
      </c>
      <c r="CH158" s="277">
        <f t="shared" si="25"/>
        <v>1957829.0736013565</v>
      </c>
      <c r="CI158" s="239">
        <f t="shared" si="30"/>
        <v>189277.06084846106</v>
      </c>
      <c r="CJ158" s="276">
        <f>SUMIF('20Ф'!$H:$H,$B:$B,'20Ф'!M:M)*1.2</f>
        <v>0</v>
      </c>
      <c r="CK158" s="276">
        <f>SUMIF('20Ф'!$H:$H,$B:$B,'20Ф'!O:O)*1.2</f>
        <v>0</v>
      </c>
      <c r="CL158" s="276">
        <f>SUMIF('20Ф'!$H:$H,$B:$B,'20Ф'!Q:Q)*1.2</f>
        <v>0</v>
      </c>
      <c r="CM158" s="276">
        <f>SUMIF('20Ф'!$H:$H,$B:$B,'20Ф'!R:R)*1.2</f>
        <v>0</v>
      </c>
      <c r="CN158" s="276">
        <f>SUMIF('20Ф'!$H:$H,$B:$B,'20Ф'!S:S)*1.2</f>
        <v>0</v>
      </c>
      <c r="CO158" s="276">
        <f>SUMIF('20Ф'!$H:$H,$B:$B,'20Ф'!W:W)*1.2</f>
        <v>0</v>
      </c>
      <c r="CP158" s="276">
        <f>SUMIF('20Ф'!$H:$H,$B:$B,'20Ф'!P:P)*1.2</f>
        <v>0</v>
      </c>
      <c r="CQ158" s="276">
        <f>SUMIF('20Ф'!$H:$H,$B:$B,'20Ф'!Y:Y)*1.2</f>
        <v>0</v>
      </c>
      <c r="CR158" s="276">
        <f>SUMIF('20Ф'!$H:$H,$B:$B,'20Ф'!Z:Z)*1.2</f>
        <v>0</v>
      </c>
      <c r="CS158" s="276">
        <f>SUMIF('20Ф'!$H:$H,$B:$B,'20Ф'!AB:AB)*1.2</f>
        <v>0</v>
      </c>
      <c r="CT158" s="276">
        <f>SUMIF('20Ф'!$H:$H,$B:$B,'20Ф'!AC:AC)*1.2</f>
        <v>0</v>
      </c>
      <c r="CU158" s="276">
        <f>SUMIF('20Ф'!$H:$H,$B:$B,'20Ф'!AD:AD)*1.2</f>
        <v>0</v>
      </c>
      <c r="CV158" s="276">
        <f>SUMIF('20Ф'!$H:$H,$B:$B,'20Ф'!AE:AE)*1.2</f>
        <v>0</v>
      </c>
      <c r="CW158" s="276">
        <f>SUMIF('20Ф'!$H:$H,$B:$B,'20Ф'!AF:AF)*1.2</f>
        <v>0</v>
      </c>
      <c r="CX158" s="276">
        <f>SUMIF('20Ф'!$H:$H,$B:$B,'20Ф'!AG:AG)*1.2</f>
        <v>0</v>
      </c>
      <c r="CY158" s="276">
        <f>SUMIF('20Ф'!$H:$H,$B:$B,'20Ф'!AH:AH)*1.2</f>
        <v>0</v>
      </c>
      <c r="CZ158" s="276">
        <f>SUMIF('20Ф'!$H:$H,$B:$B,'20Ф'!AI:AI)*1.2</f>
        <v>146323.28400000001</v>
      </c>
      <c r="DA158" s="276">
        <f>SUMIF('20Ф'!$H:$H,$B:$B,'20Ф'!AJ:AJ)*1.2</f>
        <v>0</v>
      </c>
      <c r="DB158" s="276">
        <f>SUMIF('20Ф'!$H:$H,$B:$B,'20Ф'!AK:AK)*1.2</f>
        <v>0</v>
      </c>
      <c r="DC158" s="276">
        <f>SUMIF('20Ф'!$H:$H,$B:$B,'20Ф'!AL:AL)*1.2</f>
        <v>0</v>
      </c>
      <c r="DD158" s="276">
        <f>SUMIF('20Ф'!$H:$H,$B:$B,'20Ф'!AM:AM)*1.2</f>
        <v>0</v>
      </c>
      <c r="DE158" s="276">
        <f>SUMIF('20Ф'!$H:$H,$B:$B,'20Ф'!AN:AN)*1.2</f>
        <v>0</v>
      </c>
      <c r="DF158" s="276">
        <f>SUMIF('20Ф'!$H:$H,$B:$B,'20Ф'!AO:AO)*1.2</f>
        <v>0</v>
      </c>
      <c r="DG158" s="276">
        <f>SUMIF('20Ф'!$H:$H,$B:$B,'20Ф'!AP:AP)*1.2</f>
        <v>0</v>
      </c>
      <c r="DH158" s="276">
        <f>SUMIF('20Ф'!$H:$H,$B:$B,'20Ф'!AQ:AQ)*1.2</f>
        <v>0</v>
      </c>
      <c r="DI158" s="276">
        <f>SUMIF('20Ф'!$H:$H,$B:$B,'20Ф'!BA:BA)*1.2</f>
        <v>0</v>
      </c>
      <c r="DJ158" s="276">
        <f>SUMIF('20Ф'!$H:$H,$B:$B,'20Ф'!BB:BB)*1.2</f>
        <v>0</v>
      </c>
      <c r="DK158" s="276">
        <f>SUMIF('20Ф'!$H:$H,$B:$B,'20Ф'!BC:BC)*1.2</f>
        <v>0</v>
      </c>
      <c r="DL158" s="276">
        <f>$D158/$D$281*'20Ф'!$H$218</f>
        <v>42953.776848461042</v>
      </c>
      <c r="DM158" s="240">
        <f t="shared" si="26"/>
        <v>592027.03648731404</v>
      </c>
      <c r="DN158" s="276">
        <f>SUMIF('20Ф'!$H:$H,$B:$B,'20Ф'!AV:AV)*1.2</f>
        <v>0</v>
      </c>
      <c r="DO158" s="276">
        <f>SUMIF('20Ф'!$H:$H,$B:$B,'20Ф'!AW:AW)*1.2+$D158/$D$281*'26Ф'!$D$42</f>
        <v>22857.77657396824</v>
      </c>
      <c r="DP158" s="276">
        <f>SUMIF('20Ф'!$H:$H,$B:$B,'20Ф'!AX:AX)*1.2</f>
        <v>0</v>
      </c>
      <c r="DQ158" s="276">
        <f>SUMIF('20Ф'!$H:$H,$B:$B,'20Ф'!AY:AY)*1.2</f>
        <v>83016</v>
      </c>
      <c r="DR158" s="276">
        <f>SUMIF('20Ф'!$H:$H,$B:$B,'20Ф'!AU:AU)*1.2</f>
        <v>0</v>
      </c>
      <c r="DS158" s="276">
        <f>SUMIF('20Ф'!$H:$H,$B:$B,'20Ф'!AS:AS)*1.2</f>
        <v>82945.763999999996</v>
      </c>
      <c r="DT158" s="276">
        <f>SUMIF('20Ф'!$H:$H,$B:$B,'20Ф'!AR:AR)*1.2</f>
        <v>0</v>
      </c>
      <c r="DU158" s="276">
        <f>SUMIF('20Ф'!$H:$H,$B:$B,'20Ф'!X:X)*1.2</f>
        <v>0</v>
      </c>
      <c r="DV158" s="276">
        <f>SUMIF('20Ф'!$H:$H,$B:$B,'20Ф'!AA:AA)*1.2</f>
        <v>0</v>
      </c>
      <c r="DW158" s="276">
        <f>SUMIF('20Ф'!$H:$H,$B:$B,'20Ф'!N:N)*1.2</f>
        <v>0</v>
      </c>
      <c r="DX158" s="276">
        <f>$D158/$D$281*('25Ф'!$D$37)</f>
        <v>384210.6285942776</v>
      </c>
      <c r="DY158" s="276">
        <f>$D158/$D$281*'25Ф'!$D$30</f>
        <v>12262.797158779211</v>
      </c>
      <c r="DZ158" s="276">
        <f>$D158/$D$281*'25Ф'!$D$31</f>
        <v>6734.0701602890003</v>
      </c>
      <c r="EA158" s="276"/>
      <c r="EB158" s="276">
        <f t="shared" si="27"/>
        <v>242058.7262227778</v>
      </c>
      <c r="EC158" s="276">
        <f>$D158/$D$281*'26Ф'!$D$36</f>
        <v>125999.36244246535</v>
      </c>
      <c r="ED158" s="276">
        <f>$D158/$D$281*'26Ф'!$D$37</f>
        <v>15138.688827519733</v>
      </c>
      <c r="EE158" s="276">
        <f>$D158/$D$281*'26Ф'!$D$38</f>
        <v>15293.95097812313</v>
      </c>
      <c r="EF158" s="276">
        <f>$D158/$D$281*'26Ф'!$D$39</f>
        <v>10728.692652725393</v>
      </c>
      <c r="EG158" s="276">
        <f>$D158/$D$281*'91Ф'!$D$10</f>
        <v>3309.7972213623284</v>
      </c>
      <c r="EH158" s="276">
        <f>$D158/$D$281*('20Ф'!$I$509+'26Ф'!$D$41+'20Ф'!$I$507)</f>
        <v>23415.725476502368</v>
      </c>
      <c r="EI158" s="276">
        <f>$D158/$D$281*'91Ф'!$D$31</f>
        <v>42924.46409317998</v>
      </c>
      <c r="EJ158" s="276">
        <f>$D158/$D$281*'20Ф'!$I$1316</f>
        <v>5248.0445308995568</v>
      </c>
      <c r="EK158" s="276">
        <f>$D158/$D$281*('20Ф'!$I$1105+'20Ф'!$I$1282+'91Ф'!$D$17+'91Ф'!$D$41)</f>
        <v>172351.62924193038</v>
      </c>
      <c r="EL158" s="276">
        <f>$D158/$D$281*отчёт!BX$294</f>
        <v>288119.36094803712</v>
      </c>
      <c r="EM158" s="276">
        <f>$D158/$D$281*отчёт!BY$294</f>
        <v>253385.51227127024</v>
      </c>
      <c r="EN158" s="276">
        <f>SUMIF(отчёт!$B:$B,$B:$B,отчёт!BZ:BZ)/отчёт!BZ$281*('60Ф'!$O$151+'60Ф'!$P$151)*отчёт!BZ$293</f>
        <v>0</v>
      </c>
      <c r="EO158" s="240">
        <f t="shared" si="28"/>
        <v>0</v>
      </c>
      <c r="EP158" s="276">
        <f>SUMIF('20Ф'!$H:$H,$B:$B,'20Ф'!T:T)*1.2</f>
        <v>0</v>
      </c>
      <c r="EQ158" s="276">
        <f>SUMIF('20Ф'!$H:$H,$B:$B,'20Ф'!U:U)*1.2</f>
        <v>0</v>
      </c>
      <c r="ER158" s="236"/>
      <c r="ES158" s="239">
        <f t="shared" si="31"/>
        <v>96433.659844239941</v>
      </c>
      <c r="ET158" s="276">
        <f>$D158/$D$282*'20Ф'!$I$381</f>
        <v>7370.5170171864474</v>
      </c>
      <c r="EU158" s="276">
        <f>$D158/$D$282*('20Ф'!$I$75+'20Ф'!$I$1098)*1.2</f>
        <v>85132.743523013647</v>
      </c>
      <c r="EV158" s="276">
        <f>$D158/$D$282*('20Ф'!$I$1286)</f>
        <v>3930.399304039845</v>
      </c>
      <c r="EW158" s="276">
        <f>SUMIF('91.1Ф'!$N:$N,$B:$B,'91.1Ф'!$F:$F)+$D158/$D$281*('91Ф'!$D$12+'91Ф'!$D$11+'91Ф'!$D$19+'91Ф'!$D$20)</f>
        <v>37715.10231275783</v>
      </c>
      <c r="EX158" s="276">
        <f t="shared" si="29"/>
        <v>86460.985424568076</v>
      </c>
      <c r="EY158" s="276">
        <f>SUMIF('20Ф'!$H:$H,$B:$B,'20Ф'!$AY:$AY)*1.2</f>
        <v>83016</v>
      </c>
      <c r="EZ158" s="295">
        <f>D158/$D$286*'20Ф'!$I$1163</f>
        <v>3444.9854245680699</v>
      </c>
      <c r="FA158" s="277">
        <f>SUMIF(отчёт!$B:$B,$B:$B,отчёт!$CU:$CU)/отчёт!$CU$281*'20Ф'!$I$1341</f>
        <v>5525.7831325301113</v>
      </c>
      <c r="FB158" s="276">
        <f>SUMIF(Сальдо!$A:$A,$B:$B,Сальдо!$H:$H)-SUMIF(Сальдо!$A:$A,$B:$B,Сальдо!$I:$I)</f>
        <v>516633.16</v>
      </c>
    </row>
    <row r="159" spans="1:158" ht="12" customHeight="1" x14ac:dyDescent="0.25">
      <c r="A159" s="3">
        <f t="shared" si="32"/>
        <v>155</v>
      </c>
      <c r="B159" s="4" t="s">
        <v>204</v>
      </c>
      <c r="C159" s="4" t="s">
        <v>204</v>
      </c>
      <c r="D159" s="5">
        <v>3117.6399999999994</v>
      </c>
      <c r="E159" s="6">
        <v>3038.8399999999992</v>
      </c>
      <c r="F159" s="6">
        <v>78.8</v>
      </c>
      <c r="G159" s="6">
        <v>325.39999999999998</v>
      </c>
      <c r="H159" s="5">
        <f>SUMIF(отчёт!$B:$B,$B:$B,отчёт!I:I)</f>
        <v>0</v>
      </c>
      <c r="I159" s="5">
        <f>SUMIF(отчёт!$B:$B,$B:$B,отчёт!J:J)</f>
        <v>0</v>
      </c>
      <c r="J159" s="3" t="s">
        <v>51</v>
      </c>
      <c r="K159" s="105">
        <v>7</v>
      </c>
      <c r="L159" s="105" t="s">
        <v>52</v>
      </c>
      <c r="M159" s="7">
        <v>31</v>
      </c>
      <c r="N159" s="8">
        <v>5.0999999999999996</v>
      </c>
      <c r="O159" s="8">
        <v>6.59</v>
      </c>
      <c r="P159" s="8">
        <v>8.98</v>
      </c>
      <c r="Q159" s="8">
        <v>6.92</v>
      </c>
      <c r="R159" s="8">
        <v>3.15</v>
      </c>
      <c r="S159" s="8">
        <v>0</v>
      </c>
      <c r="T159" s="8">
        <v>0</v>
      </c>
      <c r="U159" s="8">
        <v>0.26</v>
      </c>
      <c r="V159" s="9">
        <v>40</v>
      </c>
      <c r="W159" s="9">
        <v>40</v>
      </c>
      <c r="X159" s="9">
        <v>2604.04</v>
      </c>
      <c r="Y159" s="8">
        <v>195.98199600000001</v>
      </c>
      <c r="Z159" s="9">
        <v>42.3</v>
      </c>
      <c r="AA159" s="9">
        <v>2604.04</v>
      </c>
      <c r="AB159" s="8">
        <v>7.85</v>
      </c>
      <c r="AC159" s="10">
        <v>0</v>
      </c>
      <c r="AD159" s="8">
        <v>6.73</v>
      </c>
      <c r="AE159" s="8">
        <v>10.67</v>
      </c>
      <c r="AF159" s="8">
        <v>14</v>
      </c>
      <c r="AG159" s="7">
        <v>579881.03999999992</v>
      </c>
      <c r="AH159" s="8">
        <v>95399.783999999985</v>
      </c>
      <c r="AI159" s="8">
        <v>123271.48559999997</v>
      </c>
      <c r="AJ159" s="8">
        <v>167978.44319999998</v>
      </c>
      <c r="AK159" s="8">
        <v>129444.41279999999</v>
      </c>
      <c r="AL159" s="8">
        <v>58923.395999999979</v>
      </c>
      <c r="AM159" s="8">
        <v>0</v>
      </c>
      <c r="AN159" s="8">
        <v>0</v>
      </c>
      <c r="AO159" s="8">
        <v>4863.518399999999</v>
      </c>
      <c r="AQ159" s="104">
        <v>33.17</v>
      </c>
      <c r="AR159" s="375">
        <v>13.89</v>
      </c>
      <c r="AS159" s="376"/>
      <c r="AT159" s="104">
        <v>5.9</v>
      </c>
      <c r="AU159" s="104">
        <v>1.53</v>
      </c>
      <c r="AV159" s="104">
        <v>0.32</v>
      </c>
      <c r="AW159" s="104">
        <v>0.6</v>
      </c>
      <c r="AX159" s="104">
        <v>5.01</v>
      </c>
      <c r="AY159" s="104">
        <v>4.99</v>
      </c>
      <c r="AZ159" s="104">
        <v>0</v>
      </c>
      <c r="BA159" s="104">
        <v>0</v>
      </c>
      <c r="BB159" s="104">
        <v>0</v>
      </c>
      <c r="BC159" s="101">
        <v>0.93</v>
      </c>
      <c r="BD159" s="104">
        <v>37.581610000000005</v>
      </c>
      <c r="BE159" s="375">
        <v>15.737370000000004</v>
      </c>
      <c r="BF159" s="376">
        <v>0</v>
      </c>
      <c r="BG159" s="104">
        <v>6.6847000000000012</v>
      </c>
      <c r="BH159" s="104">
        <v>1.7334900000000002</v>
      </c>
      <c r="BI159" s="104">
        <v>0.36256000000000005</v>
      </c>
      <c r="BJ159" s="104">
        <v>0.67980000000000007</v>
      </c>
      <c r="BK159" s="104">
        <v>5.6763300000000001</v>
      </c>
      <c r="BL159" s="104">
        <v>5.65367</v>
      </c>
      <c r="BM159" s="104">
        <v>0</v>
      </c>
      <c r="BN159" s="104">
        <v>0</v>
      </c>
      <c r="BO159" s="104">
        <v>0</v>
      </c>
      <c r="BP159" s="101">
        <v>1.0536900000000002</v>
      </c>
      <c r="BQ159" s="103">
        <v>1378483.5436039998</v>
      </c>
      <c r="BR159" s="371">
        <v>577242.58126800007</v>
      </c>
      <c r="BS159" s="371">
        <v>0</v>
      </c>
      <c r="BT159" s="103">
        <v>245193.03307999996</v>
      </c>
      <c r="BU159" s="103">
        <v>63583.956035999989</v>
      </c>
      <c r="BV159" s="103">
        <v>13298.605183999998</v>
      </c>
      <c r="BW159" s="103">
        <v>24934.884719999998</v>
      </c>
      <c r="BX159" s="103">
        <v>208206.28741199995</v>
      </c>
      <c r="BY159" s="103">
        <v>207375.12458799995</v>
      </c>
      <c r="BZ159" s="103">
        <v>0</v>
      </c>
      <c r="CA159" s="103">
        <v>0</v>
      </c>
      <c r="CB159" s="103">
        <v>0</v>
      </c>
      <c r="CC159" s="103">
        <v>38649.071316000001</v>
      </c>
      <c r="CD159" s="1">
        <v>1</v>
      </c>
      <c r="CF159" s="277">
        <f>SUMIF(Оборот!$A:$A,$B:$B,Оборот!H:H)</f>
        <v>1156634.6000000001</v>
      </c>
      <c r="CG159" s="277">
        <f>SUMIF(Оборот!$A:$A,$B:$B,Оборот!I:I)</f>
        <v>1116413.43</v>
      </c>
      <c r="CH159" s="277">
        <f t="shared" si="25"/>
        <v>1269694.7823133715</v>
      </c>
      <c r="CI159" s="239">
        <f t="shared" si="30"/>
        <v>93531.987768256877</v>
      </c>
      <c r="CJ159" s="276">
        <f>SUMIF('20Ф'!$H:$H,$B:$B,'20Ф'!M:M)*1.2</f>
        <v>0</v>
      </c>
      <c r="CK159" s="276">
        <f>SUMIF('20Ф'!$H:$H,$B:$B,'20Ф'!O:O)*1.2</f>
        <v>0</v>
      </c>
      <c r="CL159" s="276">
        <f>SUMIF('20Ф'!$H:$H,$B:$B,'20Ф'!Q:Q)*1.2</f>
        <v>0</v>
      </c>
      <c r="CM159" s="276">
        <f>SUMIF('20Ф'!$H:$H,$B:$B,'20Ф'!R:R)*1.2</f>
        <v>0</v>
      </c>
      <c r="CN159" s="276">
        <f>SUMIF('20Ф'!$H:$H,$B:$B,'20Ф'!S:S)*1.2</f>
        <v>0</v>
      </c>
      <c r="CO159" s="276">
        <f>SUMIF('20Ф'!$H:$H,$B:$B,'20Ф'!W:W)*1.2</f>
        <v>0</v>
      </c>
      <c r="CP159" s="276">
        <f>SUMIF('20Ф'!$H:$H,$B:$B,'20Ф'!P:P)*1.2</f>
        <v>0</v>
      </c>
      <c r="CQ159" s="276">
        <f>SUMIF('20Ф'!$H:$H,$B:$B,'20Ф'!Y:Y)*1.2</f>
        <v>0</v>
      </c>
      <c r="CR159" s="276">
        <f>SUMIF('20Ф'!$H:$H,$B:$B,'20Ф'!Z:Z)*1.2</f>
        <v>0</v>
      </c>
      <c r="CS159" s="276">
        <f>SUMIF('20Ф'!$H:$H,$B:$B,'20Ф'!AB:AB)*1.2</f>
        <v>0</v>
      </c>
      <c r="CT159" s="276">
        <f>SUMIF('20Ф'!$H:$H,$B:$B,'20Ф'!AC:AC)*1.2</f>
        <v>0</v>
      </c>
      <c r="CU159" s="276">
        <f>SUMIF('20Ф'!$H:$H,$B:$B,'20Ф'!AD:AD)*1.2</f>
        <v>0</v>
      </c>
      <c r="CV159" s="276">
        <f>SUMIF('20Ф'!$H:$H,$B:$B,'20Ф'!AE:AE)*1.2</f>
        <v>0</v>
      </c>
      <c r="CW159" s="276">
        <f>SUMIF('20Ф'!$H:$H,$B:$B,'20Ф'!AF:AF)*1.2</f>
        <v>0</v>
      </c>
      <c r="CX159" s="276">
        <f>SUMIF('20Ф'!$H:$H,$B:$B,'20Ф'!AG:AG)*1.2</f>
        <v>0</v>
      </c>
      <c r="CY159" s="276">
        <f>SUMIF('20Ф'!$H:$H,$B:$B,'20Ф'!AH:AH)*1.2</f>
        <v>0</v>
      </c>
      <c r="CZ159" s="276">
        <f>SUMIF('20Ф'!$H:$H,$B:$B,'20Ф'!AI:AI)*1.2</f>
        <v>0</v>
      </c>
      <c r="DA159" s="276">
        <f>SUMIF('20Ф'!$H:$H,$B:$B,'20Ф'!AJ:AJ)*1.2</f>
        <v>66111.3</v>
      </c>
      <c r="DB159" s="276">
        <f>SUMIF('20Ф'!$H:$H,$B:$B,'20Ф'!AK:AK)*1.2</f>
        <v>0</v>
      </c>
      <c r="DC159" s="276">
        <f>SUMIF('20Ф'!$H:$H,$B:$B,'20Ф'!AL:AL)*1.2</f>
        <v>0</v>
      </c>
      <c r="DD159" s="276">
        <f>SUMIF('20Ф'!$H:$H,$B:$B,'20Ф'!AM:AM)*1.2</f>
        <v>0</v>
      </c>
      <c r="DE159" s="276">
        <f>SUMIF('20Ф'!$H:$H,$B:$B,'20Ф'!AN:AN)*1.2</f>
        <v>0</v>
      </c>
      <c r="DF159" s="276">
        <f>SUMIF('20Ф'!$H:$H,$B:$B,'20Ф'!AO:AO)*1.2</f>
        <v>0</v>
      </c>
      <c r="DG159" s="276">
        <f>SUMIF('20Ф'!$H:$H,$B:$B,'20Ф'!AP:AP)*1.2</f>
        <v>0</v>
      </c>
      <c r="DH159" s="276">
        <f>SUMIF('20Ф'!$H:$H,$B:$B,'20Ф'!AQ:AQ)*1.2</f>
        <v>0</v>
      </c>
      <c r="DI159" s="276">
        <f>SUMIF('20Ф'!$H:$H,$B:$B,'20Ф'!BA:BA)*1.2</f>
        <v>0</v>
      </c>
      <c r="DJ159" s="276">
        <f>SUMIF('20Ф'!$H:$H,$B:$B,'20Ф'!BB:BB)*1.2</f>
        <v>0</v>
      </c>
      <c r="DK159" s="276">
        <f>SUMIF('20Ф'!$H:$H,$B:$B,'20Ф'!BC:BC)*1.2</f>
        <v>0</v>
      </c>
      <c r="DL159" s="276">
        <f>$D159/$D$281*'20Ф'!$H$218</f>
        <v>27420.68776825687</v>
      </c>
      <c r="DM159" s="240">
        <f t="shared" si="26"/>
        <v>435868.35735310306</v>
      </c>
      <c r="DN159" s="276">
        <f>SUMIF('20Ф'!$H:$H,$B:$B,'20Ф'!AV:AV)*1.2</f>
        <v>0</v>
      </c>
      <c r="DO159" s="276">
        <f>SUMIF('20Ф'!$H:$H,$B:$B,'20Ф'!AW:AW)*1.2+$D159/$D$281*'26Ф'!$D$42</f>
        <v>14591.870622287677</v>
      </c>
      <c r="DP159" s="276">
        <f>SUMIF('20Ф'!$H:$H,$B:$B,'20Ф'!AX:AX)*1.2</f>
        <v>0</v>
      </c>
      <c r="DQ159" s="276">
        <f>SUMIF('20Ф'!$H:$H,$B:$B,'20Ф'!AY:AY)*1.2</f>
        <v>36799.5</v>
      </c>
      <c r="DR159" s="276">
        <f>SUMIF('20Ф'!$H:$H,$B:$B,'20Ф'!AU:AU)*1.2</f>
        <v>0</v>
      </c>
      <c r="DS159" s="276">
        <f>SUMIF('20Ф'!$H:$H,$B:$B,'20Ф'!AS:AS)*1.2</f>
        <v>77948.207999999999</v>
      </c>
      <c r="DT159" s="276">
        <f>SUMIF('20Ф'!$H:$H,$B:$B,'20Ф'!AR:AR)*1.2</f>
        <v>0</v>
      </c>
      <c r="DU159" s="276">
        <f>SUMIF('20Ф'!$H:$H,$B:$B,'20Ф'!X:X)*1.2</f>
        <v>49130.531999999999</v>
      </c>
      <c r="DV159" s="276">
        <f>SUMIF('20Ф'!$H:$H,$B:$B,'20Ф'!AA:AA)*1.2</f>
        <v>0</v>
      </c>
      <c r="DW159" s="276">
        <f>SUMIF('20Ф'!$H:$H,$B:$B,'20Ф'!N:N)*1.2</f>
        <v>0</v>
      </c>
      <c r="DX159" s="276">
        <f>$D159/$D$281*('25Ф'!$D$37)</f>
        <v>245271.09038857085</v>
      </c>
      <c r="DY159" s="276">
        <f>$D159/$D$281*'25Ф'!$D$30</f>
        <v>7828.283255338456</v>
      </c>
      <c r="DZ159" s="276">
        <f>$D159/$D$281*'25Ф'!$D$31</f>
        <v>4298.8730869061155</v>
      </c>
      <c r="EA159" s="276"/>
      <c r="EB159" s="276">
        <f t="shared" si="27"/>
        <v>154524.63648896964</v>
      </c>
      <c r="EC159" s="276">
        <f>$D159/$D$281*'26Ф'!$D$36</f>
        <v>80435.049721548756</v>
      </c>
      <c r="ED159" s="276">
        <f>$D159/$D$281*'26Ф'!$D$37</f>
        <v>9664.1853177362682</v>
      </c>
      <c r="EE159" s="276">
        <f>$D159/$D$281*'26Ф'!$D$38</f>
        <v>9763.3010478603901</v>
      </c>
      <c r="EF159" s="276">
        <f>$D159/$D$281*'26Ф'!$D$39</f>
        <v>6848.946774339699</v>
      </c>
      <c r="EG159" s="276">
        <f>$D159/$D$281*'91Ф'!$D$10</f>
        <v>2112.8972314450207</v>
      </c>
      <c r="EH159" s="276">
        <f>$D159/$D$281*('20Ф'!$I$509+'26Ф'!$D$41+'20Ф'!$I$507)</f>
        <v>14948.052168348349</v>
      </c>
      <c r="EI159" s="276">
        <f>$D159/$D$281*'91Ф'!$D$31</f>
        <v>27401.975190012003</v>
      </c>
      <c r="EJ159" s="276">
        <f>$D159/$D$281*'20Ф'!$I$1316</f>
        <v>3350.2290376791557</v>
      </c>
      <c r="EK159" s="276">
        <f>$D159/$D$281*('20Ф'!$I$1105+'20Ф'!$I$1282+'91Ф'!$D$17+'91Ф'!$D$41)</f>
        <v>110025.25408805041</v>
      </c>
      <c r="EL159" s="276">
        <f>$D159/$D$281*отчёт!BX$294</f>
        <v>183928.6697516306</v>
      </c>
      <c r="EM159" s="276">
        <f>$D159/$D$281*отчёт!BY$294</f>
        <v>161755.39211610108</v>
      </c>
      <c r="EN159" s="276">
        <f>SUMIF(отчёт!$B:$B,$B:$B,отчёт!BZ:BZ)/отчёт!BZ$281*('60Ф'!$O$151+'60Ф'!$P$151)*отчёт!BZ$293</f>
        <v>0</v>
      </c>
      <c r="EO159" s="240">
        <f t="shared" si="28"/>
        <v>0</v>
      </c>
      <c r="EP159" s="276">
        <f>SUMIF('20Ф'!$H:$H,$B:$B,'20Ф'!T:T)*1.2</f>
        <v>0</v>
      </c>
      <c r="EQ159" s="276">
        <f>SUMIF('20Ф'!$H:$H,$B:$B,'20Ф'!U:U)*1.2</f>
        <v>0</v>
      </c>
      <c r="ER159" s="236"/>
      <c r="ES159" s="239">
        <f t="shared" si="31"/>
        <v>61560.995818087962</v>
      </c>
      <c r="ET159" s="276">
        <f>$D159/$D$282*'20Ф'!$I$381</f>
        <v>4705.1658933720655</v>
      </c>
      <c r="EU159" s="276">
        <f>$D159/$D$282*('20Ф'!$I$75+'20Ф'!$I$1098)*1.2</f>
        <v>54346.754820543487</v>
      </c>
      <c r="EV159" s="276">
        <f>$D159/$D$282*('20Ф'!$I$1286)</f>
        <v>2509.0751041724066</v>
      </c>
      <c r="EW159" s="276">
        <f>SUMIF('91.1Ф'!$N:$N,$B:$B,'91.1Ф'!$F:$F)+$D159/$D$281*('91Ф'!$D$12+'91Ф'!$D$11+'91Ф'!$D$19+'91Ф'!$D$20)</f>
        <v>29500.790706707274</v>
      </c>
      <c r="EX159" s="276">
        <f t="shared" si="29"/>
        <v>38998.698222464605</v>
      </c>
      <c r="EY159" s="276">
        <f>SUMIF('20Ф'!$H:$H,$B:$B,'20Ф'!$AY:$AY)*1.2</f>
        <v>36799.5</v>
      </c>
      <c r="EZ159" s="295">
        <f>D159/$D$286*'20Ф'!$I$1163</f>
        <v>2199.1982224646063</v>
      </c>
      <c r="FA159" s="277">
        <f>SUMIF(отчёт!$B:$B,$B:$B,отчёт!$CU:$CU)/отчёт!$CU$281*'20Ф'!$I$1341</f>
        <v>3683.8554216867401</v>
      </c>
      <c r="FB159" s="276">
        <f>SUMIF(Сальдо!$A:$A,$B:$B,Сальдо!$H:$H)-SUMIF(Сальдо!$A:$A,$B:$B,Сальдо!$I:$I)</f>
        <v>224870.95</v>
      </c>
    </row>
    <row r="160" spans="1:158" ht="12" customHeight="1" x14ac:dyDescent="0.25">
      <c r="A160" s="3">
        <f t="shared" si="32"/>
        <v>156</v>
      </c>
      <c r="B160" s="4" t="s">
        <v>205</v>
      </c>
      <c r="C160" s="4" t="s">
        <v>205</v>
      </c>
      <c r="D160" s="5">
        <v>2702.7899999999995</v>
      </c>
      <c r="E160" s="6">
        <v>2702.7899999999995</v>
      </c>
      <c r="F160" s="6">
        <v>0</v>
      </c>
      <c r="G160" s="6">
        <v>379.4</v>
      </c>
      <c r="H160" s="5">
        <f>SUMIF(отчёт!$B:$B,$B:$B,отчёт!I:I)</f>
        <v>0</v>
      </c>
      <c r="I160" s="5">
        <f>SUMIF(отчёт!$B:$B,$B:$B,отчёт!J:J)</f>
        <v>0</v>
      </c>
      <c r="J160" s="3" t="s">
        <v>51</v>
      </c>
      <c r="K160" s="105">
        <v>5</v>
      </c>
      <c r="L160" s="105" t="s">
        <v>52</v>
      </c>
      <c r="M160" s="7">
        <v>35.11</v>
      </c>
      <c r="N160" s="8">
        <v>5.0999999999999996</v>
      </c>
      <c r="O160" s="8">
        <v>6.59</v>
      </c>
      <c r="P160" s="8">
        <v>11.28</v>
      </c>
      <c r="Q160" s="8">
        <v>6.92</v>
      </c>
      <c r="R160" s="8">
        <v>3.15</v>
      </c>
      <c r="S160" s="8">
        <v>1.81</v>
      </c>
      <c r="T160" s="8">
        <v>0</v>
      </c>
      <c r="U160" s="8">
        <v>0.26</v>
      </c>
      <c r="V160" s="9">
        <v>40</v>
      </c>
      <c r="W160" s="9">
        <v>40</v>
      </c>
      <c r="X160" s="9">
        <v>2604.04</v>
      </c>
      <c r="Y160" s="8">
        <v>195.98199600000001</v>
      </c>
      <c r="Z160" s="9">
        <v>42.3</v>
      </c>
      <c r="AA160" s="9">
        <v>2604.04</v>
      </c>
      <c r="AB160" s="8">
        <v>7.85</v>
      </c>
      <c r="AC160" s="10">
        <v>0</v>
      </c>
      <c r="AD160" s="8">
        <v>6.73</v>
      </c>
      <c r="AE160" s="8">
        <v>10.67</v>
      </c>
      <c r="AF160" s="8">
        <v>14</v>
      </c>
      <c r="AG160" s="7">
        <v>569369.74139999982</v>
      </c>
      <c r="AH160" s="8">
        <v>82705.373999999982</v>
      </c>
      <c r="AI160" s="8">
        <v>106868.31659999998</v>
      </c>
      <c r="AJ160" s="8">
        <v>182924.82719999994</v>
      </c>
      <c r="AK160" s="8">
        <v>112219.84079999998</v>
      </c>
      <c r="AL160" s="8">
        <v>51082.730999999992</v>
      </c>
      <c r="AM160" s="8">
        <v>29352.299399999996</v>
      </c>
      <c r="AN160" s="8">
        <v>0</v>
      </c>
      <c r="AO160" s="8">
        <v>4216.3523999999998</v>
      </c>
      <c r="AQ160" s="104">
        <v>37.57</v>
      </c>
      <c r="AR160" s="375">
        <v>13.9</v>
      </c>
      <c r="AS160" s="376"/>
      <c r="AT160" s="104">
        <v>7.51</v>
      </c>
      <c r="AU160" s="104">
        <v>1.53</v>
      </c>
      <c r="AV160" s="104">
        <v>0.32</v>
      </c>
      <c r="AW160" s="104">
        <v>0.68</v>
      </c>
      <c r="AX160" s="104">
        <v>5.01</v>
      </c>
      <c r="AY160" s="104">
        <v>4.99</v>
      </c>
      <c r="AZ160" s="104">
        <v>2.7</v>
      </c>
      <c r="BA160" s="104">
        <v>0</v>
      </c>
      <c r="BB160" s="104">
        <v>0</v>
      </c>
      <c r="BC160" s="101">
        <v>0.93</v>
      </c>
      <c r="BD160" s="104">
        <v>42.566810000000004</v>
      </c>
      <c r="BE160" s="375">
        <v>15.748700000000001</v>
      </c>
      <c r="BF160" s="376">
        <v>0</v>
      </c>
      <c r="BG160" s="104">
        <v>8.5088299999999997</v>
      </c>
      <c r="BH160" s="104">
        <v>1.7334900000000002</v>
      </c>
      <c r="BI160" s="104">
        <v>0.36256000000000005</v>
      </c>
      <c r="BJ160" s="104">
        <v>0.77044000000000012</v>
      </c>
      <c r="BK160" s="104">
        <v>5.6763300000000001</v>
      </c>
      <c r="BL160" s="104">
        <v>5.6536700000000009</v>
      </c>
      <c r="BM160" s="104">
        <v>3.0591000000000008</v>
      </c>
      <c r="BN160" s="104">
        <v>0</v>
      </c>
      <c r="BO160" s="104">
        <v>0</v>
      </c>
      <c r="BP160" s="101">
        <v>1.05369</v>
      </c>
      <c r="BQ160" s="103">
        <v>1353579.124599</v>
      </c>
      <c r="BR160" s="371">
        <v>500791.85073000001</v>
      </c>
      <c r="BS160" s="371">
        <v>0</v>
      </c>
      <c r="BT160" s="103">
        <v>270571.71215699997</v>
      </c>
      <c r="BU160" s="103">
        <v>55123.131770999993</v>
      </c>
      <c r="BV160" s="103">
        <v>11529.021023999998</v>
      </c>
      <c r="BW160" s="103">
        <v>24499.169675999998</v>
      </c>
      <c r="BX160" s="103">
        <v>180501.23540699997</v>
      </c>
      <c r="BY160" s="103">
        <v>179780.67159300001</v>
      </c>
      <c r="BZ160" s="103">
        <v>97276.114889999997</v>
      </c>
      <c r="CA160" s="103">
        <v>0</v>
      </c>
      <c r="CB160" s="103">
        <v>0</v>
      </c>
      <c r="CC160" s="103">
        <v>33506.217350999992</v>
      </c>
      <c r="CD160" s="1">
        <v>1</v>
      </c>
      <c r="CF160" s="277">
        <f>SUMIF(Оборот!$A:$A,$B:$B,Оборот!H:H)</f>
        <v>1165335.48</v>
      </c>
      <c r="CG160" s="277">
        <f>SUMIF(Оборот!$A:$A,$B:$B,Оборот!I:I)</f>
        <v>1193034.2999999998</v>
      </c>
      <c r="CH160" s="277">
        <f t="shared" si="25"/>
        <v>914809.46509163606</v>
      </c>
      <c r="CI160" s="239">
        <f t="shared" si="30"/>
        <v>23771.943102207755</v>
      </c>
      <c r="CJ160" s="276">
        <f>SUMIF('20Ф'!$H:$H,$B:$B,'20Ф'!M:M)*1.2</f>
        <v>0</v>
      </c>
      <c r="CK160" s="276">
        <f>SUMIF('20Ф'!$H:$H,$B:$B,'20Ф'!O:O)*1.2</f>
        <v>0</v>
      </c>
      <c r="CL160" s="276">
        <f>SUMIF('20Ф'!$H:$H,$B:$B,'20Ф'!Q:Q)*1.2</f>
        <v>0</v>
      </c>
      <c r="CM160" s="276">
        <f>SUMIF('20Ф'!$H:$H,$B:$B,'20Ф'!R:R)*1.2</f>
        <v>0</v>
      </c>
      <c r="CN160" s="276">
        <f>SUMIF('20Ф'!$H:$H,$B:$B,'20Ф'!S:S)*1.2</f>
        <v>0</v>
      </c>
      <c r="CO160" s="276">
        <f>SUMIF('20Ф'!$H:$H,$B:$B,'20Ф'!W:W)*1.2</f>
        <v>0</v>
      </c>
      <c r="CP160" s="276">
        <f>SUMIF('20Ф'!$H:$H,$B:$B,'20Ф'!P:P)*1.2</f>
        <v>0</v>
      </c>
      <c r="CQ160" s="276">
        <f>SUMIF('20Ф'!$H:$H,$B:$B,'20Ф'!Y:Y)*1.2</f>
        <v>0</v>
      </c>
      <c r="CR160" s="276">
        <f>SUMIF('20Ф'!$H:$H,$B:$B,'20Ф'!Z:Z)*1.2</f>
        <v>0</v>
      </c>
      <c r="CS160" s="276">
        <f>SUMIF('20Ф'!$H:$H,$B:$B,'20Ф'!AB:AB)*1.2</f>
        <v>0</v>
      </c>
      <c r="CT160" s="276">
        <f>SUMIF('20Ф'!$H:$H,$B:$B,'20Ф'!AC:AC)*1.2</f>
        <v>0</v>
      </c>
      <c r="CU160" s="276">
        <f>SUMIF('20Ф'!$H:$H,$B:$B,'20Ф'!AD:AD)*1.2</f>
        <v>0</v>
      </c>
      <c r="CV160" s="276">
        <f>SUMIF('20Ф'!$H:$H,$B:$B,'20Ф'!AE:AE)*1.2</f>
        <v>0</v>
      </c>
      <c r="CW160" s="276">
        <f>SUMIF('20Ф'!$H:$H,$B:$B,'20Ф'!AF:AF)*1.2</f>
        <v>0</v>
      </c>
      <c r="CX160" s="276">
        <f>SUMIF('20Ф'!$H:$H,$B:$B,'20Ф'!AG:AG)*1.2</f>
        <v>0</v>
      </c>
      <c r="CY160" s="276">
        <f>SUMIF('20Ф'!$H:$H,$B:$B,'20Ф'!AH:AH)*1.2</f>
        <v>0</v>
      </c>
      <c r="CZ160" s="276">
        <f>SUMIF('20Ф'!$H:$H,$B:$B,'20Ф'!AI:AI)*1.2</f>
        <v>0</v>
      </c>
      <c r="DA160" s="276">
        <f>SUMIF('20Ф'!$H:$H,$B:$B,'20Ф'!AJ:AJ)*1.2</f>
        <v>0</v>
      </c>
      <c r="DB160" s="276">
        <f>SUMIF('20Ф'!$H:$H,$B:$B,'20Ф'!AK:AK)*1.2</f>
        <v>0</v>
      </c>
      <c r="DC160" s="276">
        <f>SUMIF('20Ф'!$H:$H,$B:$B,'20Ф'!AL:AL)*1.2</f>
        <v>0</v>
      </c>
      <c r="DD160" s="276">
        <f>SUMIF('20Ф'!$H:$H,$B:$B,'20Ф'!AM:AM)*1.2</f>
        <v>0</v>
      </c>
      <c r="DE160" s="276">
        <f>SUMIF('20Ф'!$H:$H,$B:$B,'20Ф'!AN:AN)*1.2</f>
        <v>0</v>
      </c>
      <c r="DF160" s="276">
        <f>SUMIF('20Ф'!$H:$H,$B:$B,'20Ф'!AO:AO)*1.2</f>
        <v>0</v>
      </c>
      <c r="DG160" s="276">
        <f>SUMIF('20Ф'!$H:$H,$B:$B,'20Ф'!AP:AP)*1.2</f>
        <v>0</v>
      </c>
      <c r="DH160" s="276">
        <f>SUMIF('20Ф'!$H:$H,$B:$B,'20Ф'!AQ:AQ)*1.2</f>
        <v>0</v>
      </c>
      <c r="DI160" s="276">
        <f>SUMIF('20Ф'!$H:$H,$B:$B,'20Ф'!BA:BA)*1.2</f>
        <v>0</v>
      </c>
      <c r="DJ160" s="276">
        <f>SUMIF('20Ф'!$H:$H,$B:$B,'20Ф'!BB:BB)*1.2</f>
        <v>0</v>
      </c>
      <c r="DK160" s="276">
        <f>SUMIF('20Ф'!$H:$H,$B:$B,'20Ф'!BC:BC)*1.2</f>
        <v>0</v>
      </c>
      <c r="DL160" s="276">
        <f>$D160/$D$281*'20Ф'!$H$218</f>
        <v>23771.943102207755</v>
      </c>
      <c r="DM160" s="240">
        <f t="shared" si="26"/>
        <v>268990.29278284649</v>
      </c>
      <c r="DN160" s="276">
        <f>SUMIF('20Ф'!$H:$H,$B:$B,'20Ф'!AV:AV)*1.2</f>
        <v>0</v>
      </c>
      <c r="DO160" s="276">
        <f>SUMIF('20Ф'!$H:$H,$B:$B,'20Ф'!AW:AW)*1.2+$D160/$D$281*'26Ф'!$D$42</f>
        <v>12650.197585100561</v>
      </c>
      <c r="DP160" s="276">
        <f>SUMIF('20Ф'!$H:$H,$B:$B,'20Ф'!AX:AX)*1.2</f>
        <v>0</v>
      </c>
      <c r="DQ160" s="276">
        <f>SUMIF('20Ф'!$H:$H,$B:$B,'20Ф'!AY:AY)*1.2</f>
        <v>0</v>
      </c>
      <c r="DR160" s="276">
        <f>SUMIF('20Ф'!$H:$H,$B:$B,'20Ф'!AU:AU)*1.2</f>
        <v>0</v>
      </c>
      <c r="DS160" s="276">
        <f>SUMIF('20Ф'!$H:$H,$B:$B,'20Ф'!AS:AS)*1.2</f>
        <v>33192.648000000001</v>
      </c>
      <c r="DT160" s="276">
        <f>SUMIF('20Ф'!$H:$H,$B:$B,'20Ф'!AR:AR)*1.2</f>
        <v>0</v>
      </c>
      <c r="DU160" s="276">
        <f>SUMIF('20Ф'!$H:$H,$B:$B,'20Ф'!X:X)*1.2</f>
        <v>0</v>
      </c>
      <c r="DV160" s="276">
        <f>SUMIF('20Ф'!$H:$H,$B:$B,'20Ф'!AA:AA)*1.2</f>
        <v>0</v>
      </c>
      <c r="DW160" s="276">
        <f>SUMIF('20Ф'!$H:$H,$B:$B,'20Ф'!N:N)*1.2</f>
        <v>0</v>
      </c>
      <c r="DX160" s="276">
        <f>$D160/$D$281*('25Ф'!$D$37)</f>
        <v>212633.99571192486</v>
      </c>
      <c r="DY160" s="276">
        <f>$D160/$D$281*'25Ф'!$D$30</f>
        <v>6786.6096469432723</v>
      </c>
      <c r="DZ160" s="276">
        <f>$D160/$D$281*'25Ф'!$D$31</f>
        <v>3726.8418388777986</v>
      </c>
      <c r="EA160" s="276"/>
      <c r="EB160" s="276">
        <f t="shared" si="27"/>
        <v>133962.75460156472</v>
      </c>
      <c r="EC160" s="276">
        <f>$D160/$D$281*'26Ф'!$D$36</f>
        <v>69731.928008655508</v>
      </c>
      <c r="ED160" s="276">
        <f>$D160/$D$281*'26Ф'!$D$37</f>
        <v>8378.216675088981</v>
      </c>
      <c r="EE160" s="276">
        <f>$D160/$D$281*'26Ф'!$D$38</f>
        <v>8464.143531371994</v>
      </c>
      <c r="EF160" s="276">
        <f>$D160/$D$281*'26Ф'!$D$39</f>
        <v>5937.5889622334835</v>
      </c>
      <c r="EG160" s="276">
        <f>$D160/$D$281*'91Ф'!$D$10</f>
        <v>1831.7437254388858</v>
      </c>
      <c r="EH160" s="276">
        <f>$D160/$D$281*('20Ф'!$I$509+'26Ф'!$D$41+'20Ф'!$I$507)</f>
        <v>12958.98369282221</v>
      </c>
      <c r="EI160" s="276">
        <f>$D160/$D$281*'91Ф'!$D$31</f>
        <v>23755.720520590108</v>
      </c>
      <c r="EJ160" s="276">
        <f>$D160/$D$281*'20Ф'!$I$1316</f>
        <v>2904.4294853635588</v>
      </c>
      <c r="EK160" s="276">
        <f>$D160/$D$281*('20Ф'!$I$1105+'20Ф'!$I$1282+'91Ф'!$D$17+'91Ф'!$D$41)</f>
        <v>95384.700124658964</v>
      </c>
      <c r="EL160" s="276">
        <f>$D160/$D$281*отчёт!BX$294</f>
        <v>159454.12854531303</v>
      </c>
      <c r="EM160" s="276">
        <f>$D160/$D$281*отчёт!BY$294</f>
        <v>140231.3468705421</v>
      </c>
      <c r="EN160" s="276">
        <f>$D160/$D$283*отчёт!BZ$294</f>
        <v>25167.14321422956</v>
      </c>
      <c r="EO160" s="240">
        <f t="shared" si="28"/>
        <v>0</v>
      </c>
      <c r="EP160" s="276">
        <f>SUMIF('20Ф'!$H:$H,$B:$B,'20Ф'!T:T)*1.2</f>
        <v>0</v>
      </c>
      <c r="EQ160" s="276">
        <f>SUMIF('20Ф'!$H:$H,$B:$B,'20Ф'!U:U)*1.2</f>
        <v>0</v>
      </c>
      <c r="ER160" s="236"/>
      <c r="ES160" s="239">
        <f t="shared" si="31"/>
        <v>53369.357554807466</v>
      </c>
      <c r="ET160" s="276">
        <f>$D160/$D$282*'20Ф'!$I$381</f>
        <v>4079.0711323138926</v>
      </c>
      <c r="EU160" s="276">
        <f>$D160/$D$282*('20Ф'!$I$75+'20Ф'!$I$1098)*1.2</f>
        <v>47115.082389697571</v>
      </c>
      <c r="EV160" s="276">
        <f>$D160/$D$282*('20Ф'!$I$1286)</f>
        <v>2175.2040327960053</v>
      </c>
      <c r="EW160" s="276">
        <f>SUMIF('91.1Ф'!$N:$N,$B:$B,'91.1Ф'!$F:$F)+$D160/$D$281*('91Ф'!$D$12+'91Ф'!$D$11+'91Ф'!$D$19+'91Ф'!$D$20)</f>
        <v>12571.237254519878</v>
      </c>
      <c r="EX160" s="276">
        <f t="shared" si="29"/>
        <v>1906.5610409460721</v>
      </c>
      <c r="EY160" s="276">
        <f>SUMIF('20Ф'!$H:$H,$B:$B,'20Ф'!$AY:$AY)*1.2</f>
        <v>0</v>
      </c>
      <c r="EZ160" s="295">
        <f>D160/$D$286*'20Ф'!$I$1163</f>
        <v>1906.5610409460721</v>
      </c>
      <c r="FA160" s="277">
        <f>SUMIF(отчёт!$B:$B,$B:$B,отчёт!$CU:$CU)/отчёт!$CU$281*'20Ф'!$I$1341</f>
        <v>3683.8554216867401</v>
      </c>
      <c r="FB160" s="276">
        <f>SUMIF(Сальдо!$A:$A,$B:$B,Сальдо!$H:$H)-SUMIF(Сальдо!$A:$A,$B:$B,Сальдо!$I:$I)</f>
        <v>151136.88</v>
      </c>
    </row>
    <row r="161" spans="1:158" ht="12" customHeight="1" x14ac:dyDescent="0.25">
      <c r="A161" s="3">
        <f t="shared" si="32"/>
        <v>157</v>
      </c>
      <c r="B161" s="4" t="s">
        <v>206</v>
      </c>
      <c r="C161" s="4" t="s">
        <v>206</v>
      </c>
      <c r="D161" s="5">
        <v>2709.6</v>
      </c>
      <c r="E161" s="6">
        <v>2709.6</v>
      </c>
      <c r="F161" s="6">
        <v>0</v>
      </c>
      <c r="G161" s="6">
        <v>294.8</v>
      </c>
      <c r="H161" s="5">
        <f>SUMIF(отчёт!$B:$B,$B:$B,отчёт!I:I)</f>
        <v>0</v>
      </c>
      <c r="I161" s="5">
        <f>SUMIF(отчёт!$B:$B,$B:$B,отчёт!J:J)</f>
        <v>0</v>
      </c>
      <c r="J161" s="3" t="s">
        <v>51</v>
      </c>
      <c r="K161" s="105">
        <v>5</v>
      </c>
      <c r="L161" s="105" t="s">
        <v>52</v>
      </c>
      <c r="M161" s="7">
        <v>35.11</v>
      </c>
      <c r="N161" s="8">
        <v>5.0999999999999996</v>
      </c>
      <c r="O161" s="8">
        <v>6.59</v>
      </c>
      <c r="P161" s="8">
        <v>11.28</v>
      </c>
      <c r="Q161" s="8">
        <v>6.92</v>
      </c>
      <c r="R161" s="8">
        <v>3.15</v>
      </c>
      <c r="S161" s="8">
        <v>1.81</v>
      </c>
      <c r="T161" s="8">
        <v>0</v>
      </c>
      <c r="U161" s="8">
        <v>0.26</v>
      </c>
      <c r="V161" s="9">
        <v>40</v>
      </c>
      <c r="W161" s="9">
        <v>40</v>
      </c>
      <c r="X161" s="9">
        <v>2604.04</v>
      </c>
      <c r="Y161" s="8">
        <v>195.98199600000001</v>
      </c>
      <c r="Z161" s="9">
        <v>42.3</v>
      </c>
      <c r="AA161" s="9">
        <v>2604.04</v>
      </c>
      <c r="AB161" s="8">
        <v>7.85</v>
      </c>
      <c r="AC161" s="10">
        <v>0</v>
      </c>
      <c r="AD161" s="8">
        <v>6.73</v>
      </c>
      <c r="AE161" s="8">
        <v>10.67</v>
      </c>
      <c r="AF161" s="8">
        <v>14</v>
      </c>
      <c r="AG161" s="7">
        <v>570804.33600000001</v>
      </c>
      <c r="AH161" s="8">
        <v>82913.759999999995</v>
      </c>
      <c r="AI161" s="8">
        <v>107137.584</v>
      </c>
      <c r="AJ161" s="8">
        <v>183385.72799999997</v>
      </c>
      <c r="AK161" s="8">
        <v>112502.592</v>
      </c>
      <c r="AL161" s="8">
        <v>51211.44</v>
      </c>
      <c r="AM161" s="8">
        <v>29426.256000000001</v>
      </c>
      <c r="AN161" s="8">
        <v>0</v>
      </c>
      <c r="AO161" s="8">
        <v>4226.9759999999997</v>
      </c>
      <c r="AQ161" s="104">
        <v>37.57</v>
      </c>
      <c r="AR161" s="375">
        <v>13.9</v>
      </c>
      <c r="AS161" s="376"/>
      <c r="AT161" s="104">
        <v>7.51</v>
      </c>
      <c r="AU161" s="104">
        <v>1.53</v>
      </c>
      <c r="AV161" s="104">
        <v>0.32</v>
      </c>
      <c r="AW161" s="104">
        <v>0.68</v>
      </c>
      <c r="AX161" s="104">
        <v>5.01</v>
      </c>
      <c r="AY161" s="104">
        <v>4.99</v>
      </c>
      <c r="AZ161" s="104">
        <v>2.7</v>
      </c>
      <c r="BA161" s="104">
        <v>0</v>
      </c>
      <c r="BB161" s="104">
        <v>0</v>
      </c>
      <c r="BC161" s="101">
        <v>0.93</v>
      </c>
      <c r="BD161" s="104">
        <v>42.566810000000004</v>
      </c>
      <c r="BE161" s="375">
        <v>15.748700000000001</v>
      </c>
      <c r="BF161" s="376">
        <v>0</v>
      </c>
      <c r="BG161" s="104">
        <v>8.5088299999999997</v>
      </c>
      <c r="BH161" s="104">
        <v>1.7334900000000002</v>
      </c>
      <c r="BI161" s="104">
        <v>0.36256000000000005</v>
      </c>
      <c r="BJ161" s="104">
        <v>0.77044000000000012</v>
      </c>
      <c r="BK161" s="104">
        <v>5.6763300000000001</v>
      </c>
      <c r="BL161" s="104">
        <v>5.6536700000000009</v>
      </c>
      <c r="BM161" s="104">
        <v>3.0591000000000008</v>
      </c>
      <c r="BN161" s="104">
        <v>0</v>
      </c>
      <c r="BO161" s="104">
        <v>0</v>
      </c>
      <c r="BP161" s="101">
        <v>1.05369</v>
      </c>
      <c r="BQ161" s="103">
        <v>1356989.6277600001</v>
      </c>
      <c r="BR161" s="371">
        <v>502053.6552000001</v>
      </c>
      <c r="BS161" s="371">
        <v>0</v>
      </c>
      <c r="BT161" s="103">
        <v>271253.44967999996</v>
      </c>
      <c r="BU161" s="103">
        <v>55262.02104</v>
      </c>
      <c r="BV161" s="103">
        <v>11558.06976</v>
      </c>
      <c r="BW161" s="103">
        <v>24560.898240000002</v>
      </c>
      <c r="BX161" s="103">
        <v>180956.02967999998</v>
      </c>
      <c r="BY161" s="103">
        <v>180233.65032000004</v>
      </c>
      <c r="BZ161" s="103">
        <v>97521.213600000017</v>
      </c>
      <c r="CA161" s="103">
        <v>0</v>
      </c>
      <c r="CB161" s="103">
        <v>0</v>
      </c>
      <c r="CC161" s="103">
        <v>33590.640239999993</v>
      </c>
      <c r="CD161" s="1">
        <v>1</v>
      </c>
      <c r="CF161" s="277">
        <f>SUMIF(Оборот!$A:$A,$B:$B,Оборот!H:H)</f>
        <v>1154150.5499999998</v>
      </c>
      <c r="CG161" s="277">
        <f>SUMIF(Оборот!$A:$A,$B:$B,Оборот!I:I)</f>
        <v>1111343.5499999998</v>
      </c>
      <c r="CH161" s="277">
        <f t="shared" si="25"/>
        <v>1030223.5992364398</v>
      </c>
      <c r="CI161" s="239">
        <f t="shared" si="30"/>
        <v>23831.839332594151</v>
      </c>
      <c r="CJ161" s="276">
        <f>SUMIF('20Ф'!$H:$H,$B:$B,'20Ф'!M:M)*1.2</f>
        <v>0</v>
      </c>
      <c r="CK161" s="276">
        <f>SUMIF('20Ф'!$H:$H,$B:$B,'20Ф'!O:O)*1.2</f>
        <v>0</v>
      </c>
      <c r="CL161" s="276">
        <f>SUMIF('20Ф'!$H:$H,$B:$B,'20Ф'!Q:Q)*1.2</f>
        <v>0</v>
      </c>
      <c r="CM161" s="276">
        <f>SUMIF('20Ф'!$H:$H,$B:$B,'20Ф'!R:R)*1.2</f>
        <v>0</v>
      </c>
      <c r="CN161" s="276">
        <f>SUMIF('20Ф'!$H:$H,$B:$B,'20Ф'!S:S)*1.2</f>
        <v>0</v>
      </c>
      <c r="CO161" s="276">
        <f>SUMIF('20Ф'!$H:$H,$B:$B,'20Ф'!W:W)*1.2</f>
        <v>0</v>
      </c>
      <c r="CP161" s="276">
        <f>SUMIF('20Ф'!$H:$H,$B:$B,'20Ф'!P:P)*1.2</f>
        <v>0</v>
      </c>
      <c r="CQ161" s="276">
        <f>SUMIF('20Ф'!$H:$H,$B:$B,'20Ф'!Y:Y)*1.2</f>
        <v>0</v>
      </c>
      <c r="CR161" s="276">
        <f>SUMIF('20Ф'!$H:$H,$B:$B,'20Ф'!Z:Z)*1.2</f>
        <v>0</v>
      </c>
      <c r="CS161" s="276">
        <f>SUMIF('20Ф'!$H:$H,$B:$B,'20Ф'!AB:AB)*1.2</f>
        <v>0</v>
      </c>
      <c r="CT161" s="276">
        <f>SUMIF('20Ф'!$H:$H,$B:$B,'20Ф'!AC:AC)*1.2</f>
        <v>0</v>
      </c>
      <c r="CU161" s="276">
        <f>SUMIF('20Ф'!$H:$H,$B:$B,'20Ф'!AD:AD)*1.2</f>
        <v>0</v>
      </c>
      <c r="CV161" s="276">
        <f>SUMIF('20Ф'!$H:$H,$B:$B,'20Ф'!AE:AE)*1.2</f>
        <v>0</v>
      </c>
      <c r="CW161" s="276">
        <f>SUMIF('20Ф'!$H:$H,$B:$B,'20Ф'!AF:AF)*1.2</f>
        <v>0</v>
      </c>
      <c r="CX161" s="276">
        <f>SUMIF('20Ф'!$H:$H,$B:$B,'20Ф'!AG:AG)*1.2</f>
        <v>0</v>
      </c>
      <c r="CY161" s="276">
        <f>SUMIF('20Ф'!$H:$H,$B:$B,'20Ф'!AH:AH)*1.2</f>
        <v>0</v>
      </c>
      <c r="CZ161" s="276">
        <f>SUMIF('20Ф'!$H:$H,$B:$B,'20Ф'!AI:AI)*1.2</f>
        <v>0</v>
      </c>
      <c r="DA161" s="276">
        <f>SUMIF('20Ф'!$H:$H,$B:$B,'20Ф'!AJ:AJ)*1.2</f>
        <v>0</v>
      </c>
      <c r="DB161" s="276">
        <f>SUMIF('20Ф'!$H:$H,$B:$B,'20Ф'!AK:AK)*1.2</f>
        <v>0</v>
      </c>
      <c r="DC161" s="276">
        <f>SUMIF('20Ф'!$H:$H,$B:$B,'20Ф'!AL:AL)*1.2</f>
        <v>0</v>
      </c>
      <c r="DD161" s="276">
        <f>SUMIF('20Ф'!$H:$H,$B:$B,'20Ф'!AM:AM)*1.2</f>
        <v>0</v>
      </c>
      <c r="DE161" s="276">
        <f>SUMIF('20Ф'!$H:$H,$B:$B,'20Ф'!AN:AN)*1.2</f>
        <v>0</v>
      </c>
      <c r="DF161" s="276">
        <f>SUMIF('20Ф'!$H:$H,$B:$B,'20Ф'!AO:AO)*1.2</f>
        <v>0</v>
      </c>
      <c r="DG161" s="276">
        <f>SUMIF('20Ф'!$H:$H,$B:$B,'20Ф'!AP:AP)*1.2</f>
        <v>0</v>
      </c>
      <c r="DH161" s="276">
        <f>SUMIF('20Ф'!$H:$H,$B:$B,'20Ф'!AQ:AQ)*1.2</f>
        <v>0</v>
      </c>
      <c r="DI161" s="276">
        <f>SUMIF('20Ф'!$H:$H,$B:$B,'20Ф'!BA:BA)*1.2</f>
        <v>0</v>
      </c>
      <c r="DJ161" s="276">
        <f>SUMIF('20Ф'!$H:$H,$B:$B,'20Ф'!BB:BB)*1.2</f>
        <v>0</v>
      </c>
      <c r="DK161" s="276">
        <f>SUMIF('20Ф'!$H:$H,$B:$B,'20Ф'!BC:BC)*1.2</f>
        <v>0</v>
      </c>
      <c r="DL161" s="276">
        <f>$D161/$D$281*'20Ф'!$H$218</f>
        <v>23831.839332594151</v>
      </c>
      <c r="DM161" s="240">
        <f t="shared" si="26"/>
        <v>328479.30891832552</v>
      </c>
      <c r="DN161" s="276">
        <f>SUMIF('20Ф'!$H:$H,$B:$B,'20Ф'!AV:AV)*1.2</f>
        <v>0</v>
      </c>
      <c r="DO161" s="276">
        <f>SUMIF('20Ф'!$H:$H,$B:$B,'20Ф'!AW:AW)*1.2+$D161/$D$281*'26Ф'!$D$42</f>
        <v>12682.071258436092</v>
      </c>
      <c r="DP161" s="276">
        <f>SUMIF('20Ф'!$H:$H,$B:$B,'20Ф'!AX:AX)*1.2</f>
        <v>0</v>
      </c>
      <c r="DQ161" s="276">
        <f>SUMIF('20Ф'!$H:$H,$B:$B,'20Ф'!AY:AY)*1.2</f>
        <v>54297.9</v>
      </c>
      <c r="DR161" s="276">
        <f>SUMIF('20Ф'!$H:$H,$B:$B,'20Ф'!AU:AU)*1.2</f>
        <v>0</v>
      </c>
      <c r="DS161" s="276">
        <f>SUMIF('20Ф'!$H:$H,$B:$B,'20Ф'!AS:AS)*1.2</f>
        <v>37789.644</v>
      </c>
      <c r="DT161" s="276">
        <f>SUMIF('20Ф'!$H:$H,$B:$B,'20Ф'!AR:AR)*1.2</f>
        <v>0</v>
      </c>
      <c r="DU161" s="276">
        <f>SUMIF('20Ф'!$H:$H,$B:$B,'20Ф'!X:X)*1.2</f>
        <v>0</v>
      </c>
      <c r="DV161" s="276">
        <f>SUMIF('20Ф'!$H:$H,$B:$B,'20Ф'!AA:AA)*1.2</f>
        <v>0</v>
      </c>
      <c r="DW161" s="276">
        <f>SUMIF('20Ф'!$H:$H,$B:$B,'20Ф'!N:N)*1.2</f>
        <v>0</v>
      </c>
      <c r="DX161" s="276">
        <f>$D161/$D$281*('25Ф'!$D$37)</f>
        <v>213169.75228598289</v>
      </c>
      <c r="DY161" s="276">
        <f>$D161/$D$281*'25Ф'!$D$30</f>
        <v>6803.7093149514003</v>
      </c>
      <c r="DZ161" s="276">
        <f>$D161/$D$281*'25Ф'!$D$31</f>
        <v>3736.2320589551109</v>
      </c>
      <c r="EA161" s="276"/>
      <c r="EB161" s="276">
        <f t="shared" si="27"/>
        <v>134300.28965195222</v>
      </c>
      <c r="EC161" s="276">
        <f>$D161/$D$281*'26Ф'!$D$36</f>
        <v>69907.625872617922</v>
      </c>
      <c r="ED161" s="276">
        <f>$D161/$D$281*'26Ф'!$D$37</f>
        <v>8399.3265857950882</v>
      </c>
      <c r="EE161" s="276">
        <f>$D161/$D$281*'26Ф'!$D$38</f>
        <v>8485.469944984834</v>
      </c>
      <c r="EF161" s="276">
        <f>$D161/$D$281*'26Ф'!$D$39</f>
        <v>5952.5494219187758</v>
      </c>
      <c r="EG161" s="276">
        <f>$D161/$D$281*'91Ф'!$D$10</f>
        <v>1836.3590210298269</v>
      </c>
      <c r="EH161" s="276">
        <f>$D161/$D$281*('20Ф'!$I$509+'26Ф'!$D$41+'20Ф'!$I$507)</f>
        <v>12991.635389383218</v>
      </c>
      <c r="EI161" s="276">
        <f>$D161/$D$281*'91Ф'!$D$31</f>
        <v>23815.575876257855</v>
      </c>
      <c r="EJ161" s="276">
        <f>$D161/$D$281*'20Ф'!$I$1316</f>
        <v>2911.747539964666</v>
      </c>
      <c r="EK161" s="276">
        <f>$D161/$D$281*('20Ф'!$I$1105+'20Ф'!$I$1282+'91Ф'!$D$17+'91Ф'!$D$41)</f>
        <v>95625.033190805043</v>
      </c>
      <c r="EL161" s="276">
        <f>$D161/$D$281*отчёт!BX$294</f>
        <v>159855.89213604468</v>
      </c>
      <c r="EM161" s="276">
        <f>$D161/$D$281*отчёт!BY$294</f>
        <v>140584.67638270857</v>
      </c>
      <c r="EN161" s="276">
        <f>$D161/$D$283*отчёт!BZ$294</f>
        <v>25230.554816791693</v>
      </c>
      <c r="EO161" s="240">
        <f t="shared" si="28"/>
        <v>0</v>
      </c>
      <c r="EP161" s="276">
        <f>SUMIF('20Ф'!$H:$H,$B:$B,'20Ф'!T:T)*1.2</f>
        <v>0</v>
      </c>
      <c r="EQ161" s="276">
        <f>SUMIF('20Ф'!$H:$H,$B:$B,'20Ф'!U:U)*1.2</f>
        <v>0</v>
      </c>
      <c r="ER161" s="236"/>
      <c r="ES161" s="239">
        <f t="shared" si="31"/>
        <v>53503.827981643539</v>
      </c>
      <c r="ET161" s="276">
        <f>$D161/$D$282*'20Ф'!$I$381</f>
        <v>4089.3488358761588</v>
      </c>
      <c r="EU161" s="276">
        <f>$D161/$D$282*('20Ф'!$I$75+'20Ф'!$I$1098)*1.2</f>
        <v>47233.794428396046</v>
      </c>
      <c r="EV161" s="276">
        <f>$D161/$D$282*('20Ф'!$I$1286)</f>
        <v>2180.68471737133</v>
      </c>
      <c r="EW161" s="276">
        <f>SUMIF('91.1Ф'!$N:$N,$B:$B,'91.1Ф'!$F:$F)+$D161/$D$281*('91Ф'!$D$12+'91Ф'!$D$11+'91Ф'!$D$19+'91Ф'!$D$20)</f>
        <v>12602.911977936526</v>
      </c>
      <c r="EX161" s="276">
        <f t="shared" si="29"/>
        <v>56209.264847637991</v>
      </c>
      <c r="EY161" s="276">
        <f>SUMIF('20Ф'!$H:$H,$B:$B,'20Ф'!$AY:$AY)*1.2</f>
        <v>54297.9</v>
      </c>
      <c r="EZ161" s="295">
        <f>D161/$D$286*'20Ф'!$I$1163</f>
        <v>1911.3648476379881</v>
      </c>
      <c r="FA161" s="277">
        <f>SUMIF(отчёт!$B:$B,$B:$B,отчёт!$CU:$CU)/отчёт!$CU$281*'20Ф'!$I$1341</f>
        <v>3683.8554216867401</v>
      </c>
      <c r="FB161" s="276">
        <f>SUMIF(Сальдо!$A:$A,$B:$B,Сальдо!$H:$H)-SUMIF(Сальдо!$A:$A,$B:$B,Сальдо!$I:$I)</f>
        <v>422938.84</v>
      </c>
    </row>
    <row r="162" spans="1:158" ht="12" customHeight="1" x14ac:dyDescent="0.25">
      <c r="A162" s="3">
        <f t="shared" si="32"/>
        <v>158</v>
      </c>
      <c r="B162" s="4" t="s">
        <v>207</v>
      </c>
      <c r="C162" s="4" t="s">
        <v>207</v>
      </c>
      <c r="D162" s="5">
        <v>3377.3</v>
      </c>
      <c r="E162" s="6">
        <v>3377.3</v>
      </c>
      <c r="F162" s="6">
        <v>0</v>
      </c>
      <c r="G162" s="6">
        <v>297.8</v>
      </c>
      <c r="H162" s="5">
        <f>SUMIF(отчёт!$B:$B,$B:$B,отчёт!I:I)</f>
        <v>0</v>
      </c>
      <c r="I162" s="5">
        <f>SUMIF(отчёт!$B:$B,$B:$B,отчёт!J:J)</f>
        <v>0</v>
      </c>
      <c r="J162" s="3" t="s">
        <v>51</v>
      </c>
      <c r="K162" s="105">
        <v>7</v>
      </c>
      <c r="L162" s="105" t="s">
        <v>52</v>
      </c>
      <c r="M162" s="7">
        <v>31</v>
      </c>
      <c r="N162" s="8">
        <v>5.0999999999999996</v>
      </c>
      <c r="O162" s="8">
        <v>6.59</v>
      </c>
      <c r="P162" s="8">
        <v>8.98</v>
      </c>
      <c r="Q162" s="8">
        <v>6.92</v>
      </c>
      <c r="R162" s="8">
        <v>3.15</v>
      </c>
      <c r="S162" s="8">
        <v>0</v>
      </c>
      <c r="T162" s="8">
        <v>0</v>
      </c>
      <c r="U162" s="8">
        <v>0.26</v>
      </c>
      <c r="V162" s="9">
        <v>40</v>
      </c>
      <c r="W162" s="9">
        <v>40</v>
      </c>
      <c r="X162" s="9">
        <v>2604.04</v>
      </c>
      <c r="Y162" s="8">
        <v>195.98199600000001</v>
      </c>
      <c r="Z162" s="9">
        <v>42.3</v>
      </c>
      <c r="AA162" s="9">
        <v>2604.04</v>
      </c>
      <c r="AB162" s="8">
        <v>7.85</v>
      </c>
      <c r="AC162" s="10">
        <v>0</v>
      </c>
      <c r="AD162" s="8">
        <v>6.73</v>
      </c>
      <c r="AE162" s="8">
        <v>10.67</v>
      </c>
      <c r="AF162" s="8">
        <v>14</v>
      </c>
      <c r="AG162" s="7">
        <v>628177.80000000005</v>
      </c>
      <c r="AH162" s="8">
        <v>103345.38</v>
      </c>
      <c r="AI162" s="8">
        <v>133538.44199999998</v>
      </c>
      <c r="AJ162" s="8">
        <v>181968.924</v>
      </c>
      <c r="AK162" s="8">
        <v>140225.49600000001</v>
      </c>
      <c r="AL162" s="8">
        <v>63830.97</v>
      </c>
      <c r="AM162" s="8">
        <v>0</v>
      </c>
      <c r="AN162" s="8">
        <v>0</v>
      </c>
      <c r="AO162" s="8">
        <v>5268.5880000000006</v>
      </c>
      <c r="AQ162" s="104">
        <v>33.17</v>
      </c>
      <c r="AR162" s="375">
        <v>13.89</v>
      </c>
      <c r="AS162" s="376"/>
      <c r="AT162" s="104">
        <v>5.9</v>
      </c>
      <c r="AU162" s="104">
        <v>1.53</v>
      </c>
      <c r="AV162" s="104">
        <v>0.32</v>
      </c>
      <c r="AW162" s="104">
        <v>0.6</v>
      </c>
      <c r="AX162" s="104">
        <v>5.01</v>
      </c>
      <c r="AY162" s="104">
        <v>4.99</v>
      </c>
      <c r="AZ162" s="104">
        <v>0</v>
      </c>
      <c r="BA162" s="104">
        <v>0</v>
      </c>
      <c r="BB162" s="104">
        <v>0</v>
      </c>
      <c r="BC162" s="101">
        <v>0.93</v>
      </c>
      <c r="BD162" s="104">
        <v>37.581610000000005</v>
      </c>
      <c r="BE162" s="375">
        <v>15.737370000000004</v>
      </c>
      <c r="BF162" s="376">
        <v>0</v>
      </c>
      <c r="BG162" s="104">
        <v>6.6847000000000012</v>
      </c>
      <c r="BH162" s="104">
        <v>1.7334900000000002</v>
      </c>
      <c r="BI162" s="104">
        <v>0.36256000000000005</v>
      </c>
      <c r="BJ162" s="104">
        <v>0.67980000000000007</v>
      </c>
      <c r="BK162" s="104">
        <v>5.6763300000000001</v>
      </c>
      <c r="BL162" s="104">
        <v>5.65367</v>
      </c>
      <c r="BM162" s="104">
        <v>0</v>
      </c>
      <c r="BN162" s="104">
        <v>0</v>
      </c>
      <c r="BO162" s="104">
        <v>0</v>
      </c>
      <c r="BP162" s="101">
        <v>1.0536900000000002</v>
      </c>
      <c r="BQ162" s="103">
        <v>1493293.7965300004</v>
      </c>
      <c r="BR162" s="371">
        <v>625319.59101000021</v>
      </c>
      <c r="BS162" s="371">
        <v>0</v>
      </c>
      <c r="BT162" s="103">
        <v>265614.51310000004</v>
      </c>
      <c r="BU162" s="103">
        <v>68879.695770000006</v>
      </c>
      <c r="BV162" s="103">
        <v>14406.210880000001</v>
      </c>
      <c r="BW162" s="103">
        <v>27011.645400000005</v>
      </c>
      <c r="BX162" s="103">
        <v>225547.23908999999</v>
      </c>
      <c r="BY162" s="103">
        <v>224646.85091000001</v>
      </c>
      <c r="BZ162" s="103">
        <v>0</v>
      </c>
      <c r="CA162" s="103">
        <v>0</v>
      </c>
      <c r="CB162" s="103">
        <v>0</v>
      </c>
      <c r="CC162" s="103">
        <v>41868.050370000012</v>
      </c>
      <c r="CD162" s="1">
        <v>1</v>
      </c>
      <c r="CF162" s="277">
        <f>SUMIF(Оборот!$A:$A,$B:$B,Оборот!H:H)</f>
        <v>1286275.2400000002</v>
      </c>
      <c r="CG162" s="277">
        <f>SUMIF(Оборот!$A:$A,$B:$B,Оборот!I:I)</f>
        <v>1246328.8899999999</v>
      </c>
      <c r="CH162" s="277">
        <f t="shared" si="25"/>
        <v>1260391.3099254791</v>
      </c>
      <c r="CI162" s="239">
        <f t="shared" si="30"/>
        <v>29704.484417615229</v>
      </c>
      <c r="CJ162" s="276">
        <f>SUMIF('20Ф'!$H:$H,$B:$B,'20Ф'!M:M)*1.2</f>
        <v>0</v>
      </c>
      <c r="CK162" s="276">
        <f>SUMIF('20Ф'!$H:$H,$B:$B,'20Ф'!O:O)*1.2</f>
        <v>0</v>
      </c>
      <c r="CL162" s="276">
        <f>SUMIF('20Ф'!$H:$H,$B:$B,'20Ф'!Q:Q)*1.2</f>
        <v>0</v>
      </c>
      <c r="CM162" s="276">
        <f>SUMIF('20Ф'!$H:$H,$B:$B,'20Ф'!R:R)*1.2</f>
        <v>0</v>
      </c>
      <c r="CN162" s="276">
        <f>SUMIF('20Ф'!$H:$H,$B:$B,'20Ф'!S:S)*1.2</f>
        <v>0</v>
      </c>
      <c r="CO162" s="276">
        <f>SUMIF('20Ф'!$H:$H,$B:$B,'20Ф'!W:W)*1.2</f>
        <v>0</v>
      </c>
      <c r="CP162" s="276">
        <f>SUMIF('20Ф'!$H:$H,$B:$B,'20Ф'!P:P)*1.2</f>
        <v>0</v>
      </c>
      <c r="CQ162" s="276">
        <f>SUMIF('20Ф'!$H:$H,$B:$B,'20Ф'!Y:Y)*1.2</f>
        <v>0</v>
      </c>
      <c r="CR162" s="276">
        <f>SUMIF('20Ф'!$H:$H,$B:$B,'20Ф'!Z:Z)*1.2</f>
        <v>0</v>
      </c>
      <c r="CS162" s="276">
        <f>SUMIF('20Ф'!$H:$H,$B:$B,'20Ф'!AB:AB)*1.2</f>
        <v>0</v>
      </c>
      <c r="CT162" s="276">
        <f>SUMIF('20Ф'!$H:$H,$B:$B,'20Ф'!AC:AC)*1.2</f>
        <v>0</v>
      </c>
      <c r="CU162" s="276">
        <f>SUMIF('20Ф'!$H:$H,$B:$B,'20Ф'!AD:AD)*1.2</f>
        <v>0</v>
      </c>
      <c r="CV162" s="276">
        <f>SUMIF('20Ф'!$H:$H,$B:$B,'20Ф'!AE:AE)*1.2</f>
        <v>0</v>
      </c>
      <c r="CW162" s="276">
        <f>SUMIF('20Ф'!$H:$H,$B:$B,'20Ф'!AF:AF)*1.2</f>
        <v>0</v>
      </c>
      <c r="CX162" s="276">
        <f>SUMIF('20Ф'!$H:$H,$B:$B,'20Ф'!AG:AG)*1.2</f>
        <v>0</v>
      </c>
      <c r="CY162" s="276">
        <f>SUMIF('20Ф'!$H:$H,$B:$B,'20Ф'!AH:AH)*1.2</f>
        <v>0</v>
      </c>
      <c r="CZ162" s="276">
        <f>SUMIF('20Ф'!$H:$H,$B:$B,'20Ф'!AI:AI)*1.2</f>
        <v>0</v>
      </c>
      <c r="DA162" s="276">
        <f>SUMIF('20Ф'!$H:$H,$B:$B,'20Ф'!AJ:AJ)*1.2</f>
        <v>0</v>
      </c>
      <c r="DB162" s="276">
        <f>SUMIF('20Ф'!$H:$H,$B:$B,'20Ф'!AK:AK)*1.2</f>
        <v>0</v>
      </c>
      <c r="DC162" s="276">
        <f>SUMIF('20Ф'!$H:$H,$B:$B,'20Ф'!AL:AL)*1.2</f>
        <v>0</v>
      </c>
      <c r="DD162" s="276">
        <f>SUMIF('20Ф'!$H:$H,$B:$B,'20Ф'!AM:AM)*1.2</f>
        <v>0</v>
      </c>
      <c r="DE162" s="276">
        <f>SUMIF('20Ф'!$H:$H,$B:$B,'20Ф'!AN:AN)*1.2</f>
        <v>0</v>
      </c>
      <c r="DF162" s="276">
        <f>SUMIF('20Ф'!$H:$H,$B:$B,'20Ф'!AO:AO)*1.2</f>
        <v>0</v>
      </c>
      <c r="DG162" s="276">
        <f>SUMIF('20Ф'!$H:$H,$B:$B,'20Ф'!AP:AP)*1.2</f>
        <v>0</v>
      </c>
      <c r="DH162" s="276">
        <f>SUMIF('20Ф'!$H:$H,$B:$B,'20Ф'!AQ:AQ)*1.2</f>
        <v>0</v>
      </c>
      <c r="DI162" s="276">
        <f>SUMIF('20Ф'!$H:$H,$B:$B,'20Ф'!BA:BA)*1.2</f>
        <v>0</v>
      </c>
      <c r="DJ162" s="276">
        <f>SUMIF('20Ф'!$H:$H,$B:$B,'20Ф'!BB:BB)*1.2</f>
        <v>0</v>
      </c>
      <c r="DK162" s="276">
        <f>SUMIF('20Ф'!$H:$H,$B:$B,'20Ф'!BC:BC)*1.2</f>
        <v>0</v>
      </c>
      <c r="DL162" s="276">
        <f>$D162/$D$281*'20Ф'!$H$218</f>
        <v>29704.484417615229</v>
      </c>
      <c r="DM162" s="240">
        <f t="shared" si="26"/>
        <v>417195.66373466962</v>
      </c>
      <c r="DN162" s="276">
        <f>SUMIF('20Ф'!$H:$H,$B:$B,'20Ф'!AV:AV)*1.2</f>
        <v>0</v>
      </c>
      <c r="DO162" s="276">
        <f>SUMIF('20Ф'!$H:$H,$B:$B,'20Ф'!AW:AW)*1.2+$D162/$D$281*'26Ф'!$D$42</f>
        <v>15807.188980335182</v>
      </c>
      <c r="DP162" s="276">
        <f>SUMIF('20Ф'!$H:$H,$B:$B,'20Ф'!AX:AX)*1.2</f>
        <v>0</v>
      </c>
      <c r="DQ162" s="276">
        <f>SUMIF('20Ф'!$H:$H,$B:$B,'20Ф'!AY:AY)*1.2</f>
        <v>67653.3</v>
      </c>
      <c r="DR162" s="276">
        <f>SUMIF('20Ф'!$H:$H,$B:$B,'20Ф'!AU:AU)*1.2</f>
        <v>0</v>
      </c>
      <c r="DS162" s="276">
        <f>SUMIF('20Ф'!$H:$H,$B:$B,'20Ф'!AS:AS)*1.2</f>
        <v>54898.907999999996</v>
      </c>
      <c r="DT162" s="276">
        <f>SUMIF('20Ф'!$H:$H,$B:$B,'20Ф'!AR:AR)*1.2</f>
        <v>0</v>
      </c>
      <c r="DU162" s="276">
        <f>SUMIF('20Ф'!$H:$H,$B:$B,'20Ф'!X:X)*1.2</f>
        <v>0</v>
      </c>
      <c r="DV162" s="276">
        <f>SUMIF('20Ф'!$H:$H,$B:$B,'20Ф'!AA:AA)*1.2</f>
        <v>0</v>
      </c>
      <c r="DW162" s="276">
        <f>SUMIF('20Ф'!$H:$H,$B:$B,'20Ф'!N:N)*1.2</f>
        <v>0</v>
      </c>
      <c r="DX162" s="276">
        <f>$D162/$D$281*('25Ф'!$D$37)</f>
        <v>265699.07159560453</v>
      </c>
      <c r="DY162" s="276">
        <f>$D162/$D$281*'25Ф'!$D$30</f>
        <v>8480.2802883766471</v>
      </c>
      <c r="DZ162" s="276">
        <f>$D162/$D$281*'25Ф'!$D$31</f>
        <v>4656.9148703532246</v>
      </c>
      <c r="EA162" s="276"/>
      <c r="EB162" s="276">
        <f t="shared" si="27"/>
        <v>167394.58526776574</v>
      </c>
      <c r="EC162" s="276">
        <f>$D162/$D$281*'26Ф'!$D$36</f>
        <v>87134.272534541073</v>
      </c>
      <c r="ED162" s="276">
        <f>$D162/$D$281*'26Ф'!$D$37</f>
        <v>10469.089783807849</v>
      </c>
      <c r="EE162" s="276">
        <f>$D162/$D$281*'26Ф'!$D$38</f>
        <v>10576.460601268556</v>
      </c>
      <c r="EF162" s="276">
        <f>$D162/$D$281*'26Ф'!$D$39</f>
        <v>7419.3774589040013</v>
      </c>
      <c r="EG162" s="276">
        <f>$D162/$D$281*'91Ф'!$D$10</f>
        <v>2288.8748603941667</v>
      </c>
      <c r="EH162" s="276">
        <f>$D162/$D$281*('20Ф'!$I$509+'26Ф'!$D$41+'20Ф'!$I$507)</f>
        <v>16193.035946473257</v>
      </c>
      <c r="EI162" s="276">
        <f>$D162/$D$281*'91Ф'!$D$31</f>
        <v>29684.213318159746</v>
      </c>
      <c r="EJ162" s="276">
        <f>$D162/$D$281*'20Ф'!$I$1316</f>
        <v>3629.2607642171042</v>
      </c>
      <c r="EK162" s="276">
        <f>$D162/$D$281*('20Ф'!$I$1105+'20Ф'!$I$1282+'91Ф'!$D$17+'91Ф'!$D$41)</f>
        <v>119188.96685684449</v>
      </c>
      <c r="EL162" s="276">
        <f>$D162/$D$281*отчёт!BX$294</f>
        <v>199247.6027867817</v>
      </c>
      <c r="EM162" s="276">
        <f>$D162/$D$281*отчёт!BY$294</f>
        <v>175227.5714302191</v>
      </c>
      <c r="EN162" s="276">
        <f>SUMIF(отчёт!$B:$B,$B:$B,отчёт!BZ:BZ)/отчёт!BZ$281*('60Ф'!$O$151+'60Ф'!$P$151)*отчёт!BZ$293</f>
        <v>0</v>
      </c>
      <c r="EO162" s="240">
        <f t="shared" si="28"/>
        <v>0</v>
      </c>
      <c r="EP162" s="276">
        <f>SUMIF('20Ф'!$H:$H,$B:$B,'20Ф'!T:T)*1.2</f>
        <v>0</v>
      </c>
      <c r="EQ162" s="276">
        <f>SUMIF('20Ф'!$H:$H,$B:$B,'20Ф'!U:U)*1.2</f>
        <v>0</v>
      </c>
      <c r="ER162" s="236"/>
      <c r="ES162" s="239">
        <f t="shared" si="31"/>
        <v>66688.248539417167</v>
      </c>
      <c r="ET162" s="276">
        <f>$D162/$D$282*'20Ф'!$I$381</f>
        <v>5097.0467314011494</v>
      </c>
      <c r="EU162" s="276">
        <f>$D162/$D$282*('20Ф'!$I$75+'20Ф'!$I$1098)*1.2</f>
        <v>58873.152466423824</v>
      </c>
      <c r="EV162" s="276">
        <f>$D162/$D$282*('20Ф'!$I$1286)</f>
        <v>2718.0493415921883</v>
      </c>
      <c r="EW162" s="276">
        <f>SUMIF('91.1Ф'!$N:$N,$B:$B,'91.1Ф'!$F:$F)+$D162/$D$281*('91Ф'!$D$12+'91Ф'!$D$11+'91Ф'!$D$19+'91Ф'!$D$20)</f>
        <v>15708.523259184023</v>
      </c>
      <c r="EX162" s="276">
        <f t="shared" si="29"/>
        <v>70035.663632981916</v>
      </c>
      <c r="EY162" s="276">
        <f>SUMIF('20Ф'!$H:$H,$B:$B,'20Ф'!$AY:$AY)*1.2</f>
        <v>67653.3</v>
      </c>
      <c r="EZ162" s="295">
        <f>D162/$D$286*'20Ф'!$I$1163</f>
        <v>2382.3636329819078</v>
      </c>
      <c r="FA162" s="277">
        <f>SUMIF(отчёт!$B:$B,$B:$B,отчёт!$CU:$CU)/отчёт!$CU$281*'20Ф'!$I$1341</f>
        <v>3683.8554216867401</v>
      </c>
      <c r="FB162" s="276">
        <f>SUMIF(Сальдо!$A:$A,$B:$B,Сальдо!$H:$H)-SUMIF(Сальдо!$A:$A,$B:$B,Сальдо!$I:$I)</f>
        <v>463994.93</v>
      </c>
    </row>
    <row r="163" spans="1:158" ht="12" customHeight="1" x14ac:dyDescent="0.25">
      <c r="A163" s="3">
        <f t="shared" si="32"/>
        <v>159</v>
      </c>
      <c r="B163" s="4" t="s">
        <v>208</v>
      </c>
      <c r="C163" s="4" t="s">
        <v>208</v>
      </c>
      <c r="D163" s="5">
        <v>3351.3</v>
      </c>
      <c r="E163" s="6">
        <v>3351.3</v>
      </c>
      <c r="F163" s="6">
        <v>0</v>
      </c>
      <c r="G163" s="6">
        <v>279.2</v>
      </c>
      <c r="H163" s="5">
        <f>SUMIF(отчёт!$B:$B,$B:$B,отчёт!I:I)</f>
        <v>0</v>
      </c>
      <c r="I163" s="5">
        <f>SUMIF(отчёт!$B:$B,$B:$B,отчёт!J:J)</f>
        <v>0</v>
      </c>
      <c r="J163" s="3" t="s">
        <v>51</v>
      </c>
      <c r="K163" s="105">
        <v>7</v>
      </c>
      <c r="L163" s="105" t="s">
        <v>52</v>
      </c>
      <c r="M163" s="7">
        <v>31</v>
      </c>
      <c r="N163" s="8">
        <v>5.0999999999999996</v>
      </c>
      <c r="O163" s="8">
        <v>6.59</v>
      </c>
      <c r="P163" s="8">
        <v>8.98</v>
      </c>
      <c r="Q163" s="8">
        <v>6.92</v>
      </c>
      <c r="R163" s="8">
        <v>3.15</v>
      </c>
      <c r="S163" s="8">
        <v>0</v>
      </c>
      <c r="T163" s="8">
        <v>0</v>
      </c>
      <c r="U163" s="8">
        <v>0.26</v>
      </c>
      <c r="V163" s="9">
        <v>40</v>
      </c>
      <c r="W163" s="9">
        <v>40</v>
      </c>
      <c r="X163" s="9">
        <v>2604.04</v>
      </c>
      <c r="Y163" s="8">
        <v>195.98199600000001</v>
      </c>
      <c r="Z163" s="9">
        <v>42.3</v>
      </c>
      <c r="AA163" s="9">
        <v>2604.04</v>
      </c>
      <c r="AB163" s="8">
        <v>7.85</v>
      </c>
      <c r="AC163" s="10">
        <v>0</v>
      </c>
      <c r="AD163" s="8">
        <v>6.73</v>
      </c>
      <c r="AE163" s="8">
        <v>10.67</v>
      </c>
      <c r="AF163" s="8">
        <v>14</v>
      </c>
      <c r="AG163" s="7">
        <v>623341.80000000005</v>
      </c>
      <c r="AH163" s="8">
        <v>102549.78</v>
      </c>
      <c r="AI163" s="8">
        <v>132510.402</v>
      </c>
      <c r="AJ163" s="8">
        <v>180568.04400000002</v>
      </c>
      <c r="AK163" s="8">
        <v>139145.97600000002</v>
      </c>
      <c r="AL163" s="8">
        <v>63339.570000000007</v>
      </c>
      <c r="AM163" s="8">
        <v>0</v>
      </c>
      <c r="AN163" s="8">
        <v>0</v>
      </c>
      <c r="AO163" s="8">
        <v>5228.0280000000002</v>
      </c>
      <c r="AQ163" s="104">
        <v>33.17</v>
      </c>
      <c r="AR163" s="375">
        <v>13.89</v>
      </c>
      <c r="AS163" s="376"/>
      <c r="AT163" s="104">
        <v>5.9</v>
      </c>
      <c r="AU163" s="104">
        <v>1.53</v>
      </c>
      <c r="AV163" s="104">
        <v>0.32</v>
      </c>
      <c r="AW163" s="104">
        <v>0.6</v>
      </c>
      <c r="AX163" s="104">
        <v>5.01</v>
      </c>
      <c r="AY163" s="104">
        <v>4.99</v>
      </c>
      <c r="AZ163" s="104">
        <v>0</v>
      </c>
      <c r="BA163" s="104">
        <v>0</v>
      </c>
      <c r="BB163" s="104">
        <v>0</v>
      </c>
      <c r="BC163" s="101">
        <v>0.93</v>
      </c>
      <c r="BD163" s="104">
        <v>37.581610000000005</v>
      </c>
      <c r="BE163" s="375">
        <v>15.737370000000004</v>
      </c>
      <c r="BF163" s="376">
        <v>0</v>
      </c>
      <c r="BG163" s="104">
        <v>6.6847000000000012</v>
      </c>
      <c r="BH163" s="104">
        <v>1.7334900000000002</v>
      </c>
      <c r="BI163" s="104">
        <v>0.36256000000000005</v>
      </c>
      <c r="BJ163" s="104">
        <v>0.67980000000000007</v>
      </c>
      <c r="BK163" s="104">
        <v>5.6763300000000001</v>
      </c>
      <c r="BL163" s="104">
        <v>5.65367</v>
      </c>
      <c r="BM163" s="104">
        <v>0</v>
      </c>
      <c r="BN163" s="104">
        <v>0</v>
      </c>
      <c r="BO163" s="104">
        <v>0</v>
      </c>
      <c r="BP163" s="101">
        <v>1.0536900000000002</v>
      </c>
      <c r="BQ163" s="103">
        <v>1481797.7379300001</v>
      </c>
      <c r="BR163" s="371">
        <v>620505.59481000016</v>
      </c>
      <c r="BS163" s="371">
        <v>0</v>
      </c>
      <c r="BT163" s="103">
        <v>263569.69110000005</v>
      </c>
      <c r="BU163" s="103">
        <v>68349.428370000009</v>
      </c>
      <c r="BV163" s="103">
        <v>14295.30528</v>
      </c>
      <c r="BW163" s="103">
        <v>26803.697400000005</v>
      </c>
      <c r="BX163" s="103">
        <v>223810.87328999999</v>
      </c>
      <c r="BY163" s="103">
        <v>222917.41671000002</v>
      </c>
      <c r="BZ163" s="103">
        <v>0</v>
      </c>
      <c r="CA163" s="103">
        <v>0</v>
      </c>
      <c r="CB163" s="103">
        <v>0</v>
      </c>
      <c r="CC163" s="103">
        <v>41545.730970000011</v>
      </c>
      <c r="CD163" s="1">
        <v>1</v>
      </c>
      <c r="CF163" s="277">
        <f>SUMIF(Оборот!$A:$A,$B:$B,Оборот!H:H)</f>
        <v>1276750.4799999997</v>
      </c>
      <c r="CG163" s="277">
        <f>SUMIF(Оборот!$A:$A,$B:$B,Оборот!I:I)</f>
        <v>1281004.7999999998</v>
      </c>
      <c r="CH163" s="277">
        <f t="shared" si="25"/>
        <v>1567555.0701753641</v>
      </c>
      <c r="CI163" s="239">
        <f t="shared" si="30"/>
        <v>285151.29771129414</v>
      </c>
      <c r="CJ163" s="276">
        <f>SUMIF('20Ф'!$H:$H,$B:$B,'20Ф'!M:M)*1.2</f>
        <v>0</v>
      </c>
      <c r="CK163" s="276">
        <f>SUMIF('20Ф'!$H:$H,$B:$B,'20Ф'!O:O)*1.2</f>
        <v>0</v>
      </c>
      <c r="CL163" s="276">
        <f>SUMIF('20Ф'!$H:$H,$B:$B,'20Ф'!Q:Q)*1.2</f>
        <v>0</v>
      </c>
      <c r="CM163" s="276">
        <f>SUMIF('20Ф'!$H:$H,$B:$B,'20Ф'!R:R)*1.2</f>
        <v>0</v>
      </c>
      <c r="CN163" s="276">
        <f>SUMIF('20Ф'!$H:$H,$B:$B,'20Ф'!S:S)*1.2</f>
        <v>0</v>
      </c>
      <c r="CO163" s="276">
        <f>SUMIF('20Ф'!$H:$H,$B:$B,'20Ф'!W:W)*1.2</f>
        <v>0</v>
      </c>
      <c r="CP163" s="276">
        <f>SUMIF('20Ф'!$H:$H,$B:$B,'20Ф'!P:P)*1.2</f>
        <v>0</v>
      </c>
      <c r="CQ163" s="276">
        <f>SUMIF('20Ф'!$H:$H,$B:$B,'20Ф'!Y:Y)*1.2</f>
        <v>0</v>
      </c>
      <c r="CR163" s="276">
        <f>SUMIF('20Ф'!$H:$H,$B:$B,'20Ф'!Z:Z)*1.2</f>
        <v>0</v>
      </c>
      <c r="CS163" s="276">
        <f>SUMIF('20Ф'!$H:$H,$B:$B,'20Ф'!AB:AB)*1.2</f>
        <v>0</v>
      </c>
      <c r="CT163" s="276">
        <f>SUMIF('20Ф'!$H:$H,$B:$B,'20Ф'!AC:AC)*1.2</f>
        <v>0</v>
      </c>
      <c r="CU163" s="276">
        <f>SUMIF('20Ф'!$H:$H,$B:$B,'20Ф'!AD:AD)*1.2</f>
        <v>0</v>
      </c>
      <c r="CV163" s="276">
        <f>SUMIF('20Ф'!$H:$H,$B:$B,'20Ф'!AE:AE)*1.2</f>
        <v>0</v>
      </c>
      <c r="CW163" s="276">
        <f>SUMIF('20Ф'!$H:$H,$B:$B,'20Ф'!AF:AF)*1.2</f>
        <v>0</v>
      </c>
      <c r="CX163" s="276">
        <f>SUMIF('20Ф'!$H:$H,$B:$B,'20Ф'!AG:AG)*1.2</f>
        <v>0</v>
      </c>
      <c r="CY163" s="276">
        <f>SUMIF('20Ф'!$H:$H,$B:$B,'20Ф'!AH:AH)*1.2</f>
        <v>0</v>
      </c>
      <c r="CZ163" s="276">
        <f>SUMIF('20Ф'!$H:$H,$B:$B,'20Ф'!AI:AI)*1.2</f>
        <v>0</v>
      </c>
      <c r="DA163" s="276">
        <f>SUMIF('20Ф'!$H:$H,$B:$B,'20Ф'!AJ:AJ)*1.2</f>
        <v>66100.56</v>
      </c>
      <c r="DB163" s="276">
        <f>SUMIF('20Ф'!$H:$H,$B:$B,'20Ф'!AK:AK)*1.2</f>
        <v>0</v>
      </c>
      <c r="DC163" s="276">
        <f>SUMIF('20Ф'!$H:$H,$B:$B,'20Ф'!AL:AL)*1.2</f>
        <v>0</v>
      </c>
      <c r="DD163" s="276">
        <f>SUMIF('20Ф'!$H:$H,$B:$B,'20Ф'!AM:AM)*1.2</f>
        <v>0</v>
      </c>
      <c r="DE163" s="276">
        <f>SUMIF('20Ф'!$H:$H,$B:$B,'20Ф'!AN:AN)*1.2</f>
        <v>189574.93199999997</v>
      </c>
      <c r="DF163" s="276">
        <f>SUMIF('20Ф'!$H:$H,$B:$B,'20Ф'!AO:AO)*1.2</f>
        <v>0</v>
      </c>
      <c r="DG163" s="276">
        <f>SUMIF('20Ф'!$H:$H,$B:$B,'20Ф'!AP:AP)*1.2</f>
        <v>0</v>
      </c>
      <c r="DH163" s="276">
        <f>SUMIF('20Ф'!$H:$H,$B:$B,'20Ф'!AQ:AQ)*1.2</f>
        <v>0</v>
      </c>
      <c r="DI163" s="276">
        <f>SUMIF('20Ф'!$H:$H,$B:$B,'20Ф'!BA:BA)*1.2</f>
        <v>0</v>
      </c>
      <c r="DJ163" s="276">
        <f>SUMIF('20Ф'!$H:$H,$B:$B,'20Ф'!BB:BB)*1.2</f>
        <v>0</v>
      </c>
      <c r="DK163" s="276">
        <f>SUMIF('20Ф'!$H:$H,$B:$B,'20Ф'!BC:BC)*1.2</f>
        <v>0</v>
      </c>
      <c r="DL163" s="276">
        <f>$D163/$D$281*'20Ф'!$H$218</f>
        <v>29475.805711294204</v>
      </c>
      <c r="DM163" s="240">
        <f t="shared" si="26"/>
        <v>542307.71165795112</v>
      </c>
      <c r="DN163" s="276">
        <f>SUMIF('20Ф'!$H:$H,$B:$B,'20Ф'!AV:AV)*1.2</f>
        <v>0</v>
      </c>
      <c r="DO163" s="276">
        <f>SUMIF('20Ф'!$H:$H,$B:$B,'20Ф'!AW:AW)*1.2+$D163/$D$281*'26Ф'!$D$42</f>
        <v>15685.498010184852</v>
      </c>
      <c r="DP163" s="276">
        <f>SUMIF('20Ф'!$H:$H,$B:$B,'20Ф'!AX:AX)*1.2</f>
        <v>0</v>
      </c>
      <c r="DQ163" s="276">
        <f>SUMIF('20Ф'!$H:$H,$B:$B,'20Ф'!AY:AY)*1.2</f>
        <v>0</v>
      </c>
      <c r="DR163" s="276">
        <f>SUMIF('20Ф'!$H:$H,$B:$B,'20Ф'!AU:AU)*1.2</f>
        <v>0</v>
      </c>
      <c r="DS163" s="276">
        <f>SUMIF('20Ф'!$H:$H,$B:$B,'20Ф'!AS:AS)*1.2</f>
        <v>54939.96</v>
      </c>
      <c r="DT163" s="276">
        <f>SUMIF('20Ф'!$H:$H,$B:$B,'20Ф'!AR:AR)*1.2</f>
        <v>0</v>
      </c>
      <c r="DU163" s="276">
        <f>SUMIF('20Ф'!$H:$H,$B:$B,'20Ф'!X:X)*1.2</f>
        <v>194992.59599999999</v>
      </c>
      <c r="DV163" s="276">
        <f>SUMIF('20Ф'!$H:$H,$B:$B,'20Ф'!AA:AA)*1.2</f>
        <v>0</v>
      </c>
      <c r="DW163" s="276">
        <f>SUMIF('20Ф'!$H:$H,$B:$B,'20Ф'!N:N)*1.2</f>
        <v>0</v>
      </c>
      <c r="DX163" s="276">
        <f>$D163/$D$281*('25Ф'!$D$37)</f>
        <v>263653.59862563276</v>
      </c>
      <c r="DY163" s="276">
        <f>$D163/$D$281*'25Ф'!$D$30</f>
        <v>8414.9952122810118</v>
      </c>
      <c r="DZ163" s="276">
        <f>$D163/$D$281*'25Ф'!$D$31</f>
        <v>4621.0638098524742</v>
      </c>
      <c r="EA163" s="276"/>
      <c r="EB163" s="276">
        <f t="shared" si="27"/>
        <v>166105.90519286512</v>
      </c>
      <c r="EC163" s="276">
        <f>$D163/$D$281*'26Ф'!$D$36</f>
        <v>86463.473053921029</v>
      </c>
      <c r="ED163" s="276">
        <f>$D163/$D$281*'26Ф'!$D$37</f>
        <v>10388.493942639163</v>
      </c>
      <c r="EE163" s="276">
        <f>$D163/$D$281*'26Ф'!$D$38</f>
        <v>10495.038170441274</v>
      </c>
      <c r="EF163" s="276">
        <f>$D163/$D$281*'26Ф'!$D$39</f>
        <v>7362.2596979909931</v>
      </c>
      <c r="EG163" s="276">
        <f>$D163/$D$281*'91Ф'!$D$10</f>
        <v>2271.254054907462</v>
      </c>
      <c r="EH163" s="276">
        <f>$D163/$D$281*('20Ф'!$I$509+'26Ф'!$D$41+'20Ф'!$I$507)</f>
        <v>16068.374549911417</v>
      </c>
      <c r="EI163" s="276">
        <f>$D163/$D$281*'91Ф'!$D$31</f>
        <v>29455.690668033269</v>
      </c>
      <c r="EJ163" s="276">
        <f>$D163/$D$281*'20Ф'!$I$1316</f>
        <v>3601.321055020514</v>
      </c>
      <c r="EK163" s="276">
        <f>$D163/$D$281*('20Ф'!$I$1105+'20Ф'!$I$1282+'91Ф'!$D$17+'91Ф'!$D$41)</f>
        <v>118271.39567919432</v>
      </c>
      <c r="EL163" s="276">
        <f>$D163/$D$281*отчёт!BX$294</f>
        <v>197713.70361511904</v>
      </c>
      <c r="EM163" s="276">
        <f>$D163/$D$281*отчёт!BY$294</f>
        <v>173878.5894454426</v>
      </c>
      <c r="EN163" s="276">
        <f>SUMIF(отчёт!$B:$B,$B:$B,отчёт!BZ:BZ)/отчёт!BZ$281*('60Ф'!$O$151+'60Ф'!$P$151)*отчёт!BZ$293</f>
        <v>0</v>
      </c>
      <c r="EO163" s="240">
        <f t="shared" si="28"/>
        <v>0</v>
      </c>
      <c r="EP163" s="276">
        <f>SUMIF('20Ф'!$H:$H,$B:$B,'20Ф'!T:T)*1.2</f>
        <v>0</v>
      </c>
      <c r="EQ163" s="276">
        <f>SUMIF('20Ф'!$H:$H,$B:$B,'20Ф'!U:U)*1.2</f>
        <v>0</v>
      </c>
      <c r="ER163" s="236"/>
      <c r="ES163" s="239">
        <f t="shared" si="31"/>
        <v>66174.851902451279</v>
      </c>
      <c r="ET163" s="276">
        <f>$D163/$D$282*'20Ф'!$I$381</f>
        <v>5057.8073345408084</v>
      </c>
      <c r="EU163" s="276">
        <f>$D163/$D$282*('20Ф'!$I$75+'20Ф'!$I$1098)*1.2</f>
        <v>58419.920013243172</v>
      </c>
      <c r="EV163" s="276">
        <f>$D163/$D$282*('20Ф'!$I$1286)</f>
        <v>2697.1245546673085</v>
      </c>
      <c r="EW163" s="276">
        <f>SUMIF('91.1Ф'!$N:$N,$B:$B,'91.1Ф'!$F:$F)+$D163/$D$281*('91Ф'!$D$12+'91Ф'!$D$11+'91Ф'!$D$19+'91Ф'!$D$20)</f>
        <v>15587.591862879644</v>
      </c>
      <c r="EX163" s="276">
        <f t="shared" si="29"/>
        <v>2364.0231081669581</v>
      </c>
      <c r="EY163" s="276">
        <f>SUMIF('20Ф'!$H:$H,$B:$B,'20Ф'!$AY:$AY)*1.2</f>
        <v>0</v>
      </c>
      <c r="EZ163" s="295">
        <f>D163/$D$286*'20Ф'!$I$1163</f>
        <v>2364.0231081669581</v>
      </c>
      <c r="FA163" s="277">
        <f>SUMIF(отчёт!$B:$B,$B:$B,отчёт!$CU:$CU)/отчёт!$CU$281*'20Ф'!$I$1341</f>
        <v>3683.8554216867401</v>
      </c>
      <c r="FB163" s="276">
        <f>SUMIF(Сальдо!$A:$A,$B:$B,Сальдо!$H:$H)-SUMIF(Сальдо!$A:$A,$B:$B,Сальдо!$I:$I)</f>
        <v>481727.59</v>
      </c>
    </row>
    <row r="164" spans="1:158" ht="12" customHeight="1" x14ac:dyDescent="0.25">
      <c r="A164" s="3">
        <f t="shared" si="32"/>
        <v>160</v>
      </c>
      <c r="B164" s="4" t="s">
        <v>209</v>
      </c>
      <c r="C164" s="4" t="s">
        <v>209</v>
      </c>
      <c r="D164" s="5">
        <v>3357.8</v>
      </c>
      <c r="E164" s="6">
        <v>3357.8</v>
      </c>
      <c r="F164" s="6">
        <v>0</v>
      </c>
      <c r="G164" s="6">
        <v>279.2</v>
      </c>
      <c r="H164" s="5">
        <f>SUMIF(отчёт!$B:$B,$B:$B,отчёт!I:I)</f>
        <v>0</v>
      </c>
      <c r="I164" s="5">
        <f>SUMIF(отчёт!$B:$B,$B:$B,отчёт!J:J)</f>
        <v>0</v>
      </c>
      <c r="J164" s="3" t="s">
        <v>51</v>
      </c>
      <c r="K164" s="105">
        <v>7</v>
      </c>
      <c r="L164" s="105" t="s">
        <v>52</v>
      </c>
      <c r="M164" s="7">
        <v>31</v>
      </c>
      <c r="N164" s="8">
        <v>5.0999999999999996</v>
      </c>
      <c r="O164" s="8">
        <v>6.59</v>
      </c>
      <c r="P164" s="8">
        <v>8.98</v>
      </c>
      <c r="Q164" s="8">
        <v>6.92</v>
      </c>
      <c r="R164" s="8">
        <v>3.15</v>
      </c>
      <c r="S164" s="8">
        <v>0</v>
      </c>
      <c r="T164" s="8">
        <v>0</v>
      </c>
      <c r="U164" s="8">
        <v>0.26</v>
      </c>
      <c r="V164" s="9">
        <v>40</v>
      </c>
      <c r="W164" s="9">
        <v>40</v>
      </c>
      <c r="X164" s="9">
        <v>2604.04</v>
      </c>
      <c r="Y164" s="8">
        <v>195.98199600000001</v>
      </c>
      <c r="Z164" s="9">
        <v>42.3</v>
      </c>
      <c r="AA164" s="9">
        <v>2604.04</v>
      </c>
      <c r="AB164" s="8">
        <v>7.85</v>
      </c>
      <c r="AC164" s="10">
        <v>0</v>
      </c>
      <c r="AD164" s="8">
        <v>6.73</v>
      </c>
      <c r="AE164" s="8">
        <v>10.67</v>
      </c>
      <c r="AF164" s="8">
        <v>14</v>
      </c>
      <c r="AG164" s="7">
        <v>624550.80000000005</v>
      </c>
      <c r="AH164" s="8">
        <v>102748.68</v>
      </c>
      <c r="AI164" s="8">
        <v>132767.41200000001</v>
      </c>
      <c r="AJ164" s="8">
        <v>180918.26400000002</v>
      </c>
      <c r="AK164" s="8">
        <v>139415.85600000003</v>
      </c>
      <c r="AL164" s="8">
        <v>63462.42</v>
      </c>
      <c r="AM164" s="8">
        <v>0</v>
      </c>
      <c r="AN164" s="8">
        <v>0</v>
      </c>
      <c r="AO164" s="8">
        <v>5238.1680000000006</v>
      </c>
      <c r="AQ164" s="104">
        <v>33.17</v>
      </c>
      <c r="AR164" s="375">
        <v>13.89</v>
      </c>
      <c r="AS164" s="376"/>
      <c r="AT164" s="104">
        <v>5.9</v>
      </c>
      <c r="AU164" s="104">
        <v>1.53</v>
      </c>
      <c r="AV164" s="104">
        <v>0.32</v>
      </c>
      <c r="AW164" s="104">
        <v>0.6</v>
      </c>
      <c r="AX164" s="104">
        <v>5.01</v>
      </c>
      <c r="AY164" s="104">
        <v>4.99</v>
      </c>
      <c r="AZ164" s="104">
        <v>0</v>
      </c>
      <c r="BA164" s="104">
        <v>0</v>
      </c>
      <c r="BB164" s="104">
        <v>0</v>
      </c>
      <c r="BC164" s="101">
        <v>0.93</v>
      </c>
      <c r="BD164" s="104">
        <v>37.581610000000005</v>
      </c>
      <c r="BE164" s="375">
        <v>15.737370000000004</v>
      </c>
      <c r="BF164" s="376">
        <v>0</v>
      </c>
      <c r="BG164" s="104">
        <v>6.6847000000000012</v>
      </c>
      <c r="BH164" s="104">
        <v>1.7334900000000002</v>
      </c>
      <c r="BI164" s="104">
        <v>0.36256000000000005</v>
      </c>
      <c r="BJ164" s="104">
        <v>0.67980000000000007</v>
      </c>
      <c r="BK164" s="104">
        <v>5.6763300000000001</v>
      </c>
      <c r="BL164" s="104">
        <v>5.65367</v>
      </c>
      <c r="BM164" s="104">
        <v>0</v>
      </c>
      <c r="BN164" s="104">
        <v>0</v>
      </c>
      <c r="BO164" s="104">
        <v>0</v>
      </c>
      <c r="BP164" s="101">
        <v>1.0536900000000002</v>
      </c>
      <c r="BQ164" s="103">
        <v>1484671.7525800003</v>
      </c>
      <c r="BR164" s="371">
        <v>621709.09386000014</v>
      </c>
      <c r="BS164" s="371">
        <v>0</v>
      </c>
      <c r="BT164" s="103">
        <v>264080.89660000004</v>
      </c>
      <c r="BU164" s="103">
        <v>68481.995219999997</v>
      </c>
      <c r="BV164" s="103">
        <v>14323.031680000002</v>
      </c>
      <c r="BW164" s="103">
        <v>26855.684400000006</v>
      </c>
      <c r="BX164" s="103">
        <v>224244.96474</v>
      </c>
      <c r="BY164" s="103">
        <v>223349.77526000002</v>
      </c>
      <c r="BZ164" s="103">
        <v>0</v>
      </c>
      <c r="CA164" s="103">
        <v>0</v>
      </c>
      <c r="CB164" s="103">
        <v>0</v>
      </c>
      <c r="CC164" s="103">
        <v>41626.310820000013</v>
      </c>
      <c r="CD164" s="1">
        <v>1</v>
      </c>
      <c r="CF164" s="277">
        <f>SUMIF(Оборот!$A:$A,$B:$B,Оборот!H:H)</f>
        <v>1278247.4400000002</v>
      </c>
      <c r="CG164" s="277">
        <f>SUMIF(Оборот!$A:$A,$B:$B,Оборот!I:I)</f>
        <v>1269828.73</v>
      </c>
      <c r="CH164" s="277">
        <f t="shared" si="25"/>
        <v>1306460.069112893</v>
      </c>
      <c r="CI164" s="239">
        <f t="shared" si="30"/>
        <v>29532.97538787446</v>
      </c>
      <c r="CJ164" s="276">
        <f>SUMIF('20Ф'!$H:$H,$B:$B,'20Ф'!M:M)*1.2</f>
        <v>0</v>
      </c>
      <c r="CK164" s="276">
        <f>SUMIF('20Ф'!$H:$H,$B:$B,'20Ф'!O:O)*1.2</f>
        <v>0</v>
      </c>
      <c r="CL164" s="276">
        <f>SUMIF('20Ф'!$H:$H,$B:$B,'20Ф'!Q:Q)*1.2</f>
        <v>0</v>
      </c>
      <c r="CM164" s="276">
        <f>SUMIF('20Ф'!$H:$H,$B:$B,'20Ф'!R:R)*1.2</f>
        <v>0</v>
      </c>
      <c r="CN164" s="276">
        <f>SUMIF('20Ф'!$H:$H,$B:$B,'20Ф'!S:S)*1.2</f>
        <v>0</v>
      </c>
      <c r="CO164" s="276">
        <f>SUMIF('20Ф'!$H:$H,$B:$B,'20Ф'!W:W)*1.2</f>
        <v>0</v>
      </c>
      <c r="CP164" s="276">
        <f>SUMIF('20Ф'!$H:$H,$B:$B,'20Ф'!P:P)*1.2</f>
        <v>0</v>
      </c>
      <c r="CQ164" s="276">
        <f>SUMIF('20Ф'!$H:$H,$B:$B,'20Ф'!Y:Y)*1.2</f>
        <v>0</v>
      </c>
      <c r="CR164" s="276">
        <f>SUMIF('20Ф'!$H:$H,$B:$B,'20Ф'!Z:Z)*1.2</f>
        <v>0</v>
      </c>
      <c r="CS164" s="276">
        <f>SUMIF('20Ф'!$H:$H,$B:$B,'20Ф'!AB:AB)*1.2</f>
        <v>0</v>
      </c>
      <c r="CT164" s="276">
        <f>SUMIF('20Ф'!$H:$H,$B:$B,'20Ф'!AC:AC)*1.2</f>
        <v>0</v>
      </c>
      <c r="CU164" s="276">
        <f>SUMIF('20Ф'!$H:$H,$B:$B,'20Ф'!AD:AD)*1.2</f>
        <v>0</v>
      </c>
      <c r="CV164" s="276">
        <f>SUMIF('20Ф'!$H:$H,$B:$B,'20Ф'!AE:AE)*1.2</f>
        <v>0</v>
      </c>
      <c r="CW164" s="276">
        <f>SUMIF('20Ф'!$H:$H,$B:$B,'20Ф'!AF:AF)*1.2</f>
        <v>0</v>
      </c>
      <c r="CX164" s="276">
        <f>SUMIF('20Ф'!$H:$H,$B:$B,'20Ф'!AG:AG)*1.2</f>
        <v>0</v>
      </c>
      <c r="CY164" s="276">
        <f>SUMIF('20Ф'!$H:$H,$B:$B,'20Ф'!AH:AH)*1.2</f>
        <v>0</v>
      </c>
      <c r="CZ164" s="276">
        <f>SUMIF('20Ф'!$H:$H,$B:$B,'20Ф'!AI:AI)*1.2</f>
        <v>0</v>
      </c>
      <c r="DA164" s="276">
        <f>SUMIF('20Ф'!$H:$H,$B:$B,'20Ф'!AJ:AJ)*1.2</f>
        <v>0</v>
      </c>
      <c r="DB164" s="276">
        <f>SUMIF('20Ф'!$H:$H,$B:$B,'20Ф'!AK:AK)*1.2</f>
        <v>0</v>
      </c>
      <c r="DC164" s="276">
        <f>SUMIF('20Ф'!$H:$H,$B:$B,'20Ф'!AL:AL)*1.2</f>
        <v>0</v>
      </c>
      <c r="DD164" s="276">
        <f>SUMIF('20Ф'!$H:$H,$B:$B,'20Ф'!AM:AM)*1.2</f>
        <v>0</v>
      </c>
      <c r="DE164" s="276">
        <f>SUMIF('20Ф'!$H:$H,$B:$B,'20Ф'!AN:AN)*1.2</f>
        <v>0</v>
      </c>
      <c r="DF164" s="276">
        <f>SUMIF('20Ф'!$H:$H,$B:$B,'20Ф'!AO:AO)*1.2</f>
        <v>0</v>
      </c>
      <c r="DG164" s="276">
        <f>SUMIF('20Ф'!$H:$H,$B:$B,'20Ф'!AP:AP)*1.2</f>
        <v>0</v>
      </c>
      <c r="DH164" s="276">
        <f>SUMIF('20Ф'!$H:$H,$B:$B,'20Ф'!AQ:AQ)*1.2</f>
        <v>0</v>
      </c>
      <c r="DI164" s="276">
        <f>SUMIF('20Ф'!$H:$H,$B:$B,'20Ф'!BA:BA)*1.2</f>
        <v>0</v>
      </c>
      <c r="DJ164" s="276">
        <f>SUMIF('20Ф'!$H:$H,$B:$B,'20Ф'!BB:BB)*1.2</f>
        <v>0</v>
      </c>
      <c r="DK164" s="276">
        <f>SUMIF('20Ф'!$H:$H,$B:$B,'20Ф'!BC:BC)*1.2</f>
        <v>0</v>
      </c>
      <c r="DL164" s="276">
        <f>$D164/$D$281*'20Ф'!$H$218</f>
        <v>29532.97538787446</v>
      </c>
      <c r="DM164" s="240">
        <f t="shared" si="26"/>
        <v>535395.5826771307</v>
      </c>
      <c r="DN164" s="276">
        <f>SUMIF('20Ф'!$H:$H,$B:$B,'20Ф'!AV:AV)*1.2</f>
        <v>0</v>
      </c>
      <c r="DO164" s="276">
        <f>SUMIF('20Ф'!$H:$H,$B:$B,'20Ф'!AW:AW)*1.2+$D164/$D$281*'26Ф'!$D$42</f>
        <v>15715.920752722435</v>
      </c>
      <c r="DP164" s="276">
        <f>SUMIF('20Ф'!$H:$H,$B:$B,'20Ф'!AX:AX)*1.2</f>
        <v>0</v>
      </c>
      <c r="DQ164" s="276">
        <f>SUMIF('20Ф'!$H:$H,$B:$B,'20Ф'!AY:AY)*1.2</f>
        <v>0</v>
      </c>
      <c r="DR164" s="276">
        <f>SUMIF('20Ф'!$H:$H,$B:$B,'20Ф'!AU:AU)*1.2</f>
        <v>0</v>
      </c>
      <c r="DS164" s="276">
        <f>SUMIF('20Ф'!$H:$H,$B:$B,'20Ф'!AS:AS)*1.2</f>
        <v>59236.991999999998</v>
      </c>
      <c r="DT164" s="276">
        <f>SUMIF('20Ф'!$H:$H,$B:$B,'20Ф'!AR:AR)*1.2</f>
        <v>0</v>
      </c>
      <c r="DU164" s="276">
        <f>SUMIF('20Ф'!$H:$H,$B:$B,'20Ф'!X:X)*1.2</f>
        <v>183216.36</v>
      </c>
      <c r="DV164" s="276">
        <f>SUMIF('20Ф'!$H:$H,$B:$B,'20Ф'!AA:AA)*1.2</f>
        <v>0</v>
      </c>
      <c r="DW164" s="276">
        <f>SUMIF('20Ф'!$H:$H,$B:$B,'20Ф'!N:N)*1.2</f>
        <v>0</v>
      </c>
      <c r="DX164" s="276">
        <f>$D164/$D$281*('25Ф'!$D$37)</f>
        <v>264164.96686812566</v>
      </c>
      <c r="DY164" s="276">
        <f>$D164/$D$281*'25Ф'!$D$30</f>
        <v>8431.3164813049207</v>
      </c>
      <c r="DZ164" s="276">
        <f>$D164/$D$281*'25Ф'!$D$31</f>
        <v>4630.0265749776618</v>
      </c>
      <c r="EA164" s="276"/>
      <c r="EB164" s="276">
        <f t="shared" si="27"/>
        <v>166428.07521159027</v>
      </c>
      <c r="EC164" s="276">
        <f>$D164/$D$281*'26Ф'!$D$36</f>
        <v>86631.172924076047</v>
      </c>
      <c r="ED164" s="276">
        <f>$D164/$D$281*'26Ф'!$D$37</f>
        <v>10408.642902931335</v>
      </c>
      <c r="EE164" s="276">
        <f>$D164/$D$281*'26Ф'!$D$38</f>
        <v>10515.393778148094</v>
      </c>
      <c r="EF164" s="276">
        <f>$D164/$D$281*'26Ф'!$D$39</f>
        <v>7376.5391382192447</v>
      </c>
      <c r="EG164" s="276">
        <f>$D164/$D$281*'91Ф'!$D$10</f>
        <v>2275.6592562791379</v>
      </c>
      <c r="EH164" s="276">
        <f>$D164/$D$281*('20Ф'!$I$509+'26Ф'!$D$41+'20Ф'!$I$507)</f>
        <v>16099.539899051879</v>
      </c>
      <c r="EI164" s="276">
        <f>$D164/$D$281*'91Ф'!$D$31</f>
        <v>29512.82133056489</v>
      </c>
      <c r="EJ164" s="276">
        <f>$D164/$D$281*'20Ф'!$I$1316</f>
        <v>3608.3059823196618</v>
      </c>
      <c r="EK164" s="276">
        <f>$D164/$D$281*('20Ф'!$I$1105+'20Ф'!$I$1282+'91Ф'!$D$17+'91Ф'!$D$41)</f>
        <v>118500.78847360687</v>
      </c>
      <c r="EL164" s="276">
        <f>$D164/$D$281*отчёт!BX$294</f>
        <v>198097.1784080347</v>
      </c>
      <c r="EM164" s="276">
        <f>$D164/$D$281*отчёт!BY$294</f>
        <v>174215.83494163674</v>
      </c>
      <c r="EN164" s="276">
        <f>SUMIF(отчёт!$B:$B,$B:$B,отчёт!BZ:BZ)/отчёт!BZ$281*('60Ф'!$O$151+'60Ф'!$P$151)*отчёт!BZ$293</f>
        <v>0</v>
      </c>
      <c r="EO164" s="240">
        <f t="shared" si="28"/>
        <v>0</v>
      </c>
      <c r="EP164" s="276">
        <f>SUMIF('20Ф'!$H:$H,$B:$B,'20Ф'!T:T)*1.2</f>
        <v>0</v>
      </c>
      <c r="EQ164" s="276">
        <f>SUMIF('20Ф'!$H:$H,$B:$B,'20Ф'!U:U)*1.2</f>
        <v>0</v>
      </c>
      <c r="ER164" s="236"/>
      <c r="ES164" s="239">
        <f t="shared" si="31"/>
        <v>66303.201061692744</v>
      </c>
      <c r="ET164" s="276">
        <f>$D164/$D$282*'20Ф'!$I$381</f>
        <v>5067.6171837558932</v>
      </c>
      <c r="EU164" s="276">
        <f>$D164/$D$282*('20Ф'!$I$75+'20Ф'!$I$1098)*1.2</f>
        <v>58533.228126538328</v>
      </c>
      <c r="EV164" s="276">
        <f>$D164/$D$282*('20Ф'!$I$1286)</f>
        <v>2702.3557513985284</v>
      </c>
      <c r="EW164" s="276">
        <f>SUMIF('91.1Ф'!$N:$N,$B:$B,'91.1Ф'!$F:$F)+$D164/$D$281*('91Ф'!$D$12+'91Ф'!$D$11+'91Ф'!$D$19+'91Ф'!$D$20)</f>
        <v>15617.82471195574</v>
      </c>
      <c r="EX164" s="276">
        <f t="shared" si="29"/>
        <v>2368.6082393706956</v>
      </c>
      <c r="EY164" s="276">
        <f>SUMIF('20Ф'!$H:$H,$B:$B,'20Ф'!$AY:$AY)*1.2</f>
        <v>0</v>
      </c>
      <c r="EZ164" s="295">
        <f>D164/$D$286*'20Ф'!$I$1163</f>
        <v>2368.6082393706956</v>
      </c>
      <c r="FA164" s="277">
        <f>SUMIF(отчёт!$B:$B,$B:$B,отчёт!$CU:$CU)/отчёт!$CU$281*'20Ф'!$I$1341</f>
        <v>3683.8554216867401</v>
      </c>
      <c r="FB164" s="276">
        <f>SUMIF(Сальдо!$A:$A,$B:$B,Сальдо!$H:$H)-SUMIF(Сальдо!$A:$A,$B:$B,Сальдо!$I:$I)</f>
        <v>461116.06</v>
      </c>
    </row>
    <row r="165" spans="1:158" ht="12" customHeight="1" x14ac:dyDescent="0.25">
      <c r="A165" s="3">
        <f t="shared" si="32"/>
        <v>161</v>
      </c>
      <c r="B165" s="4" t="s">
        <v>210</v>
      </c>
      <c r="C165" s="4" t="s">
        <v>210</v>
      </c>
      <c r="D165" s="5">
        <v>4948.74</v>
      </c>
      <c r="E165" s="6">
        <v>4641.3</v>
      </c>
      <c r="F165" s="6">
        <v>307.44</v>
      </c>
      <c r="G165" s="6">
        <v>379.6</v>
      </c>
      <c r="H165" s="5">
        <f>SUMIF(отчёт!$B:$B,$B:$B,отчёт!I:I)</f>
        <v>3</v>
      </c>
      <c r="I165" s="5">
        <f>SUMIF(отчёт!$B:$B,$B:$B,отчёт!J:J)</f>
        <v>0</v>
      </c>
      <c r="J165" s="3" t="s">
        <v>51</v>
      </c>
      <c r="K165" s="105">
        <v>1</v>
      </c>
      <c r="L165" s="105" t="s">
        <v>52</v>
      </c>
      <c r="M165" s="7">
        <v>44.8</v>
      </c>
      <c r="N165" s="8">
        <v>5.0999999999999996</v>
      </c>
      <c r="O165" s="8">
        <v>8.6300000000000008</v>
      </c>
      <c r="P165" s="8">
        <v>13.43</v>
      </c>
      <c r="Q165" s="8">
        <v>6.91</v>
      </c>
      <c r="R165" s="8">
        <v>3.15</v>
      </c>
      <c r="S165" s="8">
        <v>1.81</v>
      </c>
      <c r="T165" s="8">
        <v>5.77</v>
      </c>
      <c r="U165" s="8">
        <v>0</v>
      </c>
      <c r="V165" s="9">
        <v>40</v>
      </c>
      <c r="W165" s="9">
        <v>40</v>
      </c>
      <c r="X165" s="9">
        <v>2604.04</v>
      </c>
      <c r="Y165" s="8">
        <v>195.98199600000001</v>
      </c>
      <c r="Z165" s="9">
        <v>42.3</v>
      </c>
      <c r="AA165" s="9">
        <v>2604.04</v>
      </c>
      <c r="AB165" s="8">
        <v>0</v>
      </c>
      <c r="AC165" s="10">
        <v>0</v>
      </c>
      <c r="AD165" s="8">
        <v>5.05</v>
      </c>
      <c r="AE165" s="8">
        <v>10.67</v>
      </c>
      <c r="AF165" s="8">
        <v>14</v>
      </c>
      <c r="AG165" s="7">
        <v>1330221.3119999999</v>
      </c>
      <c r="AH165" s="8">
        <v>151431.44399999999</v>
      </c>
      <c r="AI165" s="8">
        <v>256245.75719999999</v>
      </c>
      <c r="AJ165" s="8">
        <v>398769.46919999993</v>
      </c>
      <c r="AK165" s="8">
        <v>205174.76040000003</v>
      </c>
      <c r="AL165" s="8">
        <v>93531.185999999987</v>
      </c>
      <c r="AM165" s="8">
        <v>53743.316399999996</v>
      </c>
      <c r="AN165" s="8">
        <v>171325.37879999998</v>
      </c>
      <c r="AO165" s="8">
        <v>0</v>
      </c>
      <c r="AQ165" s="104">
        <v>48.16</v>
      </c>
      <c r="AR165" s="375">
        <v>18.649999999999999</v>
      </c>
      <c r="AS165" s="376"/>
      <c r="AT165" s="104">
        <v>7.16</v>
      </c>
      <c r="AU165" s="104">
        <v>1.53</v>
      </c>
      <c r="AV165" s="104">
        <v>0.32</v>
      </c>
      <c r="AW165" s="104">
        <v>0.87</v>
      </c>
      <c r="AX165" s="104">
        <v>5.01</v>
      </c>
      <c r="AY165" s="104">
        <v>4.99</v>
      </c>
      <c r="AZ165" s="104">
        <v>2.7</v>
      </c>
      <c r="BA165" s="104">
        <v>6.46</v>
      </c>
      <c r="BB165" s="104">
        <v>0.47</v>
      </c>
      <c r="BC165" s="101">
        <v>0</v>
      </c>
      <c r="BD165" s="104">
        <v>54.565279999999994</v>
      </c>
      <c r="BE165" s="375">
        <v>21.130449999999996</v>
      </c>
      <c r="BF165" s="376">
        <v>0</v>
      </c>
      <c r="BG165" s="104">
        <v>8.1122800000000002</v>
      </c>
      <c r="BH165" s="104">
        <v>1.7334900000000002</v>
      </c>
      <c r="BI165" s="104">
        <v>0.36255999999999999</v>
      </c>
      <c r="BJ165" s="104">
        <v>0.98570999999999998</v>
      </c>
      <c r="BK165" s="104">
        <v>5.6763299999999992</v>
      </c>
      <c r="BL165" s="104">
        <v>5.6536700000000009</v>
      </c>
      <c r="BM165" s="104">
        <v>3.0591000000000004</v>
      </c>
      <c r="BN165" s="104">
        <v>7.3191800000000002</v>
      </c>
      <c r="BO165" s="104">
        <v>0.53250999999999993</v>
      </c>
      <c r="BP165" s="101">
        <v>0</v>
      </c>
      <c r="BQ165" s="103">
        <v>3176956.4742720001</v>
      </c>
      <c r="BR165" s="371">
        <v>1230279.0333299998</v>
      </c>
      <c r="BS165" s="371">
        <v>0</v>
      </c>
      <c r="BT165" s="103">
        <v>472321.60207199998</v>
      </c>
      <c r="BU165" s="103">
        <v>100929.057426</v>
      </c>
      <c r="BV165" s="103">
        <v>21109.345343999998</v>
      </c>
      <c r="BW165" s="103">
        <v>57391.032653999995</v>
      </c>
      <c r="BX165" s="103">
        <v>330493.18804199999</v>
      </c>
      <c r="BY165" s="103">
        <v>329173.85395800008</v>
      </c>
      <c r="BZ165" s="103">
        <v>178110.10134000002</v>
      </c>
      <c r="CA165" s="103">
        <v>426144.909132</v>
      </c>
      <c r="CB165" s="103">
        <v>31004.35097399999</v>
      </c>
      <c r="CC165" s="103">
        <v>0</v>
      </c>
      <c r="CD165" s="1">
        <v>1</v>
      </c>
      <c r="CF165" s="277">
        <f>SUMIF(Оборот!$A:$A,$B:$B,Оборот!H:H)</f>
        <v>2557233.3999999994</v>
      </c>
      <c r="CG165" s="277">
        <f>SUMIF(Оборот!$A:$A,$B:$B,Оборот!I:I)</f>
        <v>2558358.69</v>
      </c>
      <c r="CH165" s="277">
        <f t="shared" si="25"/>
        <v>2019364.2687988395</v>
      </c>
      <c r="CI165" s="239">
        <f t="shared" si="30"/>
        <v>118109.53342765794</v>
      </c>
      <c r="CJ165" s="276">
        <f>SUMIF('20Ф'!$H:$H,$B:$B,'20Ф'!M:M)*1.2</f>
        <v>0</v>
      </c>
      <c r="CK165" s="276">
        <f>SUMIF('20Ф'!$H:$H,$B:$B,'20Ф'!O:O)*1.2</f>
        <v>0</v>
      </c>
      <c r="CL165" s="276">
        <f>SUMIF('20Ф'!$H:$H,$B:$B,'20Ф'!Q:Q)*1.2</f>
        <v>0</v>
      </c>
      <c r="CM165" s="276">
        <f>SUMIF('20Ф'!$H:$H,$B:$B,'20Ф'!R:R)*1.2</f>
        <v>0</v>
      </c>
      <c r="CN165" s="276">
        <f>SUMIF('20Ф'!$H:$H,$B:$B,'20Ф'!S:S)*1.2</f>
        <v>0</v>
      </c>
      <c r="CO165" s="276">
        <f>SUMIF('20Ф'!$H:$H,$B:$B,'20Ф'!W:W)*1.2</f>
        <v>0</v>
      </c>
      <c r="CP165" s="276">
        <f>SUMIF('20Ф'!$H:$H,$B:$B,'20Ф'!P:P)*1.2</f>
        <v>0</v>
      </c>
      <c r="CQ165" s="276">
        <f>SUMIF('20Ф'!$H:$H,$B:$B,'20Ф'!Y:Y)*1.2</f>
        <v>0</v>
      </c>
      <c r="CR165" s="276">
        <f>SUMIF('20Ф'!$H:$H,$B:$B,'20Ф'!Z:Z)*1.2</f>
        <v>0</v>
      </c>
      <c r="CS165" s="276">
        <f>SUMIF('20Ф'!$H:$H,$B:$B,'20Ф'!AB:AB)*1.2</f>
        <v>0</v>
      </c>
      <c r="CT165" s="276">
        <f>SUMIF('20Ф'!$H:$H,$B:$B,'20Ф'!AC:AC)*1.2</f>
        <v>0</v>
      </c>
      <c r="CU165" s="276">
        <f>SUMIF('20Ф'!$H:$H,$B:$B,'20Ф'!AD:AD)*1.2</f>
        <v>0</v>
      </c>
      <c r="CV165" s="276">
        <f>SUMIF('20Ф'!$H:$H,$B:$B,'20Ф'!AE:AE)*1.2</f>
        <v>0</v>
      </c>
      <c r="CW165" s="276">
        <f>SUMIF('20Ф'!$H:$H,$B:$B,'20Ф'!AF:AF)*1.2</f>
        <v>0</v>
      </c>
      <c r="CX165" s="276">
        <f>SUMIF('20Ф'!$H:$H,$B:$B,'20Ф'!AG:AG)*1.2</f>
        <v>0</v>
      </c>
      <c r="CY165" s="276">
        <f>SUMIF('20Ф'!$H:$H,$B:$B,'20Ф'!AH:AH)*1.2</f>
        <v>0</v>
      </c>
      <c r="CZ165" s="276">
        <f>SUMIF('20Ф'!$H:$H,$B:$B,'20Ф'!AI:AI)*1.2</f>
        <v>0</v>
      </c>
      <c r="DA165" s="276">
        <f>SUMIF('20Ф'!$H:$H,$B:$B,'20Ф'!AJ:AJ)*1.2</f>
        <v>74583.707999999999</v>
      </c>
      <c r="DB165" s="276">
        <f>SUMIF('20Ф'!$H:$H,$B:$B,'20Ф'!AK:AK)*1.2</f>
        <v>0</v>
      </c>
      <c r="DC165" s="276">
        <f>SUMIF('20Ф'!$H:$H,$B:$B,'20Ф'!AL:AL)*1.2</f>
        <v>0</v>
      </c>
      <c r="DD165" s="276">
        <f>SUMIF('20Ф'!$H:$H,$B:$B,'20Ф'!AM:AM)*1.2</f>
        <v>0</v>
      </c>
      <c r="DE165" s="276">
        <f>SUMIF('20Ф'!$H:$H,$B:$B,'20Ф'!AN:AN)*1.2</f>
        <v>0</v>
      </c>
      <c r="DF165" s="276">
        <f>SUMIF('20Ф'!$H:$H,$B:$B,'20Ф'!AO:AO)*1.2</f>
        <v>0</v>
      </c>
      <c r="DG165" s="276">
        <f>SUMIF('20Ф'!$H:$H,$B:$B,'20Ф'!AP:AP)*1.2</f>
        <v>0</v>
      </c>
      <c r="DH165" s="276">
        <f>SUMIF('20Ф'!$H:$H,$B:$B,'20Ф'!AQ:AQ)*1.2</f>
        <v>0</v>
      </c>
      <c r="DI165" s="276">
        <f>SUMIF('20Ф'!$H:$H,$B:$B,'20Ф'!BA:BA)*1.2</f>
        <v>0</v>
      </c>
      <c r="DJ165" s="276">
        <f>SUMIF('20Ф'!$H:$H,$B:$B,'20Ф'!BB:BB)*1.2</f>
        <v>0</v>
      </c>
      <c r="DK165" s="276">
        <f>SUMIF('20Ф'!$H:$H,$B:$B,'20Ф'!BC:BC)*1.2</f>
        <v>0</v>
      </c>
      <c r="DL165" s="276">
        <f>$D165/$D$281*'20Ф'!$H$218</f>
        <v>43525.825427657946</v>
      </c>
      <c r="DM165" s="240">
        <f t="shared" si="26"/>
        <v>492029.68437153602</v>
      </c>
      <c r="DN165" s="276">
        <f>SUMIF('20Ф'!$H:$H,$B:$B,'20Ф'!AV:AV)*1.2</f>
        <v>0</v>
      </c>
      <c r="DO165" s="276">
        <f>SUMIF('20Ф'!$H:$H,$B:$B,'20Ф'!AW:AW)*1.2+$D165/$D$281*'26Ф'!$D$42</f>
        <v>23162.191216221221</v>
      </c>
      <c r="DP165" s="276">
        <f>SUMIF('20Ф'!$H:$H,$B:$B,'20Ф'!AX:AX)*1.2</f>
        <v>0</v>
      </c>
      <c r="DQ165" s="276">
        <f>SUMIF('20Ф'!$H:$H,$B:$B,'20Ф'!AY:AY)*1.2</f>
        <v>0</v>
      </c>
      <c r="DR165" s="276">
        <f>SUMIF('20Ф'!$H:$H,$B:$B,'20Ф'!AU:AU)*1.2</f>
        <v>0</v>
      </c>
      <c r="DS165" s="276">
        <f>SUMIF('20Ф'!$H:$H,$B:$B,'20Ф'!AS:AS)*1.2</f>
        <v>60290.171999999991</v>
      </c>
      <c r="DT165" s="276">
        <f>SUMIF('20Ф'!$H:$H,$B:$B,'20Ф'!AR:AR)*1.2</f>
        <v>0</v>
      </c>
      <c r="DU165" s="276">
        <f>SUMIF('20Ф'!$H:$H,$B:$B,'20Ф'!X:X)*1.2</f>
        <v>0</v>
      </c>
      <c r="DV165" s="276">
        <f>SUMIF('20Ф'!$H:$H,$B:$B,'20Ф'!AA:AA)*1.2</f>
        <v>0</v>
      </c>
      <c r="DW165" s="276">
        <f>SUMIF('20Ф'!$H:$H,$B:$B,'20Ф'!N:N)*1.2</f>
        <v>0</v>
      </c>
      <c r="DX165" s="276">
        <f>$D165/$D$281*('25Ф'!$D$37)</f>
        <v>389327.45790069929</v>
      </c>
      <c r="DY165" s="276">
        <f>$D165/$D$281*'25Ф'!$D$30</f>
        <v>12426.11028759691</v>
      </c>
      <c r="DZ165" s="276">
        <f>$D165/$D$281*'25Ф'!$D$31</f>
        <v>6823.7529670185695</v>
      </c>
      <c r="EA165" s="276"/>
      <c r="EB165" s="276">
        <f t="shared" si="27"/>
        <v>245282.40899476004</v>
      </c>
      <c r="EC165" s="276">
        <f>$D165/$D$281*'26Ф'!$D$36</f>
        <v>127677.39314321641</v>
      </c>
      <c r="ED165" s="276">
        <f>$D165/$D$281*'26Ф'!$D$37</f>
        <v>15340.302424043246</v>
      </c>
      <c r="EE165" s="276">
        <f>$D165/$D$281*'26Ф'!$D$38</f>
        <v>15497.632320469533</v>
      </c>
      <c r="EF165" s="276">
        <f>$D165/$D$281*'26Ф'!$D$39</f>
        <v>10871.574928486241</v>
      </c>
      <c r="EG165" s="276">
        <f>$D165/$D$281*'91Ф'!$D$10</f>
        <v>3353.8763440106081</v>
      </c>
      <c r="EH165" s="276">
        <f>$D165/$D$281*('20Ф'!$I$509+'26Ф'!$D$41+'20Ф'!$I$507)</f>
        <v>23727.570754670909</v>
      </c>
      <c r="EI165" s="276">
        <f>$D165/$D$281*'91Ф'!$D$31</f>
        <v>43496.122291804058</v>
      </c>
      <c r="EJ165" s="276">
        <f>$D165/$D$281*'20Ф'!$I$1316</f>
        <v>5317.9367880590271</v>
      </c>
      <c r="EK165" s="276">
        <f>$D165/$D$281*('20Ф'!$I$1105+'20Ф'!$I$1282+'91Ф'!$D$17+'91Ф'!$D$41)</f>
        <v>174646.96883402145</v>
      </c>
      <c r="EL165" s="276">
        <f>$D165/$D$281*отчёт!BX$294</f>
        <v>291956.46872207324</v>
      </c>
      <c r="EM165" s="276">
        <f>$D165/$D$281*отчёт!BY$294</f>
        <v>256760.04259011117</v>
      </c>
      <c r="EN165" s="276">
        <f>$D165/$D$283*отчёт!BZ$294</f>
        <v>46080.401477727231</v>
      </c>
      <c r="EO165" s="240">
        <f>SUBTOTAL(9,EP165:ER165)</f>
        <v>273763.20225149702</v>
      </c>
      <c r="EP165" s="276">
        <f>SUMIF('20Ф'!$H:$H,$B:$B,'20Ф'!T:T)*1.2</f>
        <v>6968.0879999999997</v>
      </c>
      <c r="EQ165" s="276">
        <f>SUM(H165:I165)/SUM($H$284:$I$284)*SUM('60Ф'!$O$155:$P$155)</f>
        <v>258765.39263473055</v>
      </c>
      <c r="ER165" s="276">
        <f>SUM($H165:$I165)/SUM($H$284:$I$284)*SUM('60Ф'!$P$227)</f>
        <v>8029.7216167664674</v>
      </c>
      <c r="ES165" s="239">
        <f t="shared" si="31"/>
        <v>97717.941277634571</v>
      </c>
      <c r="ET165" s="276">
        <f>$D165/$D$282*'20Ф'!$I$381</f>
        <v>7468.6758776401621</v>
      </c>
      <c r="EU165" s="276">
        <f>$D165/$D$282*('20Ф'!$I$75+'20Ф'!$I$1098)*1.2</f>
        <v>86266.521936662466</v>
      </c>
      <c r="EV165" s="276">
        <f>$D165/$D$282*('20Ф'!$I$1286)</f>
        <v>3982.743463331929</v>
      </c>
      <c r="EW165" s="276">
        <f>SUMIF('91.1Ф'!$N:$N,$B:$B,'91.1Ф'!$F:$F)+$D165/$D$281*('91Ф'!$D$12+'91Ф'!$D$11+'91Ф'!$D$19+'91Ф'!$D$20)</f>
        <v>23017.616851820785</v>
      </c>
      <c r="EX165" s="276">
        <f t="shared" si="29"/>
        <v>0</v>
      </c>
      <c r="EY165" s="276">
        <f>SUMIF('20Ф'!$H:$H,$B:$B,'20Ф'!$AY:$AY)*1.2</f>
        <v>0</v>
      </c>
      <c r="EZ165" s="236"/>
      <c r="FA165" s="277">
        <f>SUMIF(отчёт!$B:$B,$B:$B,отчёт!$CU:$CU)/отчёт!$CU$281*'20Ф'!$I$1341</f>
        <v>2762.8915662650556</v>
      </c>
      <c r="FB165" s="276">
        <f>SUMIF(Сальдо!$A:$A,$B:$B,Сальдо!$H:$H)-SUMIF(Сальдо!$A:$A,$B:$B,Сальдо!$I:$I)</f>
        <v>238239.03</v>
      </c>
    </row>
    <row r="166" spans="1:158" ht="12" customHeight="1" x14ac:dyDescent="0.25">
      <c r="A166" s="3">
        <f t="shared" si="32"/>
        <v>162</v>
      </c>
      <c r="B166" s="4" t="s">
        <v>211</v>
      </c>
      <c r="C166" s="4" t="s">
        <v>211</v>
      </c>
      <c r="D166" s="5">
        <v>2466.6</v>
      </c>
      <c r="E166" s="6">
        <v>2466.6</v>
      </c>
      <c r="F166" s="6">
        <v>0</v>
      </c>
      <c r="G166" s="6">
        <v>283.8</v>
      </c>
      <c r="H166" s="5">
        <f>SUMIF(отчёт!$B:$B,$B:$B,отчёт!I:I)</f>
        <v>0</v>
      </c>
      <c r="I166" s="5">
        <f>SUMIF(отчёт!$B:$B,$B:$B,отчёт!J:J)</f>
        <v>0</v>
      </c>
      <c r="J166" s="3" t="s">
        <v>51</v>
      </c>
      <c r="K166" s="105">
        <v>7</v>
      </c>
      <c r="L166" s="105" t="s">
        <v>52</v>
      </c>
      <c r="M166" s="7">
        <v>31</v>
      </c>
      <c r="N166" s="8">
        <v>5.0999999999999996</v>
      </c>
      <c r="O166" s="8">
        <v>6.59</v>
      </c>
      <c r="P166" s="8">
        <v>8.98</v>
      </c>
      <c r="Q166" s="8">
        <v>6.92</v>
      </c>
      <c r="R166" s="8">
        <v>3.15</v>
      </c>
      <c r="S166" s="8">
        <v>0</v>
      </c>
      <c r="T166" s="8">
        <v>0</v>
      </c>
      <c r="U166" s="8">
        <v>0.26</v>
      </c>
      <c r="V166" s="9">
        <v>40</v>
      </c>
      <c r="W166" s="9">
        <v>40</v>
      </c>
      <c r="X166" s="9">
        <v>2604.04</v>
      </c>
      <c r="Y166" s="8">
        <v>195.98199600000001</v>
      </c>
      <c r="Z166" s="9">
        <v>42.3</v>
      </c>
      <c r="AA166" s="9">
        <v>2604.04</v>
      </c>
      <c r="AB166" s="8">
        <v>7.85</v>
      </c>
      <c r="AC166" s="10">
        <v>0</v>
      </c>
      <c r="AD166" s="8">
        <v>6.73</v>
      </c>
      <c r="AE166" s="8">
        <v>10.67</v>
      </c>
      <c r="AF166" s="8">
        <v>14</v>
      </c>
      <c r="AG166" s="7">
        <v>458787.6</v>
      </c>
      <c r="AH166" s="8">
        <v>75477.959999999992</v>
      </c>
      <c r="AI166" s="8">
        <v>97529.363999999987</v>
      </c>
      <c r="AJ166" s="8">
        <v>132900.408</v>
      </c>
      <c r="AK166" s="8">
        <v>102413.23199999999</v>
      </c>
      <c r="AL166" s="8">
        <v>46618.739999999991</v>
      </c>
      <c r="AM166" s="8">
        <v>0</v>
      </c>
      <c r="AN166" s="8">
        <v>0</v>
      </c>
      <c r="AO166" s="8">
        <v>3847.8960000000002</v>
      </c>
      <c r="AQ166" s="104">
        <v>33.17</v>
      </c>
      <c r="AR166" s="375">
        <v>13.89</v>
      </c>
      <c r="AS166" s="376"/>
      <c r="AT166" s="104">
        <v>5.9</v>
      </c>
      <c r="AU166" s="104">
        <v>1.53</v>
      </c>
      <c r="AV166" s="104">
        <v>0.32</v>
      </c>
      <c r="AW166" s="104">
        <v>0.6</v>
      </c>
      <c r="AX166" s="104">
        <v>5.01</v>
      </c>
      <c r="AY166" s="104">
        <v>4.99</v>
      </c>
      <c r="AZ166" s="104">
        <v>0</v>
      </c>
      <c r="BA166" s="104">
        <v>0</v>
      </c>
      <c r="BB166" s="104">
        <v>0</v>
      </c>
      <c r="BC166" s="101">
        <v>0.93</v>
      </c>
      <c r="BD166" s="104">
        <v>37.581610000000005</v>
      </c>
      <c r="BE166" s="375">
        <v>15.737370000000004</v>
      </c>
      <c r="BF166" s="376">
        <v>0</v>
      </c>
      <c r="BG166" s="104">
        <v>6.6847000000000012</v>
      </c>
      <c r="BH166" s="104">
        <v>1.7334900000000002</v>
      </c>
      <c r="BI166" s="104">
        <v>0.36256000000000005</v>
      </c>
      <c r="BJ166" s="104">
        <v>0.67980000000000007</v>
      </c>
      <c r="BK166" s="104">
        <v>5.6763300000000001</v>
      </c>
      <c r="BL166" s="104">
        <v>5.65367</v>
      </c>
      <c r="BM166" s="104">
        <v>0</v>
      </c>
      <c r="BN166" s="104">
        <v>0</v>
      </c>
      <c r="BO166" s="104">
        <v>0</v>
      </c>
      <c r="BP166" s="101">
        <v>1.0536900000000002</v>
      </c>
      <c r="BQ166" s="103">
        <v>1090622.2362599999</v>
      </c>
      <c r="BR166" s="371">
        <v>456700.11642000009</v>
      </c>
      <c r="BS166" s="371">
        <v>0</v>
      </c>
      <c r="BT166" s="103">
        <v>193990.69020000001</v>
      </c>
      <c r="BU166" s="103">
        <v>50306.060339999996</v>
      </c>
      <c r="BV166" s="103">
        <v>10521.52896</v>
      </c>
      <c r="BW166" s="103">
        <v>19727.866800000003</v>
      </c>
      <c r="BX166" s="103">
        <v>164727.68777999998</v>
      </c>
      <c r="BY166" s="103">
        <v>164070.09221999999</v>
      </c>
      <c r="BZ166" s="103">
        <v>0</v>
      </c>
      <c r="CA166" s="103">
        <v>0</v>
      </c>
      <c r="CB166" s="103">
        <v>0</v>
      </c>
      <c r="CC166" s="103">
        <v>30578.193540000004</v>
      </c>
      <c r="CD166" s="1">
        <v>1</v>
      </c>
      <c r="CF166" s="277">
        <f>SUMIF(Оборот!$A:$A,$B:$B,Оборот!H:H)</f>
        <v>938985.44</v>
      </c>
      <c r="CG166" s="277">
        <f>SUMIF(Оборот!$A:$A,$B:$B,Оборот!I:I)</f>
        <v>934597.15</v>
      </c>
      <c r="CH166" s="277">
        <f t="shared" si="25"/>
        <v>986025.28137049894</v>
      </c>
      <c r="CI166" s="239">
        <f t="shared" si="30"/>
        <v>103745.50896197843</v>
      </c>
      <c r="CJ166" s="276">
        <f>SUMIF('20Ф'!$H:$H,$B:$B,'20Ф'!M:M)*1.2</f>
        <v>0</v>
      </c>
      <c r="CK166" s="276">
        <f>SUMIF('20Ф'!$H:$H,$B:$B,'20Ф'!O:O)*1.2</f>
        <v>0</v>
      </c>
      <c r="CL166" s="276">
        <f>SUMIF('20Ф'!$H:$H,$B:$B,'20Ф'!Q:Q)*1.2</f>
        <v>0</v>
      </c>
      <c r="CM166" s="276">
        <f>SUMIF('20Ф'!$H:$H,$B:$B,'20Ф'!R:R)*1.2</f>
        <v>0</v>
      </c>
      <c r="CN166" s="276">
        <f>SUMIF('20Ф'!$H:$H,$B:$B,'20Ф'!S:S)*1.2</f>
        <v>0</v>
      </c>
      <c r="CO166" s="276">
        <f>SUMIF('20Ф'!$H:$H,$B:$B,'20Ф'!W:W)*1.2</f>
        <v>0</v>
      </c>
      <c r="CP166" s="276">
        <f>SUMIF('20Ф'!$H:$H,$B:$B,'20Ф'!P:P)*1.2</f>
        <v>0</v>
      </c>
      <c r="CQ166" s="276">
        <f>SUMIF('20Ф'!$H:$H,$B:$B,'20Ф'!Y:Y)*1.2</f>
        <v>0</v>
      </c>
      <c r="CR166" s="276">
        <f>SUMIF('20Ф'!$H:$H,$B:$B,'20Ф'!Z:Z)*1.2</f>
        <v>0</v>
      </c>
      <c r="CS166" s="276">
        <f>SUMIF('20Ф'!$H:$H,$B:$B,'20Ф'!AB:AB)*1.2</f>
        <v>0</v>
      </c>
      <c r="CT166" s="276">
        <f>SUMIF('20Ф'!$H:$H,$B:$B,'20Ф'!AC:AC)*1.2</f>
        <v>0</v>
      </c>
      <c r="CU166" s="276">
        <f>SUMIF('20Ф'!$H:$H,$B:$B,'20Ф'!AD:AD)*1.2</f>
        <v>0</v>
      </c>
      <c r="CV166" s="276">
        <f>SUMIF('20Ф'!$H:$H,$B:$B,'20Ф'!AE:AE)*1.2</f>
        <v>0</v>
      </c>
      <c r="CW166" s="276">
        <f>SUMIF('20Ф'!$H:$H,$B:$B,'20Ф'!AF:AF)*1.2</f>
        <v>0</v>
      </c>
      <c r="CX166" s="276">
        <f>SUMIF('20Ф'!$H:$H,$B:$B,'20Ф'!AG:AG)*1.2</f>
        <v>0</v>
      </c>
      <c r="CY166" s="276">
        <f>SUMIF('20Ф'!$H:$H,$B:$B,'20Ф'!AH:AH)*1.2</f>
        <v>0</v>
      </c>
      <c r="CZ166" s="276">
        <f>SUMIF('20Ф'!$H:$H,$B:$B,'20Ф'!AI:AI)*1.2</f>
        <v>0</v>
      </c>
      <c r="DA166" s="276">
        <f>SUMIF('20Ф'!$H:$H,$B:$B,'20Ф'!AJ:AJ)*1.2</f>
        <v>82050.936000000002</v>
      </c>
      <c r="DB166" s="276">
        <f>SUMIF('20Ф'!$H:$H,$B:$B,'20Ф'!AK:AK)*1.2</f>
        <v>0</v>
      </c>
      <c r="DC166" s="276">
        <f>SUMIF('20Ф'!$H:$H,$B:$B,'20Ф'!AL:AL)*1.2</f>
        <v>0</v>
      </c>
      <c r="DD166" s="276">
        <f>SUMIF('20Ф'!$H:$H,$B:$B,'20Ф'!AM:AM)*1.2</f>
        <v>0</v>
      </c>
      <c r="DE166" s="276">
        <f>SUMIF('20Ф'!$H:$H,$B:$B,'20Ф'!AN:AN)*1.2</f>
        <v>0</v>
      </c>
      <c r="DF166" s="276">
        <f>SUMIF('20Ф'!$H:$H,$B:$B,'20Ф'!AO:AO)*1.2</f>
        <v>0</v>
      </c>
      <c r="DG166" s="276">
        <f>SUMIF('20Ф'!$H:$H,$B:$B,'20Ф'!AP:AP)*1.2</f>
        <v>0</v>
      </c>
      <c r="DH166" s="276">
        <f>SUMIF('20Ф'!$H:$H,$B:$B,'20Ф'!AQ:AQ)*1.2</f>
        <v>0</v>
      </c>
      <c r="DI166" s="276">
        <f>SUMIF('20Ф'!$H:$H,$B:$B,'20Ф'!BA:BA)*1.2</f>
        <v>0</v>
      </c>
      <c r="DJ166" s="276">
        <f>SUMIF('20Ф'!$H:$H,$B:$B,'20Ф'!BB:BB)*1.2</f>
        <v>0</v>
      </c>
      <c r="DK166" s="276">
        <f>SUMIF('20Ф'!$H:$H,$B:$B,'20Ф'!BC:BC)*1.2</f>
        <v>0</v>
      </c>
      <c r="DL166" s="276">
        <f>$D166/$D$281*'20Ф'!$H$218</f>
        <v>21694.572961978422</v>
      </c>
      <c r="DM166" s="240">
        <f t="shared" si="26"/>
        <v>303258.52743207174</v>
      </c>
      <c r="DN166" s="276">
        <f>SUMIF('20Ф'!$H:$H,$B:$B,'20Ф'!AV:AV)*1.2</f>
        <v>0</v>
      </c>
      <c r="DO166" s="276">
        <f>SUMIF('20Ф'!$H:$H,$B:$B,'20Ф'!AW:AW)*1.2+$D166/$D$281*'26Ф'!$D$42</f>
        <v>11544.728729723376</v>
      </c>
      <c r="DP166" s="276">
        <f>SUMIF('20Ф'!$H:$H,$B:$B,'20Ф'!AX:AX)*1.2</f>
        <v>0</v>
      </c>
      <c r="DQ166" s="276">
        <f>SUMIF('20Ф'!$H:$H,$B:$B,'20Ф'!AY:AY)*1.2</f>
        <v>34301.003999999994</v>
      </c>
      <c r="DR166" s="276">
        <f>SUMIF('20Ф'!$H:$H,$B:$B,'20Ф'!AU:AU)*1.2</f>
        <v>0</v>
      </c>
      <c r="DS166" s="276">
        <f>SUMIF('20Ф'!$H:$H,$B:$B,'20Ф'!AS:AS)*1.2</f>
        <v>46179.42</v>
      </c>
      <c r="DT166" s="276">
        <f>SUMIF('20Ф'!$H:$H,$B:$B,'20Ф'!AR:AR)*1.2</f>
        <v>0</v>
      </c>
      <c r="DU166" s="276">
        <f>SUMIF('20Ф'!$H:$H,$B:$B,'20Ф'!X:X)*1.2</f>
        <v>7586.22</v>
      </c>
      <c r="DV166" s="276">
        <f>SUMIF('20Ф'!$H:$H,$B:$B,'20Ф'!AA:AA)*1.2</f>
        <v>0</v>
      </c>
      <c r="DW166" s="276">
        <f>SUMIF('20Ф'!$H:$H,$B:$B,'20Ф'!N:N)*1.2</f>
        <v>0</v>
      </c>
      <c r="DX166" s="276">
        <f>$D166/$D$281*('25Ф'!$D$37)</f>
        <v>194052.4472204773</v>
      </c>
      <c r="DY166" s="276">
        <f>$D166/$D$281*'25Ф'!$D$30</f>
        <v>6193.5449499037213</v>
      </c>
      <c r="DZ166" s="276">
        <f>$D166/$D$281*'25Ф'!$D$31</f>
        <v>3401.1625319673299</v>
      </c>
      <c r="EA166" s="276"/>
      <c r="EB166" s="276">
        <f t="shared" si="27"/>
        <v>122256.08741345779</v>
      </c>
      <c r="EC166" s="276">
        <f>$D166/$D$281*'26Ф'!$D$36</f>
        <v>63638.230726822905</v>
      </c>
      <c r="ED166" s="276">
        <f>$D166/$D$281*'26Ф'!$D$37</f>
        <v>7646.0654548723651</v>
      </c>
      <c r="EE166" s="276">
        <f>$D166/$D$281*'26Ф'!$D$38</f>
        <v>7724.4833799452281</v>
      </c>
      <c r="EF166" s="276">
        <f>$D166/$D$281*'26Ф'!$D$39</f>
        <v>5418.7180410779638</v>
      </c>
      <c r="EG166" s="276">
        <f>$D166/$D$281*'91Ф'!$D$10</f>
        <v>1671.6722620579312</v>
      </c>
      <c r="EH166" s="276">
        <f>$D166/$D$281*('20Ф'!$I$509+'26Ф'!$D$41+'20Ф'!$I$507)</f>
        <v>11826.530798439859</v>
      </c>
      <c r="EI166" s="276">
        <f>$D166/$D$281*'91Ф'!$D$31</f>
        <v>21679.768030845004</v>
      </c>
      <c r="EJ166" s="276">
        <f>$D166/$D$281*'20Ф'!$I$1316</f>
        <v>2650.6187193965325</v>
      </c>
      <c r="EK166" s="276">
        <f>$D166/$D$281*('20Ф'!$I$1105+'20Ф'!$I$1282+'91Ф'!$D$17+'91Ф'!$D$41)</f>
        <v>87049.271799689872</v>
      </c>
      <c r="EL166" s="276">
        <f>$D166/$D$281*отчёт!BX$294</f>
        <v>145519.83449319744</v>
      </c>
      <c r="EM166" s="276">
        <f>$D166/$D$281*отчёт!BY$294</f>
        <v>127976.88321729738</v>
      </c>
      <c r="EN166" s="276">
        <f>SUMIF(отчёт!$B:$B,$B:$B,отчёт!BZ:BZ)/отчёт!BZ$281*('60Ф'!$O$151+'60Ф'!$P$151)*отчёт!BZ$293</f>
        <v>0</v>
      </c>
      <c r="EO166" s="240">
        <f t="shared" si="28"/>
        <v>0</v>
      </c>
      <c r="EP166" s="276">
        <f>SUMIF('20Ф'!$H:$H,$B:$B,'20Ф'!T:T)*1.2</f>
        <v>0</v>
      </c>
      <c r="EQ166" s="276">
        <f>SUMIF('20Ф'!$H:$H,$B:$B,'20Ф'!U:U)*1.2</f>
        <v>0</v>
      </c>
      <c r="ER166" s="236"/>
      <c r="ES166" s="239">
        <f t="shared" si="31"/>
        <v>48705.544028462486</v>
      </c>
      <c r="ET166" s="276">
        <f>$D166/$D$282*'20Ф'!$I$381</f>
        <v>3722.611395989125</v>
      </c>
      <c r="EU166" s="276">
        <f>$D166/$D$282*('20Ф'!$I$75+'20Ф'!$I$1098)*1.2</f>
        <v>42997.814192899947</v>
      </c>
      <c r="EV166" s="276">
        <f>$D166/$D$282*('20Ф'!$I$1286)</f>
        <v>1985.118439573414</v>
      </c>
      <c r="EW166" s="276">
        <f>SUMIF('91.1Ф'!$N:$N,$B:$B,'91.1Ф'!$F:$F)+$D166/$D$281*('91Ф'!$D$12+'91Ф'!$D$11+'91Ф'!$D$19+'91Ф'!$D$20)</f>
        <v>11472.668543245585</v>
      </c>
      <c r="EX166" s="276">
        <f t="shared" si="29"/>
        <v>36040.955481098259</v>
      </c>
      <c r="EY166" s="276">
        <f>SUMIF('20Ф'!$H:$H,$B:$B,'20Ф'!$AY:$AY)*1.2</f>
        <v>34301.003999999994</v>
      </c>
      <c r="EZ166" s="295">
        <f>D166/$D$286*'20Ф'!$I$1163</f>
        <v>1739.9514810982657</v>
      </c>
      <c r="FA166" s="277">
        <f>SUMIF(отчёт!$B:$B,$B:$B,отчёт!$CU:$CU)/отчёт!$CU$281*'20Ф'!$I$1341</f>
        <v>0</v>
      </c>
      <c r="FB166" s="276">
        <f>SUMIF(Сальдо!$A:$A,$B:$B,Сальдо!$H:$H)-SUMIF(Сальдо!$A:$A,$B:$B,Сальдо!$I:$I)</f>
        <v>116221.07999999999</v>
      </c>
    </row>
    <row r="167" spans="1:158" ht="12" customHeight="1" x14ac:dyDescent="0.25">
      <c r="A167" s="3">
        <f t="shared" si="32"/>
        <v>163</v>
      </c>
      <c r="B167" s="4" t="s">
        <v>212</v>
      </c>
      <c r="C167" s="4" t="s">
        <v>212</v>
      </c>
      <c r="D167" s="5">
        <v>2921.9300000000003</v>
      </c>
      <c r="E167" s="6">
        <v>1982.23</v>
      </c>
      <c r="F167" s="6">
        <v>939.7</v>
      </c>
      <c r="G167" s="6">
        <v>273.8</v>
      </c>
      <c r="H167" s="5">
        <f>SUMIF(отчёт!$B:$B,$B:$B,отчёт!I:I)</f>
        <v>0</v>
      </c>
      <c r="I167" s="5">
        <f>SUMIF(отчёт!$B:$B,$B:$B,отчёт!J:J)</f>
        <v>0</v>
      </c>
      <c r="J167" s="3" t="s">
        <v>51</v>
      </c>
      <c r="K167" s="105">
        <v>7</v>
      </c>
      <c r="L167" s="105" t="s">
        <v>52</v>
      </c>
      <c r="M167" s="7">
        <v>31</v>
      </c>
      <c r="N167" s="8">
        <v>5.0999999999999996</v>
      </c>
      <c r="O167" s="8">
        <v>6.59</v>
      </c>
      <c r="P167" s="8">
        <v>8.98</v>
      </c>
      <c r="Q167" s="8">
        <v>6.92</v>
      </c>
      <c r="R167" s="8">
        <v>3.15</v>
      </c>
      <c r="S167" s="8">
        <v>0</v>
      </c>
      <c r="T167" s="8">
        <v>0</v>
      </c>
      <c r="U167" s="8">
        <v>0.26</v>
      </c>
      <c r="V167" s="9">
        <v>40</v>
      </c>
      <c r="W167" s="9">
        <v>40</v>
      </c>
      <c r="X167" s="9">
        <v>2604.04</v>
      </c>
      <c r="Y167" s="8">
        <v>195.98199600000001</v>
      </c>
      <c r="Z167" s="9">
        <v>42.3</v>
      </c>
      <c r="AA167" s="9">
        <v>2604.04</v>
      </c>
      <c r="AB167" s="8">
        <v>7.85</v>
      </c>
      <c r="AC167" s="10">
        <v>0</v>
      </c>
      <c r="AD167" s="8">
        <v>6.73</v>
      </c>
      <c r="AE167" s="8">
        <v>10.67</v>
      </c>
      <c r="AF167" s="8">
        <v>14</v>
      </c>
      <c r="AG167" s="7">
        <v>543478.9800000001</v>
      </c>
      <c r="AH167" s="8">
        <v>89411.058000000005</v>
      </c>
      <c r="AI167" s="8">
        <v>115533.1122</v>
      </c>
      <c r="AJ167" s="8">
        <v>157433.58840000004</v>
      </c>
      <c r="AK167" s="8">
        <v>121318.5336</v>
      </c>
      <c r="AL167" s="8">
        <v>55224.476999999999</v>
      </c>
      <c r="AM167" s="8">
        <v>0</v>
      </c>
      <c r="AN167" s="8">
        <v>0</v>
      </c>
      <c r="AO167" s="8">
        <v>4558.2108000000007</v>
      </c>
      <c r="AQ167" s="104">
        <v>33.17</v>
      </c>
      <c r="AR167" s="375">
        <v>13.89</v>
      </c>
      <c r="AS167" s="376"/>
      <c r="AT167" s="104">
        <v>5.9</v>
      </c>
      <c r="AU167" s="104">
        <v>1.53</v>
      </c>
      <c r="AV167" s="104">
        <v>0.32</v>
      </c>
      <c r="AW167" s="104">
        <v>0.6</v>
      </c>
      <c r="AX167" s="104">
        <v>5.01</v>
      </c>
      <c r="AY167" s="104">
        <v>4.99</v>
      </c>
      <c r="AZ167" s="104">
        <v>0</v>
      </c>
      <c r="BA167" s="104">
        <v>0</v>
      </c>
      <c r="BB167" s="104">
        <v>0</v>
      </c>
      <c r="BC167" s="101">
        <v>0.93</v>
      </c>
      <c r="BD167" s="104">
        <v>37.581610000000005</v>
      </c>
      <c r="BE167" s="375">
        <v>15.737370000000004</v>
      </c>
      <c r="BF167" s="376">
        <v>0</v>
      </c>
      <c r="BG167" s="104">
        <v>6.6847000000000012</v>
      </c>
      <c r="BH167" s="104">
        <v>1.7334900000000002</v>
      </c>
      <c r="BI167" s="104">
        <v>0.36256000000000005</v>
      </c>
      <c r="BJ167" s="104">
        <v>0.67980000000000007</v>
      </c>
      <c r="BK167" s="104">
        <v>5.6763300000000001</v>
      </c>
      <c r="BL167" s="104">
        <v>5.65367</v>
      </c>
      <c r="BM167" s="104">
        <v>0</v>
      </c>
      <c r="BN167" s="104">
        <v>0</v>
      </c>
      <c r="BO167" s="104">
        <v>0</v>
      </c>
      <c r="BP167" s="101">
        <v>1.0536900000000002</v>
      </c>
      <c r="BQ167" s="103">
        <v>1291949.1732730002</v>
      </c>
      <c r="BR167" s="371">
        <v>541006.15064100013</v>
      </c>
      <c r="BS167" s="371">
        <v>0</v>
      </c>
      <c r="BT167" s="103">
        <v>229801.02871000004</v>
      </c>
      <c r="BU167" s="103">
        <v>59592.470157000003</v>
      </c>
      <c r="BV167" s="103">
        <v>12463.784608000002</v>
      </c>
      <c r="BW167" s="103">
        <v>23369.596140000005</v>
      </c>
      <c r="BX167" s="103">
        <v>195136.12776900001</v>
      </c>
      <c r="BY167" s="103">
        <v>194357.14123100002</v>
      </c>
      <c r="BZ167" s="103">
        <v>0</v>
      </c>
      <c r="CA167" s="103">
        <v>0</v>
      </c>
      <c r="CB167" s="103">
        <v>0</v>
      </c>
      <c r="CC167" s="103">
        <v>36222.874017000009</v>
      </c>
      <c r="CD167" s="1">
        <v>1</v>
      </c>
      <c r="CF167" s="277">
        <f>SUMIF(Оборот!$A:$A,$B:$B,Оборот!H:H)</f>
        <v>754595.36</v>
      </c>
      <c r="CG167" s="277">
        <f>SUMIF(Оборот!$A:$A,$B:$B,Оборот!I:I)</f>
        <v>782579.0199999999</v>
      </c>
      <c r="CH167" s="277">
        <f t="shared" si="25"/>
        <v>1117934.4561251046</v>
      </c>
      <c r="CI167" s="239">
        <f t="shared" si="30"/>
        <v>138356.32478309964</v>
      </c>
      <c r="CJ167" s="276">
        <f>SUMIF('20Ф'!$H:$H,$B:$B,'20Ф'!M:M)*1.2</f>
        <v>0</v>
      </c>
      <c r="CK167" s="276">
        <f>SUMIF('20Ф'!$H:$H,$B:$B,'20Ф'!O:O)*1.2</f>
        <v>0</v>
      </c>
      <c r="CL167" s="276">
        <f>SUMIF('20Ф'!$H:$H,$B:$B,'20Ф'!Q:Q)*1.2</f>
        <v>0</v>
      </c>
      <c r="CM167" s="276">
        <f>SUMIF('20Ф'!$H:$H,$B:$B,'20Ф'!R:R)*1.2</f>
        <v>0</v>
      </c>
      <c r="CN167" s="276">
        <f>SUMIF('20Ф'!$H:$H,$B:$B,'20Ф'!S:S)*1.2</f>
        <v>0</v>
      </c>
      <c r="CO167" s="276">
        <f>SUMIF('20Ф'!$H:$H,$B:$B,'20Ф'!W:W)*1.2</f>
        <v>0</v>
      </c>
      <c r="CP167" s="276">
        <f>SUMIF('20Ф'!$H:$H,$B:$B,'20Ф'!P:P)*1.2</f>
        <v>0</v>
      </c>
      <c r="CQ167" s="276">
        <f>SUMIF('20Ф'!$H:$H,$B:$B,'20Ф'!Y:Y)*1.2</f>
        <v>0</v>
      </c>
      <c r="CR167" s="276">
        <f>SUMIF('20Ф'!$H:$H,$B:$B,'20Ф'!Z:Z)*1.2</f>
        <v>0</v>
      </c>
      <c r="CS167" s="276">
        <f>SUMIF('20Ф'!$H:$H,$B:$B,'20Ф'!AB:AB)*1.2</f>
        <v>0</v>
      </c>
      <c r="CT167" s="276">
        <f>SUMIF('20Ф'!$H:$H,$B:$B,'20Ф'!AC:AC)*1.2</f>
        <v>0</v>
      </c>
      <c r="CU167" s="276">
        <f>SUMIF('20Ф'!$H:$H,$B:$B,'20Ф'!AD:AD)*1.2</f>
        <v>0</v>
      </c>
      <c r="CV167" s="276">
        <f>SUMIF('20Ф'!$H:$H,$B:$B,'20Ф'!AE:AE)*1.2</f>
        <v>0</v>
      </c>
      <c r="CW167" s="276">
        <f>SUMIF('20Ф'!$H:$H,$B:$B,'20Ф'!AF:AF)*1.2</f>
        <v>0</v>
      </c>
      <c r="CX167" s="276">
        <f>SUMIF('20Ф'!$H:$H,$B:$B,'20Ф'!AG:AG)*1.2</f>
        <v>0</v>
      </c>
      <c r="CY167" s="276">
        <f>SUMIF('20Ф'!$H:$H,$B:$B,'20Ф'!AH:AH)*1.2</f>
        <v>0</v>
      </c>
      <c r="CZ167" s="276">
        <f>SUMIF('20Ф'!$H:$H,$B:$B,'20Ф'!AI:AI)*1.2</f>
        <v>0</v>
      </c>
      <c r="DA167" s="276">
        <f>SUMIF('20Ф'!$H:$H,$B:$B,'20Ф'!AJ:AJ)*1.2</f>
        <v>112656.97199999999</v>
      </c>
      <c r="DB167" s="276">
        <f>SUMIF('20Ф'!$H:$H,$B:$B,'20Ф'!AK:AK)*1.2</f>
        <v>0</v>
      </c>
      <c r="DC167" s="276">
        <f>SUMIF('20Ф'!$H:$H,$B:$B,'20Ф'!AL:AL)*1.2</f>
        <v>0</v>
      </c>
      <c r="DD167" s="276">
        <f>SUMIF('20Ф'!$H:$H,$B:$B,'20Ф'!AM:AM)*1.2</f>
        <v>0</v>
      </c>
      <c r="DE167" s="276">
        <f>SUMIF('20Ф'!$H:$H,$B:$B,'20Ф'!AN:AN)*1.2</f>
        <v>0</v>
      </c>
      <c r="DF167" s="276">
        <f>SUMIF('20Ф'!$H:$H,$B:$B,'20Ф'!AO:AO)*1.2</f>
        <v>0</v>
      </c>
      <c r="DG167" s="276">
        <f>SUMIF('20Ф'!$H:$H,$B:$B,'20Ф'!AP:AP)*1.2</f>
        <v>0</v>
      </c>
      <c r="DH167" s="276">
        <f>SUMIF('20Ф'!$H:$H,$B:$B,'20Ф'!AQ:AQ)*1.2</f>
        <v>0</v>
      </c>
      <c r="DI167" s="276">
        <f>SUMIF('20Ф'!$H:$H,$B:$B,'20Ф'!BA:BA)*1.2</f>
        <v>0</v>
      </c>
      <c r="DJ167" s="276">
        <f>SUMIF('20Ф'!$H:$H,$B:$B,'20Ф'!BB:BB)*1.2</f>
        <v>0</v>
      </c>
      <c r="DK167" s="276">
        <f>SUMIF('20Ф'!$H:$H,$B:$B,'20Ф'!BC:BC)*1.2</f>
        <v>0</v>
      </c>
      <c r="DL167" s="276">
        <f>$D167/$D$281*'20Ф'!$H$218</f>
        <v>25699.352783099654</v>
      </c>
      <c r="DM167" s="240">
        <f t="shared" si="26"/>
        <v>315230.49273715779</v>
      </c>
      <c r="DN167" s="276">
        <f>SUMIF('20Ф'!$H:$H,$B:$B,'20Ф'!AV:AV)*1.2</f>
        <v>0</v>
      </c>
      <c r="DO167" s="276">
        <f>SUMIF('20Ф'!$H:$H,$B:$B,'20Ф'!AW:AW)*1.2+$D167/$D$281*'26Ф'!$D$42</f>
        <v>13675.865246590703</v>
      </c>
      <c r="DP167" s="276">
        <f>SUMIF('20Ф'!$H:$H,$B:$B,'20Ф'!AX:AX)*1.2</f>
        <v>0</v>
      </c>
      <c r="DQ167" s="276">
        <f>SUMIF('20Ф'!$H:$H,$B:$B,'20Ф'!AY:AY)*1.2</f>
        <v>19073.004000000001</v>
      </c>
      <c r="DR167" s="276">
        <f>SUMIF('20Ф'!$H:$H,$B:$B,'20Ф'!AU:AU)*1.2</f>
        <v>0</v>
      </c>
      <c r="DS167" s="276">
        <f>SUMIF('20Ф'!$H:$H,$B:$B,'20Ф'!AS:AS)*1.2</f>
        <v>41241.563999999998</v>
      </c>
      <c r="DT167" s="276">
        <f>SUMIF('20Ф'!$H:$H,$B:$B,'20Ф'!AR:AR)*1.2</f>
        <v>0</v>
      </c>
      <c r="DU167" s="276">
        <f>SUMIF('20Ф'!$H:$H,$B:$B,'20Ф'!X:X)*1.2</f>
        <v>0</v>
      </c>
      <c r="DV167" s="276">
        <f>SUMIF('20Ф'!$H:$H,$B:$B,'20Ф'!AA:AA)*1.2</f>
        <v>0</v>
      </c>
      <c r="DW167" s="276">
        <f>SUMIF('20Ф'!$H:$H,$B:$B,'20Ф'!N:N)*1.2</f>
        <v>0</v>
      </c>
      <c r="DX167" s="276">
        <f>$D167/$D$281*('25Ф'!$D$37)</f>
        <v>229874.18596729479</v>
      </c>
      <c r="DY167" s="276">
        <f>$D167/$D$281*'25Ф'!$D$30</f>
        <v>7336.8623998508801</v>
      </c>
      <c r="DZ167" s="276">
        <f>$D167/$D$281*'25Ф'!$D$31</f>
        <v>4029.0111234214305</v>
      </c>
      <c r="EA167" s="276"/>
      <c r="EB167" s="276">
        <f t="shared" si="27"/>
        <v>144824.3450482465</v>
      </c>
      <c r="EC167" s="276">
        <f>$D167/$D$281*'26Ф'!$D$36</f>
        <v>75385.735631081523</v>
      </c>
      <c r="ED167" s="276">
        <f>$D167/$D$281*'26Ф'!$D$37</f>
        <v>9057.5156225392093</v>
      </c>
      <c r="EE167" s="276">
        <f>$D167/$D$281*'26Ф'!$D$38</f>
        <v>9150.4093579677956</v>
      </c>
      <c r="EF167" s="276">
        <f>$D167/$D$281*'26Ф'!$D$39</f>
        <v>6419.0038132518193</v>
      </c>
      <c r="EG167" s="276">
        <f>$D167/$D$281*'91Ф'!$D$10</f>
        <v>1980.26000676029</v>
      </c>
      <c r="EH167" s="276">
        <f>$D167/$D$281*('20Ф'!$I$509+'26Ф'!$D$41+'20Ф'!$I$507)</f>
        <v>14009.687479074588</v>
      </c>
      <c r="EI167" s="276">
        <f>$D167/$D$281*'91Ф'!$D$31</f>
        <v>25681.814887848432</v>
      </c>
      <c r="EJ167" s="276">
        <f>$D167/$D$281*'20Ф'!$I$1316</f>
        <v>3139.9182497228212</v>
      </c>
      <c r="EK167" s="276">
        <f>$D167/$D$281*('20Ф'!$I$1105+'20Ф'!$I$1282+'91Ф'!$D$17+'91Ф'!$D$41)</f>
        <v>103118.41350428438</v>
      </c>
      <c r="EL167" s="276">
        <f>$D167/$D$281*отчёт!BX$294</f>
        <v>172382.53871754985</v>
      </c>
      <c r="EM167" s="276">
        <f>$D167/$D$281*отчёт!BY$294</f>
        <v>151601.18964530842</v>
      </c>
      <c r="EN167" s="276">
        <f>SUMIF(отчёт!$B:$B,$B:$B,отчёт!BZ:BZ)/отчёт!BZ$281*('60Ф'!$O$151+'60Ф'!$P$151)*отчёт!BZ$293</f>
        <v>0</v>
      </c>
      <c r="EO167" s="240">
        <f t="shared" si="28"/>
        <v>0</v>
      </c>
      <c r="EP167" s="276">
        <f>SUMIF('20Ф'!$H:$H,$B:$B,'20Ф'!T:T)*1.2</f>
        <v>0</v>
      </c>
      <c r="EQ167" s="276">
        <f>SUMIF('20Ф'!$H:$H,$B:$B,'20Ф'!U:U)*1.2</f>
        <v>0</v>
      </c>
      <c r="ER167" s="236"/>
      <c r="ES167" s="239">
        <f t="shared" si="31"/>
        <v>57696.501363449861</v>
      </c>
      <c r="ET167" s="276">
        <f>$D167/$D$282*'20Ф'!$I$381</f>
        <v>4409.7988795437068</v>
      </c>
      <c r="EU167" s="276">
        <f>$D167/$D$282*('20Ф'!$I$75+'20Ф'!$I$1098)*1.2</f>
        <v>50935.134689313294</v>
      </c>
      <c r="EV167" s="276">
        <f>$D167/$D$282*('20Ф'!$I$1286)</f>
        <v>2351.5677945928592</v>
      </c>
      <c r="EW167" s="276">
        <f>SUMIF('91.1Ф'!$N:$N,$B:$B,'91.1Ф'!$F:$F)+$D167/$D$281*('91Ф'!$D$12+'91Ф'!$D$11+'91Ф'!$D$19+'91Ф'!$D$20)</f>
        <v>13590.502877063802</v>
      </c>
      <c r="EX167" s="276">
        <f t="shared" si="29"/>
        <v>21134.147448944077</v>
      </c>
      <c r="EY167" s="276">
        <f>SUMIF('20Ф'!$H:$H,$B:$B,'20Ф'!$AY:$AY)*1.2</f>
        <v>19073.004000000001</v>
      </c>
      <c r="EZ167" s="295">
        <f>D167/$D$286*'20Ф'!$I$1163</f>
        <v>2061.1434489440753</v>
      </c>
      <c r="FA167" s="277">
        <f>SUMIF(отчёт!$B:$B,$B:$B,отчёт!$CU:$CU)/отчёт!$CU$281*'20Ф'!$I$1341</f>
        <v>3683.8554216867401</v>
      </c>
      <c r="FB167" s="276">
        <f>SUMIF(Сальдо!$A:$A,$B:$B,Сальдо!$H:$H)-SUMIF(Сальдо!$A:$A,$B:$B,Сальдо!$I:$I)</f>
        <v>115359.93</v>
      </c>
    </row>
    <row r="168" spans="1:158" ht="12" customHeight="1" x14ac:dyDescent="0.25">
      <c r="A168" s="3">
        <f t="shared" si="32"/>
        <v>164</v>
      </c>
      <c r="B168" s="4" t="s">
        <v>213</v>
      </c>
      <c r="C168" s="4" t="s">
        <v>213</v>
      </c>
      <c r="D168" s="5">
        <v>3423.1</v>
      </c>
      <c r="E168" s="6">
        <v>2691.7</v>
      </c>
      <c r="F168" s="6">
        <v>731.4</v>
      </c>
      <c r="G168" s="6">
        <v>366.3</v>
      </c>
      <c r="H168" s="5">
        <f>SUMIF(отчёт!$B:$B,$B:$B,отчёт!I:I)</f>
        <v>0</v>
      </c>
      <c r="I168" s="5">
        <f>SUMIF(отчёт!$B:$B,$B:$B,отчёт!J:J)</f>
        <v>0</v>
      </c>
      <c r="J168" s="3" t="s">
        <v>51</v>
      </c>
      <c r="K168" s="105">
        <v>7</v>
      </c>
      <c r="L168" s="105" t="s">
        <v>52</v>
      </c>
      <c r="M168" s="7">
        <v>31</v>
      </c>
      <c r="N168" s="8">
        <v>5.0999999999999996</v>
      </c>
      <c r="O168" s="8">
        <v>6.59</v>
      </c>
      <c r="P168" s="8">
        <v>8.98</v>
      </c>
      <c r="Q168" s="8">
        <v>6.92</v>
      </c>
      <c r="R168" s="8">
        <v>3.15</v>
      </c>
      <c r="S168" s="8">
        <v>0</v>
      </c>
      <c r="T168" s="8">
        <v>0</v>
      </c>
      <c r="U168" s="8">
        <v>0.26</v>
      </c>
      <c r="V168" s="9">
        <v>40</v>
      </c>
      <c r="W168" s="9">
        <v>40</v>
      </c>
      <c r="X168" s="9">
        <v>2604.04</v>
      </c>
      <c r="Y168" s="8">
        <v>195.98199600000001</v>
      </c>
      <c r="Z168" s="9">
        <v>42.3</v>
      </c>
      <c r="AA168" s="9">
        <v>2604.04</v>
      </c>
      <c r="AB168" s="8">
        <v>7.85</v>
      </c>
      <c r="AC168" s="10">
        <v>0</v>
      </c>
      <c r="AD168" s="8">
        <v>6.73</v>
      </c>
      <c r="AE168" s="8">
        <v>10.67</v>
      </c>
      <c r="AF168" s="8">
        <v>14</v>
      </c>
      <c r="AG168" s="7">
        <v>636696.6</v>
      </c>
      <c r="AH168" s="8">
        <v>104746.85999999999</v>
      </c>
      <c r="AI168" s="8">
        <v>135349.37400000001</v>
      </c>
      <c r="AJ168" s="8">
        <v>184436.62800000003</v>
      </c>
      <c r="AK168" s="8">
        <v>142127.11199999999</v>
      </c>
      <c r="AL168" s="8">
        <v>64696.59</v>
      </c>
      <c r="AM168" s="8">
        <v>0</v>
      </c>
      <c r="AN168" s="8">
        <v>0</v>
      </c>
      <c r="AO168" s="8">
        <v>5340.0360000000001</v>
      </c>
      <c r="AQ168" s="104">
        <v>33.17</v>
      </c>
      <c r="AR168" s="375">
        <v>13.89</v>
      </c>
      <c r="AS168" s="376"/>
      <c r="AT168" s="104">
        <v>5.9</v>
      </c>
      <c r="AU168" s="104">
        <v>1.53</v>
      </c>
      <c r="AV168" s="104">
        <v>0.32</v>
      </c>
      <c r="AW168" s="104">
        <v>0.6</v>
      </c>
      <c r="AX168" s="104">
        <v>5.01</v>
      </c>
      <c r="AY168" s="104">
        <v>4.99</v>
      </c>
      <c r="AZ168" s="104">
        <v>0</v>
      </c>
      <c r="BA168" s="104">
        <v>0</v>
      </c>
      <c r="BB168" s="104">
        <v>0</v>
      </c>
      <c r="BC168" s="101">
        <v>0.93</v>
      </c>
      <c r="BD168" s="104">
        <v>37.581610000000005</v>
      </c>
      <c r="BE168" s="375">
        <v>15.737370000000004</v>
      </c>
      <c r="BF168" s="376">
        <v>0</v>
      </c>
      <c r="BG168" s="104">
        <v>6.6847000000000012</v>
      </c>
      <c r="BH168" s="104">
        <v>1.7334900000000002</v>
      </c>
      <c r="BI168" s="104">
        <v>0.36256000000000005</v>
      </c>
      <c r="BJ168" s="104">
        <v>0.67980000000000007</v>
      </c>
      <c r="BK168" s="104">
        <v>5.6763300000000001</v>
      </c>
      <c r="BL168" s="104">
        <v>5.65367</v>
      </c>
      <c r="BM168" s="104">
        <v>0</v>
      </c>
      <c r="BN168" s="104">
        <v>0</v>
      </c>
      <c r="BO168" s="104">
        <v>0</v>
      </c>
      <c r="BP168" s="101">
        <v>1.0536900000000002</v>
      </c>
      <c r="BQ168" s="103">
        <v>1513544.5459100001</v>
      </c>
      <c r="BR168" s="371">
        <v>633799.63047000009</v>
      </c>
      <c r="BS168" s="371">
        <v>0</v>
      </c>
      <c r="BT168" s="103">
        <v>269216.54570000002</v>
      </c>
      <c r="BU168" s="103">
        <v>69813.782189999998</v>
      </c>
      <c r="BV168" s="103">
        <v>14601.575359999999</v>
      </c>
      <c r="BW168" s="103">
        <v>27377.953800000003</v>
      </c>
      <c r="BX168" s="103">
        <v>228605.91422999999</v>
      </c>
      <c r="BY168" s="103">
        <v>227693.31576999999</v>
      </c>
      <c r="BZ168" s="103">
        <v>0</v>
      </c>
      <c r="CA168" s="103">
        <v>0</v>
      </c>
      <c r="CB168" s="103">
        <v>0</v>
      </c>
      <c r="CC168" s="103">
        <v>42435.82839000001</v>
      </c>
      <c r="CD168" s="1">
        <v>1</v>
      </c>
      <c r="CF168" s="277">
        <f>SUMIF(Оборот!$A:$A,$B:$B,Оборот!H:H)</f>
        <v>1024063.6399999999</v>
      </c>
      <c r="CG168" s="277">
        <f>SUMIF(Оборот!$A:$A,$B:$B,Оборот!I:I)</f>
        <v>1025726.99</v>
      </c>
      <c r="CH168" s="277">
        <f t="shared" si="25"/>
        <v>1241048.7093314501</v>
      </c>
      <c r="CI168" s="239">
        <f t="shared" si="30"/>
        <v>81399.954754134567</v>
      </c>
      <c r="CJ168" s="276">
        <f>SUMIF('20Ф'!$H:$H,$B:$B,'20Ф'!M:M)*1.2</f>
        <v>0</v>
      </c>
      <c r="CK168" s="276">
        <f>SUMIF('20Ф'!$H:$H,$B:$B,'20Ф'!O:O)*1.2</f>
        <v>0</v>
      </c>
      <c r="CL168" s="276">
        <f>SUMIF('20Ф'!$H:$H,$B:$B,'20Ф'!Q:Q)*1.2</f>
        <v>0</v>
      </c>
      <c r="CM168" s="276">
        <f>SUMIF('20Ф'!$H:$H,$B:$B,'20Ф'!R:R)*1.2</f>
        <v>0</v>
      </c>
      <c r="CN168" s="276">
        <f>SUMIF('20Ф'!$H:$H,$B:$B,'20Ф'!S:S)*1.2</f>
        <v>0</v>
      </c>
      <c r="CO168" s="276">
        <f>SUMIF('20Ф'!$H:$H,$B:$B,'20Ф'!W:W)*1.2</f>
        <v>0</v>
      </c>
      <c r="CP168" s="276">
        <f>SUMIF('20Ф'!$H:$H,$B:$B,'20Ф'!P:P)*1.2</f>
        <v>0</v>
      </c>
      <c r="CQ168" s="276">
        <f>SUMIF('20Ф'!$H:$H,$B:$B,'20Ф'!Y:Y)*1.2</f>
        <v>0</v>
      </c>
      <c r="CR168" s="276">
        <f>SUMIF('20Ф'!$H:$H,$B:$B,'20Ф'!Z:Z)*1.2</f>
        <v>0</v>
      </c>
      <c r="CS168" s="276">
        <f>SUMIF('20Ф'!$H:$H,$B:$B,'20Ф'!AB:AB)*1.2</f>
        <v>0</v>
      </c>
      <c r="CT168" s="276">
        <f>SUMIF('20Ф'!$H:$H,$B:$B,'20Ф'!AC:AC)*1.2</f>
        <v>0</v>
      </c>
      <c r="CU168" s="276">
        <f>SUMIF('20Ф'!$H:$H,$B:$B,'20Ф'!AD:AD)*1.2</f>
        <v>0</v>
      </c>
      <c r="CV168" s="276">
        <f>SUMIF('20Ф'!$H:$H,$B:$B,'20Ф'!AE:AE)*1.2</f>
        <v>0</v>
      </c>
      <c r="CW168" s="276">
        <f>SUMIF('20Ф'!$H:$H,$B:$B,'20Ф'!AF:AF)*1.2</f>
        <v>0</v>
      </c>
      <c r="CX168" s="276">
        <f>SUMIF('20Ф'!$H:$H,$B:$B,'20Ф'!AG:AG)*1.2</f>
        <v>0</v>
      </c>
      <c r="CY168" s="276">
        <f>SUMIF('20Ф'!$H:$H,$B:$B,'20Ф'!AH:AH)*1.2</f>
        <v>0</v>
      </c>
      <c r="CZ168" s="276">
        <f>SUMIF('20Ф'!$H:$H,$B:$B,'20Ф'!AI:AI)*1.2</f>
        <v>0</v>
      </c>
      <c r="DA168" s="276">
        <f>SUMIF('20Ф'!$H:$H,$B:$B,'20Ф'!AJ:AJ)*1.2</f>
        <v>14655.851999999999</v>
      </c>
      <c r="DB168" s="276">
        <f>SUMIF('20Ф'!$H:$H,$B:$B,'20Ф'!AK:AK)*1.2</f>
        <v>0</v>
      </c>
      <c r="DC168" s="276">
        <f>SUMIF('20Ф'!$H:$H,$B:$B,'20Ф'!AL:AL)*1.2</f>
        <v>0</v>
      </c>
      <c r="DD168" s="276">
        <f>SUMIF('20Ф'!$H:$H,$B:$B,'20Ф'!AM:AM)*1.2</f>
        <v>0</v>
      </c>
      <c r="DE168" s="276">
        <f>SUMIF('20Ф'!$H:$H,$B:$B,'20Ф'!AN:AN)*1.2</f>
        <v>36636.792000000001</v>
      </c>
      <c r="DF168" s="276">
        <f>SUMIF('20Ф'!$H:$H,$B:$B,'20Ф'!AO:AO)*1.2</f>
        <v>0</v>
      </c>
      <c r="DG168" s="276">
        <f>SUMIF('20Ф'!$H:$H,$B:$B,'20Ф'!AP:AP)*1.2</f>
        <v>0</v>
      </c>
      <c r="DH168" s="276">
        <f>SUMIF('20Ф'!$H:$H,$B:$B,'20Ф'!AQ:AQ)*1.2</f>
        <v>0</v>
      </c>
      <c r="DI168" s="276">
        <f>SUMIF('20Ф'!$H:$H,$B:$B,'20Ф'!BA:BA)*1.2</f>
        <v>0</v>
      </c>
      <c r="DJ168" s="276">
        <f>SUMIF('20Ф'!$H:$H,$B:$B,'20Ф'!BB:BB)*1.2</f>
        <v>0</v>
      </c>
      <c r="DK168" s="276">
        <f>SUMIF('20Ф'!$H:$H,$B:$B,'20Ф'!BC:BC)*1.2</f>
        <v>0</v>
      </c>
      <c r="DL168" s="276">
        <f>$D168/$D$281*'20Ф'!$H$218</f>
        <v>30107.310754134571</v>
      </c>
      <c r="DM168" s="240">
        <f t="shared" si="26"/>
        <v>378619.48956211982</v>
      </c>
      <c r="DN168" s="276">
        <f>SUMIF('20Ф'!$H:$H,$B:$B,'20Ф'!AV:AV)*1.2</f>
        <v>0</v>
      </c>
      <c r="DO168" s="276">
        <f>SUMIF('20Ф'!$H:$H,$B:$B,'20Ф'!AW:AW)*1.2+$D168/$D$281*'26Ф'!$D$42</f>
        <v>16021.552304676919</v>
      </c>
      <c r="DP168" s="276">
        <f>SUMIF('20Ф'!$H:$H,$B:$B,'20Ф'!AX:AX)*1.2</f>
        <v>0</v>
      </c>
      <c r="DQ168" s="276">
        <f>SUMIF('20Ф'!$H:$H,$B:$B,'20Ф'!AY:AY)*1.2</f>
        <v>25077</v>
      </c>
      <c r="DR168" s="276">
        <f>SUMIF('20Ф'!$H:$H,$B:$B,'20Ф'!AU:AU)*1.2</f>
        <v>0</v>
      </c>
      <c r="DS168" s="276">
        <f>SUMIF('20Ф'!$H:$H,$B:$B,'20Ф'!AS:AS)*1.2</f>
        <v>54903.335999999996</v>
      </c>
      <c r="DT168" s="276">
        <f>SUMIF('20Ф'!$H:$H,$B:$B,'20Ф'!AR:AR)*1.2</f>
        <v>0</v>
      </c>
      <c r="DU168" s="276">
        <f>SUMIF('20Ф'!$H:$H,$B:$B,'20Ф'!X:X)*1.2</f>
        <v>0</v>
      </c>
      <c r="DV168" s="276">
        <f>SUMIF('20Ф'!$H:$H,$B:$B,'20Ф'!AA:AA)*1.2</f>
        <v>0</v>
      </c>
      <c r="DW168" s="276">
        <f>SUMIF('20Ф'!$H:$H,$B:$B,'20Ф'!N:N)*1.2</f>
        <v>0</v>
      </c>
      <c r="DX168" s="276">
        <f>$D168/$D$281*('25Ф'!$D$37)</f>
        <v>269302.25090424711</v>
      </c>
      <c r="DY168" s="276">
        <f>$D168/$D$281*'25Ф'!$D$30</f>
        <v>8595.2824608835745</v>
      </c>
      <c r="DZ168" s="276">
        <f>$D168/$D$281*'25Ф'!$D$31</f>
        <v>4720.0678923122377</v>
      </c>
      <c r="EA168" s="276"/>
      <c r="EB168" s="276">
        <f t="shared" si="27"/>
        <v>169664.64478432148</v>
      </c>
      <c r="EC168" s="276">
        <f>$D168/$D$281*'26Ф'!$D$36</f>
        <v>88315.911619633291</v>
      </c>
      <c r="ED168" s="276">
        <f>$D168/$D$281*'26Ф'!$D$37</f>
        <v>10611.062457866534</v>
      </c>
      <c r="EE168" s="276">
        <f>$D168/$D$281*'26Ф'!$D$38</f>
        <v>10719.889344802768</v>
      </c>
      <c r="EF168" s="276">
        <f>$D168/$D$281*'26Ф'!$D$39</f>
        <v>7519.9925915892236</v>
      </c>
      <c r="EG168" s="276">
        <f>$D168/$D$281*'91Ф'!$D$10</f>
        <v>2319.9145869822851</v>
      </c>
      <c r="EH168" s="276">
        <f>$D168/$D$281*('20Ф'!$I$509+'26Ф'!$D$41+'20Ф'!$I$507)</f>
        <v>16412.631791186039</v>
      </c>
      <c r="EI168" s="276">
        <f>$D168/$D$281*'91Ф'!$D$31</f>
        <v>30086.76475569023</v>
      </c>
      <c r="EJ168" s="276">
        <f>$D168/$D$281*'20Ф'!$I$1316</f>
        <v>3678.4776365710982</v>
      </c>
      <c r="EK168" s="276">
        <f>$D168/$D$281*('20Ф'!$I$1105+'20Ф'!$I$1282+'91Ф'!$D$17+'91Ф'!$D$41)</f>
        <v>120805.30377747443</v>
      </c>
      <c r="EL168" s="276">
        <f>$D168/$D$281*отчёт!BX$294</f>
        <v>201949.62517378747</v>
      </c>
      <c r="EM168" s="276">
        <f>$D168/$D$281*отчёт!BY$294</f>
        <v>177603.85508032539</v>
      </c>
      <c r="EN168" s="276">
        <f>SUMIF(отчёт!$B:$B,$B:$B,отчёт!BZ:BZ)/отчёт!BZ$281*('60Ф'!$O$151+'60Ф'!$P$151)*отчёт!BZ$293</f>
        <v>0</v>
      </c>
      <c r="EO168" s="240">
        <f t="shared" si="28"/>
        <v>0</v>
      </c>
      <c r="EP168" s="276">
        <f>SUMIF('20Ф'!$H:$H,$B:$B,'20Ф'!T:T)*1.2</f>
        <v>0</v>
      </c>
      <c r="EQ168" s="276">
        <f>SUMIF('20Ф'!$H:$H,$B:$B,'20Ф'!U:U)*1.2</f>
        <v>0</v>
      </c>
      <c r="ER168" s="236"/>
      <c r="ES168" s="239">
        <f t="shared" si="31"/>
        <v>67592.61646145703</v>
      </c>
      <c r="ET168" s="276">
        <f>$D168/$D$282*'20Ф'!$I$381</f>
        <v>5166.1684381782106</v>
      </c>
      <c r="EU168" s="276">
        <f>$D168/$D$282*('20Ф'!$I$75+'20Ф'!$I$1098)*1.2</f>
        <v>59671.538864718961</v>
      </c>
      <c r="EV168" s="276">
        <f>$D168/$D$282*('20Ф'!$I$1286)</f>
        <v>2754.9091585598608</v>
      </c>
      <c r="EW168" s="276">
        <f>SUMIF('91.1Ф'!$N:$N,$B:$B,'91.1Ф'!$F:$F)+$D168/$D$281*('91Ф'!$D$12+'91Ф'!$D$11+'91Ф'!$D$19+'91Ф'!$D$20)</f>
        <v>15921.54856498174</v>
      </c>
      <c r="EX168" s="276">
        <f t="shared" si="29"/>
        <v>27491.671172848241</v>
      </c>
      <c r="EY168" s="276">
        <f>SUMIF('20Ф'!$H:$H,$B:$B,'20Ф'!$AY:$AY)*1.2</f>
        <v>25077</v>
      </c>
      <c r="EZ168" s="295">
        <f>D168/$D$286*'20Ф'!$I$1163</f>
        <v>2414.6711728482419</v>
      </c>
      <c r="FA168" s="277">
        <f>SUMIF(отчёт!$B:$B,$B:$B,отчёт!$CU:$CU)/отчёт!$CU$281*'20Ф'!$I$1341</f>
        <v>3683.8554216867401</v>
      </c>
      <c r="FB168" s="276">
        <f>SUMIF(Сальдо!$A:$A,$B:$B,Сальдо!$H:$H)-SUMIF(Сальдо!$A:$A,$B:$B,Сальдо!$I:$I)</f>
        <v>459416.57</v>
      </c>
    </row>
    <row r="169" spans="1:158" ht="12" customHeight="1" x14ac:dyDescent="0.25">
      <c r="A169" s="3">
        <f t="shared" si="32"/>
        <v>165</v>
      </c>
      <c r="B169" s="4" t="s">
        <v>214</v>
      </c>
      <c r="C169" s="4" t="s">
        <v>214</v>
      </c>
      <c r="D169" s="5">
        <v>4904.5600000000004</v>
      </c>
      <c r="E169" s="6">
        <v>4904.5600000000004</v>
      </c>
      <c r="F169" s="6">
        <v>0</v>
      </c>
      <c r="G169" s="6">
        <v>488.4</v>
      </c>
      <c r="H169" s="5">
        <f>SUMIF(отчёт!$B:$B,$B:$B,отчёт!I:I)</f>
        <v>0</v>
      </c>
      <c r="I169" s="5">
        <f>SUMIF(отчёт!$B:$B,$B:$B,отчёт!J:J)</f>
        <v>0</v>
      </c>
      <c r="J169" s="3" t="s">
        <v>51</v>
      </c>
      <c r="K169" s="105">
        <v>7</v>
      </c>
      <c r="L169" s="105" t="s">
        <v>52</v>
      </c>
      <c r="M169" s="7">
        <v>31</v>
      </c>
      <c r="N169" s="8">
        <v>5.0999999999999996</v>
      </c>
      <c r="O169" s="8">
        <v>6.59</v>
      </c>
      <c r="P169" s="8">
        <v>8.98</v>
      </c>
      <c r="Q169" s="8">
        <v>6.92</v>
      </c>
      <c r="R169" s="8">
        <v>3.15</v>
      </c>
      <c r="S169" s="8">
        <v>0</v>
      </c>
      <c r="T169" s="8">
        <v>0</v>
      </c>
      <c r="U169" s="8">
        <v>0.26</v>
      </c>
      <c r="V169" s="9">
        <v>40</v>
      </c>
      <c r="W169" s="9">
        <v>40</v>
      </c>
      <c r="X169" s="9">
        <v>2604.04</v>
      </c>
      <c r="Y169" s="8">
        <v>195.98199600000001</v>
      </c>
      <c r="Z169" s="9">
        <v>42.3</v>
      </c>
      <c r="AA169" s="9">
        <v>2604.04</v>
      </c>
      <c r="AB169" s="8">
        <v>7.85</v>
      </c>
      <c r="AC169" s="10">
        <v>0</v>
      </c>
      <c r="AD169" s="8">
        <v>6.73</v>
      </c>
      <c r="AE169" s="8">
        <v>10.67</v>
      </c>
      <c r="AF169" s="8">
        <v>14</v>
      </c>
      <c r="AG169" s="7">
        <v>912248.16000000015</v>
      </c>
      <c r="AH169" s="8">
        <v>150079.53600000002</v>
      </c>
      <c r="AI169" s="8">
        <v>193926.30240000002</v>
      </c>
      <c r="AJ169" s="8">
        <v>264257.69280000002</v>
      </c>
      <c r="AK169" s="8">
        <v>203637.33120000002</v>
      </c>
      <c r="AL169" s="8">
        <v>92696.184000000008</v>
      </c>
      <c r="AM169" s="8">
        <v>0</v>
      </c>
      <c r="AN169" s="8">
        <v>0</v>
      </c>
      <c r="AO169" s="8">
        <v>7651.1136000000015</v>
      </c>
      <c r="AQ169" s="104">
        <v>33.17</v>
      </c>
      <c r="AR169" s="375">
        <v>13.89</v>
      </c>
      <c r="AS169" s="376"/>
      <c r="AT169" s="104">
        <v>5.9</v>
      </c>
      <c r="AU169" s="104">
        <v>1.53</v>
      </c>
      <c r="AV169" s="104">
        <v>0.32</v>
      </c>
      <c r="AW169" s="104">
        <v>0.6</v>
      </c>
      <c r="AX169" s="104">
        <v>5.01</v>
      </c>
      <c r="AY169" s="104">
        <v>4.99</v>
      </c>
      <c r="AZ169" s="104">
        <v>0</v>
      </c>
      <c r="BA169" s="104">
        <v>0</v>
      </c>
      <c r="BB169" s="104">
        <v>0</v>
      </c>
      <c r="BC169" s="101">
        <v>0.93</v>
      </c>
      <c r="BD169" s="104">
        <v>37.581610000000005</v>
      </c>
      <c r="BE169" s="375">
        <v>15.737370000000004</v>
      </c>
      <c r="BF169" s="376">
        <v>0</v>
      </c>
      <c r="BG169" s="104">
        <v>6.6847000000000012</v>
      </c>
      <c r="BH169" s="104">
        <v>1.7334900000000002</v>
      </c>
      <c r="BI169" s="104">
        <v>0.36256000000000005</v>
      </c>
      <c r="BJ169" s="104">
        <v>0.67980000000000007</v>
      </c>
      <c r="BK169" s="104">
        <v>5.6763300000000001</v>
      </c>
      <c r="BL169" s="104">
        <v>5.65367</v>
      </c>
      <c r="BM169" s="104">
        <v>0</v>
      </c>
      <c r="BN169" s="104">
        <v>0</v>
      </c>
      <c r="BO169" s="104">
        <v>0</v>
      </c>
      <c r="BP169" s="101">
        <v>1.0536900000000002</v>
      </c>
      <c r="BQ169" s="103">
        <v>2168581.1218160009</v>
      </c>
      <c r="BR169" s="371">
        <v>908097.43087200029</v>
      </c>
      <c r="BS169" s="371">
        <v>0</v>
      </c>
      <c r="BT169" s="103">
        <v>385728.93032000004</v>
      </c>
      <c r="BU169" s="103">
        <v>100028.01074400001</v>
      </c>
      <c r="BV169" s="103">
        <v>20920.891136000002</v>
      </c>
      <c r="BW169" s="103">
        <v>39226.670880000005</v>
      </c>
      <c r="BX169" s="103">
        <v>327542.701848</v>
      </c>
      <c r="BY169" s="103">
        <v>326235.146152</v>
      </c>
      <c r="BZ169" s="103">
        <v>0</v>
      </c>
      <c r="CA169" s="103">
        <v>0</v>
      </c>
      <c r="CB169" s="103">
        <v>0</v>
      </c>
      <c r="CC169" s="103">
        <v>60801.339864000016</v>
      </c>
      <c r="CD169" s="1">
        <v>1</v>
      </c>
      <c r="CF169" s="277">
        <f>SUMIF(Оборот!$A:$A,$B:$B,Оборот!H:H)</f>
        <v>1866801.4399999997</v>
      </c>
      <c r="CG169" s="277">
        <f>SUMIF(Оборот!$A:$A,$B:$B,Оборот!I:I)</f>
        <v>1872901.7100000002</v>
      </c>
      <c r="CH169" s="277">
        <f t="shared" si="25"/>
        <v>1787154.1699701024</v>
      </c>
      <c r="CI169" s="239">
        <f t="shared" si="30"/>
        <v>43137.247533609378</v>
      </c>
      <c r="CJ169" s="276">
        <f>SUMIF('20Ф'!$H:$H,$B:$B,'20Ф'!M:M)*1.2</f>
        <v>0</v>
      </c>
      <c r="CK169" s="276">
        <f>SUMIF('20Ф'!$H:$H,$B:$B,'20Ф'!O:O)*1.2</f>
        <v>0</v>
      </c>
      <c r="CL169" s="276">
        <f>SUMIF('20Ф'!$H:$H,$B:$B,'20Ф'!Q:Q)*1.2</f>
        <v>0</v>
      </c>
      <c r="CM169" s="276">
        <f>SUMIF('20Ф'!$H:$H,$B:$B,'20Ф'!R:R)*1.2</f>
        <v>0</v>
      </c>
      <c r="CN169" s="276">
        <f>SUMIF('20Ф'!$H:$H,$B:$B,'20Ф'!S:S)*1.2</f>
        <v>0</v>
      </c>
      <c r="CO169" s="276">
        <f>SUMIF('20Ф'!$H:$H,$B:$B,'20Ф'!W:W)*1.2</f>
        <v>0</v>
      </c>
      <c r="CP169" s="276">
        <f>SUMIF('20Ф'!$H:$H,$B:$B,'20Ф'!P:P)*1.2</f>
        <v>0</v>
      </c>
      <c r="CQ169" s="276">
        <f>SUMIF('20Ф'!$H:$H,$B:$B,'20Ф'!Y:Y)*1.2</f>
        <v>0</v>
      </c>
      <c r="CR169" s="276">
        <f>SUMIF('20Ф'!$H:$H,$B:$B,'20Ф'!Z:Z)*1.2</f>
        <v>0</v>
      </c>
      <c r="CS169" s="276">
        <f>SUMIF('20Ф'!$H:$H,$B:$B,'20Ф'!AB:AB)*1.2</f>
        <v>0</v>
      </c>
      <c r="CT169" s="276">
        <f>SUMIF('20Ф'!$H:$H,$B:$B,'20Ф'!AC:AC)*1.2</f>
        <v>0</v>
      </c>
      <c r="CU169" s="276">
        <f>SUMIF('20Ф'!$H:$H,$B:$B,'20Ф'!AD:AD)*1.2</f>
        <v>0</v>
      </c>
      <c r="CV169" s="276">
        <f>SUMIF('20Ф'!$H:$H,$B:$B,'20Ф'!AE:AE)*1.2</f>
        <v>0</v>
      </c>
      <c r="CW169" s="276">
        <f>SUMIF('20Ф'!$H:$H,$B:$B,'20Ф'!AF:AF)*1.2</f>
        <v>0</v>
      </c>
      <c r="CX169" s="276">
        <f>SUMIF('20Ф'!$H:$H,$B:$B,'20Ф'!AG:AG)*1.2</f>
        <v>0</v>
      </c>
      <c r="CY169" s="276">
        <f>SUMIF('20Ф'!$H:$H,$B:$B,'20Ф'!AH:AH)*1.2</f>
        <v>0</v>
      </c>
      <c r="CZ169" s="276">
        <f>SUMIF('20Ф'!$H:$H,$B:$B,'20Ф'!AI:AI)*1.2</f>
        <v>0</v>
      </c>
      <c r="DA169" s="276">
        <f>SUMIF('20Ф'!$H:$H,$B:$B,'20Ф'!AJ:AJ)*1.2</f>
        <v>0</v>
      </c>
      <c r="DB169" s="276">
        <f>SUMIF('20Ф'!$H:$H,$B:$B,'20Ф'!AK:AK)*1.2</f>
        <v>0</v>
      </c>
      <c r="DC169" s="276">
        <f>SUMIF('20Ф'!$H:$H,$B:$B,'20Ф'!AL:AL)*1.2</f>
        <v>0</v>
      </c>
      <c r="DD169" s="276">
        <f>SUMIF('20Ф'!$H:$H,$B:$B,'20Ф'!AM:AM)*1.2</f>
        <v>0</v>
      </c>
      <c r="DE169" s="276">
        <f>SUMIF('20Ф'!$H:$H,$B:$B,'20Ф'!AN:AN)*1.2</f>
        <v>0</v>
      </c>
      <c r="DF169" s="276">
        <f>SUMIF('20Ф'!$H:$H,$B:$B,'20Ф'!AO:AO)*1.2</f>
        <v>0</v>
      </c>
      <c r="DG169" s="276">
        <f>SUMIF('20Ф'!$H:$H,$B:$B,'20Ф'!AP:AP)*1.2</f>
        <v>0</v>
      </c>
      <c r="DH169" s="276">
        <f>SUMIF('20Ф'!$H:$H,$B:$B,'20Ф'!AQ:AQ)*1.2</f>
        <v>0</v>
      </c>
      <c r="DI169" s="276">
        <f>SUMIF('20Ф'!$H:$H,$B:$B,'20Ф'!BA:BA)*1.2</f>
        <v>0</v>
      </c>
      <c r="DJ169" s="276">
        <f>SUMIF('20Ф'!$H:$H,$B:$B,'20Ф'!BB:BB)*1.2</f>
        <v>0</v>
      </c>
      <c r="DK169" s="276">
        <f>SUMIF('20Ф'!$H:$H,$B:$B,'20Ф'!BC:BC)*1.2</f>
        <v>0</v>
      </c>
      <c r="DL169" s="276">
        <f>$D169/$D$281*'20Ф'!$H$218</f>
        <v>43137.247533609378</v>
      </c>
      <c r="DM169" s="240">
        <f t="shared" si="26"/>
        <v>591740.25108732737</v>
      </c>
      <c r="DN169" s="276">
        <f>SUMIF('20Ф'!$H:$H,$B:$B,'20Ф'!AV:AV)*1.2</f>
        <v>0</v>
      </c>
      <c r="DO169" s="276">
        <f>SUMIF('20Ф'!$H:$H,$B:$B,'20Ф'!AW:AW)*1.2+$D169/$D$281*'26Ф'!$D$42</f>
        <v>22955.410175404235</v>
      </c>
      <c r="DP169" s="276">
        <f>SUMIF('20Ф'!$H:$H,$B:$B,'20Ф'!AX:AX)*1.2</f>
        <v>0</v>
      </c>
      <c r="DQ169" s="276">
        <f>SUMIF('20Ф'!$H:$H,$B:$B,'20Ф'!AY:AY)*1.2</f>
        <v>69161.004000000001</v>
      </c>
      <c r="DR169" s="276">
        <f>SUMIF('20Ф'!$H:$H,$B:$B,'20Ф'!AU:AU)*1.2</f>
        <v>0</v>
      </c>
      <c r="DS169" s="276">
        <f>SUMIF('20Ф'!$H:$H,$B:$B,'20Ф'!AS:AS)*1.2</f>
        <v>94694.099999999991</v>
      </c>
      <c r="DT169" s="276">
        <f>SUMIF('20Ф'!$H:$H,$B:$B,'20Ф'!AR:AR)*1.2</f>
        <v>0</v>
      </c>
      <c r="DU169" s="276">
        <f>SUMIF('20Ф'!$H:$H,$B:$B,'20Ф'!X:X)*1.2</f>
        <v>0</v>
      </c>
      <c r="DV169" s="276">
        <f>SUMIF('20Ф'!$H:$H,$B:$B,'20Ф'!AA:AA)*1.2</f>
        <v>0</v>
      </c>
      <c r="DW169" s="276">
        <f>SUMIF('20Ф'!$H:$H,$B:$B,'20Ф'!N:N)*1.2</f>
        <v>0</v>
      </c>
      <c r="DX169" s="276">
        <f>$D169/$D$281*('25Ф'!$D$37)</f>
        <v>385851.72729249345</v>
      </c>
      <c r="DY169" s="276">
        <f>$D169/$D$281*'25Ф'!$D$30</f>
        <v>12315.175877523634</v>
      </c>
      <c r="DZ169" s="276">
        <f>$D169/$D$281*'25Ф'!$D$31</f>
        <v>6762.8337419061409</v>
      </c>
      <c r="EA169" s="276"/>
      <c r="EB169" s="276">
        <f t="shared" si="27"/>
        <v>243092.64415979426</v>
      </c>
      <c r="EC169" s="276">
        <f>$D169/$D$281*'26Ф'!$D$36</f>
        <v>126537.55002576282</v>
      </c>
      <c r="ED169" s="276">
        <f>$D169/$D$281*'26Ф'!$D$37</f>
        <v>15203.351490857378</v>
      </c>
      <c r="EE169" s="276">
        <f>$D169/$D$281*'26Ф'!$D$38</f>
        <v>15359.276820702251</v>
      </c>
      <c r="EF169" s="276">
        <f>$D169/$D$281*'26Ф'!$D$39</f>
        <v>10774.518671673291</v>
      </c>
      <c r="EG169" s="276">
        <f>$D169/$D$281*'91Ф'!$D$10</f>
        <v>3323.9345291489694</v>
      </c>
      <c r="EH169" s="276">
        <f>$D169/$D$281*('20Ф'!$I$509+'26Ф'!$D$41+'20Ф'!$I$507)</f>
        <v>23515.742273897755</v>
      </c>
      <c r="EI169" s="276">
        <f>$D169/$D$281*'91Ф'!$D$31</f>
        <v>43107.809573242994</v>
      </c>
      <c r="EJ169" s="276">
        <f>$D169/$D$281*'20Ф'!$I$1316</f>
        <v>5270.4607745088215</v>
      </c>
      <c r="EK169" s="276">
        <f>$D169/$D$281*('20Ф'!$I$1105+'20Ф'!$I$1282+'91Ф'!$D$17+'91Ф'!$D$41)</f>
        <v>173087.80365599896</v>
      </c>
      <c r="EL169" s="276">
        <f>$D169/$D$281*отчёт!BX$294</f>
        <v>289350.02005268651</v>
      </c>
      <c r="EM169" s="276">
        <f>$D169/$D$281*отчёт!BY$294</f>
        <v>254467.81089444095</v>
      </c>
      <c r="EN169" s="276">
        <f>SUMIF(отчёт!$B:$B,$B:$B,отчёт!BZ:BZ)/отчёт!BZ$281*('60Ф'!$O$151+'60Ф'!$P$151)*отчёт!BZ$293</f>
        <v>0</v>
      </c>
      <c r="EO169" s="240">
        <f t="shared" si="28"/>
        <v>0</v>
      </c>
      <c r="EP169" s="276">
        <f>SUMIF('20Ф'!$H:$H,$B:$B,'20Ф'!T:T)*1.2</f>
        <v>0</v>
      </c>
      <c r="EQ169" s="276">
        <f>SUMIF('20Ф'!$H:$H,$B:$B,'20Ф'!U:U)*1.2</f>
        <v>0</v>
      </c>
      <c r="ER169" s="236"/>
      <c r="ES169" s="239">
        <f t="shared" si="31"/>
        <v>96845.561915282582</v>
      </c>
      <c r="ET169" s="276">
        <f>$D169/$D$282*'20Ф'!$I$381</f>
        <v>7401.9990871290147</v>
      </c>
      <c r="EU169" s="276">
        <f>$D169/$D$282*('20Ф'!$I$75+'20Ф'!$I$1098)*1.2</f>
        <v>85496.375406603984</v>
      </c>
      <c r="EV169" s="276">
        <f>$D169/$D$282*('20Ф'!$I$1286)</f>
        <v>3947.1874215495764</v>
      </c>
      <c r="EW169" s="276">
        <f>SUMIF('91.1Ф'!$N:$N,$B:$B,'91.1Ф'!$F:$F)+$D169/$D$281*('91Ф'!$D$12+'91Ф'!$D$11+'91Ф'!$D$19+'91Ф'!$D$20)</f>
        <v>22812.126502254345</v>
      </c>
      <c r="EX169" s="276">
        <f t="shared" si="29"/>
        <v>72620.704168708064</v>
      </c>
      <c r="EY169" s="276">
        <f>SUMIF('20Ф'!$H:$H,$B:$B,'20Ф'!$AY:$AY)*1.2</f>
        <v>69161.004000000001</v>
      </c>
      <c r="EZ169" s="295">
        <f>D169/$D$286*'20Ф'!$I$1163</f>
        <v>3459.7001687080642</v>
      </c>
      <c r="FA169" s="277">
        <f>SUMIF(отчёт!$B:$B,$B:$B,отчёт!$CU:$CU)/отчёт!$CU$281*'20Ф'!$I$1341</f>
        <v>0</v>
      </c>
      <c r="FB169" s="276">
        <f>SUMIF(Сальдо!$A:$A,$B:$B,Сальдо!$H:$H)-SUMIF(Сальдо!$A:$A,$B:$B,Сальдо!$I:$I)</f>
        <v>552544.48</v>
      </c>
    </row>
    <row r="170" spans="1:158" ht="12" customHeight="1" x14ac:dyDescent="0.25">
      <c r="A170" s="3">
        <f t="shared" si="32"/>
        <v>166</v>
      </c>
      <c r="B170" s="4" t="s">
        <v>215</v>
      </c>
      <c r="C170" s="4" t="s">
        <v>215</v>
      </c>
      <c r="D170" s="5">
        <v>4886.43</v>
      </c>
      <c r="E170" s="6">
        <v>4886.43</v>
      </c>
      <c r="F170" s="6">
        <v>0</v>
      </c>
      <c r="G170" s="6">
        <v>451.5</v>
      </c>
      <c r="H170" s="5">
        <f>SUMIF(отчёт!$B:$B,$B:$B,отчёт!I:I)</f>
        <v>0</v>
      </c>
      <c r="I170" s="5">
        <f>SUMIF(отчёт!$B:$B,$B:$B,отчёт!J:J)</f>
        <v>0</v>
      </c>
      <c r="J170" s="3" t="s">
        <v>51</v>
      </c>
      <c r="K170" s="105">
        <v>7</v>
      </c>
      <c r="L170" s="105" t="s">
        <v>52</v>
      </c>
      <c r="M170" s="7">
        <v>31</v>
      </c>
      <c r="N170" s="8">
        <v>5.0999999999999996</v>
      </c>
      <c r="O170" s="8">
        <v>6.59</v>
      </c>
      <c r="P170" s="8">
        <v>8.98</v>
      </c>
      <c r="Q170" s="8">
        <v>6.92</v>
      </c>
      <c r="R170" s="8">
        <v>3.15</v>
      </c>
      <c r="S170" s="8">
        <v>0</v>
      </c>
      <c r="T170" s="8">
        <v>0</v>
      </c>
      <c r="U170" s="8">
        <v>0.26</v>
      </c>
      <c r="V170" s="9">
        <v>40</v>
      </c>
      <c r="W170" s="9">
        <v>40</v>
      </c>
      <c r="X170" s="9">
        <v>2604.04</v>
      </c>
      <c r="Y170" s="8">
        <v>195.98199600000001</v>
      </c>
      <c r="Z170" s="9">
        <v>42.3</v>
      </c>
      <c r="AA170" s="9">
        <v>2604.04</v>
      </c>
      <c r="AB170" s="8">
        <v>7.85</v>
      </c>
      <c r="AC170" s="10">
        <v>0</v>
      </c>
      <c r="AD170" s="8">
        <v>6.73</v>
      </c>
      <c r="AE170" s="8">
        <v>10.67</v>
      </c>
      <c r="AF170" s="8">
        <v>14</v>
      </c>
      <c r="AG170" s="7">
        <v>908875.9800000001</v>
      </c>
      <c r="AH170" s="8">
        <v>149524.758</v>
      </c>
      <c r="AI170" s="8">
        <v>193209.44219999999</v>
      </c>
      <c r="AJ170" s="8">
        <v>263280.84840000002</v>
      </c>
      <c r="AK170" s="8">
        <v>202884.5736</v>
      </c>
      <c r="AL170" s="8">
        <v>92353.527000000002</v>
      </c>
      <c r="AM170" s="8">
        <v>0</v>
      </c>
      <c r="AN170" s="8">
        <v>0</v>
      </c>
      <c r="AO170" s="8">
        <v>7622.8307999999997</v>
      </c>
      <c r="AQ170" s="104">
        <v>33.17</v>
      </c>
      <c r="AR170" s="375">
        <v>13.89</v>
      </c>
      <c r="AS170" s="376"/>
      <c r="AT170" s="104">
        <v>5.9</v>
      </c>
      <c r="AU170" s="104">
        <v>1.53</v>
      </c>
      <c r="AV170" s="104">
        <v>0.32</v>
      </c>
      <c r="AW170" s="104">
        <v>0.6</v>
      </c>
      <c r="AX170" s="104">
        <v>5.01</v>
      </c>
      <c r="AY170" s="104">
        <v>4.99</v>
      </c>
      <c r="AZ170" s="104">
        <v>0</v>
      </c>
      <c r="BA170" s="104">
        <v>0</v>
      </c>
      <c r="BB170" s="104">
        <v>0</v>
      </c>
      <c r="BC170" s="101">
        <v>0.93</v>
      </c>
      <c r="BD170" s="104">
        <v>37.581610000000005</v>
      </c>
      <c r="BE170" s="375">
        <v>15.737370000000004</v>
      </c>
      <c r="BF170" s="376">
        <v>0</v>
      </c>
      <c r="BG170" s="104">
        <v>6.6847000000000012</v>
      </c>
      <c r="BH170" s="104">
        <v>1.7334900000000002</v>
      </c>
      <c r="BI170" s="104">
        <v>0.36256000000000005</v>
      </c>
      <c r="BJ170" s="104">
        <v>0.67980000000000007</v>
      </c>
      <c r="BK170" s="104">
        <v>5.6763300000000001</v>
      </c>
      <c r="BL170" s="104">
        <v>5.65367</v>
      </c>
      <c r="BM170" s="104">
        <v>0</v>
      </c>
      <c r="BN170" s="104">
        <v>0</v>
      </c>
      <c r="BO170" s="104">
        <v>0</v>
      </c>
      <c r="BP170" s="101">
        <v>1.0536900000000002</v>
      </c>
      <c r="BQ170" s="103">
        <v>2160564.8317230009</v>
      </c>
      <c r="BR170" s="371">
        <v>904740.59429100028</v>
      </c>
      <c r="BS170" s="371">
        <v>0</v>
      </c>
      <c r="BT170" s="103">
        <v>384303.06021000003</v>
      </c>
      <c r="BU170" s="103">
        <v>99658.251207000008</v>
      </c>
      <c r="BV170" s="103">
        <v>20843.555808000001</v>
      </c>
      <c r="BW170" s="103">
        <v>39081.667140000005</v>
      </c>
      <c r="BX170" s="103">
        <v>326331.92061899998</v>
      </c>
      <c r="BY170" s="103">
        <v>325029.19838100002</v>
      </c>
      <c r="BZ170" s="103">
        <v>0</v>
      </c>
      <c r="CA170" s="103">
        <v>0</v>
      </c>
      <c r="CB170" s="103">
        <v>0</v>
      </c>
      <c r="CC170" s="103">
        <v>60576.584067000018</v>
      </c>
      <c r="CD170" s="1">
        <v>1</v>
      </c>
      <c r="CF170" s="277">
        <f>SUMIF(Оборот!$A:$A,$B:$B,Оборот!H:H)</f>
        <v>1862224.1800000002</v>
      </c>
      <c r="CG170" s="277">
        <f>SUMIF(Оборот!$A:$A,$B:$B,Оборот!I:I)</f>
        <v>1876647.5299999998</v>
      </c>
      <c r="CH170" s="277">
        <f t="shared" si="25"/>
        <v>1778684.4014751187</v>
      </c>
      <c r="CI170" s="239">
        <f t="shared" si="30"/>
        <v>49842.724112624754</v>
      </c>
      <c r="CJ170" s="276">
        <f>SUMIF('20Ф'!$H:$H,$B:$B,'20Ф'!M:M)*1.2</f>
        <v>0</v>
      </c>
      <c r="CK170" s="276">
        <f>SUMIF('20Ф'!$H:$H,$B:$B,'20Ф'!O:O)*1.2</f>
        <v>0</v>
      </c>
      <c r="CL170" s="276">
        <f>SUMIF('20Ф'!$H:$H,$B:$B,'20Ф'!Q:Q)*1.2</f>
        <v>0</v>
      </c>
      <c r="CM170" s="276">
        <f>SUMIF('20Ф'!$H:$H,$B:$B,'20Ф'!R:R)*1.2</f>
        <v>0</v>
      </c>
      <c r="CN170" s="276">
        <f>SUMIF('20Ф'!$H:$H,$B:$B,'20Ф'!S:S)*1.2</f>
        <v>0</v>
      </c>
      <c r="CO170" s="276">
        <f>SUMIF('20Ф'!$H:$H,$B:$B,'20Ф'!W:W)*1.2</f>
        <v>0</v>
      </c>
      <c r="CP170" s="276">
        <f>SUMIF('20Ф'!$H:$H,$B:$B,'20Ф'!P:P)*1.2</f>
        <v>0</v>
      </c>
      <c r="CQ170" s="276">
        <f>SUMIF('20Ф'!$H:$H,$B:$B,'20Ф'!Y:Y)*1.2</f>
        <v>0</v>
      </c>
      <c r="CR170" s="276">
        <f>SUMIF('20Ф'!$H:$H,$B:$B,'20Ф'!Z:Z)*1.2</f>
        <v>0</v>
      </c>
      <c r="CS170" s="276">
        <f>SUMIF('20Ф'!$H:$H,$B:$B,'20Ф'!AB:AB)*1.2</f>
        <v>0</v>
      </c>
      <c r="CT170" s="276">
        <f>SUMIF('20Ф'!$H:$H,$B:$B,'20Ф'!AC:AC)*1.2</f>
        <v>0</v>
      </c>
      <c r="CU170" s="276">
        <f>SUMIF('20Ф'!$H:$H,$B:$B,'20Ф'!AD:AD)*1.2</f>
        <v>0</v>
      </c>
      <c r="CV170" s="276">
        <f>SUMIF('20Ф'!$H:$H,$B:$B,'20Ф'!AE:AE)*1.2</f>
        <v>0</v>
      </c>
      <c r="CW170" s="276">
        <f>SUMIF('20Ф'!$H:$H,$B:$B,'20Ф'!AF:AF)*1.2</f>
        <v>0</v>
      </c>
      <c r="CX170" s="276">
        <f>SUMIF('20Ф'!$H:$H,$B:$B,'20Ф'!AG:AG)*1.2</f>
        <v>6864.9359999999997</v>
      </c>
      <c r="CY170" s="276">
        <f>SUMIF('20Ф'!$H:$H,$B:$B,'20Ф'!AH:AH)*1.2</f>
        <v>0</v>
      </c>
      <c r="CZ170" s="276">
        <f>SUMIF('20Ф'!$H:$H,$B:$B,'20Ф'!AI:AI)*1.2</f>
        <v>0</v>
      </c>
      <c r="DA170" s="276">
        <f>SUMIF('20Ф'!$H:$H,$B:$B,'20Ф'!AJ:AJ)*1.2</f>
        <v>0</v>
      </c>
      <c r="DB170" s="276">
        <f>SUMIF('20Ф'!$H:$H,$B:$B,'20Ф'!AK:AK)*1.2</f>
        <v>0</v>
      </c>
      <c r="DC170" s="276">
        <f>SUMIF('20Ф'!$H:$H,$B:$B,'20Ф'!AL:AL)*1.2</f>
        <v>0</v>
      </c>
      <c r="DD170" s="276">
        <f>SUMIF('20Ф'!$H:$H,$B:$B,'20Ф'!AM:AM)*1.2</f>
        <v>0</v>
      </c>
      <c r="DE170" s="276">
        <f>SUMIF('20Ф'!$H:$H,$B:$B,'20Ф'!AN:AN)*1.2</f>
        <v>0</v>
      </c>
      <c r="DF170" s="276">
        <f>SUMIF('20Ф'!$H:$H,$B:$B,'20Ф'!AO:AO)*1.2</f>
        <v>0</v>
      </c>
      <c r="DG170" s="276">
        <f>SUMIF('20Ф'!$H:$H,$B:$B,'20Ф'!AP:AP)*1.2</f>
        <v>0</v>
      </c>
      <c r="DH170" s="276">
        <f>SUMIF('20Ф'!$H:$H,$B:$B,'20Ф'!AQ:AQ)*1.2</f>
        <v>0</v>
      </c>
      <c r="DI170" s="276">
        <f>SUMIF('20Ф'!$H:$H,$B:$B,'20Ф'!BA:BA)*1.2</f>
        <v>0</v>
      </c>
      <c r="DJ170" s="276">
        <f>SUMIF('20Ф'!$H:$H,$B:$B,'20Ф'!BB:BB)*1.2</f>
        <v>0</v>
      </c>
      <c r="DK170" s="276">
        <f>SUMIF('20Ф'!$H:$H,$B:$B,'20Ф'!BC:BC)*1.2</f>
        <v>0</v>
      </c>
      <c r="DL170" s="276">
        <f>$D170/$D$281*'20Ф'!$H$218</f>
        <v>42977.788112624752</v>
      </c>
      <c r="DM170" s="240">
        <f t="shared" si="26"/>
        <v>580568.80799536954</v>
      </c>
      <c r="DN170" s="276">
        <f>SUMIF('20Ф'!$H:$H,$B:$B,'20Ф'!AV:AV)*1.2</f>
        <v>0</v>
      </c>
      <c r="DO170" s="276">
        <f>SUMIF('20Ф'!$H:$H,$B:$B,'20Ф'!AW:AW)*1.2+$D170/$D$281*'26Ф'!$D$42</f>
        <v>22870.554125834024</v>
      </c>
      <c r="DP170" s="276">
        <f>SUMIF('20Ф'!$H:$H,$B:$B,'20Ф'!AX:AX)*1.2</f>
        <v>0</v>
      </c>
      <c r="DQ170" s="276">
        <f>SUMIF('20Ф'!$H:$H,$B:$B,'20Ф'!AY:AY)*1.2</f>
        <v>69161.004000000001</v>
      </c>
      <c r="DR170" s="276">
        <f>SUMIF('20Ф'!$H:$H,$B:$B,'20Ф'!AU:AU)*1.2</f>
        <v>0</v>
      </c>
      <c r="DS170" s="276">
        <f>SUMIF('20Ф'!$H:$H,$B:$B,'20Ф'!AS:AS)*1.2</f>
        <v>85104.36</v>
      </c>
      <c r="DT170" s="276">
        <f>SUMIF('20Ф'!$H:$H,$B:$B,'20Ф'!AR:AR)*1.2</f>
        <v>0</v>
      </c>
      <c r="DU170" s="276">
        <f>SUMIF('20Ф'!$H:$H,$B:$B,'20Ф'!X:X)*1.2</f>
        <v>0</v>
      </c>
      <c r="DV170" s="276">
        <f>SUMIF('20Ф'!$H:$H,$B:$B,'20Ф'!AA:AA)*1.2</f>
        <v>0</v>
      </c>
      <c r="DW170" s="276">
        <f>SUMIF('20Ф'!$H:$H,$B:$B,'20Ф'!N:N)*1.2</f>
        <v>0</v>
      </c>
      <c r="DX170" s="276">
        <f>$D170/$D$281*('25Ф'!$D$37)</f>
        <v>384425.40325612464</v>
      </c>
      <c r="DY170" s="276">
        <f>$D170/$D$281*'25Ф'!$D$30</f>
        <v>12269.652091769254</v>
      </c>
      <c r="DZ170" s="276">
        <f>$D170/$D$281*'25Ф'!$D$31</f>
        <v>6737.8345216415792</v>
      </c>
      <c r="EA170" s="276"/>
      <c r="EB170" s="276">
        <f t="shared" si="27"/>
        <v>242194.03763064242</v>
      </c>
      <c r="EC170" s="276">
        <f>$D170/$D$281*'26Ф'!$D$36</f>
        <v>126069.79638793046</v>
      </c>
      <c r="ED170" s="276">
        <f>$D170/$D$281*'26Ф'!$D$37</f>
        <v>15147.151390842446</v>
      </c>
      <c r="EE170" s="276">
        <f>$D170/$D$281*'26Ф'!$D$38</f>
        <v>15302.500333359996</v>
      </c>
      <c r="EF170" s="276">
        <f>$D170/$D$281*'26Ф'!$D$39</f>
        <v>10734.690017621258</v>
      </c>
      <c r="EG170" s="276">
        <f>$D170/$D$281*'91Ф'!$D$10</f>
        <v>3311.6474059384323</v>
      </c>
      <c r="EH170" s="276">
        <f>$D170/$D$281*('20Ф'!$I$509+'26Ф'!$D$41+'20Ф'!$I$507)</f>
        <v>23428.814923141363</v>
      </c>
      <c r="EI170" s="276">
        <f>$D170/$D$281*'91Ф'!$D$31</f>
        <v>42948.458971443259</v>
      </c>
      <c r="EJ170" s="276">
        <f>$D170/$D$281*'20Ф'!$I$1316</f>
        <v>5250.978200365199</v>
      </c>
      <c r="EK170" s="276">
        <f>$D170/$D$281*('20Ф'!$I$1105+'20Ф'!$I$1282+'91Ф'!$D$17+'91Ф'!$D$41)</f>
        <v>172447.97421558364</v>
      </c>
      <c r="EL170" s="276">
        <f>$D170/$D$281*отчёт!BX$294</f>
        <v>288280.4203610617</v>
      </c>
      <c r="EM170" s="276">
        <f>$D170/$D$281*отчёт!BY$294</f>
        <v>253527.15537967181</v>
      </c>
      <c r="EN170" s="276">
        <f>SUMIF(отчёт!$B:$B,$B:$B,отчёт!BZ:BZ)/отчёт!BZ$281*('60Ф'!$O$151+'60Ф'!$P$151)*отчёт!BZ$293</f>
        <v>0</v>
      </c>
      <c r="EO170" s="240">
        <f t="shared" si="28"/>
        <v>0</v>
      </c>
      <c r="EP170" s="276">
        <f>SUMIF('20Ф'!$H:$H,$B:$B,'20Ф'!T:T)*1.2</f>
        <v>0</v>
      </c>
      <c r="EQ170" s="276">
        <f>SUMIF('20Ф'!$H:$H,$B:$B,'20Ф'!U:U)*1.2</f>
        <v>0</v>
      </c>
      <c r="ER170" s="236"/>
      <c r="ES170" s="239">
        <f t="shared" si="31"/>
        <v>96487.566491121368</v>
      </c>
      <c r="ET170" s="276">
        <f>$D170/$D$282*'20Ф'!$I$381</f>
        <v>7374.6371538567846</v>
      </c>
      <c r="EU170" s="276">
        <f>$D170/$D$282*('20Ф'!$I$75+'20Ф'!$I$1098)*1.2</f>
        <v>85180.332930597622</v>
      </c>
      <c r="EV170" s="276">
        <f>$D170/$D$282*('20Ф'!$I$1286)</f>
        <v>3932.596406666958</v>
      </c>
      <c r="EW170" s="276">
        <f>SUMIF('91.1Ф'!$N:$N,$B:$B,'91.1Ф'!$F:$F)+$D170/$D$281*('91Ф'!$D$12+'91Ф'!$D$11+'91Ф'!$D$19+'91Ф'!$D$20)</f>
        <v>22727.800109369789</v>
      </c>
      <c r="EX170" s="276">
        <f t="shared" si="29"/>
        <v>72607.915179673641</v>
      </c>
      <c r="EY170" s="276">
        <f>SUMIF('20Ф'!$H:$H,$B:$B,'20Ф'!$AY:$AY)*1.2</f>
        <v>69161.004000000001</v>
      </c>
      <c r="EZ170" s="295">
        <f>D170/$D$286*'20Ф'!$I$1163</f>
        <v>3446.9111796736402</v>
      </c>
      <c r="FA170" s="277">
        <f>SUMIF(отчёт!$B:$B,$B:$B,отчёт!$CU:$CU)/отчёт!$CU$281*'20Ф'!$I$1341</f>
        <v>0</v>
      </c>
      <c r="FB170" s="276">
        <f>SUMIF(Сальдо!$A:$A,$B:$B,Сальдо!$H:$H)-SUMIF(Сальдо!$A:$A,$B:$B,Сальдо!$I:$I)</f>
        <v>371981.76999999996</v>
      </c>
    </row>
    <row r="171" spans="1:158" ht="12" customHeight="1" x14ac:dyDescent="0.25">
      <c r="A171" s="3">
        <f t="shared" si="32"/>
        <v>167</v>
      </c>
      <c r="B171" s="4" t="s">
        <v>216</v>
      </c>
      <c r="C171" s="4" t="s">
        <v>216</v>
      </c>
      <c r="D171" s="5">
        <v>586.91</v>
      </c>
      <c r="E171" s="6">
        <v>586.91</v>
      </c>
      <c r="F171" s="6">
        <v>0</v>
      </c>
      <c r="G171" s="6">
        <v>71.2</v>
      </c>
      <c r="H171" s="5">
        <f>SUMIF(отчёт!$B:$B,$B:$B,отчёт!I:I)</f>
        <v>0</v>
      </c>
      <c r="I171" s="5">
        <f>SUMIF(отчёт!$B:$B,$B:$B,отчёт!J:J)</f>
        <v>0</v>
      </c>
      <c r="J171" s="3" t="s">
        <v>51</v>
      </c>
      <c r="K171" s="105">
        <v>9</v>
      </c>
      <c r="L171" s="105" t="s">
        <v>52</v>
      </c>
      <c r="M171" s="7">
        <v>25.05</v>
      </c>
      <c r="N171" s="8">
        <v>3.9</v>
      </c>
      <c r="O171" s="8">
        <v>5.09</v>
      </c>
      <c r="P171" s="8">
        <v>8.4499999999999993</v>
      </c>
      <c r="Q171" s="8">
        <v>4.93</v>
      </c>
      <c r="R171" s="8">
        <v>2.42</v>
      </c>
      <c r="S171" s="8">
        <v>0</v>
      </c>
      <c r="T171" s="8">
        <v>0</v>
      </c>
      <c r="U171" s="8">
        <v>0.26</v>
      </c>
      <c r="V171" s="9">
        <v>40</v>
      </c>
      <c r="W171" s="9">
        <v>0</v>
      </c>
      <c r="X171" s="9">
        <v>0</v>
      </c>
      <c r="Y171" s="8">
        <v>0</v>
      </c>
      <c r="Z171" s="9">
        <v>42.3</v>
      </c>
      <c r="AA171" s="9">
        <v>2604.04</v>
      </c>
      <c r="AB171" s="8">
        <v>7.85</v>
      </c>
      <c r="AC171" s="10">
        <v>0</v>
      </c>
      <c r="AD171" s="8">
        <v>6.73</v>
      </c>
      <c r="AE171" s="8">
        <v>10.67</v>
      </c>
      <c r="AF171" s="8">
        <v>14</v>
      </c>
      <c r="AG171" s="7">
        <v>88212.573000000004</v>
      </c>
      <c r="AH171" s="8">
        <v>13733.693999999998</v>
      </c>
      <c r="AI171" s="8">
        <v>17924.231399999997</v>
      </c>
      <c r="AJ171" s="8">
        <v>29756.336999999996</v>
      </c>
      <c r="AK171" s="8">
        <v>17360.797799999997</v>
      </c>
      <c r="AL171" s="8">
        <v>8521.9331999999995</v>
      </c>
      <c r="AM171" s="8">
        <v>0</v>
      </c>
      <c r="AN171" s="8">
        <v>0</v>
      </c>
      <c r="AO171" s="8">
        <v>915.57960000000003</v>
      </c>
      <c r="AQ171" s="104">
        <v>26.91</v>
      </c>
      <c r="AR171" s="375">
        <v>7.81</v>
      </c>
      <c r="AS171" s="376"/>
      <c r="AT171" s="104">
        <v>8.4499999999999993</v>
      </c>
      <c r="AU171" s="104">
        <v>1.53</v>
      </c>
      <c r="AV171" s="104">
        <v>0.18</v>
      </c>
      <c r="AW171" s="104">
        <v>0.48</v>
      </c>
      <c r="AX171" s="104">
        <v>4.93</v>
      </c>
      <c r="AY171" s="104">
        <v>2.6</v>
      </c>
      <c r="AZ171" s="104">
        <v>0</v>
      </c>
      <c r="BA171" s="104">
        <v>0</v>
      </c>
      <c r="BB171" s="104">
        <v>0</v>
      </c>
      <c r="BC171" s="101">
        <v>0.93</v>
      </c>
      <c r="BD171" s="104">
        <v>30.48903</v>
      </c>
      <c r="BE171" s="375">
        <v>8.8487299999999998</v>
      </c>
      <c r="BF171" s="376">
        <v>0</v>
      </c>
      <c r="BG171" s="104">
        <v>9.5738499999999984</v>
      </c>
      <c r="BH171" s="104">
        <v>1.73349</v>
      </c>
      <c r="BI171" s="104">
        <v>0.20393999999999998</v>
      </c>
      <c r="BJ171" s="104">
        <v>0.54383999999999999</v>
      </c>
      <c r="BK171" s="104">
        <v>5.5856899999999996</v>
      </c>
      <c r="BL171" s="104">
        <v>2.9458000000000002</v>
      </c>
      <c r="BM171" s="104">
        <v>0</v>
      </c>
      <c r="BN171" s="104">
        <v>0</v>
      </c>
      <c r="BO171" s="104">
        <v>0</v>
      </c>
      <c r="BP171" s="101">
        <v>1.05369</v>
      </c>
      <c r="BQ171" s="103">
        <v>210530.66217299999</v>
      </c>
      <c r="BR171" s="371">
        <v>61101.615443000002</v>
      </c>
      <c r="BS171" s="371">
        <v>0</v>
      </c>
      <c r="BT171" s="103">
        <v>66108.662034999987</v>
      </c>
      <c r="BU171" s="103">
        <v>11969.970759</v>
      </c>
      <c r="BV171" s="103">
        <v>1408.2318539999997</v>
      </c>
      <c r="BW171" s="103">
        <v>3755.2849439999995</v>
      </c>
      <c r="BX171" s="103">
        <v>38569.905778999993</v>
      </c>
      <c r="BY171" s="103">
        <v>20341.126779999999</v>
      </c>
      <c r="BZ171" s="103">
        <v>0</v>
      </c>
      <c r="CA171" s="103">
        <v>0</v>
      </c>
      <c r="CB171" s="103">
        <v>0</v>
      </c>
      <c r="CC171" s="103">
        <v>7275.8645789999991</v>
      </c>
      <c r="CD171" s="1">
        <v>1</v>
      </c>
      <c r="CF171" s="277">
        <f>SUMIF(Оборот!$A:$A,$B:$B,Оборот!H:H)</f>
        <v>180791.96</v>
      </c>
      <c r="CG171" s="277">
        <f>SUMIF(Оборот!$A:$A,$B:$B,Оборот!I:I)</f>
        <v>176947.38999999998</v>
      </c>
      <c r="CH171" s="277">
        <f t="shared" si="25"/>
        <v>935352.60181307048</v>
      </c>
      <c r="CI171" s="239">
        <f t="shared" si="30"/>
        <v>653021.18998180283</v>
      </c>
      <c r="CJ171" s="276">
        <f>SUMIF('20Ф'!$H:$H,$B:$B,'20Ф'!M:M)*1.2</f>
        <v>0</v>
      </c>
      <c r="CK171" s="276">
        <f>SUMIF('20Ф'!$H:$H,$B:$B,'20Ф'!O:O)*1.2</f>
        <v>0</v>
      </c>
      <c r="CL171" s="276">
        <f>SUMIF('20Ф'!$H:$H,$B:$B,'20Ф'!Q:Q)*1.2</f>
        <v>0</v>
      </c>
      <c r="CM171" s="276">
        <f>SUMIF('20Ф'!$H:$H,$B:$B,'20Ф'!R:R)*1.2</f>
        <v>0</v>
      </c>
      <c r="CN171" s="276">
        <f>SUMIF('20Ф'!$H:$H,$B:$B,'20Ф'!S:S)*1.2</f>
        <v>0</v>
      </c>
      <c r="CO171" s="276">
        <f>SUMIF('20Ф'!$H:$H,$B:$B,'20Ф'!W:W)*1.2</f>
        <v>0</v>
      </c>
      <c r="CP171" s="276">
        <f>SUMIF('20Ф'!$H:$H,$B:$B,'20Ф'!P:P)*1.2</f>
        <v>24000</v>
      </c>
      <c r="CQ171" s="276">
        <f>SUMIF('20Ф'!$H:$H,$B:$B,'20Ф'!Y:Y)*1.2</f>
        <v>0</v>
      </c>
      <c r="CR171" s="276">
        <f>SUMIF('20Ф'!$H:$H,$B:$B,'20Ф'!Z:Z)*1.2</f>
        <v>0</v>
      </c>
      <c r="CS171" s="276">
        <f>SUMIF('20Ф'!$H:$H,$B:$B,'20Ф'!AB:AB)*1.2</f>
        <v>0</v>
      </c>
      <c r="CT171" s="276">
        <f>SUMIF('20Ф'!$H:$H,$B:$B,'20Ф'!AC:AC)*1.2</f>
        <v>0</v>
      </c>
      <c r="CU171" s="276">
        <f>SUMIF('20Ф'!$H:$H,$B:$B,'20Ф'!AD:AD)*1.2</f>
        <v>0</v>
      </c>
      <c r="CV171" s="276">
        <f>SUMIF('20Ф'!$H:$H,$B:$B,'20Ф'!AE:AE)*1.2</f>
        <v>0</v>
      </c>
      <c r="CW171" s="276">
        <f>SUMIF('20Ф'!$H:$H,$B:$B,'20Ф'!AF:AF)*1.2</f>
        <v>0</v>
      </c>
      <c r="CX171" s="276">
        <f>SUMIF('20Ф'!$H:$H,$B:$B,'20Ф'!AG:AG)*1.2</f>
        <v>0</v>
      </c>
      <c r="CY171" s="276">
        <f>SUMIF('20Ф'!$H:$H,$B:$B,'20Ф'!AH:AH)*1.2</f>
        <v>0</v>
      </c>
      <c r="CZ171" s="276">
        <f>SUMIF('20Ф'!$H:$H,$B:$B,'20Ф'!AI:AI)*1.2</f>
        <v>0</v>
      </c>
      <c r="DA171" s="276">
        <f>SUMIF('20Ф'!$H:$H,$B:$B,'20Ф'!AJ:AJ)*1.2</f>
        <v>0</v>
      </c>
      <c r="DB171" s="276">
        <f>SUMIF('20Ф'!$H:$H,$B:$B,'20Ф'!AK:AK)*1.2</f>
        <v>0</v>
      </c>
      <c r="DC171" s="276">
        <f>SUMIF('20Ф'!$H:$H,$B:$B,'20Ф'!AL:AL)*1.2</f>
        <v>623859.12</v>
      </c>
      <c r="DD171" s="276">
        <f>SUMIF('20Ф'!$H:$H,$B:$B,'20Ф'!AM:AM)*1.2</f>
        <v>0</v>
      </c>
      <c r="DE171" s="276">
        <f>SUMIF('20Ф'!$H:$H,$B:$B,'20Ф'!AN:AN)*1.2</f>
        <v>0</v>
      </c>
      <c r="DF171" s="276">
        <f>SUMIF('20Ф'!$H:$H,$B:$B,'20Ф'!AO:AO)*1.2</f>
        <v>0</v>
      </c>
      <c r="DG171" s="276">
        <f>SUMIF('20Ф'!$H:$H,$B:$B,'20Ф'!AP:AP)*1.2</f>
        <v>0</v>
      </c>
      <c r="DH171" s="276">
        <f>SUMIF('20Ф'!$H:$H,$B:$B,'20Ф'!AQ:AQ)*1.2</f>
        <v>0</v>
      </c>
      <c r="DI171" s="276">
        <f>SUMIF('20Ф'!$H:$H,$B:$B,'20Ф'!BA:BA)*1.2</f>
        <v>0</v>
      </c>
      <c r="DJ171" s="276">
        <f>SUMIF('20Ф'!$H:$H,$B:$B,'20Ф'!BB:BB)*1.2</f>
        <v>0</v>
      </c>
      <c r="DK171" s="276">
        <f>SUMIF('20Ф'!$H:$H,$B:$B,'20Ф'!BC:BC)*1.2</f>
        <v>0</v>
      </c>
      <c r="DL171" s="276">
        <f>$D171/$D$281*'20Ф'!$H$218</f>
        <v>5162.069981802787</v>
      </c>
      <c r="DM171" s="240">
        <f t="shared" si="26"/>
        <v>145735.08853949455</v>
      </c>
      <c r="DN171" s="276">
        <f>SUMIF('20Ф'!$H:$H,$B:$B,'20Ф'!AV:AV)*1.2</f>
        <v>0</v>
      </c>
      <c r="DO171" s="276">
        <f>SUMIF('20Ф'!$H:$H,$B:$B,'20Ф'!AW:AW)*1.2+$D171/$D$281*'26Ф'!$D$42</f>
        <v>2746.9864342665805</v>
      </c>
      <c r="DP171" s="276">
        <f>SUMIF('20Ф'!$H:$H,$B:$B,'20Ф'!AX:AX)*1.2</f>
        <v>0</v>
      </c>
      <c r="DQ171" s="276">
        <f>SUMIF('20Ф'!$H:$H,$B:$B,'20Ф'!AY:AY)*1.2</f>
        <v>6984</v>
      </c>
      <c r="DR171" s="276">
        <f>SUMIF('20Ф'!$H:$H,$B:$B,'20Ф'!AU:AU)*1.2</f>
        <v>0</v>
      </c>
      <c r="DS171" s="276">
        <f>SUMIF('20Ф'!$H:$H,$B:$B,'20Ф'!AS:AS)*1.2</f>
        <v>43100.148000000001</v>
      </c>
      <c r="DT171" s="276">
        <f>SUMIF('20Ф'!$H:$H,$B:$B,'20Ф'!AR:AR)*1.2</f>
        <v>0</v>
      </c>
      <c r="DU171" s="276">
        <f>SUMIF('20Ф'!$H:$H,$B:$B,'20Ф'!X:X)*1.2</f>
        <v>44447.555999999997</v>
      </c>
      <c r="DV171" s="276">
        <f>SUMIF('20Ф'!$H:$H,$B:$B,'20Ф'!AA:AA)*1.2</f>
        <v>0</v>
      </c>
      <c r="DW171" s="276">
        <f>SUMIF('20Ф'!$H:$H,$B:$B,'20Ф'!N:N)*1.2</f>
        <v>0</v>
      </c>
      <c r="DX171" s="276">
        <f>$D171/$D$281*('25Ф'!$D$37)</f>
        <v>46173.405415620829</v>
      </c>
      <c r="DY171" s="276">
        <f>$D171/$D$281*'25Ф'!$D$30</f>
        <v>1473.710154280383</v>
      </c>
      <c r="DZ171" s="276">
        <f>$D171/$D$281*'25Ф'!$D$31</f>
        <v>809.28253532674341</v>
      </c>
      <c r="EA171" s="276"/>
      <c r="EB171" s="276">
        <f t="shared" si="27"/>
        <v>29089.970106151177</v>
      </c>
      <c r="EC171" s="276">
        <f>$D171/$D$281*'26Ф'!$D$36</f>
        <v>15142.266275796494</v>
      </c>
      <c r="ED171" s="276">
        <f>$D171/$D$281*'26Ф'!$D$37</f>
        <v>1819.3271207812941</v>
      </c>
      <c r="EE171" s="276">
        <f>$D171/$D$281*'26Ф'!$D$38</f>
        <v>1837.9861106477151</v>
      </c>
      <c r="EF171" s="276">
        <f>$D171/$D$281*'26Ф'!$D$39</f>
        <v>1289.345579132842</v>
      </c>
      <c r="EG171" s="276">
        <f>$D171/$D$281*'91Ф'!$D$10</f>
        <v>397.76257493084421</v>
      </c>
      <c r="EH171" s="276">
        <f>$D171/$D$281*('20Ф'!$I$509+'26Ф'!$D$41+'20Ф'!$I$507)</f>
        <v>2814.0392406196129</v>
      </c>
      <c r="EI171" s="276">
        <f>$D171/$D$281*'91Ф'!$D$31</f>
        <v>5158.5472532973481</v>
      </c>
      <c r="EJ171" s="276">
        <f>$D171/$D$281*'20Ф'!$I$1316</f>
        <v>630.69595094503325</v>
      </c>
      <c r="EK171" s="276">
        <f>$D171/$D$281*('20Ф'!$I$1105+'20Ф'!$I$1282+'91Ф'!$D$17+'91Ф'!$D$41)</f>
        <v>20712.757687487225</v>
      </c>
      <c r="EL171" s="276">
        <f>$D171/$D$281*отчёт!BX$294</f>
        <v>34625.413955405216</v>
      </c>
      <c r="EM171" s="276">
        <f>$D171/$D$281*отчёт!BY$294</f>
        <v>30451.192949429984</v>
      </c>
      <c r="EN171" s="276">
        <f>SUMIF(отчёт!$B:$B,$B:$B,отчёт!BZ:BZ)/отчёт!BZ$281*('60Ф'!$O$151+'60Ф'!$P$151)*отчёт!BZ$293</f>
        <v>0</v>
      </c>
      <c r="EO171" s="240">
        <f t="shared" si="28"/>
        <v>0</v>
      </c>
      <c r="EP171" s="276">
        <f>SUMIF('20Ф'!$H:$H,$B:$B,'20Ф'!T:T)*1.2</f>
        <v>0</v>
      </c>
      <c r="EQ171" s="276">
        <f>SUMIF('20Ф'!$H:$H,$B:$B,'20Ф'!U:U)*1.2</f>
        <v>0</v>
      </c>
      <c r="ER171" s="236"/>
      <c r="ES171" s="239">
        <f t="shared" si="31"/>
        <v>11589.139238524656</v>
      </c>
      <c r="ET171" s="276">
        <f>$D171/$D$282*'20Ф'!$I$381</f>
        <v>885.76901581933737</v>
      </c>
      <c r="EU171" s="276">
        <f>$D171/$D$282*('20Ф'!$I$75+'20Ф'!$I$1098)*1.2</f>
        <v>10231.02534985604</v>
      </c>
      <c r="EV171" s="276">
        <f>$D171/$D$282*('20Ф'!$I$1286)</f>
        <v>472.34487284927934</v>
      </c>
      <c r="EW171" s="276">
        <f>SUMIF('91.1Ф'!$N:$N,$B:$B,'91.1Ф'!$F:$F)+$D171/$D$281*('91Ф'!$D$12+'91Ф'!$D$11+'91Ф'!$D$19+'91Ф'!$D$20)</f>
        <v>2729.8402232693852</v>
      </c>
      <c r="EX171" s="276">
        <f t="shared" si="29"/>
        <v>7398.009131505466</v>
      </c>
      <c r="EY171" s="276">
        <f>SUMIF('20Ф'!$H:$H,$B:$B,'20Ф'!$AY:$AY)*1.2</f>
        <v>6984</v>
      </c>
      <c r="EZ171" s="295">
        <f>D171/$D$286*'20Ф'!$I$1163</f>
        <v>414.00913150546631</v>
      </c>
      <c r="FA171" s="277">
        <f>SUMIF(отчёт!$B:$B,$B:$B,отчёт!$CU:$CU)/отчёт!$CU$281*'20Ф'!$I$1341</f>
        <v>0</v>
      </c>
      <c r="FB171" s="276">
        <f>SUMIF(Сальдо!$A:$A,$B:$B,Сальдо!$H:$H)-SUMIF(Сальдо!$A:$A,$B:$B,Сальдо!$I:$I)</f>
        <v>129580.83</v>
      </c>
    </row>
    <row r="172" spans="1:158" ht="12" customHeight="1" x14ac:dyDescent="0.25">
      <c r="A172" s="3">
        <f t="shared" si="32"/>
        <v>168</v>
      </c>
      <c r="B172" s="4" t="s">
        <v>217</v>
      </c>
      <c r="C172" s="4" t="s">
        <v>217</v>
      </c>
      <c r="D172" s="5">
        <v>3857.82</v>
      </c>
      <c r="E172" s="6">
        <v>3857.82</v>
      </c>
      <c r="F172" s="6">
        <v>0</v>
      </c>
      <c r="G172" s="6">
        <v>681.2</v>
      </c>
      <c r="H172" s="5">
        <f>SUMIF(отчёт!$B:$B,$B:$B,отчёт!I:I)</f>
        <v>1</v>
      </c>
      <c r="I172" s="5">
        <f>SUMIF(отчёт!$B:$B,$B:$B,отчёт!J:J)</f>
        <v>1</v>
      </c>
      <c r="J172" s="3" t="s">
        <v>51</v>
      </c>
      <c r="K172" s="105">
        <v>1</v>
      </c>
      <c r="L172" s="105" t="s">
        <v>52</v>
      </c>
      <c r="M172" s="7">
        <v>44.8</v>
      </c>
      <c r="N172" s="8">
        <v>5.0999999999999996</v>
      </c>
      <c r="O172" s="8">
        <v>8.6300000000000008</v>
      </c>
      <c r="P172" s="8">
        <v>13.43</v>
      </c>
      <c r="Q172" s="8">
        <v>6.91</v>
      </c>
      <c r="R172" s="8">
        <v>3.15</v>
      </c>
      <c r="S172" s="8">
        <v>1.81</v>
      </c>
      <c r="T172" s="8">
        <v>5.77</v>
      </c>
      <c r="U172" s="8">
        <v>0</v>
      </c>
      <c r="V172" s="9">
        <v>40</v>
      </c>
      <c r="W172" s="9">
        <v>40</v>
      </c>
      <c r="X172" s="9">
        <v>2604.04</v>
      </c>
      <c r="Y172" s="8">
        <v>195.98199600000001</v>
      </c>
      <c r="Z172" s="9">
        <v>42.3</v>
      </c>
      <c r="AA172" s="9">
        <v>2604.04</v>
      </c>
      <c r="AB172" s="8">
        <v>0</v>
      </c>
      <c r="AC172" s="10">
        <v>0</v>
      </c>
      <c r="AD172" s="8">
        <v>5.05</v>
      </c>
      <c r="AE172" s="8">
        <v>10.67</v>
      </c>
      <c r="AF172" s="8">
        <v>14</v>
      </c>
      <c r="AG172" s="7">
        <v>1036982.0160000001</v>
      </c>
      <c r="AH172" s="8">
        <v>118049.29199999999</v>
      </c>
      <c r="AI172" s="8">
        <v>199757.91960000002</v>
      </c>
      <c r="AJ172" s="8">
        <v>310863.13560000004</v>
      </c>
      <c r="AK172" s="8">
        <v>159945.21720000001</v>
      </c>
      <c r="AL172" s="8">
        <v>72912.797999999995</v>
      </c>
      <c r="AM172" s="8">
        <v>41895.925200000005</v>
      </c>
      <c r="AN172" s="8">
        <v>133557.72839999999</v>
      </c>
      <c r="AO172" s="8">
        <v>0</v>
      </c>
      <c r="AQ172" s="104">
        <v>48.16</v>
      </c>
      <c r="AR172" s="375">
        <v>18.649999999999999</v>
      </c>
      <c r="AS172" s="376"/>
      <c r="AT172" s="104">
        <v>7.16</v>
      </c>
      <c r="AU172" s="104">
        <v>1.53</v>
      </c>
      <c r="AV172" s="104">
        <v>0.32</v>
      </c>
      <c r="AW172" s="104">
        <v>0.87</v>
      </c>
      <c r="AX172" s="104">
        <v>5.01</v>
      </c>
      <c r="AY172" s="104">
        <v>4.99</v>
      </c>
      <c r="AZ172" s="104">
        <v>2.7</v>
      </c>
      <c r="BA172" s="104">
        <v>6.46</v>
      </c>
      <c r="BB172" s="104">
        <v>0.47</v>
      </c>
      <c r="BC172" s="101">
        <v>0</v>
      </c>
      <c r="BD172" s="104">
        <v>54.565279999999994</v>
      </c>
      <c r="BE172" s="375">
        <v>21.130449999999996</v>
      </c>
      <c r="BF172" s="376">
        <v>0</v>
      </c>
      <c r="BG172" s="104">
        <v>8.1122800000000002</v>
      </c>
      <c r="BH172" s="104">
        <v>1.7334900000000002</v>
      </c>
      <c r="BI172" s="104">
        <v>0.36255999999999999</v>
      </c>
      <c r="BJ172" s="104">
        <v>0.98570999999999998</v>
      </c>
      <c r="BK172" s="104">
        <v>5.6763299999999992</v>
      </c>
      <c r="BL172" s="104">
        <v>5.6536700000000009</v>
      </c>
      <c r="BM172" s="104">
        <v>3.0591000000000004</v>
      </c>
      <c r="BN172" s="104">
        <v>7.3191800000000002</v>
      </c>
      <c r="BO172" s="104">
        <v>0.53250999999999993</v>
      </c>
      <c r="BP172" s="101">
        <v>0</v>
      </c>
      <c r="BQ172" s="103">
        <v>2476615.5072960011</v>
      </c>
      <c r="BR172" s="371">
        <v>959071.41218999994</v>
      </c>
      <c r="BS172" s="371">
        <v>0</v>
      </c>
      <c r="BT172" s="103">
        <v>368201.14269600005</v>
      </c>
      <c r="BU172" s="103">
        <v>78679.853117999999</v>
      </c>
      <c r="BV172" s="103">
        <v>16455.916992000002</v>
      </c>
      <c r="BW172" s="103">
        <v>44739.524321999997</v>
      </c>
      <c r="BX172" s="103">
        <v>257637.95040599999</v>
      </c>
      <c r="BY172" s="103">
        <v>256609.45559400006</v>
      </c>
      <c r="BZ172" s="103">
        <v>138846.79962000003</v>
      </c>
      <c r="CA172" s="103">
        <v>332203.82427600003</v>
      </c>
      <c r="CB172" s="103">
        <v>24169.628081999996</v>
      </c>
      <c r="CC172" s="103">
        <v>0</v>
      </c>
      <c r="CD172" s="1">
        <v>1</v>
      </c>
      <c r="CF172" s="277">
        <f>SUMIF(Оборот!$A:$A,$B:$B,Оборот!H:H)</f>
        <v>2124270.2699999996</v>
      </c>
      <c r="CG172" s="277">
        <f>SUMIF(Оборот!$A:$A,$B:$B,Оборот!I:I)</f>
        <v>2126066.5300000003</v>
      </c>
      <c r="CH172" s="277">
        <f t="shared" si="25"/>
        <v>1792635.2733386597</v>
      </c>
      <c r="CI172" s="239">
        <f t="shared" si="30"/>
        <v>186245.40272382207</v>
      </c>
      <c r="CJ172" s="276">
        <f>SUMIF('20Ф'!$H:$H,$B:$B,'20Ф'!M:M)*1.2</f>
        <v>0</v>
      </c>
      <c r="CK172" s="276">
        <f>SUMIF('20Ф'!$H:$H,$B:$B,'20Ф'!O:O)*1.2</f>
        <v>0</v>
      </c>
      <c r="CL172" s="276">
        <f>SUMIF('20Ф'!$H:$H,$B:$B,'20Ф'!Q:Q)*1.2</f>
        <v>0</v>
      </c>
      <c r="CM172" s="276">
        <f>SUMIF('20Ф'!$H:$H,$B:$B,'20Ф'!R:R)*1.2</f>
        <v>0</v>
      </c>
      <c r="CN172" s="276">
        <f>SUMIF('20Ф'!$H:$H,$B:$B,'20Ф'!S:S)*1.2</f>
        <v>0</v>
      </c>
      <c r="CO172" s="276">
        <f>SUMIF('20Ф'!$H:$H,$B:$B,'20Ф'!W:W)*1.2</f>
        <v>0</v>
      </c>
      <c r="CP172" s="276">
        <f>SUMIF('20Ф'!$H:$H,$B:$B,'20Ф'!P:P)*1.2</f>
        <v>0</v>
      </c>
      <c r="CQ172" s="276">
        <f>SUMIF('20Ф'!$H:$H,$B:$B,'20Ф'!Y:Y)*1.2</f>
        <v>0</v>
      </c>
      <c r="CR172" s="276">
        <f>SUMIF('20Ф'!$H:$H,$B:$B,'20Ф'!Z:Z)*1.2</f>
        <v>0</v>
      </c>
      <c r="CS172" s="276">
        <f>SUMIF('20Ф'!$H:$H,$B:$B,'20Ф'!AB:AB)*1.2</f>
        <v>0</v>
      </c>
      <c r="CT172" s="276">
        <f>SUMIF('20Ф'!$H:$H,$B:$B,'20Ф'!AC:AC)*1.2</f>
        <v>0</v>
      </c>
      <c r="CU172" s="276">
        <f>SUMIF('20Ф'!$H:$H,$B:$B,'20Ф'!AD:AD)*1.2</f>
        <v>0</v>
      </c>
      <c r="CV172" s="276">
        <f>SUMIF('20Ф'!$H:$H,$B:$B,'20Ф'!AE:AE)*1.2</f>
        <v>0</v>
      </c>
      <c r="CW172" s="276">
        <f>SUMIF('20Ф'!$H:$H,$B:$B,'20Ф'!AF:AF)*1.2</f>
        <v>0</v>
      </c>
      <c r="CX172" s="276">
        <f>SUMIF('20Ф'!$H:$H,$B:$B,'20Ф'!AG:AG)*1.2</f>
        <v>0</v>
      </c>
      <c r="CY172" s="276">
        <f>SUMIF('20Ф'!$H:$H,$B:$B,'20Ф'!AH:AH)*1.2</f>
        <v>0</v>
      </c>
      <c r="CZ172" s="276">
        <f>SUMIF('20Ф'!$H:$H,$B:$B,'20Ф'!AI:AI)*1.2</f>
        <v>0</v>
      </c>
      <c r="DA172" s="276">
        <f>SUMIF('20Ф'!$H:$H,$B:$B,'20Ф'!AJ:AJ)*1.2</f>
        <v>0</v>
      </c>
      <c r="DB172" s="276">
        <f>SUMIF('20Ф'!$H:$H,$B:$B,'20Ф'!AK:AK)*1.2</f>
        <v>0</v>
      </c>
      <c r="DC172" s="276">
        <f>SUMIF('20Ф'!$H:$H,$B:$B,'20Ф'!AL:AL)*1.2</f>
        <v>72973.055999999997</v>
      </c>
      <c r="DD172" s="276">
        <f>SUMIF('20Ф'!$H:$H,$B:$B,'20Ф'!AM:AM)*1.2</f>
        <v>0</v>
      </c>
      <c r="DE172" s="276">
        <f>SUMIF('20Ф'!$H:$H,$B:$B,'20Ф'!AN:AN)*1.2</f>
        <v>0</v>
      </c>
      <c r="DF172" s="276">
        <f>SUMIF('20Ф'!$H:$H,$B:$B,'20Ф'!AO:AO)*1.2</f>
        <v>0</v>
      </c>
      <c r="DG172" s="276">
        <f>SUMIF('20Ф'!$H:$H,$B:$B,'20Ф'!AP:AP)*1.2</f>
        <v>70258.728000000003</v>
      </c>
      <c r="DH172" s="276">
        <f>SUMIF('20Ф'!$H:$H,$B:$B,'20Ф'!AQ:AQ)*1.2</f>
        <v>0</v>
      </c>
      <c r="DI172" s="276">
        <f>SUMIF('20Ф'!$H:$H,$B:$B,'20Ф'!BA:BA)*1.2</f>
        <v>0</v>
      </c>
      <c r="DJ172" s="276">
        <f>SUMIF('20Ф'!$H:$H,$B:$B,'20Ф'!BB:BB)*1.2</f>
        <v>9082.7999999999993</v>
      </c>
      <c r="DK172" s="276">
        <f>SUMIF('20Ф'!$H:$H,$B:$B,'20Ф'!BC:BC)*1.2</f>
        <v>0</v>
      </c>
      <c r="DL172" s="276">
        <f>$D172/$D$281*'20Ф'!$H$218</f>
        <v>33930.8187238221</v>
      </c>
      <c r="DM172" s="240">
        <f t="shared" si="26"/>
        <v>412357.75484485325</v>
      </c>
      <c r="DN172" s="276">
        <f>SUMIF('20Ф'!$H:$H,$B:$B,'20Ф'!AV:AV)*1.2</f>
        <v>0</v>
      </c>
      <c r="DO172" s="276">
        <f>SUMIF('20Ф'!$H:$H,$B:$B,'20Ф'!AW:AW)*1.2+$D172/$D$281*'26Ф'!$D$42</f>
        <v>18056.225325590465</v>
      </c>
      <c r="DP172" s="276">
        <f>SUMIF('20Ф'!$H:$H,$B:$B,'20Ф'!AX:AX)*1.2</f>
        <v>0</v>
      </c>
      <c r="DQ172" s="276">
        <f>SUMIF('20Ф'!$H:$H,$B:$B,'20Ф'!AY:AY)*1.2</f>
        <v>0</v>
      </c>
      <c r="DR172" s="276">
        <f>SUMIF('20Ф'!$H:$H,$B:$B,'20Ф'!AU:AU)*1.2</f>
        <v>0</v>
      </c>
      <c r="DS172" s="276">
        <f>SUMIF('20Ф'!$H:$H,$B:$B,'20Ф'!AS:AS)*1.2</f>
        <v>75792.623999999996</v>
      </c>
      <c r="DT172" s="276">
        <f>SUMIF('20Ф'!$H:$H,$B:$B,'20Ф'!AR:AR)*1.2</f>
        <v>0</v>
      </c>
      <c r="DU172" s="276">
        <f>SUMIF('20Ф'!$H:$H,$B:$B,'20Ф'!X:X)*1.2</f>
        <v>0</v>
      </c>
      <c r="DV172" s="276">
        <f>SUMIF('20Ф'!$H:$H,$B:$B,'20Ф'!AA:AA)*1.2</f>
        <v>0</v>
      </c>
      <c r="DW172" s="276">
        <f>SUMIF('20Ф'!$H:$H,$B:$B,'20Ф'!N:N)*1.2</f>
        <v>0</v>
      </c>
      <c r="DX172" s="276">
        <f>$D172/$D$281*('25Ф'!$D$37)</f>
        <v>303502.55896217539</v>
      </c>
      <c r="DY172" s="276">
        <f>$D172/$D$281*'25Ф'!$D$30</f>
        <v>9686.8489332026165</v>
      </c>
      <c r="DZ172" s="276">
        <f>$D172/$D$281*'25Ф'!$D$31</f>
        <v>5319.497623884783</v>
      </c>
      <c r="EA172" s="276"/>
      <c r="EB172" s="276">
        <f t="shared" si="27"/>
        <v>191211.37563666006</v>
      </c>
      <c r="EC172" s="276">
        <f>$D172/$D$281*'26Ф'!$D$36</f>
        <v>99531.678935600401</v>
      </c>
      <c r="ED172" s="276">
        <f>$D172/$D$281*'26Ф'!$D$37</f>
        <v>11958.624922206969</v>
      </c>
      <c r="EE172" s="276">
        <f>$D172/$D$281*'26Ф'!$D$38</f>
        <v>12081.27238823494</v>
      </c>
      <c r="EF172" s="276">
        <f>$D172/$D$281*'26Ф'!$D$39</f>
        <v>8475.0015540547283</v>
      </c>
      <c r="EG172" s="276">
        <f>$D172/$D$281*'91Ф'!$D$10</f>
        <v>2614.5344547199907</v>
      </c>
      <c r="EH172" s="276">
        <f>$D172/$D$281*('20Ф'!$I$509+'26Ф'!$D$41+'20Ф'!$I$507)</f>
        <v>18496.970341700016</v>
      </c>
      <c r="EI172" s="276">
        <f>$D172/$D$281*'91Ф'!$D$31</f>
        <v>33907.663465804944</v>
      </c>
      <c r="EJ172" s="276">
        <f>$D172/$D$281*'20Ф'!$I$1316</f>
        <v>4145.6295743380897</v>
      </c>
      <c r="EK172" s="276">
        <f>$D172/$D$281*('20Ф'!$I$1105+'20Ф'!$I$1282+'91Ф'!$D$17+'91Ф'!$D$41)</f>
        <v>136147.09386778547</v>
      </c>
      <c r="EL172" s="276">
        <f>$D172/$D$281*отчёт!BX$294</f>
        <v>227596.41932398727</v>
      </c>
      <c r="EM172" s="276">
        <f>$D172/$D$281*отчёт!BY$294</f>
        <v>200158.83386578862</v>
      </c>
      <c r="EN172" s="276">
        <f>$D172/$D$283*отчёт!BZ$294</f>
        <v>35922.253832047289</v>
      </c>
      <c r="EO172" s="240">
        <f t="shared" ref="EO172:EO175" si="36">SUBTOTAL(9,EP172:ER172)</f>
        <v>183876.00950099801</v>
      </c>
      <c r="EP172" s="276">
        <f>SUMIF('20Ф'!$H:$H,$B:$B,'20Ф'!T:T)*1.2</f>
        <v>6012.5999999999995</v>
      </c>
      <c r="EQ172" s="276">
        <f>SUM(H172:I172)/SUM($H$284:$I$284)*SUM('60Ф'!$O$155:$P$155)</f>
        <v>172510.26175648702</v>
      </c>
      <c r="ER172" s="276">
        <f>SUM($H172:$I172)/SUM($H$284:$I$284)*SUM('60Ф'!$P$227)</f>
        <v>5353.1477445109776</v>
      </c>
      <c r="ES172" s="239">
        <f t="shared" si="31"/>
        <v>76176.60823152645</v>
      </c>
      <c r="ET172" s="276">
        <f>$D172/$D$282*'20Ф'!$I$381</f>
        <v>5822.2511536831134</v>
      </c>
      <c r="EU172" s="276">
        <f>$D172/$D$282*('20Ф'!$I$75+'20Ф'!$I$1098)*1.2</f>
        <v>67249.585481899485</v>
      </c>
      <c r="EV172" s="276">
        <f>$D172/$D$282*('20Ф'!$I$1286)</f>
        <v>3104.7715959438533</v>
      </c>
      <c r="EW172" s="276">
        <f>SUMIF('91.1Ф'!$N:$N,$B:$B,'91.1Ф'!$F:$F)+$D172/$D$281*('91Ф'!$D$12+'91Ф'!$D$11+'91Ф'!$D$19+'91Ф'!$D$20)</f>
        <v>142943.52151119098</v>
      </c>
      <c r="EX172" s="276">
        <f t="shared" si="29"/>
        <v>0</v>
      </c>
      <c r="EY172" s="276">
        <f>SUMIF('20Ф'!$H:$H,$B:$B,'20Ф'!$AY:$AY)*1.2</f>
        <v>0</v>
      </c>
      <c r="EZ172" s="236"/>
      <c r="FA172" s="277">
        <f>SUMIF(отчёт!$B:$B,$B:$B,отчёт!$CU:$CU)/отчёт!$CU$281*'20Ф'!$I$1341</f>
        <v>920.96385542168503</v>
      </c>
      <c r="FB172" s="276">
        <f>SUMIF(Сальдо!$A:$A,$B:$B,Сальдо!$H:$H)-SUMIF(Сальдо!$A:$A,$B:$B,Сальдо!$I:$I)</f>
        <v>401930.74</v>
      </c>
    </row>
    <row r="173" spans="1:158" ht="12" customHeight="1" x14ac:dyDescent="0.25">
      <c r="A173" s="3">
        <f t="shared" si="32"/>
        <v>169</v>
      </c>
      <c r="B173" s="4" t="s">
        <v>218</v>
      </c>
      <c r="C173" s="4" t="s">
        <v>218</v>
      </c>
      <c r="D173" s="5">
        <v>3817.5</v>
      </c>
      <c r="E173" s="6">
        <v>3817.5</v>
      </c>
      <c r="F173" s="6">
        <v>0</v>
      </c>
      <c r="G173" s="6">
        <v>710.3</v>
      </c>
      <c r="H173" s="5">
        <f>SUMIF(отчёт!$B:$B,$B:$B,отчёт!I:I)</f>
        <v>1</v>
      </c>
      <c r="I173" s="5">
        <f>SUMIF(отчёт!$B:$B,$B:$B,отчёт!J:J)</f>
        <v>1</v>
      </c>
      <c r="J173" s="3" t="s">
        <v>51</v>
      </c>
      <c r="K173" s="105">
        <v>3</v>
      </c>
      <c r="L173" s="105" t="s">
        <v>52</v>
      </c>
      <c r="M173" s="7">
        <v>45.06</v>
      </c>
      <c r="N173" s="8">
        <v>5.0999999999999996</v>
      </c>
      <c r="O173" s="8">
        <v>8.6300000000000008</v>
      </c>
      <c r="P173" s="8">
        <v>13.43</v>
      </c>
      <c r="Q173" s="8">
        <v>6.91</v>
      </c>
      <c r="R173" s="8">
        <v>3.15</v>
      </c>
      <c r="S173" s="8">
        <v>1.81</v>
      </c>
      <c r="T173" s="8">
        <v>5.77</v>
      </c>
      <c r="U173" s="8">
        <v>0.26</v>
      </c>
      <c r="V173" s="9">
        <v>40</v>
      </c>
      <c r="W173" s="9">
        <v>40</v>
      </c>
      <c r="X173" s="9">
        <v>2604.04</v>
      </c>
      <c r="Y173" s="8">
        <v>195.98199600000001</v>
      </c>
      <c r="Z173" s="9">
        <v>42.3</v>
      </c>
      <c r="AA173" s="9">
        <v>2604.04</v>
      </c>
      <c r="AB173" s="8">
        <v>7.85</v>
      </c>
      <c r="AC173" s="10">
        <v>0</v>
      </c>
      <c r="AD173" s="8">
        <v>6.73</v>
      </c>
      <c r="AE173" s="8">
        <v>10.67</v>
      </c>
      <c r="AF173" s="8">
        <v>14</v>
      </c>
      <c r="AG173" s="7">
        <v>1032099.3</v>
      </c>
      <c r="AH173" s="8">
        <v>116815.5</v>
      </c>
      <c r="AI173" s="8">
        <v>197670.15000000002</v>
      </c>
      <c r="AJ173" s="8">
        <v>307614.15000000002</v>
      </c>
      <c r="AK173" s="8">
        <v>158273.54999999999</v>
      </c>
      <c r="AL173" s="8">
        <v>72150.75</v>
      </c>
      <c r="AM173" s="8">
        <v>41458.050000000003</v>
      </c>
      <c r="AN173" s="8">
        <v>132161.84999999998</v>
      </c>
      <c r="AO173" s="8">
        <v>5955.3</v>
      </c>
      <c r="AQ173" s="104">
        <v>48.44</v>
      </c>
      <c r="AR173" s="375">
        <v>18.489999999999998</v>
      </c>
      <c r="AS173" s="376"/>
      <c r="AT173" s="104">
        <v>6.67</v>
      </c>
      <c r="AU173" s="104">
        <v>1.53</v>
      </c>
      <c r="AV173" s="104">
        <v>0.32</v>
      </c>
      <c r="AW173" s="104">
        <v>0.87</v>
      </c>
      <c r="AX173" s="104">
        <v>5.01</v>
      </c>
      <c r="AY173" s="104">
        <v>4.99</v>
      </c>
      <c r="AZ173" s="104">
        <v>2.7</v>
      </c>
      <c r="BA173" s="104">
        <v>6.46</v>
      </c>
      <c r="BB173" s="104">
        <v>0.47</v>
      </c>
      <c r="BC173" s="101">
        <v>0.93</v>
      </c>
      <c r="BD173" s="104">
        <v>54.88252</v>
      </c>
      <c r="BE173" s="375">
        <v>20.949169999999999</v>
      </c>
      <c r="BF173" s="376">
        <v>0</v>
      </c>
      <c r="BG173" s="104">
        <v>7.5571100000000007</v>
      </c>
      <c r="BH173" s="104">
        <v>1.7334900000000002</v>
      </c>
      <c r="BI173" s="104">
        <v>0.36256000000000005</v>
      </c>
      <c r="BJ173" s="104">
        <v>0.98571000000000009</v>
      </c>
      <c r="BK173" s="104">
        <v>5.6763300000000001</v>
      </c>
      <c r="BL173" s="104">
        <v>5.65367</v>
      </c>
      <c r="BM173" s="104">
        <v>3.0591000000000004</v>
      </c>
      <c r="BN173" s="104">
        <v>7.3191800000000002</v>
      </c>
      <c r="BO173" s="104">
        <v>0.53250999999999993</v>
      </c>
      <c r="BP173" s="101">
        <v>1.05369</v>
      </c>
      <c r="BQ173" s="103">
        <v>2464979.6010000003</v>
      </c>
      <c r="BR173" s="371">
        <v>940905.71474999993</v>
      </c>
      <c r="BS173" s="371">
        <v>0</v>
      </c>
      <c r="BT173" s="103">
        <v>339418.12424999999</v>
      </c>
      <c r="BU173" s="103">
        <v>77857.530750000005</v>
      </c>
      <c r="BV173" s="103">
        <v>16283.928</v>
      </c>
      <c r="BW173" s="103">
        <v>44271.929250000001</v>
      </c>
      <c r="BX173" s="103">
        <v>254945.24774999998</v>
      </c>
      <c r="BY173" s="103">
        <v>253927.50224999999</v>
      </c>
      <c r="BZ173" s="103">
        <v>137395.64250000002</v>
      </c>
      <c r="CA173" s="103">
        <v>328731.7965</v>
      </c>
      <c r="CB173" s="103">
        <v>23917.019249999994</v>
      </c>
      <c r="CC173" s="103">
        <v>47325.165749999993</v>
      </c>
      <c r="CD173" s="1">
        <v>1</v>
      </c>
      <c r="CF173" s="277">
        <f>SUMIF(Оборот!$A:$A,$B:$B,Оборот!H:H)</f>
        <v>2115714.2300000004</v>
      </c>
      <c r="CG173" s="277">
        <f>SUMIF(Оборот!$A:$A,$B:$B,Оборот!I:I)</f>
        <v>2040571.9299999997</v>
      </c>
      <c r="CH173" s="277">
        <f t="shared" si="25"/>
        <v>1520944.3985682805</v>
      </c>
      <c r="CI173" s="239">
        <f t="shared" si="30"/>
        <v>33576.190822327342</v>
      </c>
      <c r="CJ173" s="276">
        <f>SUMIF('20Ф'!$H:$H,$B:$B,'20Ф'!M:M)*1.2</f>
        <v>0</v>
      </c>
      <c r="CK173" s="276">
        <f>SUMIF('20Ф'!$H:$H,$B:$B,'20Ф'!O:O)*1.2</f>
        <v>0</v>
      </c>
      <c r="CL173" s="276">
        <f>SUMIF('20Ф'!$H:$H,$B:$B,'20Ф'!Q:Q)*1.2</f>
        <v>0</v>
      </c>
      <c r="CM173" s="276">
        <f>SUMIF('20Ф'!$H:$H,$B:$B,'20Ф'!R:R)*1.2</f>
        <v>0</v>
      </c>
      <c r="CN173" s="276">
        <f>SUMIF('20Ф'!$H:$H,$B:$B,'20Ф'!S:S)*1.2</f>
        <v>0</v>
      </c>
      <c r="CO173" s="276">
        <f>SUMIF('20Ф'!$H:$H,$B:$B,'20Ф'!W:W)*1.2</f>
        <v>0</v>
      </c>
      <c r="CP173" s="276">
        <f>SUMIF('20Ф'!$H:$H,$B:$B,'20Ф'!P:P)*1.2</f>
        <v>0</v>
      </c>
      <c r="CQ173" s="276">
        <f>SUMIF('20Ф'!$H:$H,$B:$B,'20Ф'!Y:Y)*1.2</f>
        <v>0</v>
      </c>
      <c r="CR173" s="276">
        <f>SUMIF('20Ф'!$H:$H,$B:$B,'20Ф'!Z:Z)*1.2</f>
        <v>0</v>
      </c>
      <c r="CS173" s="276">
        <f>SUMIF('20Ф'!$H:$H,$B:$B,'20Ф'!AB:AB)*1.2</f>
        <v>0</v>
      </c>
      <c r="CT173" s="276">
        <f>SUMIF('20Ф'!$H:$H,$B:$B,'20Ф'!AC:AC)*1.2</f>
        <v>0</v>
      </c>
      <c r="CU173" s="276">
        <f>SUMIF('20Ф'!$H:$H,$B:$B,'20Ф'!AD:AD)*1.2</f>
        <v>0</v>
      </c>
      <c r="CV173" s="276">
        <f>SUMIF('20Ф'!$H:$H,$B:$B,'20Ф'!AE:AE)*1.2</f>
        <v>0</v>
      </c>
      <c r="CW173" s="276">
        <f>SUMIF('20Ф'!$H:$H,$B:$B,'20Ф'!AF:AF)*1.2</f>
        <v>0</v>
      </c>
      <c r="CX173" s="276">
        <f>SUMIF('20Ф'!$H:$H,$B:$B,'20Ф'!AG:AG)*1.2</f>
        <v>0</v>
      </c>
      <c r="CY173" s="276">
        <f>SUMIF('20Ф'!$H:$H,$B:$B,'20Ф'!AH:AH)*1.2</f>
        <v>0</v>
      </c>
      <c r="CZ173" s="276">
        <f>SUMIF('20Ф'!$H:$H,$B:$B,'20Ф'!AI:AI)*1.2</f>
        <v>0</v>
      </c>
      <c r="DA173" s="276">
        <f>SUMIF('20Ф'!$H:$H,$B:$B,'20Ф'!AJ:AJ)*1.2</f>
        <v>0</v>
      </c>
      <c r="DB173" s="276">
        <f>SUMIF('20Ф'!$H:$H,$B:$B,'20Ф'!AK:AK)*1.2</f>
        <v>0</v>
      </c>
      <c r="DC173" s="276">
        <f>SUMIF('20Ф'!$H:$H,$B:$B,'20Ф'!AL:AL)*1.2</f>
        <v>0</v>
      </c>
      <c r="DD173" s="276">
        <f>SUMIF('20Ф'!$H:$H,$B:$B,'20Ф'!AM:AM)*1.2</f>
        <v>0</v>
      </c>
      <c r="DE173" s="276">
        <f>SUMIF('20Ф'!$H:$H,$B:$B,'20Ф'!AN:AN)*1.2</f>
        <v>0</v>
      </c>
      <c r="DF173" s="276">
        <f>SUMIF('20Ф'!$H:$H,$B:$B,'20Ф'!AO:AO)*1.2</f>
        <v>0</v>
      </c>
      <c r="DG173" s="276">
        <f>SUMIF('20Ф'!$H:$H,$B:$B,'20Ф'!AP:AP)*1.2</f>
        <v>0</v>
      </c>
      <c r="DH173" s="276">
        <f>SUMIF('20Ф'!$H:$H,$B:$B,'20Ф'!AQ:AQ)*1.2</f>
        <v>0</v>
      </c>
      <c r="DI173" s="276">
        <f>SUMIF('20Ф'!$H:$H,$B:$B,'20Ф'!BA:BA)*1.2</f>
        <v>0</v>
      </c>
      <c r="DJ173" s="276">
        <f>SUMIF('20Ф'!$H:$H,$B:$B,'20Ф'!BB:BB)*1.2</f>
        <v>0</v>
      </c>
      <c r="DK173" s="276">
        <f>SUMIF('20Ф'!$H:$H,$B:$B,'20Ф'!BC:BC)*1.2</f>
        <v>0</v>
      </c>
      <c r="DL173" s="276">
        <f>$D173/$D$281*'20Ф'!$H$218</f>
        <v>33576.190822327342</v>
      </c>
      <c r="DM173" s="240">
        <f t="shared" si="26"/>
        <v>405842.20887972671</v>
      </c>
      <c r="DN173" s="276">
        <f>SUMIF('20Ф'!$H:$H,$B:$B,'20Ф'!AV:AV)*1.2</f>
        <v>0</v>
      </c>
      <c r="DO173" s="276">
        <f>SUMIF('20Ф'!$H:$H,$B:$B,'20Ф'!AW:AW)*1.2+$D173/$D$281*'26Ф'!$D$42</f>
        <v>17867.510713418873</v>
      </c>
      <c r="DP173" s="276">
        <f>SUMIF('20Ф'!$H:$H,$B:$B,'20Ф'!AX:AX)*1.2</f>
        <v>0</v>
      </c>
      <c r="DQ173" s="276">
        <f>SUMIF('20Ф'!$H:$H,$B:$B,'20Ф'!AY:AY)*1.2</f>
        <v>17685</v>
      </c>
      <c r="DR173" s="276">
        <f>SUMIF('20Ф'!$H:$H,$B:$B,'20Ф'!AU:AU)*1.2</f>
        <v>0</v>
      </c>
      <c r="DS173" s="276">
        <f>SUMIF('20Ф'!$H:$H,$B:$B,'20Ф'!AS:AS)*1.2</f>
        <v>55109.687999999995</v>
      </c>
      <c r="DT173" s="276">
        <f>SUMIF('20Ф'!$H:$H,$B:$B,'20Ф'!AR:AR)*1.2</f>
        <v>0</v>
      </c>
      <c r="DU173" s="276">
        <f>SUMIF('20Ф'!$H:$H,$B:$B,'20Ф'!X:X)*1.2</f>
        <v>0</v>
      </c>
      <c r="DV173" s="276">
        <f>SUMIF('20Ф'!$H:$H,$B:$B,'20Ф'!AA:AA)*1.2</f>
        <v>0</v>
      </c>
      <c r="DW173" s="276">
        <f>SUMIF('20Ф'!$H:$H,$B:$B,'20Ф'!N:N)*1.2</f>
        <v>0</v>
      </c>
      <c r="DX173" s="276">
        <f>$D173/$D$281*('25Ф'!$D$37)</f>
        <v>300330.50241797301</v>
      </c>
      <c r="DY173" s="276">
        <f>$D173/$D$281*'25Ф'!$D$30</f>
        <v>9585.606845965076</v>
      </c>
      <c r="DZ173" s="276">
        <f>$D173/$D$281*'25Ф'!$D$31</f>
        <v>5263.9009023697727</v>
      </c>
      <c r="EA173" s="276"/>
      <c r="EB173" s="276">
        <f t="shared" si="27"/>
        <v>189212.93022819876</v>
      </c>
      <c r="EC173" s="276">
        <f>$D173/$D$281*'26Ф'!$D$36</f>
        <v>98491.42374103886</v>
      </c>
      <c r="ED173" s="276">
        <f>$D173/$D$281*'26Ф'!$D$37</f>
        <v>11833.639371594607</v>
      </c>
      <c r="EE173" s="276">
        <f>$D173/$D$281*'26Ф'!$D$38</f>
        <v>11955.004987813552</v>
      </c>
      <c r="EF173" s="276">
        <f>$D173/$D$281*'26Ф'!$D$39</f>
        <v>8386.4250879004012</v>
      </c>
      <c r="EG173" s="276">
        <f>$D173/$D$281*'91Ф'!$D$10</f>
        <v>2587.2086517498387</v>
      </c>
      <c r="EH173" s="276">
        <f>$D173/$D$281*('20Ф'!$I$509+'26Ф'!$D$41+'20Ф'!$I$507)</f>
        <v>18303.649283647192</v>
      </c>
      <c r="EI173" s="276">
        <f>$D173/$D$281*'91Ф'!$D$31</f>
        <v>33553.277571454957</v>
      </c>
      <c r="EJ173" s="276">
        <f>$D173/$D$281*'20Ф'!$I$1316</f>
        <v>4102.3015329993768</v>
      </c>
      <c r="EK173" s="276">
        <f>$D173/$D$281*('20Ф'!$I$1105+'20Ф'!$I$1282+'91Ф'!$D$17+'91Ф'!$D$41)</f>
        <v>134724.15271844488</v>
      </c>
      <c r="EL173" s="276">
        <f>$D173/$D$281*отчёт!BX$294</f>
        <v>225217.69568547039</v>
      </c>
      <c r="EM173" s="276">
        <f>$D173/$D$281*отчёт!BY$294</f>
        <v>198066.8741109352</v>
      </c>
      <c r="EN173" s="276">
        <f>$D173/$D$283*отчёт!BZ$294</f>
        <v>35546.812449476784</v>
      </c>
      <c r="EO173" s="240">
        <f t="shared" si="36"/>
        <v>185243.217500998</v>
      </c>
      <c r="EP173" s="276">
        <f>SUMIF('20Ф'!$H:$H,$B:$B,'20Ф'!T:T)*1.2</f>
        <v>7379.808</v>
      </c>
      <c r="EQ173" s="276">
        <f>SUM(H173:I173)/SUM($H$284:$I$284)*SUM('60Ф'!$O$155:$P$155)</f>
        <v>172510.26175648702</v>
      </c>
      <c r="ER173" s="276">
        <f>SUM($H173:$I173)/SUM($H$284:$I$284)*SUM('60Ф'!$P$227)</f>
        <v>5353.1477445109776</v>
      </c>
      <c r="ES173" s="239">
        <f t="shared" si="31"/>
        <v>75380.448523739382</v>
      </c>
      <c r="ET173" s="276">
        <f>$D173/$D$282*'20Ф'!$I$381</f>
        <v>5761.3999043981539</v>
      </c>
      <c r="EU173" s="276">
        <f>$D173/$D$282*('20Ф'!$I$75+'20Ф'!$I$1098)*1.2</f>
        <v>66546.726539120878</v>
      </c>
      <c r="EV173" s="276">
        <f>$D173/$D$282*('20Ф'!$I$1286)</f>
        <v>3072.3220802203473</v>
      </c>
      <c r="EW173" s="276">
        <f>SUMIF('91.1Ф'!$N:$N,$B:$B,'91.1Ф'!$F:$F)+$D173/$D$281*('91Ф'!$D$12+'91Ф'!$D$11+'91Ф'!$D$19+'91Ф'!$D$20)</f>
        <v>17755.98482276819</v>
      </c>
      <c r="EX173" s="276">
        <f t="shared" si="29"/>
        <v>20377.882826195018</v>
      </c>
      <c r="EY173" s="276">
        <f>SUMIF('20Ф'!$H:$H,$B:$B,'20Ф'!$AY:$AY)*1.2</f>
        <v>17685</v>
      </c>
      <c r="EZ173" s="295">
        <f>D173/$D$286*'20Ф'!$I$1163</f>
        <v>2692.8828261950175</v>
      </c>
      <c r="FA173" s="277">
        <f>SUMIF(отчёт!$B:$B,$B:$B,отчёт!$CU:$CU)/отчёт!$CU$281*'20Ф'!$I$1341</f>
        <v>920.96385542168503</v>
      </c>
      <c r="FB173" s="276">
        <f>SUMIF(Сальдо!$A:$A,$B:$B,Сальдо!$H:$H)-SUMIF(Сальдо!$A:$A,$B:$B,Сальдо!$I:$I)</f>
        <v>411986.95</v>
      </c>
    </row>
    <row r="174" spans="1:158" ht="12" customHeight="1" x14ac:dyDescent="0.25">
      <c r="A174" s="3">
        <f t="shared" si="32"/>
        <v>170</v>
      </c>
      <c r="B174" s="4" t="s">
        <v>219</v>
      </c>
      <c r="C174" s="4" t="s">
        <v>219</v>
      </c>
      <c r="D174" s="5">
        <v>3706.6</v>
      </c>
      <c r="E174" s="6">
        <v>3673.7</v>
      </c>
      <c r="F174" s="6">
        <v>32.9</v>
      </c>
      <c r="G174" s="6">
        <v>670.6</v>
      </c>
      <c r="H174" s="5">
        <f>SUMIF(отчёт!$B:$B,$B:$B,отчёт!I:I)</f>
        <v>1</v>
      </c>
      <c r="I174" s="5">
        <f>SUMIF(отчёт!$B:$B,$B:$B,отчёт!J:J)</f>
        <v>1</v>
      </c>
      <c r="J174" s="3" t="s">
        <v>51</v>
      </c>
      <c r="K174" s="105">
        <v>3</v>
      </c>
      <c r="L174" s="105" t="s">
        <v>52</v>
      </c>
      <c r="M174" s="7">
        <v>45.06</v>
      </c>
      <c r="N174" s="8">
        <v>5.0999999999999996</v>
      </c>
      <c r="O174" s="8">
        <v>8.6300000000000008</v>
      </c>
      <c r="P174" s="8">
        <v>13.43</v>
      </c>
      <c r="Q174" s="8">
        <v>6.91</v>
      </c>
      <c r="R174" s="8">
        <v>3.15</v>
      </c>
      <c r="S174" s="8">
        <v>1.81</v>
      </c>
      <c r="T174" s="8">
        <v>5.77</v>
      </c>
      <c r="U174" s="8">
        <v>0.26</v>
      </c>
      <c r="V174" s="9">
        <v>40</v>
      </c>
      <c r="W174" s="9">
        <v>40</v>
      </c>
      <c r="X174" s="9">
        <v>2604.04</v>
      </c>
      <c r="Y174" s="8">
        <v>195.98199600000001</v>
      </c>
      <c r="Z174" s="9">
        <v>42.3</v>
      </c>
      <c r="AA174" s="9">
        <v>2604.04</v>
      </c>
      <c r="AB174" s="8">
        <v>7.85</v>
      </c>
      <c r="AC174" s="10">
        <v>0</v>
      </c>
      <c r="AD174" s="8">
        <v>6.73</v>
      </c>
      <c r="AE174" s="8">
        <v>10.67</v>
      </c>
      <c r="AF174" s="8">
        <v>14</v>
      </c>
      <c r="AG174" s="7">
        <v>1002116.376</v>
      </c>
      <c r="AH174" s="8">
        <v>113421.95999999999</v>
      </c>
      <c r="AI174" s="8">
        <v>191927.74800000002</v>
      </c>
      <c r="AJ174" s="8">
        <v>298677.82799999998</v>
      </c>
      <c r="AK174" s="8">
        <v>153675.636</v>
      </c>
      <c r="AL174" s="8">
        <v>70054.739999999991</v>
      </c>
      <c r="AM174" s="8">
        <v>40253.675999999999</v>
      </c>
      <c r="AN174" s="8">
        <v>128322.492</v>
      </c>
      <c r="AO174" s="8">
        <v>5782.2960000000003</v>
      </c>
      <c r="AQ174" s="104">
        <v>48.44</v>
      </c>
      <c r="AR174" s="375">
        <v>18.489999999999998</v>
      </c>
      <c r="AS174" s="376"/>
      <c r="AT174" s="104">
        <v>6.67</v>
      </c>
      <c r="AU174" s="104">
        <v>1.53</v>
      </c>
      <c r="AV174" s="104">
        <v>0.32</v>
      </c>
      <c r="AW174" s="104">
        <v>0.87</v>
      </c>
      <c r="AX174" s="104">
        <v>5.01</v>
      </c>
      <c r="AY174" s="104">
        <v>4.99</v>
      </c>
      <c r="AZ174" s="104">
        <v>2.7</v>
      </c>
      <c r="BA174" s="104">
        <v>6.46</v>
      </c>
      <c r="BB174" s="104">
        <v>0.47</v>
      </c>
      <c r="BC174" s="101">
        <v>0.93</v>
      </c>
      <c r="BD174" s="104">
        <v>54.88252</v>
      </c>
      <c r="BE174" s="375">
        <v>20.949169999999999</v>
      </c>
      <c r="BF174" s="376">
        <v>0</v>
      </c>
      <c r="BG174" s="104">
        <v>7.5571100000000007</v>
      </c>
      <c r="BH174" s="104">
        <v>1.7334900000000002</v>
      </c>
      <c r="BI174" s="104">
        <v>0.36256000000000005</v>
      </c>
      <c r="BJ174" s="104">
        <v>0.98571000000000009</v>
      </c>
      <c r="BK174" s="104">
        <v>5.6763300000000001</v>
      </c>
      <c r="BL174" s="104">
        <v>5.65367</v>
      </c>
      <c r="BM174" s="104">
        <v>3.0591000000000004</v>
      </c>
      <c r="BN174" s="104">
        <v>7.3191800000000002</v>
      </c>
      <c r="BO174" s="104">
        <v>0.53250999999999993</v>
      </c>
      <c r="BP174" s="101">
        <v>1.05369</v>
      </c>
      <c r="BQ174" s="103">
        <v>2393370.89432</v>
      </c>
      <c r="BR174" s="371">
        <v>913572.00321999984</v>
      </c>
      <c r="BS174" s="371">
        <v>0</v>
      </c>
      <c r="BT174" s="103">
        <v>329557.88326000003</v>
      </c>
      <c r="BU174" s="103">
        <v>75595.736340000003</v>
      </c>
      <c r="BV174" s="103">
        <v>15810.872960000001</v>
      </c>
      <c r="BW174" s="103">
        <v>42985.810860000005</v>
      </c>
      <c r="BX174" s="103">
        <v>247538.97977999999</v>
      </c>
      <c r="BY174" s="103">
        <v>246550.80022</v>
      </c>
      <c r="BZ174" s="103">
        <v>133404.24060000002</v>
      </c>
      <c r="CA174" s="103">
        <v>319181.99787999998</v>
      </c>
      <c r="CB174" s="103">
        <v>23222.219659999995</v>
      </c>
      <c r="CC174" s="103">
        <v>45950.349539999996</v>
      </c>
      <c r="CD174" s="1">
        <v>1</v>
      </c>
      <c r="CF174" s="277">
        <f>SUMIF(Оборот!$A:$A,$B:$B,Оборот!H:H)</f>
        <v>2035446.2800000005</v>
      </c>
      <c r="CG174" s="277">
        <f>SUMIF(Оборот!$A:$A,$B:$B,Оборот!I:I)</f>
        <v>1958085.54</v>
      </c>
      <c r="CH174" s="277">
        <f t="shared" si="25"/>
        <v>1425500.9361396853</v>
      </c>
      <c r="CI174" s="239">
        <f t="shared" si="30"/>
        <v>32600.788186519585</v>
      </c>
      <c r="CJ174" s="276">
        <f>SUMIF('20Ф'!$H:$H,$B:$B,'20Ф'!M:M)*1.2</f>
        <v>0</v>
      </c>
      <c r="CK174" s="276">
        <f>SUMIF('20Ф'!$H:$H,$B:$B,'20Ф'!O:O)*1.2</f>
        <v>0</v>
      </c>
      <c r="CL174" s="276">
        <f>SUMIF('20Ф'!$H:$H,$B:$B,'20Ф'!Q:Q)*1.2</f>
        <v>0</v>
      </c>
      <c r="CM174" s="276">
        <f>SUMIF('20Ф'!$H:$H,$B:$B,'20Ф'!R:R)*1.2</f>
        <v>0</v>
      </c>
      <c r="CN174" s="276">
        <f>SUMIF('20Ф'!$H:$H,$B:$B,'20Ф'!S:S)*1.2</f>
        <v>0</v>
      </c>
      <c r="CO174" s="276">
        <f>SUMIF('20Ф'!$H:$H,$B:$B,'20Ф'!W:W)*1.2</f>
        <v>0</v>
      </c>
      <c r="CP174" s="276">
        <f>SUMIF('20Ф'!$H:$H,$B:$B,'20Ф'!P:P)*1.2</f>
        <v>0</v>
      </c>
      <c r="CQ174" s="276">
        <f>SUMIF('20Ф'!$H:$H,$B:$B,'20Ф'!Y:Y)*1.2</f>
        <v>0</v>
      </c>
      <c r="CR174" s="276">
        <f>SUMIF('20Ф'!$H:$H,$B:$B,'20Ф'!Z:Z)*1.2</f>
        <v>0</v>
      </c>
      <c r="CS174" s="276">
        <f>SUMIF('20Ф'!$H:$H,$B:$B,'20Ф'!AB:AB)*1.2</f>
        <v>0</v>
      </c>
      <c r="CT174" s="276">
        <f>SUMIF('20Ф'!$H:$H,$B:$B,'20Ф'!AC:AC)*1.2</f>
        <v>0</v>
      </c>
      <c r="CU174" s="276">
        <f>SUMIF('20Ф'!$H:$H,$B:$B,'20Ф'!AD:AD)*1.2</f>
        <v>0</v>
      </c>
      <c r="CV174" s="276">
        <f>SUMIF('20Ф'!$H:$H,$B:$B,'20Ф'!AE:AE)*1.2</f>
        <v>0</v>
      </c>
      <c r="CW174" s="276">
        <f>SUMIF('20Ф'!$H:$H,$B:$B,'20Ф'!AF:AF)*1.2</f>
        <v>0</v>
      </c>
      <c r="CX174" s="276">
        <f>SUMIF('20Ф'!$H:$H,$B:$B,'20Ф'!AG:AG)*1.2</f>
        <v>0</v>
      </c>
      <c r="CY174" s="276">
        <f>SUMIF('20Ф'!$H:$H,$B:$B,'20Ф'!AH:AH)*1.2</f>
        <v>0</v>
      </c>
      <c r="CZ174" s="276">
        <f>SUMIF('20Ф'!$H:$H,$B:$B,'20Ф'!AI:AI)*1.2</f>
        <v>0</v>
      </c>
      <c r="DA174" s="276">
        <f>SUMIF('20Ф'!$H:$H,$B:$B,'20Ф'!AJ:AJ)*1.2</f>
        <v>0</v>
      </c>
      <c r="DB174" s="276">
        <f>SUMIF('20Ф'!$H:$H,$B:$B,'20Ф'!AK:AK)*1.2</f>
        <v>0</v>
      </c>
      <c r="DC174" s="276">
        <f>SUMIF('20Ф'!$H:$H,$B:$B,'20Ф'!AL:AL)*1.2</f>
        <v>0</v>
      </c>
      <c r="DD174" s="276">
        <f>SUMIF('20Ф'!$H:$H,$B:$B,'20Ф'!AM:AM)*1.2</f>
        <v>0</v>
      </c>
      <c r="DE174" s="276">
        <f>SUMIF('20Ф'!$H:$H,$B:$B,'20Ф'!AN:AN)*1.2</f>
        <v>0</v>
      </c>
      <c r="DF174" s="276">
        <f>SUMIF('20Ф'!$H:$H,$B:$B,'20Ф'!AO:AO)*1.2</f>
        <v>0</v>
      </c>
      <c r="DG174" s="276">
        <f>SUMIF('20Ф'!$H:$H,$B:$B,'20Ф'!AP:AP)*1.2</f>
        <v>0</v>
      </c>
      <c r="DH174" s="276">
        <f>SUMIF('20Ф'!$H:$H,$B:$B,'20Ф'!AQ:AQ)*1.2</f>
        <v>0</v>
      </c>
      <c r="DI174" s="276">
        <f>SUMIF('20Ф'!$H:$H,$B:$B,'20Ф'!BA:BA)*1.2</f>
        <v>0</v>
      </c>
      <c r="DJ174" s="276">
        <f>SUMIF('20Ф'!$H:$H,$B:$B,'20Ф'!BB:BB)*1.2</f>
        <v>0</v>
      </c>
      <c r="DK174" s="276">
        <f>SUMIF('20Ф'!$H:$H,$B:$B,'20Ф'!BC:BC)*1.2</f>
        <v>0</v>
      </c>
      <c r="DL174" s="276">
        <f>$D174/$D$281*'20Ф'!$H$218</f>
        <v>32600.788186519585</v>
      </c>
      <c r="DM174" s="240">
        <f t="shared" si="26"/>
        <v>355949.99662941584</v>
      </c>
      <c r="DN174" s="276">
        <f>SUMIF('20Ф'!$H:$H,$B:$B,'20Ф'!AV:AV)*1.2</f>
        <v>0</v>
      </c>
      <c r="DO174" s="276">
        <f>SUMIF('20Ф'!$H:$H,$B:$B,'20Ф'!AW:AW)*1.2+$D174/$D$281*'26Ф'!$D$42</f>
        <v>17348.451921508418</v>
      </c>
      <c r="DP174" s="276">
        <f>SUMIF('20Ф'!$H:$H,$B:$B,'20Ф'!AX:AX)*1.2</f>
        <v>0</v>
      </c>
      <c r="DQ174" s="276">
        <f>SUMIF('20Ф'!$H:$H,$B:$B,'20Ф'!AY:AY)*1.2</f>
        <v>0</v>
      </c>
      <c r="DR174" s="276">
        <f>SUMIF('20Ф'!$H:$H,$B:$B,'20Ф'!AU:AU)*1.2</f>
        <v>0</v>
      </c>
      <c r="DS174" s="276">
        <f>SUMIF('20Ф'!$H:$H,$B:$B,'20Ф'!AS:AS)*1.2</f>
        <v>32577.648000000001</v>
      </c>
      <c r="DT174" s="276">
        <f>SUMIF('20Ф'!$H:$H,$B:$B,'20Ф'!AR:AR)*1.2</f>
        <v>0</v>
      </c>
      <c r="DU174" s="276">
        <f>SUMIF('20Ф'!$H:$H,$B:$B,'20Ф'!X:X)*1.2</f>
        <v>0</v>
      </c>
      <c r="DV174" s="276">
        <f>SUMIF('20Ф'!$H:$H,$B:$B,'20Ф'!AA:AA)*1.2</f>
        <v>0</v>
      </c>
      <c r="DW174" s="276">
        <f>SUMIF('20Ф'!$H:$H,$B:$B,'20Ф'!N:N)*1.2</f>
        <v>0</v>
      </c>
      <c r="DX174" s="276">
        <f>$D174/$D$281*('25Ф'!$D$37)</f>
        <v>291605.77348067024</v>
      </c>
      <c r="DY174" s="276">
        <f>$D174/$D$281*'25Ф'!$D$30</f>
        <v>9307.1408867725331</v>
      </c>
      <c r="DZ174" s="276">
        <f>$D174/$D$281*'25Ф'!$D$31</f>
        <v>5110.9823404646486</v>
      </c>
      <c r="EA174" s="276"/>
      <c r="EB174" s="276">
        <f t="shared" si="27"/>
        <v>183716.21406256492</v>
      </c>
      <c r="EC174" s="276">
        <f>$D174/$D$281*'26Ф'!$D$36</f>
        <v>95630.205956394129</v>
      </c>
      <c r="ED174" s="276">
        <f>$D174/$D$281*'26Ф'!$D$37</f>
        <v>11489.867110609708</v>
      </c>
      <c r="EE174" s="276">
        <f>$D174/$D$281*'26Ф'!$D$38</f>
        <v>11607.707004015641</v>
      </c>
      <c r="EF174" s="276">
        <f>$D174/$D$281*'26Ф'!$D$39</f>
        <v>8142.7958692368356</v>
      </c>
      <c r="EG174" s="276">
        <f>$D174/$D$281*'91Ф'!$D$10</f>
        <v>2512.0491391161627</v>
      </c>
      <c r="EH174" s="276">
        <f>$D174/$D$281*('20Ф'!$I$509+'26Ф'!$D$41+'20Ф'!$I$507)</f>
        <v>17771.920480619952</v>
      </c>
      <c r="EI174" s="276">
        <f>$D174/$D$281*'91Ф'!$D$31</f>
        <v>32578.540575338553</v>
      </c>
      <c r="EJ174" s="276">
        <f>$D174/$D$281*'20Ф'!$I$1316</f>
        <v>3983.1279272339198</v>
      </c>
      <c r="EK174" s="276">
        <f>$D174/$D$281*('20Ф'!$I$1105+'20Ф'!$I$1282+'91Ф'!$D$17+'91Ф'!$D$41)</f>
        <v>130810.35873377543</v>
      </c>
      <c r="EL174" s="276">
        <f>$D174/$D$281*отчёт!BX$294</f>
        <v>218675.02575710922</v>
      </c>
      <c r="EM174" s="276">
        <f>$D174/$D$281*отчёт!BY$294</f>
        <v>192312.94710663846</v>
      </c>
      <c r="EN174" s="276">
        <f>$D174/$D$283*отчёт!BZ$294</f>
        <v>34514.162416563362</v>
      </c>
      <c r="EO174" s="240">
        <f t="shared" si="36"/>
        <v>183876.00950099801</v>
      </c>
      <c r="EP174" s="276">
        <f>SUMIF('20Ф'!$H:$H,$B:$B,'20Ф'!T:T)*1.2</f>
        <v>6012.5999999999995</v>
      </c>
      <c r="EQ174" s="276">
        <f>SUM(H174:I174)/SUM($H$284:$I$284)*SUM('60Ф'!$O$155:$P$155)</f>
        <v>172510.26175648702</v>
      </c>
      <c r="ER174" s="276">
        <f>SUM($H174:$I174)/SUM($H$284:$I$284)*SUM('60Ф'!$P$227)</f>
        <v>5353.1477445109776</v>
      </c>
      <c r="ES174" s="239">
        <f t="shared" si="31"/>
        <v>73190.614406834924</v>
      </c>
      <c r="ET174" s="276">
        <f>$D174/$D$282*'20Ф'!$I$381</f>
        <v>5594.028784713083</v>
      </c>
      <c r="EU174" s="276">
        <f>$D174/$D$282*('20Ф'!$I$75+'20Ф'!$I$1098)*1.2</f>
        <v>64613.515806131079</v>
      </c>
      <c r="EV174" s="276">
        <f>$D174/$D$282*('20Ф'!$I$1286)</f>
        <v>2983.0698159907629</v>
      </c>
      <c r="EW174" s="276">
        <f>SUMIF('91.1Ф'!$N:$N,$B:$B,'91.1Ф'!$F:$F)+$D174/$D$281*('91Ф'!$D$12+'91Ф'!$D$11+'91Ф'!$D$19+'91Ф'!$D$20)</f>
        <v>17240.165905454505</v>
      </c>
      <c r="EX174" s="276">
        <f t="shared" si="29"/>
        <v>2614.6534338112515</v>
      </c>
      <c r="EY174" s="276">
        <f>SUMIF('20Ф'!$H:$H,$B:$B,'20Ф'!$AY:$AY)*1.2</f>
        <v>0</v>
      </c>
      <c r="EZ174" s="295">
        <f>D174/$D$286*'20Ф'!$I$1163</f>
        <v>2614.6534338112515</v>
      </c>
      <c r="FA174" s="277">
        <f>SUMIF(отчёт!$B:$B,$B:$B,отчёт!$CU:$CU)/отчёт!$CU$281*'20Ф'!$I$1341</f>
        <v>920.96385542168503</v>
      </c>
      <c r="FB174" s="276">
        <f>SUMIF(Сальдо!$A:$A,$B:$B,Сальдо!$H:$H)-SUMIF(Сальдо!$A:$A,$B:$B,Сальдо!$I:$I)</f>
        <v>737421.53</v>
      </c>
    </row>
    <row r="175" spans="1:158" ht="12" customHeight="1" x14ac:dyDescent="0.25">
      <c r="A175" s="3">
        <f t="shared" si="32"/>
        <v>171</v>
      </c>
      <c r="B175" s="4" t="s">
        <v>220</v>
      </c>
      <c r="C175" s="4" t="s">
        <v>220</v>
      </c>
      <c r="D175" s="5">
        <v>9577.4000000000033</v>
      </c>
      <c r="E175" s="6">
        <v>9471.7000000000025</v>
      </c>
      <c r="F175" s="6">
        <v>105.7</v>
      </c>
      <c r="G175" s="6">
        <v>963.6</v>
      </c>
      <c r="H175" s="5">
        <f>SUMIF(отчёт!$B:$B,$B:$B,отчёт!I:I)</f>
        <v>8</v>
      </c>
      <c r="I175" s="5">
        <f>SUMIF(отчёт!$B:$B,$B:$B,отчёт!J:J)</f>
        <v>0</v>
      </c>
      <c r="J175" s="3" t="s">
        <v>51</v>
      </c>
      <c r="K175" s="105">
        <v>1</v>
      </c>
      <c r="L175" s="105" t="s">
        <v>52</v>
      </c>
      <c r="M175" s="7">
        <v>44.8</v>
      </c>
      <c r="N175" s="8">
        <v>5.0999999999999996</v>
      </c>
      <c r="O175" s="8">
        <v>8.6300000000000008</v>
      </c>
      <c r="P175" s="8">
        <v>13.43</v>
      </c>
      <c r="Q175" s="8">
        <v>6.91</v>
      </c>
      <c r="R175" s="8">
        <v>3.15</v>
      </c>
      <c r="S175" s="8">
        <v>1.81</v>
      </c>
      <c r="T175" s="8">
        <v>5.77</v>
      </c>
      <c r="U175" s="8">
        <v>0</v>
      </c>
      <c r="V175" s="9">
        <v>40</v>
      </c>
      <c r="W175" s="9">
        <v>40</v>
      </c>
      <c r="X175" s="9">
        <v>2604.04</v>
      </c>
      <c r="Y175" s="8">
        <v>195.98199600000001</v>
      </c>
      <c r="Z175" s="9">
        <v>42.3</v>
      </c>
      <c r="AA175" s="9">
        <v>2604.04</v>
      </c>
      <c r="AB175" s="8">
        <v>0</v>
      </c>
      <c r="AC175" s="10">
        <v>0</v>
      </c>
      <c r="AD175" s="8">
        <v>5.05</v>
      </c>
      <c r="AE175" s="8">
        <v>10.67</v>
      </c>
      <c r="AF175" s="8">
        <v>14</v>
      </c>
      <c r="AG175" s="7">
        <v>2574405.120000001</v>
      </c>
      <c r="AH175" s="8">
        <v>293068.44000000006</v>
      </c>
      <c r="AI175" s="8">
        <v>495917.77200000017</v>
      </c>
      <c r="AJ175" s="8">
        <v>771746.89200000023</v>
      </c>
      <c r="AK175" s="8">
        <v>397079.00400000007</v>
      </c>
      <c r="AL175" s="8">
        <v>181012.86000000004</v>
      </c>
      <c r="AM175" s="8">
        <v>104010.56400000004</v>
      </c>
      <c r="AN175" s="8">
        <v>331569.58800000011</v>
      </c>
      <c r="AO175" s="8">
        <v>0</v>
      </c>
      <c r="AQ175" s="104">
        <v>48.16</v>
      </c>
      <c r="AR175" s="375">
        <v>18.649999999999999</v>
      </c>
      <c r="AS175" s="376"/>
      <c r="AT175" s="104">
        <v>7.16</v>
      </c>
      <c r="AU175" s="104">
        <v>1.53</v>
      </c>
      <c r="AV175" s="104">
        <v>0.32</v>
      </c>
      <c r="AW175" s="104">
        <v>0.87</v>
      </c>
      <c r="AX175" s="104">
        <v>5.01</v>
      </c>
      <c r="AY175" s="104">
        <v>4.99</v>
      </c>
      <c r="AZ175" s="104">
        <v>2.7</v>
      </c>
      <c r="BA175" s="104">
        <v>6.46</v>
      </c>
      <c r="BB175" s="104">
        <v>0.47</v>
      </c>
      <c r="BC175" s="101">
        <v>0</v>
      </c>
      <c r="BD175" s="104">
        <v>54.565279999999994</v>
      </c>
      <c r="BE175" s="375">
        <v>21.130449999999996</v>
      </c>
      <c r="BF175" s="376">
        <v>0</v>
      </c>
      <c r="BG175" s="104">
        <v>8.1122800000000002</v>
      </c>
      <c r="BH175" s="104">
        <v>1.7334900000000002</v>
      </c>
      <c r="BI175" s="104">
        <v>0.36255999999999999</v>
      </c>
      <c r="BJ175" s="104">
        <v>0.98570999999999998</v>
      </c>
      <c r="BK175" s="104">
        <v>5.6763299999999992</v>
      </c>
      <c r="BL175" s="104">
        <v>5.6536700000000009</v>
      </c>
      <c r="BM175" s="104">
        <v>3.0591000000000004</v>
      </c>
      <c r="BN175" s="104">
        <v>7.3191800000000002</v>
      </c>
      <c r="BO175" s="104">
        <v>0.53250999999999993</v>
      </c>
      <c r="BP175" s="101">
        <v>0</v>
      </c>
      <c r="BQ175" s="103">
        <v>6148430.2947200015</v>
      </c>
      <c r="BR175" s="371">
        <v>2380984.7383000008</v>
      </c>
      <c r="BS175" s="371">
        <v>0</v>
      </c>
      <c r="BT175" s="103">
        <v>914093.87272000033</v>
      </c>
      <c r="BU175" s="103">
        <v>195330.11526000008</v>
      </c>
      <c r="BV175" s="103">
        <v>40853.357440000014</v>
      </c>
      <c r="BW175" s="103">
        <v>111070.06554000003</v>
      </c>
      <c r="BX175" s="103">
        <v>639610.37742000015</v>
      </c>
      <c r="BY175" s="103">
        <v>637057.04258000036</v>
      </c>
      <c r="BZ175" s="103">
        <v>344700.20340000017</v>
      </c>
      <c r="CA175" s="103">
        <v>824727.15332000027</v>
      </c>
      <c r="CB175" s="103">
        <v>60003.368740000005</v>
      </c>
      <c r="CC175" s="103">
        <v>0</v>
      </c>
      <c r="CD175" s="1">
        <v>1</v>
      </c>
      <c r="CF175" s="277">
        <f>SUMIF(Оборот!$A:$A,$B:$B,Оборот!H:H)</f>
        <v>5217312.6800000006</v>
      </c>
      <c r="CG175" s="277">
        <f>SUMIF(Оборот!$A:$A,$B:$B,Оборот!I:I)</f>
        <v>5326403.4699999988</v>
      </c>
      <c r="CH175" s="277">
        <f t="shared" si="25"/>
        <v>4059665.7783846073</v>
      </c>
      <c r="CI175" s="239">
        <f t="shared" si="30"/>
        <v>109234.54007380694</v>
      </c>
      <c r="CJ175" s="276">
        <f>SUMIF('20Ф'!$H:$H,$B:$B,'20Ф'!M:M)*1.2</f>
        <v>0</v>
      </c>
      <c r="CK175" s="276">
        <f>SUMIF('20Ф'!$H:$H,$B:$B,'20Ф'!O:O)*1.2</f>
        <v>0</v>
      </c>
      <c r="CL175" s="276">
        <f>SUMIF('20Ф'!$H:$H,$B:$B,'20Ф'!Q:Q)*1.2</f>
        <v>0</v>
      </c>
      <c r="CM175" s="276">
        <f>SUMIF('20Ф'!$H:$H,$B:$B,'20Ф'!R:R)*1.2</f>
        <v>0</v>
      </c>
      <c r="CN175" s="276">
        <f>SUMIF('20Ф'!$H:$H,$B:$B,'20Ф'!S:S)*1.2</f>
        <v>0</v>
      </c>
      <c r="CO175" s="276">
        <f>SUMIF('20Ф'!$H:$H,$B:$B,'20Ф'!W:W)*1.2</f>
        <v>0</v>
      </c>
      <c r="CP175" s="276">
        <f>SUMIF('20Ф'!$H:$H,$B:$B,'20Ф'!P:P)*1.2</f>
        <v>0</v>
      </c>
      <c r="CQ175" s="276">
        <f>SUMIF('20Ф'!$H:$H,$B:$B,'20Ф'!Y:Y)*1.2</f>
        <v>0</v>
      </c>
      <c r="CR175" s="276">
        <f>SUMIF('20Ф'!$H:$H,$B:$B,'20Ф'!Z:Z)*1.2</f>
        <v>0</v>
      </c>
      <c r="CS175" s="276">
        <f>SUMIF('20Ф'!$H:$H,$B:$B,'20Ф'!AB:AB)*1.2</f>
        <v>0</v>
      </c>
      <c r="CT175" s="276">
        <f>SUMIF('20Ф'!$H:$H,$B:$B,'20Ф'!AC:AC)*1.2</f>
        <v>0</v>
      </c>
      <c r="CU175" s="276">
        <f>SUMIF('20Ф'!$H:$H,$B:$B,'20Ф'!AD:AD)*1.2</f>
        <v>0</v>
      </c>
      <c r="CV175" s="276">
        <f>SUMIF('20Ф'!$H:$H,$B:$B,'20Ф'!AE:AE)*1.2</f>
        <v>0</v>
      </c>
      <c r="CW175" s="276">
        <f>SUMIF('20Ф'!$H:$H,$B:$B,'20Ф'!AF:AF)*1.2</f>
        <v>0</v>
      </c>
      <c r="CX175" s="276">
        <f>SUMIF('20Ф'!$H:$H,$B:$B,'20Ф'!AG:AG)*1.2</f>
        <v>0</v>
      </c>
      <c r="CY175" s="276">
        <f>SUMIF('20Ф'!$H:$H,$B:$B,'20Ф'!AH:AH)*1.2</f>
        <v>0</v>
      </c>
      <c r="CZ175" s="276">
        <f>SUMIF('20Ф'!$H:$H,$B:$B,'20Ф'!AI:AI)*1.2</f>
        <v>0</v>
      </c>
      <c r="DA175" s="276">
        <f>SUMIF('20Ф'!$H:$H,$B:$B,'20Ф'!AJ:AJ)*1.2</f>
        <v>0</v>
      </c>
      <c r="DB175" s="276">
        <f>SUMIF('20Ф'!$H:$H,$B:$B,'20Ф'!AK:AK)*1.2</f>
        <v>0</v>
      </c>
      <c r="DC175" s="276">
        <f>SUMIF('20Ф'!$H:$H,$B:$B,'20Ф'!AL:AL)*1.2</f>
        <v>0</v>
      </c>
      <c r="DD175" s="276">
        <f>SUMIF('20Ф'!$H:$H,$B:$B,'20Ф'!AM:AM)*1.2</f>
        <v>0</v>
      </c>
      <c r="DE175" s="276">
        <f>SUMIF('20Ф'!$H:$H,$B:$B,'20Ф'!AN:AN)*1.2</f>
        <v>0</v>
      </c>
      <c r="DF175" s="276">
        <f>SUMIF('20Ф'!$H:$H,$B:$B,'20Ф'!AO:AO)*1.2</f>
        <v>0</v>
      </c>
      <c r="DG175" s="276">
        <f>SUMIF('20Ф'!$H:$H,$B:$B,'20Ф'!AP:AP)*1.2</f>
        <v>24998.1</v>
      </c>
      <c r="DH175" s="276">
        <f>SUMIF('20Ф'!$H:$H,$B:$B,'20Ф'!AQ:AQ)*1.2</f>
        <v>0</v>
      </c>
      <c r="DI175" s="276">
        <f>SUMIF('20Ф'!$H:$H,$B:$B,'20Ф'!BA:BA)*1.2</f>
        <v>0</v>
      </c>
      <c r="DJ175" s="276">
        <f>SUMIF('20Ф'!$H:$H,$B:$B,'20Ф'!BB:BB)*1.2</f>
        <v>0</v>
      </c>
      <c r="DK175" s="276">
        <f>SUMIF('20Ф'!$H:$H,$B:$B,'20Ф'!BC:BC)*1.2</f>
        <v>0</v>
      </c>
      <c r="DL175" s="276">
        <f>$D175/$D$281*'20Ф'!$H$218</f>
        <v>84236.440073806938</v>
      </c>
      <c r="DM175" s="240">
        <f t="shared" si="26"/>
        <v>892991.00595245487</v>
      </c>
      <c r="DN175" s="276">
        <f>SUMIF('20Ф'!$H:$H,$B:$B,'20Ф'!AV:AV)*1.2</f>
        <v>0</v>
      </c>
      <c r="DO175" s="276">
        <f>SUMIF('20Ф'!$H:$H,$B:$B,'20Ф'!AW:AW)*1.2+$D175/$D$281*'26Ф'!$D$42</f>
        <v>44826.272981453301</v>
      </c>
      <c r="DP175" s="276">
        <f>SUMIF('20Ф'!$H:$H,$B:$B,'20Ф'!AX:AX)*1.2</f>
        <v>0</v>
      </c>
      <c r="DQ175" s="276">
        <f>SUMIF('20Ф'!$H:$H,$B:$B,'20Ф'!AY:AY)*1.2</f>
        <v>0</v>
      </c>
      <c r="DR175" s="276">
        <f>SUMIF('20Ф'!$H:$H,$B:$B,'20Ф'!AU:AU)*1.2</f>
        <v>0</v>
      </c>
      <c r="DS175" s="276">
        <f>SUMIF('20Ф'!$H:$H,$B:$B,'20Ф'!AS:AS)*1.2</f>
        <v>57436.5</v>
      </c>
      <c r="DT175" s="276">
        <f>SUMIF('20Ф'!$H:$H,$B:$B,'20Ф'!AR:AR)*1.2</f>
        <v>0</v>
      </c>
      <c r="DU175" s="276">
        <f>SUMIF('20Ф'!$H:$H,$B:$B,'20Ф'!X:X)*1.2</f>
        <v>0</v>
      </c>
      <c r="DV175" s="276">
        <f>SUMIF('20Ф'!$H:$H,$B:$B,'20Ф'!AA:AA)*1.2</f>
        <v>0</v>
      </c>
      <c r="DW175" s="276">
        <f>SUMIF('20Ф'!$H:$H,$B:$B,'20Ф'!N:N)*1.2</f>
        <v>0</v>
      </c>
      <c r="DX175" s="276">
        <f>$D175/$D$281*('25Ф'!$D$37)</f>
        <v>753473.57010030013</v>
      </c>
      <c r="DY175" s="276">
        <f>$D175/$D$281*'25Ф'!$D$30</f>
        <v>24048.511069167242</v>
      </c>
      <c r="DZ175" s="276">
        <f>$D175/$D$281*'25Ф'!$D$31</f>
        <v>13206.151801534061</v>
      </c>
      <c r="EA175" s="276"/>
      <c r="EB175" s="276">
        <f t="shared" si="27"/>
        <v>474700.17497512815</v>
      </c>
      <c r="EC175" s="276">
        <f>$D175/$D$281*'26Ф'!$D$36</f>
        <v>247096.72868039971</v>
      </c>
      <c r="ED175" s="276">
        <f>$D175/$D$281*'26Ф'!$D$37</f>
        <v>29688.408046499077</v>
      </c>
      <c r="EE175" s="276">
        <f>$D175/$D$281*'26Ф'!$D$38</f>
        <v>29992.891884816127</v>
      </c>
      <c r="EF175" s="276">
        <f>$D175/$D$281*'26Ф'!$D$39</f>
        <v>21039.986283394192</v>
      </c>
      <c r="EG175" s="276">
        <f>$D175/$D$281*'91Ф'!$D$10</f>
        <v>6490.8270180141235</v>
      </c>
      <c r="EH175" s="276">
        <f>$D175/$D$281*('20Ф'!$I$509+'26Ф'!$D$41+'20Ф'!$I$507)</f>
        <v>45920.463824283608</v>
      </c>
      <c r="EI175" s="276">
        <f>$D175/$D$281*'91Ф'!$D$31</f>
        <v>84178.954973897271</v>
      </c>
      <c r="EJ175" s="276">
        <f>$D175/$D$281*'20Ф'!$I$1316</f>
        <v>10291.914263824034</v>
      </c>
      <c r="EK175" s="276">
        <f>$D175/$D$281*('20Ф'!$I$1105+'20Ф'!$I$1282+'91Ф'!$D$17+'91Ф'!$D$41)</f>
        <v>337997.93064718647</v>
      </c>
      <c r="EL175" s="276">
        <f>$D175/$D$281*отчёт!BX$294</f>
        <v>565029.45871853956</v>
      </c>
      <c r="EM175" s="276">
        <f>$D175/$D$281*отчёт!BY$294</f>
        <v>496913.0792691739</v>
      </c>
      <c r="EN175" s="276">
        <f>$D175/$D$283*отчёт!BZ$294</f>
        <v>89180.364519612063</v>
      </c>
      <c r="EO175" s="240">
        <f t="shared" si="36"/>
        <v>734957.174003992</v>
      </c>
      <c r="EP175" s="276">
        <f>SUMIF('20Ф'!$H:$H,$B:$B,'20Ф'!T:T)*1.2</f>
        <v>23503.535999999996</v>
      </c>
      <c r="EQ175" s="276">
        <f>SUM(H175:I175)/SUM($H$284:$I$284)*SUM('60Ф'!$O$155:$P$155)</f>
        <v>690041.04702594806</v>
      </c>
      <c r="ER175" s="276">
        <f>SUM($H175:$I175)/SUM($H$284:$I$284)*SUM('60Ф'!$P$227)</f>
        <v>21412.590978043911</v>
      </c>
      <c r="ES175" s="239">
        <f t="shared" si="31"/>
        <v>189115.57503372931</v>
      </c>
      <c r="ET175" s="276">
        <f>$D175/$D$282*'20Ф'!$I$381</f>
        <v>14454.284595778099</v>
      </c>
      <c r="EU175" s="276">
        <f>$D175/$D$282*('20Ф'!$I$75+'20Ф'!$I$1098)*1.2</f>
        <v>166953.40373432258</v>
      </c>
      <c r="EV175" s="276">
        <f>$D175/$D$282*('20Ф'!$I$1286)</f>
        <v>7707.8867036286474</v>
      </c>
      <c r="EW175" s="276">
        <f>SUMIF('91.1Ф'!$N:$N,$B:$B,'91.1Ф'!$F:$F)+$D175/$D$281*('91Ф'!$D$12+'91Ф'!$D$11+'91Ф'!$D$19+'91Ф'!$D$20)</f>
        <v>169546.47519098368</v>
      </c>
      <c r="EX175" s="276">
        <f t="shared" si="29"/>
        <v>0</v>
      </c>
      <c r="EY175" s="276">
        <f>SUMIF('20Ф'!$H:$H,$B:$B,'20Ф'!$AY:$AY)*1.2</f>
        <v>0</v>
      </c>
      <c r="EZ175" s="236"/>
      <c r="FA175" s="277">
        <f>SUMIF(отчёт!$B:$B,$B:$B,отчёт!$CU:$CU)/отчёт!$CU$281*'20Ф'!$I$1341</f>
        <v>3683.8554216867401</v>
      </c>
      <c r="FB175" s="276">
        <f>SUMIF(Сальдо!$A:$A,$B:$B,Сальдо!$H:$H)-SUMIF(Сальдо!$A:$A,$B:$B,Сальдо!$I:$I)</f>
        <v>1101170.71</v>
      </c>
    </row>
    <row r="176" spans="1:158" ht="12" customHeight="1" x14ac:dyDescent="0.25">
      <c r="A176" s="3">
        <f t="shared" si="32"/>
        <v>172</v>
      </c>
      <c r="B176" s="4" t="s">
        <v>221</v>
      </c>
      <c r="C176" s="4" t="s">
        <v>221</v>
      </c>
      <c r="D176" s="5">
        <v>3721.49</v>
      </c>
      <c r="E176" s="6">
        <v>3721.49</v>
      </c>
      <c r="F176" s="6">
        <v>0</v>
      </c>
      <c r="G176" s="6">
        <v>1226.4000000000001</v>
      </c>
      <c r="H176" s="5">
        <f>SUMIF(отчёт!$B:$B,$B:$B,отчёт!I:I)</f>
        <v>0</v>
      </c>
      <c r="I176" s="5">
        <f>SUMIF(отчёт!$B:$B,$B:$B,отчёт!J:J)</f>
        <v>0</v>
      </c>
      <c r="J176" s="3" t="s">
        <v>114</v>
      </c>
      <c r="K176" s="105">
        <v>6</v>
      </c>
      <c r="L176" s="105" t="s">
        <v>52</v>
      </c>
      <c r="M176" s="7">
        <v>30.74</v>
      </c>
      <c r="N176" s="8">
        <v>5.0999999999999996</v>
      </c>
      <c r="O176" s="8">
        <v>6.59</v>
      </c>
      <c r="P176" s="8">
        <v>8.98</v>
      </c>
      <c r="Q176" s="8">
        <v>6.92</v>
      </c>
      <c r="R176" s="8">
        <v>3.15</v>
      </c>
      <c r="S176" s="8">
        <v>0</v>
      </c>
      <c r="T176" s="8">
        <v>0</v>
      </c>
      <c r="U176" s="8">
        <v>0</v>
      </c>
      <c r="V176" s="9">
        <v>40</v>
      </c>
      <c r="W176" s="9">
        <v>40</v>
      </c>
      <c r="X176" s="9">
        <v>2604.04</v>
      </c>
      <c r="Y176" s="8">
        <v>195.98199600000001</v>
      </c>
      <c r="Z176" s="9">
        <v>42.3</v>
      </c>
      <c r="AA176" s="9">
        <v>2604.04</v>
      </c>
      <c r="AB176" s="8">
        <v>0</v>
      </c>
      <c r="AC176" s="10">
        <v>0</v>
      </c>
      <c r="AD176" s="8">
        <v>5.05</v>
      </c>
      <c r="AE176" s="8">
        <v>10.67</v>
      </c>
      <c r="AF176" s="8">
        <v>14</v>
      </c>
      <c r="AG176" s="7">
        <v>686391.6155999999</v>
      </c>
      <c r="AH176" s="8">
        <v>113877.59399999998</v>
      </c>
      <c r="AI176" s="8">
        <v>147147.71459999998</v>
      </c>
      <c r="AJ176" s="8">
        <v>200513.8812</v>
      </c>
      <c r="AK176" s="8">
        <v>154516.26479999998</v>
      </c>
      <c r="AL176" s="8">
        <v>70336.160999999993</v>
      </c>
      <c r="AM176" s="8">
        <v>0</v>
      </c>
      <c r="AN176" s="8">
        <v>0</v>
      </c>
      <c r="AO176" s="8">
        <v>0</v>
      </c>
      <c r="AQ176" s="104">
        <v>33.04</v>
      </c>
      <c r="AR176" s="375">
        <v>15.54</v>
      </c>
      <c r="AS176" s="376"/>
      <c r="AT176" s="104">
        <v>5.0599999999999996</v>
      </c>
      <c r="AU176" s="104">
        <v>1.53</v>
      </c>
      <c r="AV176" s="104">
        <v>0.32</v>
      </c>
      <c r="AW176" s="104">
        <v>0.59</v>
      </c>
      <c r="AX176" s="104">
        <v>5.01</v>
      </c>
      <c r="AY176" s="104">
        <v>4.99</v>
      </c>
      <c r="AZ176" s="104">
        <v>0</v>
      </c>
      <c r="BA176" s="104">
        <v>0</v>
      </c>
      <c r="BB176" s="104">
        <v>0</v>
      </c>
      <c r="BC176" s="101">
        <v>0</v>
      </c>
      <c r="BD176" s="104">
        <v>37.43432</v>
      </c>
      <c r="BE176" s="375">
        <v>17.606819999999999</v>
      </c>
      <c r="BF176" s="376">
        <v>0</v>
      </c>
      <c r="BG176" s="104">
        <v>5.7329799999999995</v>
      </c>
      <c r="BH176" s="104">
        <v>1.7334900000000002</v>
      </c>
      <c r="BI176" s="104">
        <v>0.36255999999999999</v>
      </c>
      <c r="BJ176" s="104">
        <v>0.66847000000000001</v>
      </c>
      <c r="BK176" s="104">
        <v>5.6763299999999992</v>
      </c>
      <c r="BL176" s="104">
        <v>5.6536700000000009</v>
      </c>
      <c r="BM176" s="104">
        <v>0</v>
      </c>
      <c r="BN176" s="104">
        <v>0</v>
      </c>
      <c r="BO176" s="104">
        <v>0</v>
      </c>
      <c r="BP176" s="101">
        <v>0</v>
      </c>
      <c r="BQ176" s="103">
        <v>1639030.5345679997</v>
      </c>
      <c r="BR176" s="371">
        <v>770899.95481799985</v>
      </c>
      <c r="BS176" s="371">
        <v>0</v>
      </c>
      <c r="BT176" s="103">
        <v>251013.75620199996</v>
      </c>
      <c r="BU176" s="103">
        <v>75899.416400999995</v>
      </c>
      <c r="BV176" s="103">
        <v>15874.387744</v>
      </c>
      <c r="BW176" s="103">
        <v>29268.402403</v>
      </c>
      <c r="BX176" s="103">
        <v>248533.38311699996</v>
      </c>
      <c r="BY176" s="103">
        <v>247541.23388300004</v>
      </c>
      <c r="BZ176" s="103">
        <v>0</v>
      </c>
      <c r="CA176" s="103">
        <v>0</v>
      </c>
      <c r="CB176" s="103">
        <v>0</v>
      </c>
      <c r="CC176" s="103">
        <v>0</v>
      </c>
      <c r="CD176" s="1">
        <v>1</v>
      </c>
      <c r="CF176" s="277">
        <f>SUMIF(Оборот!$A:$A,$B:$B,Оборот!H:H)</f>
        <v>1407021.0400000003</v>
      </c>
      <c r="CG176" s="277">
        <f>SUMIF(Оборот!$A:$A,$B:$B,Оборот!I:I)</f>
        <v>1412762.5600000003</v>
      </c>
      <c r="CH176" s="277">
        <f t="shared" si="25"/>
        <v>1255675.7770984941</v>
      </c>
      <c r="CI176" s="239">
        <f t="shared" si="30"/>
        <v>32731.750722562665</v>
      </c>
      <c r="CJ176" s="276">
        <f>SUMIF('20Ф'!$H:$H,$B:$B,'20Ф'!M:M)*1.2</f>
        <v>0</v>
      </c>
      <c r="CK176" s="276">
        <f>SUMIF('20Ф'!$H:$H,$B:$B,'20Ф'!O:O)*1.2</f>
        <v>0</v>
      </c>
      <c r="CL176" s="276">
        <f>SUMIF('20Ф'!$H:$H,$B:$B,'20Ф'!Q:Q)*1.2</f>
        <v>0</v>
      </c>
      <c r="CM176" s="276">
        <f>SUMIF('20Ф'!$H:$H,$B:$B,'20Ф'!R:R)*1.2</f>
        <v>0</v>
      </c>
      <c r="CN176" s="276">
        <f>SUMIF('20Ф'!$H:$H,$B:$B,'20Ф'!S:S)*1.2</f>
        <v>0</v>
      </c>
      <c r="CO176" s="276">
        <f>SUMIF('20Ф'!$H:$H,$B:$B,'20Ф'!W:W)*1.2</f>
        <v>0</v>
      </c>
      <c r="CP176" s="276">
        <f>SUMIF('20Ф'!$H:$H,$B:$B,'20Ф'!P:P)*1.2</f>
        <v>0</v>
      </c>
      <c r="CQ176" s="276">
        <f>SUMIF('20Ф'!$H:$H,$B:$B,'20Ф'!Y:Y)*1.2</f>
        <v>0</v>
      </c>
      <c r="CR176" s="276">
        <f>SUMIF('20Ф'!$H:$H,$B:$B,'20Ф'!Z:Z)*1.2</f>
        <v>0</v>
      </c>
      <c r="CS176" s="276">
        <f>SUMIF('20Ф'!$H:$H,$B:$B,'20Ф'!AB:AB)*1.2</f>
        <v>0</v>
      </c>
      <c r="CT176" s="276">
        <f>SUMIF('20Ф'!$H:$H,$B:$B,'20Ф'!AC:AC)*1.2</f>
        <v>0</v>
      </c>
      <c r="CU176" s="276">
        <f>SUMIF('20Ф'!$H:$H,$B:$B,'20Ф'!AD:AD)*1.2</f>
        <v>0</v>
      </c>
      <c r="CV176" s="276">
        <f>SUMIF('20Ф'!$H:$H,$B:$B,'20Ф'!AE:AE)*1.2</f>
        <v>0</v>
      </c>
      <c r="CW176" s="276">
        <f>SUMIF('20Ф'!$H:$H,$B:$B,'20Ф'!AF:AF)*1.2</f>
        <v>0</v>
      </c>
      <c r="CX176" s="276">
        <f>SUMIF('20Ф'!$H:$H,$B:$B,'20Ф'!AG:AG)*1.2</f>
        <v>0</v>
      </c>
      <c r="CY176" s="276">
        <f>SUMIF('20Ф'!$H:$H,$B:$B,'20Ф'!AH:AH)*1.2</f>
        <v>0</v>
      </c>
      <c r="CZ176" s="276">
        <f>SUMIF('20Ф'!$H:$H,$B:$B,'20Ф'!AI:AI)*1.2</f>
        <v>0</v>
      </c>
      <c r="DA176" s="276">
        <f>SUMIF('20Ф'!$H:$H,$B:$B,'20Ф'!AJ:AJ)*1.2</f>
        <v>0</v>
      </c>
      <c r="DB176" s="276">
        <f>SUMIF('20Ф'!$H:$H,$B:$B,'20Ф'!AK:AK)*1.2</f>
        <v>0</v>
      </c>
      <c r="DC176" s="276">
        <f>SUMIF('20Ф'!$H:$H,$B:$B,'20Ф'!AL:AL)*1.2</f>
        <v>0</v>
      </c>
      <c r="DD176" s="276">
        <f>SUMIF('20Ф'!$H:$H,$B:$B,'20Ф'!AM:AM)*1.2</f>
        <v>0</v>
      </c>
      <c r="DE176" s="276">
        <f>SUMIF('20Ф'!$H:$H,$B:$B,'20Ф'!AN:AN)*1.2</f>
        <v>0</v>
      </c>
      <c r="DF176" s="276">
        <f>SUMIF('20Ф'!$H:$H,$B:$B,'20Ф'!AO:AO)*1.2</f>
        <v>0</v>
      </c>
      <c r="DG176" s="276">
        <f>SUMIF('20Ф'!$H:$H,$B:$B,'20Ф'!AP:AP)*1.2</f>
        <v>0</v>
      </c>
      <c r="DH176" s="276">
        <f>SUMIF('20Ф'!$H:$H,$B:$B,'20Ф'!AQ:AQ)*1.2</f>
        <v>0</v>
      </c>
      <c r="DI176" s="276">
        <f>SUMIF('20Ф'!$H:$H,$B:$B,'20Ф'!BA:BA)*1.2</f>
        <v>0</v>
      </c>
      <c r="DJ176" s="276">
        <f>SUMIF('20Ф'!$H:$H,$B:$B,'20Ф'!BB:BB)*1.2</f>
        <v>0</v>
      </c>
      <c r="DK176" s="276">
        <f>SUMIF('20Ф'!$H:$H,$B:$B,'20Ф'!BC:BC)*1.2</f>
        <v>0</v>
      </c>
      <c r="DL176" s="276">
        <f>$D176/$D$281*'20Ф'!$H$218</f>
        <v>32731.750722562665</v>
      </c>
      <c r="DM176" s="240">
        <f t="shared" si="26"/>
        <v>403720.9186348904</v>
      </c>
      <c r="DN176" s="276">
        <f>SUMIF('20Ф'!$H:$H,$B:$B,'20Ф'!AV:AV)*1.2</f>
        <v>0</v>
      </c>
      <c r="DO176" s="276">
        <f>SUMIF('20Ф'!$H:$H,$B:$B,'20Ф'!AW:AW)*1.2+$D176/$D$281*'26Ф'!$D$42</f>
        <v>17418.143404029128</v>
      </c>
      <c r="DP176" s="276">
        <f>SUMIF('20Ф'!$H:$H,$B:$B,'20Ф'!AX:AX)*1.2</f>
        <v>0</v>
      </c>
      <c r="DQ176" s="276">
        <f>SUMIF('20Ф'!$H:$H,$B:$B,'20Ф'!AY:AY)*1.2</f>
        <v>0</v>
      </c>
      <c r="DR176" s="276">
        <f>SUMIF('20Ф'!$H:$H,$B:$B,'20Ф'!AU:AU)*1.2</f>
        <v>0</v>
      </c>
      <c r="DS176" s="276">
        <f>SUMIF('20Ф'!$H:$H,$B:$B,'20Ф'!AS:AS)*1.2</f>
        <v>79049.531999999992</v>
      </c>
      <c r="DT176" s="276">
        <f>SUMIF('20Ф'!$H:$H,$B:$B,'20Ф'!AR:AR)*1.2</f>
        <v>0</v>
      </c>
      <c r="DU176" s="276">
        <f>SUMIF('20Ф'!$H:$H,$B:$B,'20Ф'!X:X)*1.2</f>
        <v>0</v>
      </c>
      <c r="DV176" s="276">
        <f>SUMIF('20Ф'!$H:$H,$B:$B,'20Ф'!AA:AA)*1.2</f>
        <v>0</v>
      </c>
      <c r="DW176" s="276">
        <f>SUMIF('20Ф'!$H:$H,$B:$B,'20Ф'!N:N)*1.2</f>
        <v>0</v>
      </c>
      <c r="DX176" s="276">
        <f>$D176/$D$281*('25Ф'!$D$37)</f>
        <v>292777.20011616562</v>
      </c>
      <c r="DY176" s="276">
        <f>$D176/$D$281*'25Ф'!$D$30</f>
        <v>9344.5291476596121</v>
      </c>
      <c r="DZ176" s="276">
        <f>$D176/$D$281*'25Ф'!$D$31</f>
        <v>5131.5139670360404</v>
      </c>
      <c r="EA176" s="276"/>
      <c r="EB176" s="276">
        <f t="shared" si="27"/>
        <v>184454.23122853687</v>
      </c>
      <c r="EC176" s="276">
        <f>$D176/$D$281*'26Ф'!$D$36</f>
        <v>96014.367658949224</v>
      </c>
      <c r="ED176" s="276">
        <f>$D176/$D$281*'26Ф'!$D$37</f>
        <v>11536.023728879007</v>
      </c>
      <c r="EE176" s="276">
        <f>$D176/$D$281*'26Ф'!$D$38</f>
        <v>11654.337003824035</v>
      </c>
      <c r="EF176" s="276">
        <f>$D176/$D$281*'26Ф'!$D$39</f>
        <v>8175.5067715443247</v>
      </c>
      <c r="EG176" s="276">
        <f>$D176/$D$281*'91Ф'!$D$10</f>
        <v>2522.1404388737415</v>
      </c>
      <c r="EH176" s="276">
        <f>$D176/$D$281*('20Ф'!$I$509+'26Ф'!$D$41+'20Ф'!$I$507)</f>
        <v>17843.313103497101</v>
      </c>
      <c r="EI176" s="276">
        <f>$D176/$D$281*'91Ф'!$D$31</f>
        <v>32709.413739199452</v>
      </c>
      <c r="EJ176" s="276">
        <f>$D176/$D$281*'20Ф'!$I$1316</f>
        <v>3999.1287837699674</v>
      </c>
      <c r="EK176" s="276">
        <f>$D176/$D$281*('20Ф'!$I$1105+'20Ф'!$I$1282+'91Ф'!$D$17+'91Ф'!$D$41)</f>
        <v>131335.84468897586</v>
      </c>
      <c r="EL176" s="276">
        <f>$D176/$D$281*отчёт!BX$294</f>
        <v>219553.47801349603</v>
      </c>
      <c r="EM176" s="276">
        <f>$D176/$D$281*отчёт!BY$294</f>
        <v>193085.49871253548</v>
      </c>
      <c r="EN176" s="276">
        <f>SUMIF(отчёт!$B:$B,$B:$B,отчёт!BZ:BZ)/отчёт!BZ$281*('60Ф'!$O$151+'60Ф'!$P$151)*отчёт!BZ$293</f>
        <v>0</v>
      </c>
      <c r="EO176" s="240">
        <f t="shared" si="28"/>
        <v>0</v>
      </c>
      <c r="EP176" s="276">
        <f>SUMIF('20Ф'!$H:$H,$B:$B,'20Ф'!T:T)*1.2</f>
        <v>0</v>
      </c>
      <c r="EQ176" s="276">
        <f>SUMIF('20Ф'!$H:$H,$B:$B,'20Ф'!U:U)*1.2</f>
        <v>0</v>
      </c>
      <c r="ER176" s="236"/>
      <c r="ES176" s="239">
        <f t="shared" si="31"/>
        <v>73484.63271162039</v>
      </c>
      <c r="ET176" s="276">
        <f>$D176/$D$282*'20Ф'!$I$381</f>
        <v>5616.5008854534863</v>
      </c>
      <c r="EU176" s="276">
        <f>$D176/$D$282*('20Ф'!$I$75+'20Ф'!$I$1098)*1.2</f>
        <v>64873.078545664153</v>
      </c>
      <c r="EV176" s="276">
        <f>$D176/$D$282*('20Ф'!$I$1286)</f>
        <v>2995.0532805027424</v>
      </c>
      <c r="EW176" s="276">
        <f>SUMIF('91.1Ф'!$N:$N,$B:$B,'91.1Ф'!$F:$F)+$D176/$D$281*('91Ф'!$D$12+'91Ф'!$D$11+'91Ф'!$D$19+'91Ф'!$D$20)</f>
        <v>17309.422385876514</v>
      </c>
      <c r="EX176" s="276">
        <f t="shared" si="29"/>
        <v>0</v>
      </c>
      <c r="EY176" s="276">
        <f>SUMIF('20Ф'!$H:$H,$B:$B,'20Ф'!$AY:$AY)*1.2</f>
        <v>0</v>
      </c>
      <c r="EZ176" s="236"/>
      <c r="FA176" s="277">
        <f>SUMIF(отчёт!$B:$B,$B:$B,отчёт!$CU:$CU)/отчёт!$CU$281*'20Ф'!$I$1341</f>
        <v>1841.9277108433701</v>
      </c>
      <c r="FB176" s="276">
        <f>SUMIF(Сальдо!$A:$A,$B:$B,Сальдо!$H:$H)-SUMIF(Сальдо!$A:$A,$B:$B,Сальдо!$I:$I)</f>
        <v>637933.18999999994</v>
      </c>
    </row>
    <row r="177" spans="1:158" ht="12" customHeight="1" x14ac:dyDescent="0.25">
      <c r="A177" s="3">
        <f t="shared" si="32"/>
        <v>173</v>
      </c>
      <c r="B177" s="4" t="s">
        <v>222</v>
      </c>
      <c r="C177" s="4" t="s">
        <v>222</v>
      </c>
      <c r="D177" s="5">
        <v>3663.6699999999996</v>
      </c>
      <c r="E177" s="6">
        <v>3506.97</v>
      </c>
      <c r="F177" s="6">
        <v>156.69999999999999</v>
      </c>
      <c r="G177" s="6">
        <v>1142.2</v>
      </c>
      <c r="H177" s="5">
        <f>SUMIF(отчёт!$B:$B,$B:$B,отчёт!I:I)</f>
        <v>0</v>
      </c>
      <c r="I177" s="5">
        <f>SUMIF(отчёт!$B:$B,$B:$B,отчёт!J:J)</f>
        <v>0</v>
      </c>
      <c r="J177" s="3" t="s">
        <v>114</v>
      </c>
      <c r="K177" s="105">
        <v>6</v>
      </c>
      <c r="L177" s="105" t="s">
        <v>52</v>
      </c>
      <c r="M177" s="7">
        <v>30.74</v>
      </c>
      <c r="N177" s="8">
        <v>5.0999999999999996</v>
      </c>
      <c r="O177" s="8">
        <v>6.59</v>
      </c>
      <c r="P177" s="8">
        <v>8.98</v>
      </c>
      <c r="Q177" s="8">
        <v>6.92</v>
      </c>
      <c r="R177" s="8">
        <v>3.15</v>
      </c>
      <c r="S177" s="8">
        <v>0</v>
      </c>
      <c r="T177" s="8">
        <v>0</v>
      </c>
      <c r="U177" s="8">
        <v>0</v>
      </c>
      <c r="V177" s="9">
        <v>40</v>
      </c>
      <c r="W177" s="9">
        <v>40</v>
      </c>
      <c r="X177" s="9">
        <v>2604.04</v>
      </c>
      <c r="Y177" s="8">
        <v>195.98199600000001</v>
      </c>
      <c r="Z177" s="9">
        <v>42.3</v>
      </c>
      <c r="AA177" s="9">
        <v>2604.04</v>
      </c>
      <c r="AB177" s="8">
        <v>0</v>
      </c>
      <c r="AC177" s="10">
        <v>0</v>
      </c>
      <c r="AD177" s="8">
        <v>5.05</v>
      </c>
      <c r="AE177" s="8">
        <v>10.67</v>
      </c>
      <c r="AF177" s="8">
        <v>14</v>
      </c>
      <c r="AG177" s="7">
        <v>675727.2947999998</v>
      </c>
      <c r="AH177" s="8">
        <v>112108.30199999998</v>
      </c>
      <c r="AI177" s="8">
        <v>144861.51179999998</v>
      </c>
      <c r="AJ177" s="8">
        <v>197398.53960000002</v>
      </c>
      <c r="AK177" s="8">
        <v>152115.5784</v>
      </c>
      <c r="AL177" s="8">
        <v>69243.362999999983</v>
      </c>
      <c r="AM177" s="8">
        <v>0</v>
      </c>
      <c r="AN177" s="8">
        <v>0</v>
      </c>
      <c r="AO177" s="8">
        <v>0</v>
      </c>
      <c r="AQ177" s="104">
        <v>33.04</v>
      </c>
      <c r="AR177" s="375">
        <v>15.54</v>
      </c>
      <c r="AS177" s="376"/>
      <c r="AT177" s="104">
        <v>5.0599999999999996</v>
      </c>
      <c r="AU177" s="104">
        <v>1.53</v>
      </c>
      <c r="AV177" s="104">
        <v>0.32</v>
      </c>
      <c r="AW177" s="104">
        <v>0.59</v>
      </c>
      <c r="AX177" s="104">
        <v>5.01</v>
      </c>
      <c r="AY177" s="104">
        <v>4.99</v>
      </c>
      <c r="AZ177" s="104">
        <v>0</v>
      </c>
      <c r="BA177" s="104">
        <v>0</v>
      </c>
      <c r="BB177" s="104">
        <v>0</v>
      </c>
      <c r="BC177" s="101">
        <v>0</v>
      </c>
      <c r="BD177" s="104">
        <v>37.43432</v>
      </c>
      <c r="BE177" s="375">
        <v>17.606819999999999</v>
      </c>
      <c r="BF177" s="376">
        <v>0</v>
      </c>
      <c r="BG177" s="104">
        <v>5.7329799999999995</v>
      </c>
      <c r="BH177" s="104">
        <v>1.7334900000000002</v>
      </c>
      <c r="BI177" s="104">
        <v>0.36255999999999999</v>
      </c>
      <c r="BJ177" s="104">
        <v>0.66847000000000001</v>
      </c>
      <c r="BK177" s="104">
        <v>5.6763299999999992</v>
      </c>
      <c r="BL177" s="104">
        <v>5.6536700000000009</v>
      </c>
      <c r="BM177" s="104">
        <v>0</v>
      </c>
      <c r="BN177" s="104">
        <v>0</v>
      </c>
      <c r="BO177" s="104">
        <v>0</v>
      </c>
      <c r="BP177" s="101">
        <v>0</v>
      </c>
      <c r="BQ177" s="103">
        <v>1613565.2651439996</v>
      </c>
      <c r="BR177" s="371">
        <v>758922.64589399984</v>
      </c>
      <c r="BS177" s="371">
        <v>0</v>
      </c>
      <c r="BT177" s="103">
        <v>247113.80876599997</v>
      </c>
      <c r="BU177" s="103">
        <v>74720.183282999991</v>
      </c>
      <c r="BV177" s="103">
        <v>15627.750751999998</v>
      </c>
      <c r="BW177" s="103">
        <v>28813.665448999996</v>
      </c>
      <c r="BX177" s="103">
        <v>244671.97271099995</v>
      </c>
      <c r="BY177" s="103">
        <v>243695.23828900003</v>
      </c>
      <c r="BZ177" s="103">
        <v>0</v>
      </c>
      <c r="CA177" s="103">
        <v>0</v>
      </c>
      <c r="CB177" s="103">
        <v>0</v>
      </c>
      <c r="CC177" s="103">
        <v>0</v>
      </c>
      <c r="CD177" s="1">
        <v>1</v>
      </c>
      <c r="CF177" s="277">
        <f>SUMIF(Оборот!$A:$A,$B:$B,Оборот!H:H)</f>
        <v>1176818.18</v>
      </c>
      <c r="CG177" s="277">
        <f>SUMIF(Оборот!$A:$A,$B:$B,Оборот!I:I)</f>
        <v>1255567.6499999999</v>
      </c>
      <c r="CH177" s="277">
        <f t="shared" si="25"/>
        <v>1775789.4969443851</v>
      </c>
      <c r="CI177" s="239">
        <f t="shared" si="30"/>
        <v>529502.47246104409</v>
      </c>
      <c r="CJ177" s="276">
        <f>SUMIF('20Ф'!$H:$H,$B:$B,'20Ф'!M:M)*1.2</f>
        <v>0</v>
      </c>
      <c r="CK177" s="276">
        <f>SUMIF('20Ф'!$H:$H,$B:$B,'20Ф'!O:O)*1.2</f>
        <v>0</v>
      </c>
      <c r="CL177" s="276">
        <f>SUMIF('20Ф'!$H:$H,$B:$B,'20Ф'!Q:Q)*1.2</f>
        <v>0</v>
      </c>
      <c r="CM177" s="276">
        <f>SUMIF('20Ф'!$H:$H,$B:$B,'20Ф'!R:R)*1.2</f>
        <v>0</v>
      </c>
      <c r="CN177" s="276">
        <f>SUMIF('20Ф'!$H:$H,$B:$B,'20Ф'!S:S)*1.2</f>
        <v>0</v>
      </c>
      <c r="CO177" s="276">
        <f>SUMIF('20Ф'!$H:$H,$B:$B,'20Ф'!W:W)*1.2</f>
        <v>0</v>
      </c>
      <c r="CP177" s="276">
        <f>SUMIF('20Ф'!$H:$H,$B:$B,'20Ф'!P:P)*1.2</f>
        <v>0</v>
      </c>
      <c r="CQ177" s="276">
        <f>SUMIF('20Ф'!$H:$H,$B:$B,'20Ф'!Y:Y)*1.2</f>
        <v>0</v>
      </c>
      <c r="CR177" s="276">
        <f>SUMIF('20Ф'!$H:$H,$B:$B,'20Ф'!Z:Z)*1.2</f>
        <v>0</v>
      </c>
      <c r="CS177" s="276">
        <f>SUMIF('20Ф'!$H:$H,$B:$B,'20Ф'!AB:AB)*1.2</f>
        <v>0</v>
      </c>
      <c r="CT177" s="276">
        <f>SUMIF('20Ф'!$H:$H,$B:$B,'20Ф'!AC:AC)*1.2</f>
        <v>0</v>
      </c>
      <c r="CU177" s="276">
        <f>SUMIF('20Ф'!$H:$H,$B:$B,'20Ф'!AD:AD)*1.2</f>
        <v>0</v>
      </c>
      <c r="CV177" s="276">
        <f>SUMIF('20Ф'!$H:$H,$B:$B,'20Ф'!AE:AE)*1.2</f>
        <v>0</v>
      </c>
      <c r="CW177" s="276">
        <f>SUMIF('20Ф'!$H:$H,$B:$B,'20Ф'!AF:AF)*1.2</f>
        <v>0</v>
      </c>
      <c r="CX177" s="276">
        <f>SUMIF('20Ф'!$H:$H,$B:$B,'20Ф'!AG:AG)*1.2</f>
        <v>0</v>
      </c>
      <c r="CY177" s="276">
        <f>SUMIF('20Ф'!$H:$H,$B:$B,'20Ф'!AH:AH)*1.2</f>
        <v>0</v>
      </c>
      <c r="CZ177" s="276">
        <f>SUMIF('20Ф'!$H:$H,$B:$B,'20Ф'!AI:AI)*1.2</f>
        <v>0</v>
      </c>
      <c r="DA177" s="276">
        <f>SUMIF('20Ф'!$H:$H,$B:$B,'20Ф'!AJ:AJ)*1.2</f>
        <v>0</v>
      </c>
      <c r="DB177" s="276">
        <f>SUMIF('20Ф'!$H:$H,$B:$B,'20Ф'!AK:AK)*1.2</f>
        <v>0</v>
      </c>
      <c r="DC177" s="276">
        <f>SUMIF('20Ф'!$H:$H,$B:$B,'20Ф'!AL:AL)*1.2</f>
        <v>497279.26799999998</v>
      </c>
      <c r="DD177" s="276">
        <f>SUMIF('20Ф'!$H:$H,$B:$B,'20Ф'!AM:AM)*1.2</f>
        <v>0</v>
      </c>
      <c r="DE177" s="276">
        <f>SUMIF('20Ф'!$H:$H,$B:$B,'20Ф'!AN:AN)*1.2</f>
        <v>0</v>
      </c>
      <c r="DF177" s="276">
        <f>SUMIF('20Ф'!$H:$H,$B:$B,'20Ф'!AO:AO)*1.2</f>
        <v>0</v>
      </c>
      <c r="DG177" s="276">
        <f>SUMIF('20Ф'!$H:$H,$B:$B,'20Ф'!AP:AP)*1.2</f>
        <v>0</v>
      </c>
      <c r="DH177" s="276">
        <f>SUMIF('20Ф'!$H:$H,$B:$B,'20Ф'!AQ:AQ)*1.2</f>
        <v>0</v>
      </c>
      <c r="DI177" s="276">
        <f>SUMIF('20Ф'!$H:$H,$B:$B,'20Ф'!BA:BA)*1.2</f>
        <v>0</v>
      </c>
      <c r="DJ177" s="276">
        <f>SUMIF('20Ф'!$H:$H,$B:$B,'20Ф'!BB:BB)*1.2</f>
        <v>0</v>
      </c>
      <c r="DK177" s="276">
        <f>SUMIF('20Ф'!$H:$H,$B:$B,'20Ф'!BC:BC)*1.2</f>
        <v>0</v>
      </c>
      <c r="DL177" s="276">
        <f>$D177/$D$281*'20Ф'!$H$218</f>
        <v>32223.204461044137</v>
      </c>
      <c r="DM177" s="240">
        <f t="shared" si="26"/>
        <v>439792.01223351096</v>
      </c>
      <c r="DN177" s="276">
        <f>SUMIF('20Ф'!$H:$H,$B:$B,'20Ф'!AV:AV)*1.2</f>
        <v>0</v>
      </c>
      <c r="DO177" s="276">
        <f>SUMIF('20Ф'!$H:$H,$B:$B,'20Ф'!AW:AW)*1.2+$D177/$D$281*'26Ф'!$D$42</f>
        <v>17147.521408102504</v>
      </c>
      <c r="DP177" s="276">
        <f>SUMIF('20Ф'!$H:$H,$B:$B,'20Ф'!AX:AX)*1.2</f>
        <v>0</v>
      </c>
      <c r="DQ177" s="276">
        <f>SUMIF('20Ф'!$H:$H,$B:$B,'20Ф'!AY:AY)*1.2</f>
        <v>0</v>
      </c>
      <c r="DR177" s="276">
        <f>SUMIF('20Ф'!$H:$H,$B:$B,'20Ф'!AU:AU)*1.2</f>
        <v>0</v>
      </c>
      <c r="DS177" s="276">
        <f>SUMIF('20Ф'!$H:$H,$B:$B,'20Ф'!AS:AS)*1.2</f>
        <v>120164.976</v>
      </c>
      <c r="DT177" s="276">
        <f>SUMIF('20Ф'!$H:$H,$B:$B,'20Ф'!AR:AR)*1.2</f>
        <v>0</v>
      </c>
      <c r="DU177" s="276">
        <f>SUMIF('20Ф'!$H:$H,$B:$B,'20Ф'!X:X)*1.2</f>
        <v>0</v>
      </c>
      <c r="DV177" s="276">
        <f>SUMIF('20Ф'!$H:$H,$B:$B,'20Ф'!AA:AA)*1.2</f>
        <v>0</v>
      </c>
      <c r="DW177" s="276">
        <f>SUMIF('20Ф'!$H:$H,$B:$B,'20Ф'!N:N)*1.2</f>
        <v>0</v>
      </c>
      <c r="DX177" s="276">
        <f>$D177/$D$281*('25Ф'!$D$37)</f>
        <v>288228.38291909755</v>
      </c>
      <c r="DY177" s="276">
        <f>$D177/$D$281*'25Ф'!$D$30</f>
        <v>9199.3451822807765</v>
      </c>
      <c r="DZ177" s="276">
        <f>$D177/$D$281*'25Ф'!$D$31</f>
        <v>5051.7867240301412</v>
      </c>
      <c r="EA177" s="276"/>
      <c r="EB177" s="276">
        <f t="shared" si="27"/>
        <v>181588.40500043091</v>
      </c>
      <c r="EC177" s="276">
        <f>$D177/$D$281*'26Ф'!$D$36</f>
        <v>94522.612813970351</v>
      </c>
      <c r="ED177" s="276">
        <f>$D177/$D$281*'26Ф'!$D$37</f>
        <v>11356.790977480028</v>
      </c>
      <c r="EE177" s="276">
        <f>$D177/$D$281*'26Ф'!$D$38</f>
        <v>11473.266044191978</v>
      </c>
      <c r="EF177" s="276">
        <f>$D177/$D$281*'26Ф'!$D$39</f>
        <v>8048.4856586216256</v>
      </c>
      <c r="EG177" s="276">
        <f>$D177/$D$281*'91Ф'!$D$10</f>
        <v>2482.9544783644615</v>
      </c>
      <c r="EH177" s="276">
        <f>$D177/$D$281*('20Ф'!$I$509+'26Ф'!$D$41+'20Ф'!$I$507)</f>
        <v>17566.08533621996</v>
      </c>
      <c r="EI177" s="276">
        <f>$D177/$D$281*'91Ф'!$D$31</f>
        <v>32201.214522648948</v>
      </c>
      <c r="EJ177" s="276">
        <f>$D177/$D$281*'20Ф'!$I$1316</f>
        <v>3936.9951689335494</v>
      </c>
      <c r="EK177" s="276">
        <f>$D177/$D$281*('20Ф'!$I$1105+'20Ф'!$I$1282+'91Ф'!$D$17+'91Ф'!$D$41)</f>
        <v>129295.30755467841</v>
      </c>
      <c r="EL177" s="276">
        <f>$D177/$D$281*отчёт!BX$294</f>
        <v>216142.32224020621</v>
      </c>
      <c r="EM177" s="276">
        <f>$D177/$D$281*отчёт!BY$294</f>
        <v>190085.57031408246</v>
      </c>
      <c r="EN177" s="276">
        <f>SUMIF(отчёт!$B:$B,$B:$B,отчёт!BZ:BZ)/отчёт!BZ$281*('60Ф'!$O$151+'60Ф'!$P$151)*отчёт!BZ$293</f>
        <v>0</v>
      </c>
      <c r="EO177" s="240">
        <f t="shared" si="28"/>
        <v>0</v>
      </c>
      <c r="EP177" s="276">
        <f>SUMIF('20Ф'!$H:$H,$B:$B,'20Ф'!T:T)*1.2</f>
        <v>0</v>
      </c>
      <c r="EQ177" s="276">
        <f>SUMIF('20Ф'!$H:$H,$B:$B,'20Ф'!U:U)*1.2</f>
        <v>0</v>
      </c>
      <c r="ER177" s="236"/>
      <c r="ES177" s="239">
        <f t="shared" si="31"/>
        <v>72342.917575106272</v>
      </c>
      <c r="ET177" s="276">
        <f>$D177/$D$282*'20Ф'!$I$381</f>
        <v>5529.2385036663736</v>
      </c>
      <c r="EU177" s="276">
        <f>$D177/$D$282*('20Ф'!$I$75+'20Ф'!$I$1098)*1.2</f>
        <v>63865.159297860104</v>
      </c>
      <c r="EV177" s="276">
        <f>$D177/$D$282*('20Ф'!$I$1286)</f>
        <v>2948.5197735797979</v>
      </c>
      <c r="EW177" s="276">
        <f>SUMIF('91.1Ф'!$N:$N,$B:$B,'91.1Ф'!$F:$F)+$D177/$D$281*('91Ф'!$D$12+'91Ф'!$D$11+'91Ф'!$D$19+'91Ф'!$D$20)</f>
        <v>17040.48956532577</v>
      </c>
      <c r="EX177" s="276">
        <f t="shared" si="29"/>
        <v>0</v>
      </c>
      <c r="EY177" s="276">
        <f>SUMIF('20Ф'!$H:$H,$B:$B,'20Ф'!$AY:$AY)*1.2</f>
        <v>0</v>
      </c>
      <c r="EZ177" s="236"/>
      <c r="FA177" s="277">
        <f>SUMIF(отчёт!$B:$B,$B:$B,отчёт!$CU:$CU)/отчёт!$CU$281*'20Ф'!$I$1341</f>
        <v>1841.9277108433701</v>
      </c>
      <c r="FB177" s="276">
        <f>SUMIF(Сальдо!$A:$A,$B:$B,Сальдо!$H:$H)-SUMIF(Сальдо!$A:$A,$B:$B,Сальдо!$I:$I)</f>
        <v>747827.28</v>
      </c>
    </row>
    <row r="178" spans="1:158" ht="12" customHeight="1" x14ac:dyDescent="0.25">
      <c r="A178" s="3">
        <f t="shared" si="32"/>
        <v>174</v>
      </c>
      <c r="B178" s="4" t="s">
        <v>223</v>
      </c>
      <c r="C178" s="4" t="s">
        <v>223</v>
      </c>
      <c r="D178" s="5">
        <v>3870.2</v>
      </c>
      <c r="E178" s="6">
        <v>3870.2</v>
      </c>
      <c r="F178" s="6">
        <v>0</v>
      </c>
      <c r="G178" s="6">
        <v>760.2</v>
      </c>
      <c r="H178" s="5">
        <f>SUMIF(отчёт!$B:$B,$B:$B,отчёт!I:I)</f>
        <v>1</v>
      </c>
      <c r="I178" s="5">
        <f>SUMIF(отчёт!$B:$B,$B:$B,отчёт!J:J)</f>
        <v>1</v>
      </c>
      <c r="J178" s="3" t="s">
        <v>114</v>
      </c>
      <c r="K178" s="105">
        <v>3</v>
      </c>
      <c r="L178" s="105" t="s">
        <v>52</v>
      </c>
      <c r="M178" s="7">
        <v>45.06</v>
      </c>
      <c r="N178" s="8">
        <v>5.0999999999999996</v>
      </c>
      <c r="O178" s="8">
        <v>8.6300000000000008</v>
      </c>
      <c r="P178" s="8">
        <v>13.43</v>
      </c>
      <c r="Q178" s="8">
        <v>6.91</v>
      </c>
      <c r="R178" s="8">
        <v>3.15</v>
      </c>
      <c r="S178" s="8">
        <v>1.81</v>
      </c>
      <c r="T178" s="8">
        <v>5.77</v>
      </c>
      <c r="U178" s="8">
        <v>0.26</v>
      </c>
      <c r="V178" s="9">
        <v>40</v>
      </c>
      <c r="W178" s="9">
        <v>40</v>
      </c>
      <c r="X178" s="9">
        <v>2604.04</v>
      </c>
      <c r="Y178" s="8">
        <v>195.98199600000001</v>
      </c>
      <c r="Z178" s="9">
        <v>42.3</v>
      </c>
      <c r="AA178" s="9">
        <v>2604.04</v>
      </c>
      <c r="AB178" s="8">
        <v>7.85</v>
      </c>
      <c r="AC178" s="10">
        <v>0</v>
      </c>
      <c r="AD178" s="8">
        <v>6.73</v>
      </c>
      <c r="AE178" s="8">
        <v>10.67</v>
      </c>
      <c r="AF178" s="8">
        <v>14</v>
      </c>
      <c r="AG178" s="7">
        <v>1046347.272</v>
      </c>
      <c r="AH178" s="8">
        <v>118428.11999999998</v>
      </c>
      <c r="AI178" s="8">
        <v>200398.95600000001</v>
      </c>
      <c r="AJ178" s="8">
        <v>311860.71600000001</v>
      </c>
      <c r="AK178" s="8">
        <v>160458.492</v>
      </c>
      <c r="AL178" s="8">
        <v>73146.78</v>
      </c>
      <c r="AM178" s="8">
        <v>42030.372000000003</v>
      </c>
      <c r="AN178" s="8">
        <v>133986.32399999996</v>
      </c>
      <c r="AO178" s="8">
        <v>6037.5119999999997</v>
      </c>
      <c r="AQ178" s="104">
        <v>48.44</v>
      </c>
      <c r="AR178" s="375">
        <v>18.489999999999998</v>
      </c>
      <c r="AS178" s="376"/>
      <c r="AT178" s="104">
        <v>6.67</v>
      </c>
      <c r="AU178" s="104">
        <v>1.53</v>
      </c>
      <c r="AV178" s="104">
        <v>0.32</v>
      </c>
      <c r="AW178" s="104">
        <v>0.87</v>
      </c>
      <c r="AX178" s="104">
        <v>5.01</v>
      </c>
      <c r="AY178" s="104">
        <v>4.99</v>
      </c>
      <c r="AZ178" s="104">
        <v>2.7</v>
      </c>
      <c r="BA178" s="104">
        <v>6.46</v>
      </c>
      <c r="BB178" s="104">
        <v>0.47</v>
      </c>
      <c r="BC178" s="101">
        <v>0.93</v>
      </c>
      <c r="BD178" s="104">
        <v>54.88252</v>
      </c>
      <c r="BE178" s="375">
        <v>20.949169999999999</v>
      </c>
      <c r="BF178" s="376">
        <v>0</v>
      </c>
      <c r="BG178" s="104">
        <v>7.5571100000000007</v>
      </c>
      <c r="BH178" s="104">
        <v>1.7334900000000002</v>
      </c>
      <c r="BI178" s="104">
        <v>0.36256000000000005</v>
      </c>
      <c r="BJ178" s="104">
        <v>0.98571000000000009</v>
      </c>
      <c r="BK178" s="104">
        <v>5.6763300000000001</v>
      </c>
      <c r="BL178" s="104">
        <v>5.65367</v>
      </c>
      <c r="BM178" s="104">
        <v>3.0591000000000004</v>
      </c>
      <c r="BN178" s="104">
        <v>7.3191800000000002</v>
      </c>
      <c r="BO178" s="104">
        <v>0.53250999999999993</v>
      </c>
      <c r="BP178" s="101">
        <v>1.05369</v>
      </c>
      <c r="BQ178" s="103">
        <v>2499008.2650400004</v>
      </c>
      <c r="BR178" s="371">
        <v>953894.77333999984</v>
      </c>
      <c r="BS178" s="371">
        <v>0</v>
      </c>
      <c r="BT178" s="103">
        <v>344103.73921999999</v>
      </c>
      <c r="BU178" s="103">
        <v>78932.341979999997</v>
      </c>
      <c r="BV178" s="103">
        <v>16508.725119999999</v>
      </c>
      <c r="BW178" s="103">
        <v>44883.096420000002</v>
      </c>
      <c r="BX178" s="103">
        <v>258464.72765999998</v>
      </c>
      <c r="BY178" s="103">
        <v>257432.93234</v>
      </c>
      <c r="BZ178" s="103">
        <v>139292.36820000003</v>
      </c>
      <c r="CA178" s="103">
        <v>333269.88835999998</v>
      </c>
      <c r="CB178" s="103">
        <v>24247.190019999995</v>
      </c>
      <c r="CC178" s="103">
        <v>47978.482379999994</v>
      </c>
      <c r="CD178" s="1">
        <v>1</v>
      </c>
      <c r="CF178" s="277">
        <f>SUMIF(Оборот!$A:$A,$B:$B,Оборот!H:H)</f>
        <v>2145019.4799999995</v>
      </c>
      <c r="CG178" s="277">
        <f>SUMIF(Оборот!$A:$A,$B:$B,Оборот!I:I)</f>
        <v>2219653.16</v>
      </c>
      <c r="CH178" s="277">
        <f t="shared" si="25"/>
        <v>2299752.8896448086</v>
      </c>
      <c r="CI178" s="239">
        <f t="shared" si="30"/>
        <v>695377.9089693703</v>
      </c>
      <c r="CJ178" s="276">
        <f>SUMIF('20Ф'!$H:$H,$B:$B,'20Ф'!M:M)*1.2</f>
        <v>0</v>
      </c>
      <c r="CK178" s="276">
        <f>SUMIF('20Ф'!$H:$H,$B:$B,'20Ф'!O:O)*1.2</f>
        <v>0</v>
      </c>
      <c r="CL178" s="276">
        <f>SUMIF('20Ф'!$H:$H,$B:$B,'20Ф'!Q:Q)*1.2</f>
        <v>0</v>
      </c>
      <c r="CM178" s="276">
        <f>SUMIF('20Ф'!$H:$H,$B:$B,'20Ф'!R:R)*1.2</f>
        <v>47924.976000000002</v>
      </c>
      <c r="CN178" s="276">
        <f>SUMIF('20Ф'!$H:$H,$B:$B,'20Ф'!S:S)*1.2</f>
        <v>0</v>
      </c>
      <c r="CO178" s="276">
        <f>SUMIF('20Ф'!$H:$H,$B:$B,'20Ф'!W:W)*1.2</f>
        <v>0</v>
      </c>
      <c r="CP178" s="276">
        <f>SUMIF('20Ф'!$H:$H,$B:$B,'20Ф'!P:P)*1.2</f>
        <v>0</v>
      </c>
      <c r="CQ178" s="276">
        <f>SUMIF('20Ф'!$H:$H,$B:$B,'20Ф'!Y:Y)*1.2</f>
        <v>0</v>
      </c>
      <c r="CR178" s="276">
        <f>SUMIF('20Ф'!$H:$H,$B:$B,'20Ф'!Z:Z)*1.2</f>
        <v>0</v>
      </c>
      <c r="CS178" s="276">
        <f>SUMIF('20Ф'!$H:$H,$B:$B,'20Ф'!AB:AB)*1.2</f>
        <v>0</v>
      </c>
      <c r="CT178" s="276">
        <f>SUMIF('20Ф'!$H:$H,$B:$B,'20Ф'!AC:AC)*1.2</f>
        <v>0</v>
      </c>
      <c r="CU178" s="276">
        <f>SUMIF('20Ф'!$H:$H,$B:$B,'20Ф'!AD:AD)*1.2</f>
        <v>371963.53199999995</v>
      </c>
      <c r="CV178" s="276">
        <f>SUMIF('20Ф'!$H:$H,$B:$B,'20Ф'!AE:AE)*1.2</f>
        <v>0</v>
      </c>
      <c r="CW178" s="276">
        <f>SUMIF('20Ф'!$H:$H,$B:$B,'20Ф'!AF:AF)*1.2</f>
        <v>0</v>
      </c>
      <c r="CX178" s="276">
        <f>SUMIF('20Ф'!$H:$H,$B:$B,'20Ф'!AG:AG)*1.2</f>
        <v>0</v>
      </c>
      <c r="CY178" s="276">
        <f>SUMIF('20Ф'!$H:$H,$B:$B,'20Ф'!AH:AH)*1.2</f>
        <v>0</v>
      </c>
      <c r="CZ178" s="276">
        <f>SUMIF('20Ф'!$H:$H,$B:$B,'20Ф'!AI:AI)*1.2</f>
        <v>0</v>
      </c>
      <c r="DA178" s="276">
        <f>SUMIF('20Ф'!$H:$H,$B:$B,'20Ф'!AJ:AJ)*1.2</f>
        <v>113900.73599999999</v>
      </c>
      <c r="DB178" s="276">
        <f>SUMIF('20Ф'!$H:$H,$B:$B,'20Ф'!AK:AK)*1.2</f>
        <v>0</v>
      </c>
      <c r="DC178" s="276">
        <f>SUMIF('20Ф'!$H:$H,$B:$B,'20Ф'!AL:AL)*1.2</f>
        <v>0</v>
      </c>
      <c r="DD178" s="276">
        <f>SUMIF('20Ф'!$H:$H,$B:$B,'20Ф'!AM:AM)*1.2</f>
        <v>0</v>
      </c>
      <c r="DE178" s="276">
        <f>SUMIF('20Ф'!$H:$H,$B:$B,'20Ф'!AN:AN)*1.2</f>
        <v>0</v>
      </c>
      <c r="DF178" s="276">
        <f>SUMIF('20Ф'!$H:$H,$B:$B,'20Ф'!AO:AO)*1.2</f>
        <v>0</v>
      </c>
      <c r="DG178" s="276">
        <f>SUMIF('20Ф'!$H:$H,$B:$B,'20Ф'!AP:AP)*1.2</f>
        <v>127548.95999999999</v>
      </c>
      <c r="DH178" s="276">
        <f>SUMIF('20Ф'!$H:$H,$B:$B,'20Ф'!AQ:AQ)*1.2</f>
        <v>0</v>
      </c>
      <c r="DI178" s="276">
        <f>SUMIF('20Ф'!$H:$H,$B:$B,'20Ф'!BA:BA)*1.2</f>
        <v>0</v>
      </c>
      <c r="DJ178" s="276">
        <f>SUMIF('20Ф'!$H:$H,$B:$B,'20Ф'!BB:BB)*1.2</f>
        <v>0</v>
      </c>
      <c r="DK178" s="276">
        <f>SUMIF('20Ф'!$H:$H,$B:$B,'20Ф'!BC:BC)*1.2</f>
        <v>0</v>
      </c>
      <c r="DL178" s="276">
        <f>$D178/$D$281*'20Ф'!$H$218</f>
        <v>34039.704969370337</v>
      </c>
      <c r="DM178" s="240">
        <f t="shared" si="26"/>
        <v>496211.28265061387</v>
      </c>
      <c r="DN178" s="276">
        <f>SUMIF('20Ф'!$H:$H,$B:$B,'20Ф'!AV:AV)*1.2</f>
        <v>0</v>
      </c>
      <c r="DO178" s="276">
        <f>SUMIF('20Ф'!$H:$H,$B:$B,'20Ф'!AW:AW)*1.2+$D178/$D$281*'26Ф'!$D$42</f>
        <v>18114.168949069735</v>
      </c>
      <c r="DP178" s="276">
        <f>SUMIF('20Ф'!$H:$H,$B:$B,'20Ф'!AX:AX)*1.2</f>
        <v>0</v>
      </c>
      <c r="DQ178" s="276">
        <f>SUMIF('20Ф'!$H:$H,$B:$B,'20Ф'!AY:AY)*1.2</f>
        <v>33561</v>
      </c>
      <c r="DR178" s="276">
        <f>SUMIF('20Ф'!$H:$H,$B:$B,'20Ф'!AU:AU)*1.2</f>
        <v>0</v>
      </c>
      <c r="DS178" s="276">
        <f>SUMIF('20Ф'!$H:$H,$B:$B,'20Ф'!AS:AS)*1.2</f>
        <v>125005.092</v>
      </c>
      <c r="DT178" s="276">
        <f>SUMIF('20Ф'!$H:$H,$B:$B,'20Ф'!AR:AR)*1.2</f>
        <v>0</v>
      </c>
      <c r="DU178" s="276">
        <f>SUMIF('20Ф'!$H:$H,$B:$B,'20Ф'!X:X)*1.2</f>
        <v>0</v>
      </c>
      <c r="DV178" s="276">
        <f>SUMIF('20Ф'!$H:$H,$B:$B,'20Ф'!AA:AA)*1.2</f>
        <v>0</v>
      </c>
      <c r="DW178" s="276">
        <f>SUMIF('20Ф'!$H:$H,$B:$B,'20Ф'!N:N)*1.2</f>
        <v>0</v>
      </c>
      <c r="DX178" s="276">
        <f>$D178/$D$281*('25Ф'!$D$37)</f>
        <v>304476.51878403116</v>
      </c>
      <c r="DY178" s="276">
        <f>$D178/$D$281*'25Ф'!$D$30</f>
        <v>9717.9346732819995</v>
      </c>
      <c r="DZ178" s="276">
        <f>$D178/$D$281*'25Ф'!$D$31</f>
        <v>5336.5682442309089</v>
      </c>
      <c r="EA178" s="276"/>
      <c r="EB178" s="276">
        <f t="shared" si="27"/>
        <v>191824.98561078584</v>
      </c>
      <c r="EC178" s="276">
        <f>$D178/$D$281*'26Ф'!$D$36</f>
        <v>99851.082688295632</v>
      </c>
      <c r="ED178" s="276">
        <f>$D178/$D$281*'26Ф'!$D$37</f>
        <v>11997.000941963443</v>
      </c>
      <c r="EE178" s="276">
        <f>$D178/$D$281*'26Ф'!$D$38</f>
        <v>12120.041991836544</v>
      </c>
      <c r="EF178" s="276">
        <f>$D178/$D$281*'26Ф'!$D$39</f>
        <v>8502.1983955971518</v>
      </c>
      <c r="EG178" s="276">
        <f>$D178/$D$281*'91Ф'!$D$10</f>
        <v>2622.9246690248137</v>
      </c>
      <c r="EH178" s="276">
        <f>$D178/$D$281*('20Ф'!$I$509+'26Ф'!$D$41+'20Ф'!$I$507)</f>
        <v>18556.328345139846</v>
      </c>
      <c r="EI178" s="276">
        <f>$D178/$D$281*'91Ф'!$D$31</f>
        <v>34016.475404595934</v>
      </c>
      <c r="EJ178" s="276">
        <f>$D178/$D$281*'20Ф'!$I$1316</f>
        <v>4158.9331743324656</v>
      </c>
      <c r="EK178" s="276">
        <f>$D178/$D$281*('20Ф'!$I$1105+'20Ф'!$I$1282+'91Ф'!$D$17+'91Ф'!$D$41)</f>
        <v>136583.9989131435</v>
      </c>
      <c r="EL178" s="276">
        <f>$D178/$D$281*отчёт!BX$294</f>
        <v>228326.79131418662</v>
      </c>
      <c r="EM178" s="276">
        <f>$D178/$D$281*отчёт!BY$294</f>
        <v>200801.15682623218</v>
      </c>
      <c r="EN178" s="276">
        <f>$D178/$D$283*отчёт!BZ$294</f>
        <v>36037.530724810749</v>
      </c>
      <c r="EO178" s="240">
        <f t="shared" ref="EO178:EO203" si="37">SUBTOTAL(9,EP178:ER178)</f>
        <v>183876.00950099801</v>
      </c>
      <c r="EP178" s="276">
        <f>SUMIF('20Ф'!$H:$H,$B:$B,'20Ф'!T:T)*1.2</f>
        <v>6012.5999999999995</v>
      </c>
      <c r="EQ178" s="276">
        <f>SUM(H178:I178)/SUM($H$284:$I$284)*SUM('60Ф'!$O$155:$P$155)</f>
        <v>172510.26175648702</v>
      </c>
      <c r="ER178" s="276">
        <f>SUM($H178:$I178)/SUM($H$284:$I$284)*SUM('60Ф'!$P$227)</f>
        <v>5353.1477445109776</v>
      </c>
      <c r="ES178" s="239">
        <f t="shared" si="31"/>
        <v>76421.064014820207</v>
      </c>
      <c r="ET178" s="276">
        <f>$D178/$D$282*'20Ф'!$I$381</f>
        <v>5840.9351434189221</v>
      </c>
      <c r="EU178" s="276">
        <f>$D178/$D$282*('20Ф'!$I$75+'20Ф'!$I$1098)*1.2</f>
        <v>67465.393857683201</v>
      </c>
      <c r="EV178" s="276">
        <f>$D178/$D$282*('20Ф'!$I$1286)</f>
        <v>3114.7350137180847</v>
      </c>
      <c r="EW178" s="276">
        <f>SUMIF('91.1Ф'!$N:$N,$B:$B,'91.1Ф'!$F:$F)+$D178/$D$281*('91Ф'!$D$12+'91Ф'!$D$11+'91Ф'!$D$19+'91Ф'!$D$20)</f>
        <v>18001.103460662071</v>
      </c>
      <c r="EX178" s="276">
        <f t="shared" si="29"/>
        <v>36291.057659185317</v>
      </c>
      <c r="EY178" s="276">
        <f>SUMIF('20Ф'!$H:$H,$B:$B,'20Ф'!$AY:$AY)*1.2</f>
        <v>33561</v>
      </c>
      <c r="EZ178" s="295">
        <f>D178/$D$286*'20Ф'!$I$1163</f>
        <v>2730.0576591853192</v>
      </c>
      <c r="FA178" s="277">
        <f>SUMIF(отчёт!$B:$B,$B:$B,отчёт!$CU:$CU)/отчёт!$CU$281*'20Ф'!$I$1341</f>
        <v>920.96385542168503</v>
      </c>
      <c r="FB178" s="276">
        <f>SUMIF(Сальдо!$A:$A,$B:$B,Сальдо!$H:$H)-SUMIF(Сальдо!$A:$A,$B:$B,Сальдо!$I:$I)</f>
        <v>171335.88</v>
      </c>
    </row>
    <row r="179" spans="1:158" ht="12" customHeight="1" x14ac:dyDescent="0.25">
      <c r="A179" s="3">
        <f t="shared" si="32"/>
        <v>175</v>
      </c>
      <c r="B179" s="4" t="s">
        <v>224</v>
      </c>
      <c r="C179" s="4" t="s">
        <v>224</v>
      </c>
      <c r="D179" s="5">
        <v>3892.2</v>
      </c>
      <c r="E179" s="6">
        <v>3892.2</v>
      </c>
      <c r="F179" s="6">
        <v>0</v>
      </c>
      <c r="G179" s="6">
        <v>797.4</v>
      </c>
      <c r="H179" s="5">
        <f>SUMIF(отчёт!$B:$B,$B:$B,отчёт!I:I)</f>
        <v>1</v>
      </c>
      <c r="I179" s="5">
        <f>SUMIF(отчёт!$B:$B,$B:$B,отчёт!J:J)</f>
        <v>1</v>
      </c>
      <c r="J179" s="3" t="s">
        <v>114</v>
      </c>
      <c r="K179" s="105">
        <v>3</v>
      </c>
      <c r="L179" s="105" t="s">
        <v>52</v>
      </c>
      <c r="M179" s="7">
        <v>45.06</v>
      </c>
      <c r="N179" s="8">
        <v>5.0999999999999996</v>
      </c>
      <c r="O179" s="8">
        <v>8.6300000000000008</v>
      </c>
      <c r="P179" s="8">
        <v>13.43</v>
      </c>
      <c r="Q179" s="8">
        <v>6.91</v>
      </c>
      <c r="R179" s="8">
        <v>3.15</v>
      </c>
      <c r="S179" s="8">
        <v>1.81</v>
      </c>
      <c r="T179" s="8">
        <v>5.77</v>
      </c>
      <c r="U179" s="8">
        <v>0.26</v>
      </c>
      <c r="V179" s="9">
        <v>40</v>
      </c>
      <c r="W179" s="9">
        <v>40</v>
      </c>
      <c r="X179" s="9">
        <v>2604.04</v>
      </c>
      <c r="Y179" s="8">
        <v>195.98199600000001</v>
      </c>
      <c r="Z179" s="9">
        <v>42.3</v>
      </c>
      <c r="AA179" s="9">
        <v>2604.04</v>
      </c>
      <c r="AB179" s="8">
        <v>7.85</v>
      </c>
      <c r="AC179" s="10">
        <v>0</v>
      </c>
      <c r="AD179" s="8">
        <v>6.73</v>
      </c>
      <c r="AE179" s="8">
        <v>10.67</v>
      </c>
      <c r="AF179" s="8">
        <v>14</v>
      </c>
      <c r="AG179" s="7">
        <v>1052295.192</v>
      </c>
      <c r="AH179" s="8">
        <v>119101.31999999998</v>
      </c>
      <c r="AI179" s="8">
        <v>201538.11600000001</v>
      </c>
      <c r="AJ179" s="8">
        <v>313633.47600000002</v>
      </c>
      <c r="AK179" s="8">
        <v>161370.61199999999</v>
      </c>
      <c r="AL179" s="8">
        <v>73562.579999999987</v>
      </c>
      <c r="AM179" s="8">
        <v>42269.292000000001</v>
      </c>
      <c r="AN179" s="8">
        <v>134747.96399999998</v>
      </c>
      <c r="AO179" s="8">
        <v>6071.8320000000003</v>
      </c>
      <c r="AQ179" s="104">
        <v>48.44</v>
      </c>
      <c r="AR179" s="375">
        <v>18.489999999999998</v>
      </c>
      <c r="AS179" s="376"/>
      <c r="AT179" s="104">
        <v>6.67</v>
      </c>
      <c r="AU179" s="104">
        <v>1.53</v>
      </c>
      <c r="AV179" s="104">
        <v>0.32</v>
      </c>
      <c r="AW179" s="104">
        <v>0.87</v>
      </c>
      <c r="AX179" s="104">
        <v>5.01</v>
      </c>
      <c r="AY179" s="104">
        <v>4.99</v>
      </c>
      <c r="AZ179" s="104">
        <v>2.7</v>
      </c>
      <c r="BA179" s="104">
        <v>6.46</v>
      </c>
      <c r="BB179" s="104">
        <v>0.47</v>
      </c>
      <c r="BC179" s="101">
        <v>0.93</v>
      </c>
      <c r="BD179" s="104">
        <v>54.88252</v>
      </c>
      <c r="BE179" s="375">
        <v>20.949169999999999</v>
      </c>
      <c r="BF179" s="376">
        <v>0</v>
      </c>
      <c r="BG179" s="104">
        <v>7.5571100000000007</v>
      </c>
      <c r="BH179" s="104">
        <v>1.7334900000000002</v>
      </c>
      <c r="BI179" s="104">
        <v>0.36256000000000005</v>
      </c>
      <c r="BJ179" s="104">
        <v>0.98571000000000009</v>
      </c>
      <c r="BK179" s="104">
        <v>5.6763300000000001</v>
      </c>
      <c r="BL179" s="104">
        <v>5.65367</v>
      </c>
      <c r="BM179" s="104">
        <v>3.0591000000000004</v>
      </c>
      <c r="BN179" s="104">
        <v>7.3191800000000002</v>
      </c>
      <c r="BO179" s="104">
        <v>0.53250999999999993</v>
      </c>
      <c r="BP179" s="101">
        <v>1.05369</v>
      </c>
      <c r="BQ179" s="103">
        <v>2513213.7794399997</v>
      </c>
      <c r="BR179" s="371">
        <v>959317.15073999984</v>
      </c>
      <c r="BS179" s="371">
        <v>0</v>
      </c>
      <c r="BT179" s="103">
        <v>346059.78341999999</v>
      </c>
      <c r="BU179" s="103">
        <v>79381.029779999997</v>
      </c>
      <c r="BV179" s="103">
        <v>16602.568319999998</v>
      </c>
      <c r="BW179" s="103">
        <v>45138.232620000002</v>
      </c>
      <c r="BX179" s="103">
        <v>259933.96025999996</v>
      </c>
      <c r="BY179" s="103">
        <v>258896.29973999999</v>
      </c>
      <c r="BZ179" s="103">
        <v>140084.17020000002</v>
      </c>
      <c r="CA179" s="103">
        <v>335164.34795999998</v>
      </c>
      <c r="CB179" s="103">
        <v>24385.022219999992</v>
      </c>
      <c r="CC179" s="103">
        <v>48251.214179999995</v>
      </c>
      <c r="CD179" s="1">
        <v>1</v>
      </c>
      <c r="CF179" s="277">
        <f>SUMIF(Оборот!$A:$A,$B:$B,Оборот!H:H)</f>
        <v>2155660.8900000006</v>
      </c>
      <c r="CG179" s="277">
        <f>SUMIF(Оборот!$A:$A,$B:$B,Оборот!I:I)</f>
        <v>2158048.41</v>
      </c>
      <c r="CH179" s="277">
        <f t="shared" si="25"/>
        <v>1731377.1107469646</v>
      </c>
      <c r="CI179" s="239">
        <f t="shared" si="30"/>
        <v>195067.13833625734</v>
      </c>
      <c r="CJ179" s="276">
        <f>SUMIF('20Ф'!$H:$H,$B:$B,'20Ф'!M:M)*1.2</f>
        <v>0</v>
      </c>
      <c r="CK179" s="276">
        <f>SUMIF('20Ф'!$H:$H,$B:$B,'20Ф'!O:O)*1.2</f>
        <v>0</v>
      </c>
      <c r="CL179" s="276">
        <f>SUMIF('20Ф'!$H:$H,$B:$B,'20Ф'!Q:Q)*1.2</f>
        <v>0</v>
      </c>
      <c r="CM179" s="276">
        <f>SUMIF('20Ф'!$H:$H,$B:$B,'20Ф'!R:R)*1.2</f>
        <v>0</v>
      </c>
      <c r="CN179" s="276">
        <f>SUMIF('20Ф'!$H:$H,$B:$B,'20Ф'!S:S)*1.2</f>
        <v>0</v>
      </c>
      <c r="CO179" s="276">
        <f>SUMIF('20Ф'!$H:$H,$B:$B,'20Ф'!W:W)*1.2</f>
        <v>0</v>
      </c>
      <c r="CP179" s="276">
        <f>SUMIF('20Ф'!$H:$H,$B:$B,'20Ф'!P:P)*1.2</f>
        <v>0</v>
      </c>
      <c r="CQ179" s="276">
        <f>SUMIF('20Ф'!$H:$H,$B:$B,'20Ф'!Y:Y)*1.2</f>
        <v>0</v>
      </c>
      <c r="CR179" s="276">
        <f>SUMIF('20Ф'!$H:$H,$B:$B,'20Ф'!Z:Z)*1.2</f>
        <v>0</v>
      </c>
      <c r="CS179" s="276">
        <f>SUMIF('20Ф'!$H:$H,$B:$B,'20Ф'!AB:AB)*1.2</f>
        <v>0</v>
      </c>
      <c r="CT179" s="276">
        <f>SUMIF('20Ф'!$H:$H,$B:$B,'20Ф'!AC:AC)*1.2</f>
        <v>0</v>
      </c>
      <c r="CU179" s="276">
        <f>SUMIF('20Ф'!$H:$H,$B:$B,'20Ф'!AD:AD)*1.2</f>
        <v>160833.93599999999</v>
      </c>
      <c r="CV179" s="276">
        <f>SUMIF('20Ф'!$H:$H,$B:$B,'20Ф'!AE:AE)*1.2</f>
        <v>0</v>
      </c>
      <c r="CW179" s="276">
        <f>SUMIF('20Ф'!$H:$H,$B:$B,'20Ф'!AF:AF)*1.2</f>
        <v>0</v>
      </c>
      <c r="CX179" s="276">
        <f>SUMIF('20Ф'!$H:$H,$B:$B,'20Ф'!AG:AG)*1.2</f>
        <v>0</v>
      </c>
      <c r="CY179" s="276">
        <f>SUMIF('20Ф'!$H:$H,$B:$B,'20Ф'!AH:AH)*1.2</f>
        <v>0</v>
      </c>
      <c r="CZ179" s="276">
        <f>SUMIF('20Ф'!$H:$H,$B:$B,'20Ф'!AI:AI)*1.2</f>
        <v>0</v>
      </c>
      <c r="DA179" s="276">
        <f>SUMIF('20Ф'!$H:$H,$B:$B,'20Ф'!AJ:AJ)*1.2</f>
        <v>0</v>
      </c>
      <c r="DB179" s="276">
        <f>SUMIF('20Ф'!$H:$H,$B:$B,'20Ф'!AK:AK)*1.2</f>
        <v>0</v>
      </c>
      <c r="DC179" s="276">
        <f>SUMIF('20Ф'!$H:$H,$B:$B,'20Ф'!AL:AL)*1.2</f>
        <v>0</v>
      </c>
      <c r="DD179" s="276">
        <f>SUMIF('20Ф'!$H:$H,$B:$B,'20Ф'!AM:AM)*1.2</f>
        <v>0</v>
      </c>
      <c r="DE179" s="276">
        <f>SUMIF('20Ф'!$H:$H,$B:$B,'20Ф'!AN:AN)*1.2</f>
        <v>0</v>
      </c>
      <c r="DF179" s="276">
        <f>SUMIF('20Ф'!$H:$H,$B:$B,'20Ф'!AO:AO)*1.2</f>
        <v>0</v>
      </c>
      <c r="DG179" s="276">
        <f>SUMIF('20Ф'!$H:$H,$B:$B,'20Ф'!AP:AP)*1.2</f>
        <v>0</v>
      </c>
      <c r="DH179" s="276">
        <f>SUMIF('20Ф'!$H:$H,$B:$B,'20Ф'!AQ:AQ)*1.2</f>
        <v>0</v>
      </c>
      <c r="DI179" s="276">
        <f>SUMIF('20Ф'!$H:$H,$B:$B,'20Ф'!BA:BA)*1.2</f>
        <v>0</v>
      </c>
      <c r="DJ179" s="276">
        <f>SUMIF('20Ф'!$H:$H,$B:$B,'20Ф'!BB:BB)*1.2</f>
        <v>0</v>
      </c>
      <c r="DK179" s="276">
        <f>SUMIF('20Ф'!$H:$H,$B:$B,'20Ф'!BC:BC)*1.2</f>
        <v>0</v>
      </c>
      <c r="DL179" s="276">
        <f>$D179/$D$281*'20Ф'!$H$218</f>
        <v>34233.20233625736</v>
      </c>
      <c r="DM179" s="240">
        <f t="shared" si="26"/>
        <v>441542.96948476031</v>
      </c>
      <c r="DN179" s="276">
        <f>SUMIF('20Ф'!$H:$H,$B:$B,'20Ф'!AV:AV)*1.2</f>
        <v>0</v>
      </c>
      <c r="DO179" s="276">
        <f>SUMIF('20Ф'!$H:$H,$B:$B,'20Ф'!AW:AW)*1.2+$D179/$D$281*'26Ф'!$D$42</f>
        <v>18217.138231504632</v>
      </c>
      <c r="DP179" s="276">
        <f>SUMIF('20Ф'!$H:$H,$B:$B,'20Ф'!AX:AX)*1.2</f>
        <v>0</v>
      </c>
      <c r="DQ179" s="276">
        <f>SUMIF('20Ф'!$H:$H,$B:$B,'20Ф'!AY:AY)*1.2</f>
        <v>15101.003999999999</v>
      </c>
      <c r="DR179" s="276">
        <f>SUMIF('20Ф'!$H:$H,$B:$B,'20Ф'!AU:AU)*1.2</f>
        <v>0</v>
      </c>
      <c r="DS179" s="276">
        <f>SUMIF('20Ф'!$H:$H,$B:$B,'20Ф'!AS:AS)*1.2</f>
        <v>86877.443999999989</v>
      </c>
      <c r="DT179" s="276">
        <f>SUMIF('20Ф'!$H:$H,$B:$B,'20Ф'!AR:AR)*1.2</f>
        <v>0</v>
      </c>
      <c r="DU179" s="276">
        <f>SUMIF('20Ф'!$H:$H,$B:$B,'20Ф'!X:X)*1.2</f>
        <v>0</v>
      </c>
      <c r="DV179" s="276">
        <f>SUMIF('20Ф'!$H:$H,$B:$B,'20Ф'!AA:AA)*1.2</f>
        <v>0</v>
      </c>
      <c r="DW179" s="276">
        <f>SUMIF('20Ф'!$H:$H,$B:$B,'20Ф'!N:N)*1.2</f>
        <v>0</v>
      </c>
      <c r="DX179" s="276">
        <f>$D179/$D$281*('25Ф'!$D$37)</f>
        <v>306207.30360477656</v>
      </c>
      <c r="DY179" s="276">
        <f>$D179/$D$281*'25Ф'!$D$30</f>
        <v>9773.1758915167702</v>
      </c>
      <c r="DZ179" s="276">
        <f>$D179/$D$281*'25Ф'!$D$31</f>
        <v>5366.9037569623133</v>
      </c>
      <c r="EA179" s="276"/>
      <c r="EB179" s="276">
        <f t="shared" si="27"/>
        <v>192915.40721262485</v>
      </c>
      <c r="EC179" s="276">
        <f>$D179/$D$281*'26Ф'!$D$36</f>
        <v>100418.68224882029</v>
      </c>
      <c r="ED179" s="276">
        <f>$D179/$D$281*'26Ф'!$D$37</f>
        <v>12065.197422952331</v>
      </c>
      <c r="EE179" s="276">
        <f>$D179/$D$281*'26Ф'!$D$38</f>
        <v>12188.937894844246</v>
      </c>
      <c r="EF179" s="276">
        <f>$D179/$D$281*'26Ф'!$D$39</f>
        <v>8550.5288086773908</v>
      </c>
      <c r="EG179" s="276">
        <f>$D179/$D$281*'91Ф'!$D$10</f>
        <v>2637.834581359718</v>
      </c>
      <c r="EH179" s="276">
        <f>$D179/$D$281*('20Ф'!$I$509+'26Ф'!$D$41+'20Ф'!$I$507)</f>
        <v>18661.811065307556</v>
      </c>
      <c r="EI179" s="276">
        <f>$D179/$D$281*'91Ф'!$D$31</f>
        <v>34209.840723933725</v>
      </c>
      <c r="EJ179" s="276">
        <f>$D179/$D$281*'20Ф'!$I$1316</f>
        <v>4182.5744667295812</v>
      </c>
      <c r="EK179" s="276">
        <f>$D179/$D$281*('20Ф'!$I$1105+'20Ф'!$I$1282+'91Ф'!$D$17+'91Ф'!$D$41)</f>
        <v>137360.40529423213</v>
      </c>
      <c r="EL179" s="276">
        <f>$D179/$D$281*отчёт!BX$294</f>
        <v>229624.70599790121</v>
      </c>
      <c r="EM179" s="276">
        <f>$D179/$D$281*отчёт!BY$294</f>
        <v>201942.60312104307</v>
      </c>
      <c r="EN179" s="276">
        <f>$D179/$D$283*отчёт!BZ$294</f>
        <v>36242.384653792673</v>
      </c>
      <c r="EO179" s="240">
        <f t="shared" si="37"/>
        <v>183876.00950099801</v>
      </c>
      <c r="EP179" s="276">
        <f>SUMIF('20Ф'!$H:$H,$B:$B,'20Ф'!T:T)*1.2</f>
        <v>6012.5999999999995</v>
      </c>
      <c r="EQ179" s="276">
        <f>SUM(H179:I179)/SUM($H$284:$I$284)*SUM('60Ф'!$O$155:$P$155)</f>
        <v>172510.26175648702</v>
      </c>
      <c r="ER179" s="276">
        <f>SUM($H179:$I179)/SUM($H$284:$I$284)*SUM('60Ф'!$P$227)</f>
        <v>5353.1477445109776</v>
      </c>
      <c r="ES179" s="239">
        <f t="shared" si="31"/>
        <v>76855.476553791319</v>
      </c>
      <c r="ET179" s="276">
        <f>$D179/$D$282*'20Ф'!$I$381</f>
        <v>5874.137709993056</v>
      </c>
      <c r="EU179" s="276">
        <f>$D179/$D$282*('20Ф'!$I$75+'20Ф'!$I$1098)*1.2</f>
        <v>67848.898241143746</v>
      </c>
      <c r="EV179" s="276">
        <f>$D179/$D$282*('20Ф'!$I$1286)</f>
        <v>3132.4406026545212</v>
      </c>
      <c r="EW179" s="276">
        <f>SUMIF('91.1Ф'!$N:$N,$B:$B,'91.1Ф'!$F:$F)+$D179/$D$281*('91Ф'!$D$12+'91Ф'!$D$11+'91Ф'!$D$19+'91Ф'!$D$20)</f>
        <v>18103.430026765778</v>
      </c>
      <c r="EX179" s="276">
        <f t="shared" si="29"/>
        <v>17846.580564797969</v>
      </c>
      <c r="EY179" s="276">
        <f>SUMIF('20Ф'!$H:$H,$B:$B,'20Ф'!$AY:$AY)*1.2</f>
        <v>15101.003999999999</v>
      </c>
      <c r="EZ179" s="295">
        <f>D179/$D$286*'20Ф'!$I$1163</f>
        <v>2745.5765647979692</v>
      </c>
      <c r="FA179" s="277">
        <f>SUMIF(отчёт!$B:$B,$B:$B,отчёт!$CU:$CU)/отчёт!$CU$281*'20Ф'!$I$1341</f>
        <v>920.96385542168503</v>
      </c>
      <c r="FB179" s="276">
        <f>SUMIF(Сальдо!$A:$A,$B:$B,Сальдо!$H:$H)-SUMIF(Сальдо!$A:$A,$B:$B,Сальдо!$I:$I)</f>
        <v>338816.39</v>
      </c>
    </row>
    <row r="180" spans="1:158" ht="12" customHeight="1" x14ac:dyDescent="0.25">
      <c r="A180" s="3">
        <f t="shared" si="32"/>
        <v>176</v>
      </c>
      <c r="B180" s="4" t="s">
        <v>225</v>
      </c>
      <c r="C180" s="4" t="s">
        <v>225</v>
      </c>
      <c r="D180" s="5">
        <v>14729.300000000001</v>
      </c>
      <c r="E180" s="6">
        <v>13280.2</v>
      </c>
      <c r="F180" s="6">
        <v>1449.1</v>
      </c>
      <c r="G180" s="6">
        <v>2794.8</v>
      </c>
      <c r="H180" s="5">
        <f>SUMIF(отчёт!$B:$B,$B:$B,отчёт!I:I)</f>
        <v>4</v>
      </c>
      <c r="I180" s="5">
        <f>SUMIF(отчёт!$B:$B,$B:$B,отчёт!J:J)</f>
        <v>4</v>
      </c>
      <c r="J180" s="3" t="s">
        <v>70</v>
      </c>
      <c r="K180" s="105">
        <v>1</v>
      </c>
      <c r="L180" s="105" t="s">
        <v>52</v>
      </c>
      <c r="M180" s="7">
        <v>44.8</v>
      </c>
      <c r="N180" s="8">
        <v>5.0999999999999996</v>
      </c>
      <c r="O180" s="8">
        <v>8.6300000000000008</v>
      </c>
      <c r="P180" s="8">
        <v>13.43</v>
      </c>
      <c r="Q180" s="8">
        <v>6.91</v>
      </c>
      <c r="R180" s="8">
        <v>3.15</v>
      </c>
      <c r="S180" s="8">
        <v>1.81</v>
      </c>
      <c r="T180" s="8">
        <v>5.77</v>
      </c>
      <c r="U180" s="8">
        <v>0</v>
      </c>
      <c r="V180" s="9">
        <v>40</v>
      </c>
      <c r="W180" s="9">
        <v>40</v>
      </c>
      <c r="X180" s="9">
        <v>2604.04</v>
      </c>
      <c r="Y180" s="8">
        <v>195.98199600000001</v>
      </c>
      <c r="Z180" s="9">
        <v>42.3</v>
      </c>
      <c r="AA180" s="9">
        <v>2604.04</v>
      </c>
      <c r="AB180" s="8">
        <v>0</v>
      </c>
      <c r="AC180" s="10">
        <v>0</v>
      </c>
      <c r="AD180" s="8">
        <v>5.05</v>
      </c>
      <c r="AE180" s="8">
        <v>10.67</v>
      </c>
      <c r="AF180" s="8">
        <v>14</v>
      </c>
      <c r="AG180" s="7">
        <v>3959235.84</v>
      </c>
      <c r="AH180" s="8">
        <v>450716.58000000007</v>
      </c>
      <c r="AI180" s="8">
        <v>762683.1540000001</v>
      </c>
      <c r="AJ180" s="8">
        <v>1186886.9939999999</v>
      </c>
      <c r="AK180" s="8">
        <v>610676.77800000005</v>
      </c>
      <c r="AL180" s="8">
        <v>278383.77</v>
      </c>
      <c r="AM180" s="8">
        <v>159960.19800000003</v>
      </c>
      <c r="AN180" s="8">
        <v>509928.36600000004</v>
      </c>
      <c r="AO180" s="8">
        <v>0</v>
      </c>
      <c r="AQ180" s="104">
        <v>48.16</v>
      </c>
      <c r="AR180" s="375">
        <v>18.649999999999999</v>
      </c>
      <c r="AS180" s="376"/>
      <c r="AT180" s="104">
        <v>7.16</v>
      </c>
      <c r="AU180" s="104">
        <v>1.53</v>
      </c>
      <c r="AV180" s="104">
        <v>0.32</v>
      </c>
      <c r="AW180" s="104">
        <v>0.87</v>
      </c>
      <c r="AX180" s="104">
        <v>5.01</v>
      </c>
      <c r="AY180" s="104">
        <v>4.99</v>
      </c>
      <c r="AZ180" s="104">
        <v>2.7</v>
      </c>
      <c r="BA180" s="104">
        <v>6.46</v>
      </c>
      <c r="BB180" s="104">
        <v>0.47</v>
      </c>
      <c r="BC180" s="101">
        <v>0</v>
      </c>
      <c r="BD180" s="104">
        <v>54.565279999999994</v>
      </c>
      <c r="BE180" s="375">
        <v>21.130449999999996</v>
      </c>
      <c r="BF180" s="376">
        <v>0</v>
      </c>
      <c r="BG180" s="104">
        <v>8.1122800000000002</v>
      </c>
      <c r="BH180" s="104">
        <v>1.7334900000000002</v>
      </c>
      <c r="BI180" s="104">
        <v>0.36255999999999999</v>
      </c>
      <c r="BJ180" s="104">
        <v>0.98570999999999998</v>
      </c>
      <c r="BK180" s="104">
        <v>5.6763299999999992</v>
      </c>
      <c r="BL180" s="104">
        <v>5.6536700000000009</v>
      </c>
      <c r="BM180" s="104">
        <v>3.0591000000000004</v>
      </c>
      <c r="BN180" s="104">
        <v>7.3191800000000002</v>
      </c>
      <c r="BO180" s="104">
        <v>0.53250999999999993</v>
      </c>
      <c r="BP180" s="101">
        <v>0</v>
      </c>
      <c r="BQ180" s="103">
        <v>9455809.9630399998</v>
      </c>
      <c r="BR180" s="371">
        <v>3661770.2618499999</v>
      </c>
      <c r="BS180" s="371">
        <v>0</v>
      </c>
      <c r="BT180" s="103">
        <v>1405805.6340400001</v>
      </c>
      <c r="BU180" s="103">
        <v>300402.60057000001</v>
      </c>
      <c r="BV180" s="103">
        <v>62829.302080000009</v>
      </c>
      <c r="BW180" s="103">
        <v>170817.16503</v>
      </c>
      <c r="BX180" s="103">
        <v>983671.26069000002</v>
      </c>
      <c r="BY180" s="103">
        <v>979744.42931000027</v>
      </c>
      <c r="BZ180" s="103">
        <v>530122.23630000011</v>
      </c>
      <c r="CA180" s="103">
        <v>1268366.5357400002</v>
      </c>
      <c r="CB180" s="103">
        <v>92280.537429999982</v>
      </c>
      <c r="CC180" s="103">
        <v>0</v>
      </c>
      <c r="CD180" s="1">
        <v>1</v>
      </c>
      <c r="CF180" s="277">
        <f>SUMIF(Оборот!$A:$A,$B:$B,Оборот!H:H)</f>
        <v>7308563.6199999992</v>
      </c>
      <c r="CG180" s="277">
        <f>SUMIF(Оборот!$A:$A,$B:$B,Оборот!I:I)</f>
        <v>7444787.6800000006</v>
      </c>
      <c r="CH180" s="277">
        <f t="shared" si="25"/>
        <v>6080315.4412742099</v>
      </c>
      <c r="CI180" s="239">
        <f t="shared" si="30"/>
        <v>567987.11373131792</v>
      </c>
      <c r="CJ180" s="276">
        <f>SUMIF('20Ф'!$H:$H,$B:$B,'20Ф'!M:M)*1.2</f>
        <v>0</v>
      </c>
      <c r="CK180" s="276">
        <f>SUMIF('20Ф'!$H:$H,$B:$B,'20Ф'!O:O)*1.2</f>
        <v>0</v>
      </c>
      <c r="CL180" s="276">
        <f>SUMIF('20Ф'!$H:$H,$B:$B,'20Ф'!Q:Q)*1.2</f>
        <v>252578.00400000002</v>
      </c>
      <c r="CM180" s="276">
        <f>SUMIF('20Ф'!$H:$H,$B:$B,'20Ф'!R:R)*1.2</f>
        <v>0</v>
      </c>
      <c r="CN180" s="276">
        <f>SUMIF('20Ф'!$H:$H,$B:$B,'20Ф'!S:S)*1.2</f>
        <v>0</v>
      </c>
      <c r="CO180" s="276">
        <f>SUMIF('20Ф'!$H:$H,$B:$B,'20Ф'!W:W)*1.2</f>
        <v>0</v>
      </c>
      <c r="CP180" s="276">
        <f>SUMIF('20Ф'!$H:$H,$B:$B,'20Ф'!P:P)*1.2</f>
        <v>0</v>
      </c>
      <c r="CQ180" s="276">
        <f>SUMIF('20Ф'!$H:$H,$B:$B,'20Ф'!Y:Y)*1.2</f>
        <v>0</v>
      </c>
      <c r="CR180" s="276">
        <f>SUMIF('20Ф'!$H:$H,$B:$B,'20Ф'!Z:Z)*1.2</f>
        <v>0</v>
      </c>
      <c r="CS180" s="276">
        <f>SUMIF('20Ф'!$H:$H,$B:$B,'20Ф'!AB:AB)*1.2</f>
        <v>0</v>
      </c>
      <c r="CT180" s="276">
        <f>SUMIF('20Ф'!$H:$H,$B:$B,'20Ф'!AC:AC)*1.2</f>
        <v>0</v>
      </c>
      <c r="CU180" s="276">
        <f>SUMIF('20Ф'!$H:$H,$B:$B,'20Ф'!AD:AD)*1.2</f>
        <v>0</v>
      </c>
      <c r="CV180" s="276">
        <f>SUMIF('20Ф'!$H:$H,$B:$B,'20Ф'!AE:AE)*1.2</f>
        <v>0</v>
      </c>
      <c r="CW180" s="276">
        <f>SUMIF('20Ф'!$H:$H,$B:$B,'20Ф'!AF:AF)*1.2</f>
        <v>0</v>
      </c>
      <c r="CX180" s="276">
        <f>SUMIF('20Ф'!$H:$H,$B:$B,'20Ф'!AG:AG)*1.2</f>
        <v>0</v>
      </c>
      <c r="CY180" s="276">
        <f>SUMIF('20Ф'!$H:$H,$B:$B,'20Ф'!AH:AH)*1.2</f>
        <v>0</v>
      </c>
      <c r="CZ180" s="276">
        <f>SUMIF('20Ф'!$H:$H,$B:$B,'20Ф'!AI:AI)*1.2</f>
        <v>0</v>
      </c>
      <c r="DA180" s="276">
        <f>SUMIF('20Ф'!$H:$H,$B:$B,'20Ф'!AJ:AJ)*1.2</f>
        <v>0</v>
      </c>
      <c r="DB180" s="276">
        <f>SUMIF('20Ф'!$H:$H,$B:$B,'20Ф'!AK:AK)*1.2</f>
        <v>0</v>
      </c>
      <c r="DC180" s="276">
        <f>SUMIF('20Ф'!$H:$H,$B:$B,'20Ф'!AL:AL)*1.2</f>
        <v>165268.48799999998</v>
      </c>
      <c r="DD180" s="276">
        <f>SUMIF('20Ф'!$H:$H,$B:$B,'20Ф'!AM:AM)*1.2</f>
        <v>0</v>
      </c>
      <c r="DE180" s="276">
        <f>SUMIF('20Ф'!$H:$H,$B:$B,'20Ф'!AN:AN)*1.2</f>
        <v>20591.496000000003</v>
      </c>
      <c r="DF180" s="276">
        <f>SUMIF('20Ф'!$H:$H,$B:$B,'20Ф'!AO:AO)*1.2</f>
        <v>0</v>
      </c>
      <c r="DG180" s="276">
        <f>SUMIF('20Ф'!$H:$H,$B:$B,'20Ф'!AP:AP)*1.2</f>
        <v>0</v>
      </c>
      <c r="DH180" s="276">
        <f>SUMIF('20Ф'!$H:$H,$B:$B,'20Ф'!AQ:AQ)*1.2</f>
        <v>0</v>
      </c>
      <c r="DI180" s="276">
        <f>SUMIF('20Ф'!$H:$H,$B:$B,'20Ф'!BA:BA)*1.2</f>
        <v>0</v>
      </c>
      <c r="DJ180" s="276">
        <f>SUMIF('20Ф'!$H:$H,$B:$B,'20Ф'!BB:BB)*1.2</f>
        <v>0</v>
      </c>
      <c r="DK180" s="276">
        <f>SUMIF('20Ф'!$H:$H,$B:$B,'20Ф'!BC:BC)*1.2</f>
        <v>0</v>
      </c>
      <c r="DL180" s="276">
        <f>$D180/$D$281*'20Ф'!$H$218</f>
        <v>129549.12573131792</v>
      </c>
      <c r="DM180" s="240">
        <f t="shared" si="26"/>
        <v>1394804.4261542263</v>
      </c>
      <c r="DN180" s="276">
        <f>SUMIF('20Ф'!$H:$H,$B:$B,'20Ф'!AV:AV)*1.2</f>
        <v>0</v>
      </c>
      <c r="DO180" s="276">
        <f>SUMIF('20Ф'!$H:$H,$B:$B,'20Ф'!AW:AW)*1.2+$D180/$D$281*'26Ф'!$D$42</f>
        <v>68939.338716741491</v>
      </c>
      <c r="DP180" s="276">
        <f>SUMIF('20Ф'!$H:$H,$B:$B,'20Ф'!AX:AX)*1.2</f>
        <v>0</v>
      </c>
      <c r="DQ180" s="276">
        <f>SUMIF('20Ф'!$H:$H,$B:$B,'20Ф'!AY:AY)*1.2</f>
        <v>0</v>
      </c>
      <c r="DR180" s="276">
        <f>SUMIF('20Ф'!$H:$H,$B:$B,'20Ф'!AU:AU)*1.2</f>
        <v>0</v>
      </c>
      <c r="DS180" s="276">
        <f>SUMIF('20Ф'!$H:$H,$B:$B,'20Ф'!AS:AS)*1.2</f>
        <v>109786.26</v>
      </c>
      <c r="DT180" s="276">
        <f>SUMIF('20Ф'!$H:$H,$B:$B,'20Ф'!AR:AR)*1.2</f>
        <v>0</v>
      </c>
      <c r="DU180" s="276">
        <f>SUMIF('20Ф'!$H:$H,$B:$B,'20Ф'!X:X)*1.2</f>
        <v>0</v>
      </c>
      <c r="DV180" s="276">
        <f>SUMIF('20Ф'!$H:$H,$B:$B,'20Ф'!AA:AA)*1.2</f>
        <v>0</v>
      </c>
      <c r="DW180" s="276">
        <f>SUMIF('20Ф'!$H:$H,$B:$B,'20Ф'!N:N)*1.2</f>
        <v>0</v>
      </c>
      <c r="DX180" s="276">
        <f>$D180/$D$281*('25Ф'!$D$37)</f>
        <v>1158784.0391002095</v>
      </c>
      <c r="DY180" s="276">
        <f>$D180/$D$281*'25Ф'!$D$30</f>
        <v>36984.748897517587</v>
      </c>
      <c r="DZ180" s="276">
        <f>$D180/$D$281*'25Ф'!$D$31</f>
        <v>20310.039439757722</v>
      </c>
      <c r="EA180" s="276"/>
      <c r="EB180" s="276">
        <f t="shared" si="27"/>
        <v>730052.13181668846</v>
      </c>
      <c r="EC180" s="276">
        <f>$D180/$D$281*'26Ф'!$D$36</f>
        <v>380015.64576526097</v>
      </c>
      <c r="ED180" s="276">
        <f>$D180/$D$281*'26Ф'!$D$37</f>
        <v>45658.473974074252</v>
      </c>
      <c r="EE180" s="276">
        <f>$D180/$D$281*'26Ф'!$D$38</f>
        <v>46126.746553242221</v>
      </c>
      <c r="EF180" s="276">
        <f>$D180/$D$281*'26Ф'!$D$39</f>
        <v>32357.870608306846</v>
      </c>
      <c r="EG180" s="276">
        <f>$D180/$D$281*'91Ф'!$D$10</f>
        <v>9982.3896252046907</v>
      </c>
      <c r="EH180" s="276">
        <f>$D180/$D$281*('20Ф'!$I$509+'26Ф'!$D$41+'20Ф'!$I$507)</f>
        <v>70622.119553012337</v>
      </c>
      <c r="EI180" s="276">
        <f>$D180/$D$281*'91Ф'!$D$31</f>
        <v>129460.71809645882</v>
      </c>
      <c r="EJ180" s="276">
        <f>$D180/$D$281*'20Ф'!$I$1316</f>
        <v>15828.167641128415</v>
      </c>
      <c r="EK180" s="276">
        <f>$D180/$D$281*('20Ф'!$I$1105+'20Ф'!$I$1282+'91Ф'!$D$17+'91Ф'!$D$41)</f>
        <v>519814.65949856979</v>
      </c>
      <c r="EL180" s="276">
        <f>$D180/$D$281*отчёт!BX$294</f>
        <v>868971.57958349679</v>
      </c>
      <c r="EM180" s="276">
        <f>$D180/$D$281*отчёт!BY$294</f>
        <v>764213.85955263861</v>
      </c>
      <c r="EN180" s="276">
        <f>$D180/$D$283*отчёт!BZ$294</f>
        <v>137152.49891606509</v>
      </c>
      <c r="EO180" s="240">
        <f t="shared" si="37"/>
        <v>737965.022003992</v>
      </c>
      <c r="EP180" s="276">
        <f>SUMIF('20Ф'!$H:$H,$B:$B,'20Ф'!T:T)*1.2</f>
        <v>26511.383999999998</v>
      </c>
      <c r="EQ180" s="276">
        <f>SUM(H180:I180)/SUM($H$284:$I$284)*SUM('60Ф'!$O$155:$P$155)</f>
        <v>690041.04702594806</v>
      </c>
      <c r="ER180" s="276">
        <f>SUM($H180:$I180)/SUM($H$284:$I$284)*SUM('60Ф'!$P$227)</f>
        <v>21412.590978043911</v>
      </c>
      <c r="ES180" s="239">
        <f t="shared" si="31"/>
        <v>290845.11864851724</v>
      </c>
      <c r="ET180" s="276">
        <f>$D180/$D$282*'20Ф'!$I$381</f>
        <v>22229.571083654679</v>
      </c>
      <c r="EU180" s="276">
        <f>$D180/$D$282*('20Ф'!$I$75+'20Ф'!$I$1098)*1.2</f>
        <v>256761.41433206896</v>
      </c>
      <c r="EV180" s="276">
        <f>$D180/$D$282*('20Ф'!$I$1286)</f>
        <v>11854.1332327936</v>
      </c>
      <c r="EW180" s="276">
        <f>SUMIF('91.1Ф'!$N:$N,$B:$B,'91.1Ф'!$F:$F)+$D180/$D$281*('91Ф'!$D$12+'91Ф'!$D$11+'91Ф'!$D$19+'91Ф'!$D$20)</f>
        <v>68509.031368696669</v>
      </c>
      <c r="EX180" s="276">
        <f t="shared" si="29"/>
        <v>0</v>
      </c>
      <c r="EY180" s="276">
        <f>SUMIF('20Ф'!$H:$H,$B:$B,'20Ф'!$AY:$AY)*1.2</f>
        <v>0</v>
      </c>
      <c r="EZ180" s="236"/>
      <c r="FA180" s="277">
        <f>SUMIF(отчёт!$B:$B,$B:$B,отчёт!$CU:$CU)/отчёт!$CU$281*'20Ф'!$I$1341</f>
        <v>3683.8554216867401</v>
      </c>
      <c r="FB180" s="276">
        <f>SUMIF(Сальдо!$A:$A,$B:$B,Сальдо!$H:$H)-SUMIF(Сальдо!$A:$A,$B:$B,Сальдо!$I:$I)</f>
        <v>590407.53</v>
      </c>
    </row>
    <row r="181" spans="1:158" ht="12" customHeight="1" x14ac:dyDescent="0.25">
      <c r="A181" s="3">
        <f t="shared" si="32"/>
        <v>177</v>
      </c>
      <c r="B181" s="4" t="s">
        <v>226</v>
      </c>
      <c r="C181" s="4" t="s">
        <v>226</v>
      </c>
      <c r="D181" s="5">
        <v>3877.2</v>
      </c>
      <c r="E181" s="6">
        <v>3847.2</v>
      </c>
      <c r="F181" s="6">
        <v>30</v>
      </c>
      <c r="G181" s="6">
        <v>583.86</v>
      </c>
      <c r="H181" s="5">
        <f>SUMIF(отчёт!$B:$B,$B:$B,отчёт!I:I)</f>
        <v>1</v>
      </c>
      <c r="I181" s="5">
        <f>SUMIF(отчёт!$B:$B,$B:$B,отчёт!J:J)</f>
        <v>1</v>
      </c>
      <c r="J181" s="3" t="s">
        <v>70</v>
      </c>
      <c r="K181" s="105">
        <v>1</v>
      </c>
      <c r="L181" s="105" t="s">
        <v>52</v>
      </c>
      <c r="M181" s="7">
        <v>44.8</v>
      </c>
      <c r="N181" s="8">
        <v>5.0999999999999996</v>
      </c>
      <c r="O181" s="8">
        <v>8.6300000000000008</v>
      </c>
      <c r="P181" s="8">
        <v>13.43</v>
      </c>
      <c r="Q181" s="8">
        <v>6.91</v>
      </c>
      <c r="R181" s="8">
        <v>3.15</v>
      </c>
      <c r="S181" s="8">
        <v>1.81</v>
      </c>
      <c r="T181" s="8">
        <v>5.77</v>
      </c>
      <c r="U181" s="8">
        <v>0</v>
      </c>
      <c r="V181" s="9">
        <v>40</v>
      </c>
      <c r="W181" s="9">
        <v>40</v>
      </c>
      <c r="X181" s="9">
        <v>2604.04</v>
      </c>
      <c r="Y181" s="8">
        <v>195.98199600000001</v>
      </c>
      <c r="Z181" s="9">
        <v>42.3</v>
      </c>
      <c r="AA181" s="9">
        <v>2604.04</v>
      </c>
      <c r="AB181" s="8">
        <v>0</v>
      </c>
      <c r="AC181" s="10">
        <v>0</v>
      </c>
      <c r="AD181" s="8">
        <v>5.05</v>
      </c>
      <c r="AE181" s="8">
        <v>10.67</v>
      </c>
      <c r="AF181" s="8">
        <v>14</v>
      </c>
      <c r="AG181" s="7">
        <v>1042191.3599999999</v>
      </c>
      <c r="AH181" s="8">
        <v>118642.31999999998</v>
      </c>
      <c r="AI181" s="8">
        <v>200761.41600000003</v>
      </c>
      <c r="AJ181" s="8">
        <v>312424.77599999995</v>
      </c>
      <c r="AK181" s="8">
        <v>160748.712</v>
      </c>
      <c r="AL181" s="8">
        <v>73279.079999999987</v>
      </c>
      <c r="AM181" s="8">
        <v>42106.392</v>
      </c>
      <c r="AN181" s="8">
        <v>134228.66399999999</v>
      </c>
      <c r="AO181" s="8">
        <v>0</v>
      </c>
      <c r="AQ181" s="104">
        <v>48.16</v>
      </c>
      <c r="AR181" s="375">
        <v>18.649999999999999</v>
      </c>
      <c r="AS181" s="376"/>
      <c r="AT181" s="104">
        <v>7.16</v>
      </c>
      <c r="AU181" s="104">
        <v>1.53</v>
      </c>
      <c r="AV181" s="104">
        <v>0.32</v>
      </c>
      <c r="AW181" s="104">
        <v>0.87</v>
      </c>
      <c r="AX181" s="104">
        <v>5.01</v>
      </c>
      <c r="AY181" s="104">
        <v>4.99</v>
      </c>
      <c r="AZ181" s="104">
        <v>2.7</v>
      </c>
      <c r="BA181" s="104">
        <v>6.46</v>
      </c>
      <c r="BB181" s="104">
        <v>0.47</v>
      </c>
      <c r="BC181" s="101">
        <v>0</v>
      </c>
      <c r="BD181" s="104">
        <v>54.565279999999994</v>
      </c>
      <c r="BE181" s="375">
        <v>21.130449999999996</v>
      </c>
      <c r="BF181" s="376">
        <v>0</v>
      </c>
      <c r="BG181" s="104">
        <v>8.1122800000000002</v>
      </c>
      <c r="BH181" s="104">
        <v>1.7334900000000002</v>
      </c>
      <c r="BI181" s="104">
        <v>0.36255999999999999</v>
      </c>
      <c r="BJ181" s="104">
        <v>0.98570999999999998</v>
      </c>
      <c r="BK181" s="104">
        <v>5.6763299999999992</v>
      </c>
      <c r="BL181" s="104">
        <v>5.6536700000000009</v>
      </c>
      <c r="BM181" s="104">
        <v>3.0591000000000004</v>
      </c>
      <c r="BN181" s="104">
        <v>7.3191800000000002</v>
      </c>
      <c r="BO181" s="104">
        <v>0.53250999999999993</v>
      </c>
      <c r="BP181" s="101">
        <v>0</v>
      </c>
      <c r="BQ181" s="103">
        <v>2489056.9401599998</v>
      </c>
      <c r="BR181" s="371">
        <v>963889.36739999987</v>
      </c>
      <c r="BS181" s="371">
        <v>0</v>
      </c>
      <c r="BT181" s="103">
        <v>370050.82416000002</v>
      </c>
      <c r="BU181" s="103">
        <v>79075.106279999993</v>
      </c>
      <c r="BV181" s="103">
        <v>16538.584319999998</v>
      </c>
      <c r="BW181" s="103">
        <v>44964.276119999995</v>
      </c>
      <c r="BX181" s="103">
        <v>258932.21075999999</v>
      </c>
      <c r="BY181" s="103">
        <v>257898.54924000005</v>
      </c>
      <c r="BZ181" s="103">
        <v>139544.30520000003</v>
      </c>
      <c r="CA181" s="103">
        <v>333872.67096000002</v>
      </c>
      <c r="CB181" s="103">
        <v>24291.045719999995</v>
      </c>
      <c r="CC181" s="103">
        <v>0</v>
      </c>
      <c r="CD181" s="1">
        <v>1</v>
      </c>
      <c r="CF181" s="277">
        <f>SUMIF(Оборот!$A:$A,$B:$B,Оборот!H:H)</f>
        <v>2116493.4600000004</v>
      </c>
      <c r="CG181" s="277">
        <f>SUMIF(Оборот!$A:$A,$B:$B,Оборот!I:I)</f>
        <v>2089357.3199999998</v>
      </c>
      <c r="CH181" s="277">
        <f t="shared" si="25"/>
        <v>1554023.3279572506</v>
      </c>
      <c r="CI181" s="239">
        <f t="shared" si="30"/>
        <v>95500.580313379833</v>
      </c>
      <c r="CJ181" s="276">
        <f>SUMIF('20Ф'!$H:$H,$B:$B,'20Ф'!M:M)*1.2</f>
        <v>0</v>
      </c>
      <c r="CK181" s="276">
        <f>SUMIF('20Ф'!$H:$H,$B:$B,'20Ф'!O:O)*1.2</f>
        <v>0</v>
      </c>
      <c r="CL181" s="276">
        <f>SUMIF('20Ф'!$H:$H,$B:$B,'20Ф'!Q:Q)*1.2</f>
        <v>0</v>
      </c>
      <c r="CM181" s="276">
        <f>SUMIF('20Ф'!$H:$H,$B:$B,'20Ф'!R:R)*1.2</f>
        <v>0</v>
      </c>
      <c r="CN181" s="276">
        <f>SUMIF('20Ф'!$H:$H,$B:$B,'20Ф'!S:S)*1.2</f>
        <v>0</v>
      </c>
      <c r="CO181" s="276">
        <f>SUMIF('20Ф'!$H:$H,$B:$B,'20Ф'!W:W)*1.2</f>
        <v>0</v>
      </c>
      <c r="CP181" s="276">
        <f>SUMIF('20Ф'!$H:$H,$B:$B,'20Ф'!P:P)*1.2</f>
        <v>0</v>
      </c>
      <c r="CQ181" s="276">
        <f>SUMIF('20Ф'!$H:$H,$B:$B,'20Ф'!Y:Y)*1.2</f>
        <v>0</v>
      </c>
      <c r="CR181" s="276">
        <f>SUMIF('20Ф'!$H:$H,$B:$B,'20Ф'!Z:Z)*1.2</f>
        <v>0</v>
      </c>
      <c r="CS181" s="276">
        <f>SUMIF('20Ф'!$H:$H,$B:$B,'20Ф'!AB:AB)*1.2</f>
        <v>0</v>
      </c>
      <c r="CT181" s="276">
        <f>SUMIF('20Ф'!$H:$H,$B:$B,'20Ф'!AC:AC)*1.2</f>
        <v>0</v>
      </c>
      <c r="CU181" s="276">
        <f>SUMIF('20Ф'!$H:$H,$B:$B,'20Ф'!AD:AD)*1.2</f>
        <v>0</v>
      </c>
      <c r="CV181" s="276">
        <f>SUMIF('20Ф'!$H:$H,$B:$B,'20Ф'!AE:AE)*1.2</f>
        <v>0</v>
      </c>
      <c r="CW181" s="276">
        <f>SUMIF('20Ф'!$H:$H,$B:$B,'20Ф'!AF:AF)*1.2</f>
        <v>0</v>
      </c>
      <c r="CX181" s="276">
        <f>SUMIF('20Ф'!$H:$H,$B:$B,'20Ф'!AG:AG)*1.2</f>
        <v>0</v>
      </c>
      <c r="CY181" s="276">
        <f>SUMIF('20Ф'!$H:$H,$B:$B,'20Ф'!AH:AH)*1.2</f>
        <v>0</v>
      </c>
      <c r="CZ181" s="276">
        <f>SUMIF('20Ф'!$H:$H,$B:$B,'20Ф'!AI:AI)*1.2</f>
        <v>0</v>
      </c>
      <c r="DA181" s="276">
        <f>SUMIF('20Ф'!$H:$H,$B:$B,'20Ф'!AJ:AJ)*1.2</f>
        <v>61399.30799999999</v>
      </c>
      <c r="DB181" s="276">
        <f>SUMIF('20Ф'!$H:$H,$B:$B,'20Ф'!AK:AK)*1.2</f>
        <v>0</v>
      </c>
      <c r="DC181" s="276">
        <f>SUMIF('20Ф'!$H:$H,$B:$B,'20Ф'!AL:AL)*1.2</f>
        <v>0</v>
      </c>
      <c r="DD181" s="276">
        <f>SUMIF('20Ф'!$H:$H,$B:$B,'20Ф'!AM:AM)*1.2</f>
        <v>0</v>
      </c>
      <c r="DE181" s="276">
        <f>SUMIF('20Ф'!$H:$H,$B:$B,'20Ф'!AN:AN)*1.2</f>
        <v>0</v>
      </c>
      <c r="DF181" s="276">
        <f>SUMIF('20Ф'!$H:$H,$B:$B,'20Ф'!AO:AO)*1.2</f>
        <v>0</v>
      </c>
      <c r="DG181" s="276">
        <f>SUMIF('20Ф'!$H:$H,$B:$B,'20Ф'!AP:AP)*1.2</f>
        <v>0</v>
      </c>
      <c r="DH181" s="276">
        <f>SUMIF('20Ф'!$H:$H,$B:$B,'20Ф'!AQ:AQ)*1.2</f>
        <v>0</v>
      </c>
      <c r="DI181" s="276">
        <f>SUMIF('20Ф'!$H:$H,$B:$B,'20Ф'!BA:BA)*1.2</f>
        <v>0</v>
      </c>
      <c r="DJ181" s="276">
        <f>SUMIF('20Ф'!$H:$H,$B:$B,'20Ф'!BB:BB)*1.2</f>
        <v>0</v>
      </c>
      <c r="DK181" s="276">
        <f>SUMIF('20Ф'!$H:$H,$B:$B,'20Ф'!BC:BC)*1.2</f>
        <v>0</v>
      </c>
      <c r="DL181" s="276">
        <f>$D181/$D$281*'20Ф'!$H$218</f>
        <v>34101.272313379843</v>
      </c>
      <c r="DM181" s="240">
        <f t="shared" si="26"/>
        <v>385043.99482511496</v>
      </c>
      <c r="DN181" s="276">
        <f>SUMIF('20Ф'!$H:$H,$B:$B,'20Ф'!AV:AV)*1.2</f>
        <v>0</v>
      </c>
      <c r="DO181" s="276">
        <f>SUMIF('20Ф'!$H:$H,$B:$B,'20Ф'!AW:AW)*1.2+$D181/$D$281*'26Ф'!$D$42</f>
        <v>18146.931902571749</v>
      </c>
      <c r="DP181" s="276">
        <f>SUMIF('20Ф'!$H:$H,$B:$B,'20Ф'!AX:AX)*1.2</f>
        <v>10200</v>
      </c>
      <c r="DQ181" s="276">
        <f>SUMIF('20Ф'!$H:$H,$B:$B,'20Ф'!AY:AY)*1.2</f>
        <v>0</v>
      </c>
      <c r="DR181" s="276">
        <f>SUMIF('20Ф'!$H:$H,$B:$B,'20Ф'!AU:AU)*1.2</f>
        <v>0</v>
      </c>
      <c r="DS181" s="276">
        <f>SUMIF('20Ф'!$H:$H,$B:$B,'20Ф'!AS:AS)*1.2</f>
        <v>36588.108</v>
      </c>
      <c r="DT181" s="276">
        <f>SUMIF('20Ф'!$H:$H,$B:$B,'20Ф'!AR:AR)*1.2</f>
        <v>0</v>
      </c>
      <c r="DU181" s="276">
        <f>SUMIF('20Ф'!$H:$H,$B:$B,'20Ф'!X:X)*1.2</f>
        <v>0</v>
      </c>
      <c r="DV181" s="276">
        <f>SUMIF('20Ф'!$H:$H,$B:$B,'20Ф'!AA:AA)*1.2</f>
        <v>0</v>
      </c>
      <c r="DW181" s="276">
        <f>SUMIF('20Ф'!$H:$H,$B:$B,'20Ф'!N:N)*1.2</f>
        <v>0</v>
      </c>
      <c r="DX181" s="276">
        <f>$D181/$D$281*('25Ф'!$D$37)</f>
        <v>305027.22304517741</v>
      </c>
      <c r="DY181" s="276">
        <f>$D181/$D$281*'25Ф'!$D$30</f>
        <v>9735.5114245385175</v>
      </c>
      <c r="DZ181" s="276">
        <f>$D181/$D$281*'25Ф'!$D$31</f>
        <v>5346.2204528272641</v>
      </c>
      <c r="EA181" s="276"/>
      <c r="EB181" s="276">
        <f t="shared" si="27"/>
        <v>192171.93793864368</v>
      </c>
      <c r="EC181" s="276">
        <f>$D181/$D$281*'26Ф'!$D$36</f>
        <v>100031.68254846256</v>
      </c>
      <c r="ED181" s="276">
        <f>$D181/$D$281*'26Ф'!$D$37</f>
        <v>12018.699822278089</v>
      </c>
      <c r="EE181" s="276">
        <f>$D181/$D$281*'26Ф'!$D$38</f>
        <v>12141.963415520813</v>
      </c>
      <c r="EF181" s="276">
        <f>$D181/$D$281*'26Ф'!$D$39</f>
        <v>8517.5762543045003</v>
      </c>
      <c r="EG181" s="276">
        <f>$D181/$D$281*'91Ф'!$D$10</f>
        <v>2627.6687320404649</v>
      </c>
      <c r="EH181" s="276">
        <f>$D181/$D$281*('20Ф'!$I$509+'26Ф'!$D$41+'20Ф'!$I$507)</f>
        <v>18589.89102882957</v>
      </c>
      <c r="EI181" s="276">
        <f>$D181/$D$281*'91Ф'!$D$31</f>
        <v>34078.000733476139</v>
      </c>
      <c r="EJ181" s="276">
        <f>$D181/$D$281*'20Ф'!$I$1316</f>
        <v>4166.4554037315474</v>
      </c>
      <c r="EK181" s="276">
        <f>$D181/$D$281*('20Ф'!$I$1105+'20Ф'!$I$1282+'91Ф'!$D$17+'91Ф'!$D$41)</f>
        <v>136831.03730712624</v>
      </c>
      <c r="EL181" s="276">
        <f>$D181/$D$281*отчёт!BX$294</f>
        <v>228739.7641680958</v>
      </c>
      <c r="EM181" s="276">
        <f>$D181/$D$281*отчёт!BY$294</f>
        <v>201164.34428367199</v>
      </c>
      <c r="EN181" s="276">
        <f>$D181/$D$283*отчёт!BZ$294</f>
        <v>36102.711520395904</v>
      </c>
      <c r="EO181" s="240">
        <f t="shared" si="37"/>
        <v>183876.00950099801</v>
      </c>
      <c r="EP181" s="276">
        <f>SUMIF('20Ф'!$H:$H,$B:$B,'20Ф'!T:T)*1.2</f>
        <v>6012.5999999999995</v>
      </c>
      <c r="EQ181" s="276">
        <f>SUM(H181:I181)/SUM($H$284:$I$284)*SUM('60Ф'!$O$155:$P$155)</f>
        <v>172510.26175648702</v>
      </c>
      <c r="ER181" s="276">
        <f>SUM($H181:$I181)/SUM($H$284:$I$284)*SUM('60Ф'!$P$227)</f>
        <v>5353.1477445109776</v>
      </c>
      <c r="ES181" s="239">
        <f t="shared" si="31"/>
        <v>76559.286186311001</v>
      </c>
      <c r="ET181" s="276">
        <f>$D181/$D$282*'20Ф'!$I$381</f>
        <v>5851.4995964197824</v>
      </c>
      <c r="EU181" s="276">
        <f>$D181/$D$282*('20Ф'!$I$75+'20Ф'!$I$1098)*1.2</f>
        <v>67587.41797969336</v>
      </c>
      <c r="EV181" s="276">
        <f>$D181/$D$282*('20Ф'!$I$1286)</f>
        <v>3120.3686101978597</v>
      </c>
      <c r="EW181" s="276">
        <f>SUMIF('91.1Ф'!$N:$N,$B:$B,'91.1Ф'!$F:$F)+$D181/$D$281*('91Ф'!$D$12+'91Ф'!$D$11+'91Ф'!$D$19+'91Ф'!$D$20)</f>
        <v>18033.66191351325</v>
      </c>
      <c r="EX181" s="276">
        <f t="shared" si="29"/>
        <v>0</v>
      </c>
      <c r="EY181" s="276">
        <f>SUMIF('20Ф'!$H:$H,$B:$B,'20Ф'!$AY:$AY)*1.2</f>
        <v>0</v>
      </c>
      <c r="EZ181" s="236"/>
      <c r="FA181" s="277">
        <f>SUMIF(отчёт!$B:$B,$B:$B,отчёт!$CU:$CU)/отчёт!$CU$281*'20Ф'!$I$1341</f>
        <v>920.96385542168503</v>
      </c>
      <c r="FB181" s="276">
        <f>SUMIF(Сальдо!$A:$A,$B:$B,Сальдо!$H:$H)-SUMIF(Сальдо!$A:$A,$B:$B,Сальдо!$I:$I)</f>
        <v>603331.64</v>
      </c>
    </row>
    <row r="182" spans="1:158" ht="12" customHeight="1" x14ac:dyDescent="0.25">
      <c r="A182" s="3">
        <f t="shared" si="32"/>
        <v>178</v>
      </c>
      <c r="B182" s="4" t="s">
        <v>227</v>
      </c>
      <c r="C182" s="4" t="s">
        <v>227</v>
      </c>
      <c r="D182" s="5">
        <v>3889</v>
      </c>
      <c r="E182" s="6">
        <v>3889</v>
      </c>
      <c r="F182" s="6">
        <v>0</v>
      </c>
      <c r="G182" s="6">
        <v>585.64</v>
      </c>
      <c r="H182" s="5">
        <f>SUMIF(отчёт!$B:$B,$B:$B,отчёт!I:I)</f>
        <v>1</v>
      </c>
      <c r="I182" s="5">
        <f>SUMIF(отчёт!$B:$B,$B:$B,отчёт!J:J)</f>
        <v>1</v>
      </c>
      <c r="J182" s="3" t="s">
        <v>70</v>
      </c>
      <c r="K182" s="105">
        <v>1</v>
      </c>
      <c r="L182" s="105" t="s">
        <v>52</v>
      </c>
      <c r="M182" s="7">
        <v>44.8</v>
      </c>
      <c r="N182" s="8">
        <v>5.0999999999999996</v>
      </c>
      <c r="O182" s="8">
        <v>8.6300000000000008</v>
      </c>
      <c r="P182" s="8">
        <v>13.43</v>
      </c>
      <c r="Q182" s="8">
        <v>6.91</v>
      </c>
      <c r="R182" s="8">
        <v>3.15</v>
      </c>
      <c r="S182" s="8">
        <v>1.81</v>
      </c>
      <c r="T182" s="8">
        <v>5.77</v>
      </c>
      <c r="U182" s="8">
        <v>0</v>
      </c>
      <c r="V182" s="9">
        <v>40</v>
      </c>
      <c r="W182" s="9">
        <v>40</v>
      </c>
      <c r="X182" s="9">
        <v>2604.04</v>
      </c>
      <c r="Y182" s="8">
        <v>195.98199600000001</v>
      </c>
      <c r="Z182" s="9">
        <v>42.3</v>
      </c>
      <c r="AA182" s="9">
        <v>2604.04</v>
      </c>
      <c r="AB182" s="8">
        <v>0</v>
      </c>
      <c r="AC182" s="10">
        <v>0</v>
      </c>
      <c r="AD182" s="8">
        <v>5.05</v>
      </c>
      <c r="AE182" s="8">
        <v>10.67</v>
      </c>
      <c r="AF182" s="8">
        <v>14</v>
      </c>
      <c r="AG182" s="7">
        <v>1045363.2</v>
      </c>
      <c r="AH182" s="8">
        <v>119003.4</v>
      </c>
      <c r="AI182" s="8">
        <v>201372.41999999998</v>
      </c>
      <c r="AJ182" s="8">
        <v>313375.62</v>
      </c>
      <c r="AK182" s="8">
        <v>161237.94</v>
      </c>
      <c r="AL182" s="8">
        <v>73502.100000000006</v>
      </c>
      <c r="AM182" s="8">
        <v>42234.54</v>
      </c>
      <c r="AN182" s="8">
        <v>134637.18</v>
      </c>
      <c r="AO182" s="8">
        <v>0</v>
      </c>
      <c r="AQ182" s="104">
        <v>48.16</v>
      </c>
      <c r="AR182" s="375">
        <v>18.649999999999999</v>
      </c>
      <c r="AS182" s="376"/>
      <c r="AT182" s="104">
        <v>7.16</v>
      </c>
      <c r="AU182" s="104">
        <v>1.53</v>
      </c>
      <c r="AV182" s="104">
        <v>0.32</v>
      </c>
      <c r="AW182" s="104">
        <v>0.87</v>
      </c>
      <c r="AX182" s="104">
        <v>5.01</v>
      </c>
      <c r="AY182" s="104">
        <v>4.99</v>
      </c>
      <c r="AZ182" s="104">
        <v>2.7</v>
      </c>
      <c r="BA182" s="104">
        <v>6.46</v>
      </c>
      <c r="BB182" s="104">
        <v>0.47</v>
      </c>
      <c r="BC182" s="101">
        <v>0</v>
      </c>
      <c r="BD182" s="104">
        <v>54.565279999999994</v>
      </c>
      <c r="BE182" s="375">
        <v>21.130449999999996</v>
      </c>
      <c r="BF182" s="376">
        <v>0</v>
      </c>
      <c r="BG182" s="104">
        <v>8.1122800000000002</v>
      </c>
      <c r="BH182" s="104">
        <v>1.7334900000000002</v>
      </c>
      <c r="BI182" s="104">
        <v>0.36255999999999999</v>
      </c>
      <c r="BJ182" s="104">
        <v>0.98570999999999998</v>
      </c>
      <c r="BK182" s="104">
        <v>5.6763299999999992</v>
      </c>
      <c r="BL182" s="104">
        <v>5.6536700000000009</v>
      </c>
      <c r="BM182" s="104">
        <v>3.0591000000000004</v>
      </c>
      <c r="BN182" s="104">
        <v>7.3191800000000002</v>
      </c>
      <c r="BO182" s="104">
        <v>0.53250999999999993</v>
      </c>
      <c r="BP182" s="101">
        <v>0</v>
      </c>
      <c r="BQ182" s="103">
        <v>2496632.2191999997</v>
      </c>
      <c r="BR182" s="371">
        <v>966822.90049999987</v>
      </c>
      <c r="BS182" s="371">
        <v>0</v>
      </c>
      <c r="BT182" s="103">
        <v>371177.04920000001</v>
      </c>
      <c r="BU182" s="103">
        <v>79315.766099999993</v>
      </c>
      <c r="BV182" s="103">
        <v>16588.918399999999</v>
      </c>
      <c r="BW182" s="103">
        <v>45101.121899999998</v>
      </c>
      <c r="BX182" s="103">
        <v>259720.2537</v>
      </c>
      <c r="BY182" s="103">
        <v>258683.44630000007</v>
      </c>
      <c r="BZ182" s="103">
        <v>139968.99900000004</v>
      </c>
      <c r="CA182" s="103">
        <v>334888.79019999999</v>
      </c>
      <c r="CB182" s="103">
        <v>24364.973899999994</v>
      </c>
      <c r="CC182" s="103">
        <v>0</v>
      </c>
      <c r="CD182" s="1">
        <v>1</v>
      </c>
      <c r="CF182" s="277">
        <f>SUMIF(Оборот!$A:$A,$B:$B,Оборот!H:H)</f>
        <v>2142976.8199999998</v>
      </c>
      <c r="CG182" s="277">
        <f>SUMIF(Оборот!$A:$A,$B:$B,Оборот!I:I)</f>
        <v>2142065.2200000002</v>
      </c>
      <c r="CH182" s="277">
        <f t="shared" si="25"/>
        <v>1491400.7228808512</v>
      </c>
      <c r="CI182" s="239">
        <f t="shared" si="30"/>
        <v>52199.729264710157</v>
      </c>
      <c r="CJ182" s="276">
        <f>SUMIF('20Ф'!$H:$H,$B:$B,'20Ф'!M:M)*1.2</f>
        <v>0</v>
      </c>
      <c r="CK182" s="276">
        <f>SUMIF('20Ф'!$H:$H,$B:$B,'20Ф'!O:O)*1.2</f>
        <v>17994.671999999999</v>
      </c>
      <c r="CL182" s="276">
        <f>SUMIF('20Ф'!$H:$H,$B:$B,'20Ф'!Q:Q)*1.2</f>
        <v>0</v>
      </c>
      <c r="CM182" s="276">
        <f>SUMIF('20Ф'!$H:$H,$B:$B,'20Ф'!R:R)*1.2</f>
        <v>0</v>
      </c>
      <c r="CN182" s="276">
        <f>SUMIF('20Ф'!$H:$H,$B:$B,'20Ф'!S:S)*1.2</f>
        <v>0</v>
      </c>
      <c r="CO182" s="276">
        <f>SUMIF('20Ф'!$H:$H,$B:$B,'20Ф'!W:W)*1.2</f>
        <v>0</v>
      </c>
      <c r="CP182" s="276">
        <f>SUMIF('20Ф'!$H:$H,$B:$B,'20Ф'!P:P)*1.2</f>
        <v>0</v>
      </c>
      <c r="CQ182" s="276">
        <f>SUMIF('20Ф'!$H:$H,$B:$B,'20Ф'!Y:Y)*1.2</f>
        <v>0</v>
      </c>
      <c r="CR182" s="276">
        <f>SUMIF('20Ф'!$H:$H,$B:$B,'20Ф'!Z:Z)*1.2</f>
        <v>0</v>
      </c>
      <c r="CS182" s="276">
        <f>SUMIF('20Ф'!$H:$H,$B:$B,'20Ф'!AB:AB)*1.2</f>
        <v>0</v>
      </c>
      <c r="CT182" s="276">
        <f>SUMIF('20Ф'!$H:$H,$B:$B,'20Ф'!AC:AC)*1.2</f>
        <v>0</v>
      </c>
      <c r="CU182" s="276">
        <f>SUMIF('20Ф'!$H:$H,$B:$B,'20Ф'!AD:AD)*1.2</f>
        <v>0</v>
      </c>
      <c r="CV182" s="276">
        <f>SUMIF('20Ф'!$H:$H,$B:$B,'20Ф'!AE:AE)*1.2</f>
        <v>0</v>
      </c>
      <c r="CW182" s="276">
        <f>SUMIF('20Ф'!$H:$H,$B:$B,'20Ф'!AF:AF)*1.2</f>
        <v>0</v>
      </c>
      <c r="CX182" s="276">
        <f>SUMIF('20Ф'!$H:$H,$B:$B,'20Ф'!AG:AG)*1.2</f>
        <v>0</v>
      </c>
      <c r="CY182" s="276">
        <f>SUMIF('20Ф'!$H:$H,$B:$B,'20Ф'!AH:AH)*1.2</f>
        <v>0</v>
      </c>
      <c r="CZ182" s="276">
        <f>SUMIF('20Ф'!$H:$H,$B:$B,'20Ф'!AI:AI)*1.2</f>
        <v>0</v>
      </c>
      <c r="DA182" s="276">
        <f>SUMIF('20Ф'!$H:$H,$B:$B,'20Ф'!AJ:AJ)*1.2</f>
        <v>0</v>
      </c>
      <c r="DB182" s="276">
        <f>SUMIF('20Ф'!$H:$H,$B:$B,'20Ф'!AK:AK)*1.2</f>
        <v>0</v>
      </c>
      <c r="DC182" s="276">
        <f>SUMIF('20Ф'!$H:$H,$B:$B,'20Ф'!AL:AL)*1.2</f>
        <v>0</v>
      </c>
      <c r="DD182" s="276">
        <f>SUMIF('20Ф'!$H:$H,$B:$B,'20Ф'!AM:AM)*1.2</f>
        <v>0</v>
      </c>
      <c r="DE182" s="276">
        <f>SUMIF('20Ф'!$H:$H,$B:$B,'20Ф'!AN:AN)*1.2</f>
        <v>0</v>
      </c>
      <c r="DF182" s="276">
        <f>SUMIF('20Ф'!$H:$H,$B:$B,'20Ф'!AO:AO)*1.2</f>
        <v>0</v>
      </c>
      <c r="DG182" s="276">
        <f>SUMIF('20Ф'!$H:$H,$B:$B,'20Ф'!AP:AP)*1.2</f>
        <v>0</v>
      </c>
      <c r="DH182" s="276">
        <f>SUMIF('20Ф'!$H:$H,$B:$B,'20Ф'!AQ:AQ)*1.2</f>
        <v>0</v>
      </c>
      <c r="DI182" s="276">
        <f>SUMIF('20Ф'!$H:$H,$B:$B,'20Ф'!BA:BA)*1.2</f>
        <v>0</v>
      </c>
      <c r="DJ182" s="276">
        <f>SUMIF('20Ф'!$H:$H,$B:$B,'20Ф'!BB:BB)*1.2</f>
        <v>0</v>
      </c>
      <c r="DK182" s="276">
        <f>SUMIF('20Ф'!$H:$H,$B:$B,'20Ф'!BC:BC)*1.2</f>
        <v>0</v>
      </c>
      <c r="DL182" s="276">
        <f>$D182/$D$281*'20Ф'!$H$218</f>
        <v>34205.057264710158</v>
      </c>
      <c r="DM182" s="240">
        <f t="shared" si="26"/>
        <v>363014.79409070261</v>
      </c>
      <c r="DN182" s="276">
        <f>SUMIF('20Ф'!$H:$H,$B:$B,'20Ф'!AV:AV)*1.2</f>
        <v>0</v>
      </c>
      <c r="DO182" s="276">
        <f>SUMIF('20Ф'!$H:$H,$B:$B,'20Ф'!AW:AW)*1.2+$D182/$D$281*'26Ф'!$D$42</f>
        <v>18202.160881332285</v>
      </c>
      <c r="DP182" s="276">
        <f>SUMIF('20Ф'!$H:$H,$B:$B,'20Ф'!AX:AX)*1.2</f>
        <v>0</v>
      </c>
      <c r="DQ182" s="276">
        <f>SUMIF('20Ф'!$H:$H,$B:$B,'20Ф'!AY:AY)*1.2</f>
        <v>0</v>
      </c>
      <c r="DR182" s="276">
        <f>SUMIF('20Ф'!$H:$H,$B:$B,'20Ф'!AU:AU)*1.2</f>
        <v>0</v>
      </c>
      <c r="DS182" s="276">
        <f>SUMIF('20Ф'!$H:$H,$B:$B,'20Ф'!AS:AS)*1.2</f>
        <v>23729.448</v>
      </c>
      <c r="DT182" s="276">
        <f>SUMIF('20Ф'!$H:$H,$B:$B,'20Ф'!AR:AR)*1.2</f>
        <v>0</v>
      </c>
      <c r="DU182" s="276">
        <f>SUMIF('20Ф'!$H:$H,$B:$B,'20Ф'!X:X)*1.2</f>
        <v>0</v>
      </c>
      <c r="DV182" s="276">
        <f>SUMIF('20Ф'!$H:$H,$B:$B,'20Ф'!AA:AA)*1.2</f>
        <v>0</v>
      </c>
      <c r="DW182" s="276">
        <f>SUMIF('20Ф'!$H:$H,$B:$B,'20Ф'!N:N)*1.2</f>
        <v>0</v>
      </c>
      <c r="DX182" s="276">
        <f>$D182/$D$281*('25Ф'!$D$37)</f>
        <v>305955.55308539543</v>
      </c>
      <c r="DY182" s="276">
        <f>$D182/$D$281*'25Ф'!$D$30</f>
        <v>9765.1408052280749</v>
      </c>
      <c r="DZ182" s="276">
        <f>$D182/$D$281*'25Ф'!$D$31</f>
        <v>5362.4913187468355</v>
      </c>
      <c r="EA182" s="276"/>
      <c r="EB182" s="276">
        <f t="shared" si="27"/>
        <v>192756.80043417553</v>
      </c>
      <c r="EC182" s="276">
        <f>$D182/$D$281*'26Ф'!$D$36</f>
        <v>100336.12231274397</v>
      </c>
      <c r="ED182" s="276">
        <f>$D182/$D$281*'26Ф'!$D$37</f>
        <v>12055.277934808493</v>
      </c>
      <c r="EE182" s="276">
        <f>$D182/$D$281*'26Ф'!$D$38</f>
        <v>12178.916672588581</v>
      </c>
      <c r="EF182" s="276">
        <f>$D182/$D$281*'26Ф'!$D$39</f>
        <v>8543.498930411175</v>
      </c>
      <c r="EG182" s="276">
        <f>$D182/$D$281*'91Ф'!$D$10</f>
        <v>2635.6658668382775</v>
      </c>
      <c r="EH182" s="276">
        <f>$D182/$D$281*('20Ф'!$I$509+'26Ф'!$D$41+'20Ф'!$I$507)</f>
        <v>18646.468124192255</v>
      </c>
      <c r="EI182" s="276">
        <f>$D182/$D$281*'91Ф'!$D$31</f>
        <v>34181.714859302774</v>
      </c>
      <c r="EJ182" s="276">
        <f>$D182/$D$281*'20Ф'!$I$1316</f>
        <v>4179.1357332900006</v>
      </c>
      <c r="EK182" s="276">
        <f>$D182/$D$281*('20Ф'!$I$1105+'20Ф'!$I$1282+'91Ф'!$D$17+'91Ф'!$D$41)</f>
        <v>137247.47345698287</v>
      </c>
      <c r="EL182" s="276">
        <f>$D182/$D$281*отчёт!BX$294</f>
        <v>229435.91840754272</v>
      </c>
      <c r="EM182" s="276">
        <f>$D182/$D$281*отчёт!BY$294</f>
        <v>201776.57456907057</v>
      </c>
      <c r="EN182" s="276">
        <f>$D182/$D$283*отчёт!BZ$294</f>
        <v>36212.58771866803</v>
      </c>
      <c r="EO182" s="240">
        <f t="shared" si="37"/>
        <v>183876.00950099801</v>
      </c>
      <c r="EP182" s="276">
        <f>SUMIF('20Ф'!$H:$H,$B:$B,'20Ф'!T:T)*1.2</f>
        <v>6012.5999999999995</v>
      </c>
      <c r="EQ182" s="276">
        <f>SUM(H182:I182)/SUM($H$284:$I$284)*SUM('60Ф'!$O$155:$P$155)</f>
        <v>172510.26175648702</v>
      </c>
      <c r="ER182" s="276">
        <f>SUM($H182:$I182)/SUM($H$284:$I$284)*SUM('60Ф'!$P$227)</f>
        <v>5353.1477445109776</v>
      </c>
      <c r="ES182" s="239">
        <f t="shared" si="31"/>
        <v>76792.289275395524</v>
      </c>
      <c r="ET182" s="276">
        <f>$D182/$D$282*'20Ф'!$I$381</f>
        <v>5869.3082457640921</v>
      </c>
      <c r="EU182" s="276">
        <f>$D182/$D$282*('20Ф'!$I$75+'20Ф'!$I$1098)*1.2</f>
        <v>67793.11578536767</v>
      </c>
      <c r="EV182" s="276">
        <f>$D182/$D$282*('20Ф'!$I$1286)</f>
        <v>3129.8652442637672</v>
      </c>
      <c r="EW182" s="276">
        <f>SUMIF('91.1Ф'!$N:$N,$B:$B,'91.1Ф'!$F:$F)+$D182/$D$281*('91Ф'!$D$12+'91Ф'!$D$11+'91Ф'!$D$19+'91Ф'!$D$20)</f>
        <v>18088.546162605238</v>
      </c>
      <c r="EX182" s="276">
        <f t="shared" si="29"/>
        <v>0</v>
      </c>
      <c r="EY182" s="276">
        <f>SUMIF('20Ф'!$H:$H,$B:$B,'20Ф'!$AY:$AY)*1.2</f>
        <v>0</v>
      </c>
      <c r="EZ182" s="236"/>
      <c r="FA182" s="277">
        <f>SUMIF(отчёт!$B:$B,$B:$B,отчёт!$CU:$CU)/отчёт!$CU$281*'20Ф'!$I$1341</f>
        <v>920.96385542168503</v>
      </c>
      <c r="FB182" s="276">
        <f>SUMIF(Сальдо!$A:$A,$B:$B,Сальдо!$H:$H)-SUMIF(Сальдо!$A:$A,$B:$B,Сальдо!$I:$I)</f>
        <v>374514.36</v>
      </c>
    </row>
    <row r="183" spans="1:158" ht="12" customHeight="1" x14ac:dyDescent="0.25">
      <c r="A183" s="3">
        <f t="shared" si="32"/>
        <v>179</v>
      </c>
      <c r="B183" s="4" t="s">
        <v>228</v>
      </c>
      <c r="C183" s="4" t="s">
        <v>228</v>
      </c>
      <c r="D183" s="5">
        <v>3895.5</v>
      </c>
      <c r="E183" s="6">
        <v>3895.5</v>
      </c>
      <c r="F183" s="6">
        <v>0</v>
      </c>
      <c r="G183" s="6">
        <v>771.6</v>
      </c>
      <c r="H183" s="5">
        <f>SUMIF(отчёт!$B:$B,$B:$B,отчёт!I:I)</f>
        <v>1</v>
      </c>
      <c r="I183" s="5">
        <f>SUMIF(отчёт!$B:$B,$B:$B,отчёт!J:J)</f>
        <v>1</v>
      </c>
      <c r="J183" s="3" t="s">
        <v>70</v>
      </c>
      <c r="K183" s="105">
        <v>1</v>
      </c>
      <c r="L183" s="105" t="s">
        <v>52</v>
      </c>
      <c r="M183" s="7">
        <v>44.8</v>
      </c>
      <c r="N183" s="8">
        <v>5.0999999999999996</v>
      </c>
      <c r="O183" s="8">
        <v>8.6300000000000008</v>
      </c>
      <c r="P183" s="8">
        <v>13.43</v>
      </c>
      <c r="Q183" s="8">
        <v>6.91</v>
      </c>
      <c r="R183" s="8">
        <v>3.15</v>
      </c>
      <c r="S183" s="8">
        <v>1.81</v>
      </c>
      <c r="T183" s="8">
        <v>5.77</v>
      </c>
      <c r="U183" s="8">
        <v>0</v>
      </c>
      <c r="V183" s="9">
        <v>40</v>
      </c>
      <c r="W183" s="9">
        <v>40</v>
      </c>
      <c r="X183" s="9">
        <v>2604.04</v>
      </c>
      <c r="Y183" s="8">
        <v>195.98199600000001</v>
      </c>
      <c r="Z183" s="9">
        <v>42.3</v>
      </c>
      <c r="AA183" s="9">
        <v>2604.04</v>
      </c>
      <c r="AB183" s="8">
        <v>0</v>
      </c>
      <c r="AC183" s="10">
        <v>0</v>
      </c>
      <c r="AD183" s="8">
        <v>5.05</v>
      </c>
      <c r="AE183" s="8">
        <v>10.67</v>
      </c>
      <c r="AF183" s="8">
        <v>14</v>
      </c>
      <c r="AG183" s="7">
        <v>1047110.3999999999</v>
      </c>
      <c r="AH183" s="8">
        <v>119202.29999999999</v>
      </c>
      <c r="AI183" s="8">
        <v>201708.99</v>
      </c>
      <c r="AJ183" s="8">
        <v>313899.39</v>
      </c>
      <c r="AK183" s="8">
        <v>161507.43</v>
      </c>
      <c r="AL183" s="8">
        <v>73624.95</v>
      </c>
      <c r="AM183" s="8">
        <v>42305.130000000005</v>
      </c>
      <c r="AN183" s="8">
        <v>134862.21</v>
      </c>
      <c r="AO183" s="8">
        <v>0</v>
      </c>
      <c r="AQ183" s="104">
        <v>48.16</v>
      </c>
      <c r="AR183" s="375">
        <v>18.649999999999999</v>
      </c>
      <c r="AS183" s="376"/>
      <c r="AT183" s="104">
        <v>7.16</v>
      </c>
      <c r="AU183" s="104">
        <v>1.53</v>
      </c>
      <c r="AV183" s="104">
        <v>0.32</v>
      </c>
      <c r="AW183" s="104">
        <v>0.87</v>
      </c>
      <c r="AX183" s="104">
        <v>5.01</v>
      </c>
      <c r="AY183" s="104">
        <v>4.99</v>
      </c>
      <c r="AZ183" s="104">
        <v>2.7</v>
      </c>
      <c r="BA183" s="104">
        <v>6.46</v>
      </c>
      <c r="BB183" s="104">
        <v>0.47</v>
      </c>
      <c r="BC183" s="101">
        <v>0</v>
      </c>
      <c r="BD183" s="104">
        <v>54.565279999999994</v>
      </c>
      <c r="BE183" s="375">
        <v>21.130449999999996</v>
      </c>
      <c r="BF183" s="376">
        <v>0</v>
      </c>
      <c r="BG183" s="104">
        <v>8.1122800000000002</v>
      </c>
      <c r="BH183" s="104">
        <v>1.7334900000000002</v>
      </c>
      <c r="BI183" s="104">
        <v>0.36255999999999999</v>
      </c>
      <c r="BJ183" s="104">
        <v>0.98570999999999998</v>
      </c>
      <c r="BK183" s="104">
        <v>5.6763299999999992</v>
      </c>
      <c r="BL183" s="104">
        <v>5.6536700000000009</v>
      </c>
      <c r="BM183" s="104">
        <v>3.0591000000000004</v>
      </c>
      <c r="BN183" s="104">
        <v>7.3191800000000002</v>
      </c>
      <c r="BO183" s="104">
        <v>0.53250999999999993</v>
      </c>
      <c r="BP183" s="101">
        <v>0</v>
      </c>
      <c r="BQ183" s="103">
        <v>2500805.0424000002</v>
      </c>
      <c r="BR183" s="371">
        <v>968438.82974999992</v>
      </c>
      <c r="BS183" s="371">
        <v>0</v>
      </c>
      <c r="BT183" s="103">
        <v>371797.42740000004</v>
      </c>
      <c r="BU183" s="103">
        <v>79448.332949999996</v>
      </c>
      <c r="BV183" s="103">
        <v>16616.644800000002</v>
      </c>
      <c r="BW183" s="103">
        <v>45176.503049999999</v>
      </c>
      <c r="BX183" s="103">
        <v>260154.34514999998</v>
      </c>
      <c r="BY183" s="103">
        <v>259115.80485000004</v>
      </c>
      <c r="BZ183" s="103">
        <v>140202.94050000003</v>
      </c>
      <c r="CA183" s="103">
        <v>335448.51689999999</v>
      </c>
      <c r="CB183" s="103">
        <v>24405.697049999995</v>
      </c>
      <c r="CC183" s="103">
        <v>0</v>
      </c>
      <c r="CD183" s="1">
        <v>1</v>
      </c>
      <c r="CF183" s="277">
        <f>SUMIF(Оборот!$A:$A,$B:$B,Оборот!H:H)</f>
        <v>1843638.8</v>
      </c>
      <c r="CG183" s="277">
        <f>SUMIF(Оборот!$A:$A,$B:$B,Оборот!I:I)</f>
        <v>1928166.7900000003</v>
      </c>
      <c r="CH183" s="277">
        <f t="shared" si="25"/>
        <v>1488348.2337116485</v>
      </c>
      <c r="CI183" s="239">
        <f t="shared" si="30"/>
        <v>34262.226941290413</v>
      </c>
      <c r="CJ183" s="276">
        <f>SUMIF('20Ф'!$H:$H,$B:$B,'20Ф'!M:M)*1.2</f>
        <v>0</v>
      </c>
      <c r="CK183" s="276">
        <f>SUMIF('20Ф'!$H:$H,$B:$B,'20Ф'!O:O)*1.2</f>
        <v>0</v>
      </c>
      <c r="CL183" s="276">
        <f>SUMIF('20Ф'!$H:$H,$B:$B,'20Ф'!Q:Q)*1.2</f>
        <v>0</v>
      </c>
      <c r="CM183" s="276">
        <f>SUMIF('20Ф'!$H:$H,$B:$B,'20Ф'!R:R)*1.2</f>
        <v>0</v>
      </c>
      <c r="CN183" s="276">
        <f>SUMIF('20Ф'!$H:$H,$B:$B,'20Ф'!S:S)*1.2</f>
        <v>0</v>
      </c>
      <c r="CO183" s="276">
        <f>SUMIF('20Ф'!$H:$H,$B:$B,'20Ф'!W:W)*1.2</f>
        <v>0</v>
      </c>
      <c r="CP183" s="276">
        <f>SUMIF('20Ф'!$H:$H,$B:$B,'20Ф'!P:P)*1.2</f>
        <v>0</v>
      </c>
      <c r="CQ183" s="276">
        <f>SUMIF('20Ф'!$H:$H,$B:$B,'20Ф'!Y:Y)*1.2</f>
        <v>0</v>
      </c>
      <c r="CR183" s="276">
        <f>SUMIF('20Ф'!$H:$H,$B:$B,'20Ф'!Z:Z)*1.2</f>
        <v>0</v>
      </c>
      <c r="CS183" s="276">
        <f>SUMIF('20Ф'!$H:$H,$B:$B,'20Ф'!AB:AB)*1.2</f>
        <v>0</v>
      </c>
      <c r="CT183" s="276">
        <f>SUMIF('20Ф'!$H:$H,$B:$B,'20Ф'!AC:AC)*1.2</f>
        <v>0</v>
      </c>
      <c r="CU183" s="276">
        <f>SUMIF('20Ф'!$H:$H,$B:$B,'20Ф'!AD:AD)*1.2</f>
        <v>0</v>
      </c>
      <c r="CV183" s="276">
        <f>SUMIF('20Ф'!$H:$H,$B:$B,'20Ф'!AE:AE)*1.2</f>
        <v>0</v>
      </c>
      <c r="CW183" s="276">
        <f>SUMIF('20Ф'!$H:$H,$B:$B,'20Ф'!AF:AF)*1.2</f>
        <v>0</v>
      </c>
      <c r="CX183" s="276">
        <f>SUMIF('20Ф'!$H:$H,$B:$B,'20Ф'!AG:AG)*1.2</f>
        <v>0</v>
      </c>
      <c r="CY183" s="276">
        <f>SUMIF('20Ф'!$H:$H,$B:$B,'20Ф'!AH:AH)*1.2</f>
        <v>0</v>
      </c>
      <c r="CZ183" s="276">
        <f>SUMIF('20Ф'!$H:$H,$B:$B,'20Ф'!AI:AI)*1.2</f>
        <v>0</v>
      </c>
      <c r="DA183" s="276">
        <f>SUMIF('20Ф'!$H:$H,$B:$B,'20Ф'!AJ:AJ)*1.2</f>
        <v>0</v>
      </c>
      <c r="DB183" s="276">
        <f>SUMIF('20Ф'!$H:$H,$B:$B,'20Ф'!AK:AK)*1.2</f>
        <v>0</v>
      </c>
      <c r="DC183" s="276">
        <f>SUMIF('20Ф'!$H:$H,$B:$B,'20Ф'!AL:AL)*1.2</f>
        <v>0</v>
      </c>
      <c r="DD183" s="276">
        <f>SUMIF('20Ф'!$H:$H,$B:$B,'20Ф'!AM:AM)*1.2</f>
        <v>0</v>
      </c>
      <c r="DE183" s="276">
        <f>SUMIF('20Ф'!$H:$H,$B:$B,'20Ф'!AN:AN)*1.2</f>
        <v>0</v>
      </c>
      <c r="DF183" s="276">
        <f>SUMIF('20Ф'!$H:$H,$B:$B,'20Ф'!AO:AO)*1.2</f>
        <v>0</v>
      </c>
      <c r="DG183" s="276">
        <f>SUMIF('20Ф'!$H:$H,$B:$B,'20Ф'!AP:AP)*1.2</f>
        <v>0</v>
      </c>
      <c r="DH183" s="276">
        <f>SUMIF('20Ф'!$H:$H,$B:$B,'20Ф'!AQ:AQ)*1.2</f>
        <v>0</v>
      </c>
      <c r="DI183" s="276">
        <f>SUMIF('20Ф'!$H:$H,$B:$B,'20Ф'!BA:BA)*1.2</f>
        <v>0</v>
      </c>
      <c r="DJ183" s="276">
        <f>SUMIF('20Ф'!$H:$H,$B:$B,'20Ф'!BB:BB)*1.2</f>
        <v>0</v>
      </c>
      <c r="DK183" s="276">
        <f>SUMIF('20Ф'!$H:$H,$B:$B,'20Ф'!BC:BC)*1.2</f>
        <v>0</v>
      </c>
      <c r="DL183" s="276">
        <f>$D183/$D$281*'20Ф'!$H$218</f>
        <v>34262.226941290413</v>
      </c>
      <c r="DM183" s="240">
        <f t="shared" si="26"/>
        <v>376408.41710988217</v>
      </c>
      <c r="DN183" s="276">
        <f>SUMIF('20Ф'!$H:$H,$B:$B,'20Ф'!AV:AV)*1.2</f>
        <v>0</v>
      </c>
      <c r="DO183" s="276">
        <f>SUMIF('20Ф'!$H:$H,$B:$B,'20Ф'!AW:AW)*1.2+$D183/$D$281*'26Ф'!$D$42</f>
        <v>18232.583623869868</v>
      </c>
      <c r="DP183" s="276">
        <f>SUMIF('20Ф'!$H:$H,$B:$B,'20Ф'!AX:AX)*1.2</f>
        <v>0</v>
      </c>
      <c r="DQ183" s="276">
        <f>SUMIF('20Ф'!$H:$H,$B:$B,'20Ф'!AY:AY)*1.2</f>
        <v>0</v>
      </c>
      <c r="DR183" s="276">
        <f>SUMIF('20Ф'!$H:$H,$B:$B,'20Ф'!AU:AU)*1.2</f>
        <v>0</v>
      </c>
      <c r="DS183" s="276">
        <f>SUMIF('20Ф'!$H:$H,$B:$B,'20Ф'!AS:AS)*1.2</f>
        <v>36555.995999999999</v>
      </c>
      <c r="DT183" s="276">
        <f>SUMIF('20Ф'!$H:$H,$B:$B,'20Ф'!AR:AR)*1.2</f>
        <v>0</v>
      </c>
      <c r="DU183" s="276">
        <f>SUMIF('20Ф'!$H:$H,$B:$B,'20Ф'!X:X)*1.2</f>
        <v>0</v>
      </c>
      <c r="DV183" s="276">
        <f>SUMIF('20Ф'!$H:$H,$B:$B,'20Ф'!AA:AA)*1.2</f>
        <v>0</v>
      </c>
      <c r="DW183" s="276">
        <f>SUMIF('20Ф'!$H:$H,$B:$B,'20Ф'!N:N)*1.2</f>
        <v>0</v>
      </c>
      <c r="DX183" s="276">
        <f>$D183/$D$281*('25Ф'!$D$37)</f>
        <v>306466.92132788833</v>
      </c>
      <c r="DY183" s="276">
        <f>$D183/$D$281*'25Ф'!$D$30</f>
        <v>9781.4620742519837</v>
      </c>
      <c r="DZ183" s="276">
        <f>$D183/$D$281*'25Ф'!$D$31</f>
        <v>5371.4540838720231</v>
      </c>
      <c r="EA183" s="276"/>
      <c r="EB183" s="276">
        <f t="shared" si="27"/>
        <v>193078.97045290066</v>
      </c>
      <c r="EC183" s="276">
        <f>$D183/$D$281*'26Ф'!$D$36</f>
        <v>100503.82218289898</v>
      </c>
      <c r="ED183" s="276">
        <f>$D183/$D$281*'26Ф'!$D$37</f>
        <v>12075.426895100665</v>
      </c>
      <c r="EE183" s="276">
        <f>$D183/$D$281*'26Ф'!$D$38</f>
        <v>12199.272280295401</v>
      </c>
      <c r="EF183" s="276">
        <f>$D183/$D$281*'26Ф'!$D$39</f>
        <v>8557.7783706394257</v>
      </c>
      <c r="EG183" s="276">
        <f>$D183/$D$281*'91Ф'!$D$10</f>
        <v>2640.0710682099534</v>
      </c>
      <c r="EH183" s="276">
        <f>$D183/$D$281*('20Ф'!$I$509+'26Ф'!$D$41+'20Ф'!$I$507)</f>
        <v>18677.633473332713</v>
      </c>
      <c r="EI183" s="276">
        <f>$D183/$D$281*'91Ф'!$D$31</f>
        <v>34238.845521834388</v>
      </c>
      <c r="EJ183" s="276">
        <f>$D183/$D$281*'20Ф'!$I$1316</f>
        <v>4186.1206605891484</v>
      </c>
      <c r="EK183" s="276">
        <f>$D183/$D$281*('20Ф'!$I$1105+'20Ф'!$I$1282+'91Ф'!$D$17+'91Ф'!$D$41)</f>
        <v>137476.8662513954</v>
      </c>
      <c r="EL183" s="276">
        <f>$D183/$D$281*отчёт!BX$294</f>
        <v>229819.39320045838</v>
      </c>
      <c r="EM183" s="276">
        <f>$D183/$D$281*отчёт!BY$294</f>
        <v>202113.82006526471</v>
      </c>
      <c r="EN183" s="276">
        <f>$D183/$D$283*отчёт!BZ$294</f>
        <v>36273.112743139965</v>
      </c>
      <c r="EO183" s="240">
        <f t="shared" si="37"/>
        <v>183876.00950099801</v>
      </c>
      <c r="EP183" s="276">
        <f>SUMIF('20Ф'!$H:$H,$B:$B,'20Ф'!T:T)*1.2</f>
        <v>6012.5999999999995</v>
      </c>
      <c r="EQ183" s="276">
        <f>SUM(H183:I183)/SUM($H$284:$I$284)*SUM('60Ф'!$O$155:$P$155)</f>
        <v>172510.26175648702</v>
      </c>
      <c r="ER183" s="276">
        <f>SUM($H183:$I183)/SUM($H$284:$I$284)*SUM('60Ф'!$P$227)</f>
        <v>5353.1477445109776</v>
      </c>
      <c r="ES183" s="239">
        <f t="shared" si="31"/>
        <v>76920.638434636989</v>
      </c>
      <c r="ET183" s="276">
        <f>$D183/$D$282*'20Ф'!$I$381</f>
        <v>5879.1180949791769</v>
      </c>
      <c r="EU183" s="276">
        <f>$D183/$D$282*('20Ф'!$I$75+'20Ф'!$I$1098)*1.2</f>
        <v>67906.423898662833</v>
      </c>
      <c r="EV183" s="276">
        <f>$D183/$D$282*('20Ф'!$I$1286)</f>
        <v>3135.096440994987</v>
      </c>
      <c r="EW183" s="276">
        <f>SUMIF('91.1Ф'!$N:$N,$B:$B,'91.1Ф'!$F:$F)+$D183/$D$281*('91Ф'!$D$12+'91Ф'!$D$11+'91Ф'!$D$19+'91Ф'!$D$20)</f>
        <v>18118.779011681334</v>
      </c>
      <c r="EX183" s="276">
        <f t="shared" si="29"/>
        <v>0</v>
      </c>
      <c r="EY183" s="276">
        <f>SUMIF('20Ф'!$H:$H,$B:$B,'20Ф'!$AY:$AY)*1.2</f>
        <v>0</v>
      </c>
      <c r="EZ183" s="236"/>
      <c r="FA183" s="277">
        <f>SUMIF(отчёт!$B:$B,$B:$B,отчёт!$CU:$CU)/отчёт!$CU$281*'20Ф'!$I$1341</f>
        <v>920.96385542168503</v>
      </c>
      <c r="FB183" s="276">
        <f>SUMIF(Сальдо!$A:$A,$B:$B,Сальдо!$H:$H)-SUMIF(Сальдо!$A:$A,$B:$B,Сальдо!$I:$I)</f>
        <v>117835.89</v>
      </c>
    </row>
    <row r="184" spans="1:158" ht="12" customHeight="1" x14ac:dyDescent="0.25">
      <c r="A184" s="3">
        <f t="shared" si="32"/>
        <v>180</v>
      </c>
      <c r="B184" s="4" t="s">
        <v>229</v>
      </c>
      <c r="C184" s="4" t="s">
        <v>229</v>
      </c>
      <c r="D184" s="5">
        <v>3855.6</v>
      </c>
      <c r="E184" s="6">
        <v>3855.6</v>
      </c>
      <c r="F184" s="6">
        <v>0</v>
      </c>
      <c r="G184" s="6">
        <v>763.7</v>
      </c>
      <c r="H184" s="5">
        <f>SUMIF(отчёт!$B:$B,$B:$B,отчёт!I:I)</f>
        <v>1</v>
      </c>
      <c r="I184" s="5">
        <f>SUMIF(отчёт!$B:$B,$B:$B,отчёт!J:J)</f>
        <v>1</v>
      </c>
      <c r="J184" s="3" t="s">
        <v>70</v>
      </c>
      <c r="K184" s="105">
        <v>1</v>
      </c>
      <c r="L184" s="105" t="s">
        <v>52</v>
      </c>
      <c r="M184" s="7">
        <v>44.8</v>
      </c>
      <c r="N184" s="8">
        <v>5.0999999999999996</v>
      </c>
      <c r="O184" s="8">
        <v>8.6300000000000008</v>
      </c>
      <c r="P184" s="8">
        <v>13.43</v>
      </c>
      <c r="Q184" s="8">
        <v>6.91</v>
      </c>
      <c r="R184" s="8">
        <v>3.15</v>
      </c>
      <c r="S184" s="8">
        <v>1.81</v>
      </c>
      <c r="T184" s="8">
        <v>5.77</v>
      </c>
      <c r="U184" s="8">
        <v>0</v>
      </c>
      <c r="V184" s="9">
        <v>40</v>
      </c>
      <c r="W184" s="9">
        <v>40</v>
      </c>
      <c r="X184" s="9">
        <v>2604.04</v>
      </c>
      <c r="Y184" s="8">
        <v>195.98199600000001</v>
      </c>
      <c r="Z184" s="9">
        <v>42.3</v>
      </c>
      <c r="AA184" s="9">
        <v>2604.04</v>
      </c>
      <c r="AB184" s="8">
        <v>0</v>
      </c>
      <c r="AC184" s="10">
        <v>0</v>
      </c>
      <c r="AD184" s="8">
        <v>5.05</v>
      </c>
      <c r="AE184" s="8">
        <v>10.67</v>
      </c>
      <c r="AF184" s="8">
        <v>14</v>
      </c>
      <c r="AG184" s="7">
        <v>1036385.2799999998</v>
      </c>
      <c r="AH184" s="8">
        <v>117981.35999999999</v>
      </c>
      <c r="AI184" s="8">
        <v>199642.96799999999</v>
      </c>
      <c r="AJ184" s="8">
        <v>310684.24800000002</v>
      </c>
      <c r="AK184" s="8">
        <v>159853.17600000001</v>
      </c>
      <c r="AL184" s="8">
        <v>72870.84</v>
      </c>
      <c r="AM184" s="8">
        <v>41871.816000000006</v>
      </c>
      <c r="AN184" s="8">
        <v>133480.87199999997</v>
      </c>
      <c r="AO184" s="8">
        <v>0</v>
      </c>
      <c r="AQ184" s="104">
        <v>48.16</v>
      </c>
      <c r="AR184" s="375">
        <v>18.649999999999999</v>
      </c>
      <c r="AS184" s="376"/>
      <c r="AT184" s="104">
        <v>7.16</v>
      </c>
      <c r="AU184" s="104">
        <v>1.53</v>
      </c>
      <c r="AV184" s="104">
        <v>0.32</v>
      </c>
      <c r="AW184" s="104">
        <v>0.87</v>
      </c>
      <c r="AX184" s="104">
        <v>5.01</v>
      </c>
      <c r="AY184" s="104">
        <v>4.99</v>
      </c>
      <c r="AZ184" s="104">
        <v>2.7</v>
      </c>
      <c r="BA184" s="104">
        <v>6.46</v>
      </c>
      <c r="BB184" s="104">
        <v>0.47</v>
      </c>
      <c r="BC184" s="101">
        <v>0</v>
      </c>
      <c r="BD184" s="104">
        <v>54.565279999999994</v>
      </c>
      <c r="BE184" s="375">
        <v>21.130449999999996</v>
      </c>
      <c r="BF184" s="376">
        <v>0</v>
      </c>
      <c r="BG184" s="104">
        <v>8.1122800000000002</v>
      </c>
      <c r="BH184" s="104">
        <v>1.7334900000000002</v>
      </c>
      <c r="BI184" s="104">
        <v>0.36255999999999999</v>
      </c>
      <c r="BJ184" s="104">
        <v>0.98570999999999998</v>
      </c>
      <c r="BK184" s="104">
        <v>5.6763299999999992</v>
      </c>
      <c r="BL184" s="104">
        <v>5.6536700000000009</v>
      </c>
      <c r="BM184" s="104">
        <v>3.0591000000000004</v>
      </c>
      <c r="BN184" s="104">
        <v>7.3191800000000002</v>
      </c>
      <c r="BO184" s="104">
        <v>0.53250999999999993</v>
      </c>
      <c r="BP184" s="101">
        <v>0</v>
      </c>
      <c r="BQ184" s="103">
        <v>2475190.3276800006</v>
      </c>
      <c r="BR184" s="371">
        <v>958519.5101999999</v>
      </c>
      <c r="BS184" s="371">
        <v>0</v>
      </c>
      <c r="BT184" s="103">
        <v>367989.25968000002</v>
      </c>
      <c r="BU184" s="103">
        <v>78634.576440000004</v>
      </c>
      <c r="BV184" s="103">
        <v>16446.447359999998</v>
      </c>
      <c r="BW184" s="103">
        <v>44713.778759999994</v>
      </c>
      <c r="BX184" s="103">
        <v>257489.69147999998</v>
      </c>
      <c r="BY184" s="103">
        <v>256461.78852000006</v>
      </c>
      <c r="BZ184" s="103">
        <v>138766.89960000003</v>
      </c>
      <c r="CA184" s="103">
        <v>332012.65607999999</v>
      </c>
      <c r="CB184" s="103">
        <v>24155.719559999994</v>
      </c>
      <c r="CC184" s="103">
        <v>0</v>
      </c>
      <c r="CD184" s="1">
        <v>1</v>
      </c>
      <c r="CF184" s="277">
        <f>SUMIF(Оборот!$A:$A,$B:$B,Оборот!H:H)</f>
        <v>1824860.0499999996</v>
      </c>
      <c r="CG184" s="277">
        <f>SUMIF(Оборот!$A:$A,$B:$B,Оборот!I:I)</f>
        <v>1957238.07</v>
      </c>
      <c r="CH184" s="277">
        <f t="shared" si="25"/>
        <v>1475534.254673372</v>
      </c>
      <c r="CI184" s="239">
        <f t="shared" si="30"/>
        <v>39039.553080436228</v>
      </c>
      <c r="CJ184" s="276">
        <f>SUMIF('20Ф'!$H:$H,$B:$B,'20Ф'!M:M)*1.2</f>
        <v>0</v>
      </c>
      <c r="CK184" s="276">
        <f>SUMIF('20Ф'!$H:$H,$B:$B,'20Ф'!O:O)*1.2</f>
        <v>0</v>
      </c>
      <c r="CL184" s="276">
        <f>SUMIF('20Ф'!$H:$H,$B:$B,'20Ф'!Q:Q)*1.2</f>
        <v>0</v>
      </c>
      <c r="CM184" s="276">
        <f>SUMIF('20Ф'!$H:$H,$B:$B,'20Ф'!R:R)*1.2</f>
        <v>0</v>
      </c>
      <c r="CN184" s="276">
        <f>SUMIF('20Ф'!$H:$H,$B:$B,'20Ф'!S:S)*1.2</f>
        <v>0</v>
      </c>
      <c r="CO184" s="276">
        <f>SUMIF('20Ф'!$H:$H,$B:$B,'20Ф'!W:W)*1.2</f>
        <v>0</v>
      </c>
      <c r="CP184" s="276">
        <f>SUMIF('20Ф'!$H:$H,$B:$B,'20Ф'!P:P)*1.2</f>
        <v>0</v>
      </c>
      <c r="CQ184" s="276">
        <f>SUMIF('20Ф'!$H:$H,$B:$B,'20Ф'!Y:Y)*1.2</f>
        <v>0</v>
      </c>
      <c r="CR184" s="276">
        <f>SUMIF('20Ф'!$H:$H,$B:$B,'20Ф'!Z:Z)*1.2</f>
        <v>0</v>
      </c>
      <c r="CS184" s="276">
        <f>SUMIF('20Ф'!$H:$H,$B:$B,'20Ф'!AB:AB)*1.2</f>
        <v>0</v>
      </c>
      <c r="CT184" s="276">
        <f>SUMIF('20Ф'!$H:$H,$B:$B,'20Ф'!AC:AC)*1.2</f>
        <v>0</v>
      </c>
      <c r="CU184" s="276">
        <f>SUMIF('20Ф'!$H:$H,$B:$B,'20Ф'!AD:AD)*1.2</f>
        <v>0</v>
      </c>
      <c r="CV184" s="276">
        <f>SUMIF('20Ф'!$H:$H,$B:$B,'20Ф'!AE:AE)*1.2</f>
        <v>0</v>
      </c>
      <c r="CW184" s="276">
        <f>SUMIF('20Ф'!$H:$H,$B:$B,'20Ф'!AF:AF)*1.2</f>
        <v>0</v>
      </c>
      <c r="CX184" s="276">
        <f>SUMIF('20Ф'!$H:$H,$B:$B,'20Ф'!AG:AG)*1.2</f>
        <v>0</v>
      </c>
      <c r="CY184" s="276">
        <f>SUMIF('20Ф'!$H:$H,$B:$B,'20Ф'!AH:AH)*1.2</f>
        <v>0</v>
      </c>
      <c r="CZ184" s="276">
        <f>SUMIF('20Ф'!$H:$H,$B:$B,'20Ф'!AI:AI)*1.2</f>
        <v>0</v>
      </c>
      <c r="DA184" s="276">
        <f>SUMIF('20Ф'!$H:$H,$B:$B,'20Ф'!AJ:AJ)*1.2</f>
        <v>0</v>
      </c>
      <c r="DB184" s="276">
        <f>SUMIF('20Ф'!$H:$H,$B:$B,'20Ф'!AK:AK)*1.2</f>
        <v>0</v>
      </c>
      <c r="DC184" s="276">
        <f>SUMIF('20Ф'!$H:$H,$B:$B,'20Ф'!AL:AL)*1.2</f>
        <v>0</v>
      </c>
      <c r="DD184" s="276">
        <f>SUMIF('20Ф'!$H:$H,$B:$B,'20Ф'!AM:AM)*1.2</f>
        <v>0</v>
      </c>
      <c r="DE184" s="276">
        <f>SUMIF('20Ф'!$H:$H,$B:$B,'20Ф'!AN:AN)*1.2</f>
        <v>5128.26</v>
      </c>
      <c r="DF184" s="276">
        <f>SUMIF('20Ф'!$H:$H,$B:$B,'20Ф'!AO:AO)*1.2</f>
        <v>0</v>
      </c>
      <c r="DG184" s="276">
        <f>SUMIF('20Ф'!$H:$H,$B:$B,'20Ф'!AP:AP)*1.2</f>
        <v>0</v>
      </c>
      <c r="DH184" s="276">
        <f>SUMIF('20Ф'!$H:$H,$B:$B,'20Ф'!AQ:AQ)*1.2</f>
        <v>0</v>
      </c>
      <c r="DI184" s="276">
        <f>SUMIF('20Ф'!$H:$H,$B:$B,'20Ф'!BA:BA)*1.2</f>
        <v>0</v>
      </c>
      <c r="DJ184" s="276">
        <f>SUMIF('20Ф'!$H:$H,$B:$B,'20Ф'!BB:BB)*1.2</f>
        <v>0</v>
      </c>
      <c r="DK184" s="276">
        <f>SUMIF('20Ф'!$H:$H,$B:$B,'20Ф'!BC:BC)*1.2</f>
        <v>0</v>
      </c>
      <c r="DL184" s="276">
        <f>$D184/$D$281*'20Ф'!$H$218</f>
        <v>33911.293080436226</v>
      </c>
      <c r="DM184" s="240">
        <f t="shared" si="26"/>
        <v>367971.95291522564</v>
      </c>
      <c r="DN184" s="276">
        <f>SUMIF('20Ф'!$H:$H,$B:$B,'20Ф'!AV:AV)*1.2</f>
        <v>0</v>
      </c>
      <c r="DO184" s="276">
        <f>SUMIF('20Ф'!$H:$H,$B:$B,'20Ф'!AW:AW)*1.2+$D184/$D$281*'26Ф'!$D$42</f>
        <v>18045.834788908396</v>
      </c>
      <c r="DP184" s="276">
        <f>SUMIF('20Ф'!$H:$H,$B:$B,'20Ф'!AX:AX)*1.2</f>
        <v>0</v>
      </c>
      <c r="DQ184" s="276">
        <f>SUMIF('20Ф'!$H:$H,$B:$B,'20Ф'!AY:AY)*1.2</f>
        <v>0</v>
      </c>
      <c r="DR184" s="276">
        <f>SUMIF('20Ф'!$H:$H,$B:$B,'20Ф'!AU:AU)*1.2</f>
        <v>0</v>
      </c>
      <c r="DS184" s="276">
        <f>SUMIF('20Ф'!$H:$H,$B:$B,'20Ф'!AS:AS)*1.2</f>
        <v>31600.5</v>
      </c>
      <c r="DT184" s="276">
        <f>SUMIF('20Ф'!$H:$H,$B:$B,'20Ф'!AR:AR)*1.2</f>
        <v>0</v>
      </c>
      <c r="DU184" s="276">
        <f>SUMIF('20Ф'!$H:$H,$B:$B,'20Ф'!X:X)*1.2</f>
        <v>0</v>
      </c>
      <c r="DV184" s="276">
        <f>SUMIF('20Ф'!$H:$H,$B:$B,'20Ф'!AA:AA)*1.2</f>
        <v>0</v>
      </c>
      <c r="DW184" s="276">
        <f>SUMIF('20Ф'!$H:$H,$B:$B,'20Ф'!N:N)*1.2</f>
        <v>0</v>
      </c>
      <c r="DX184" s="276">
        <f>$D184/$D$281*('25Ф'!$D$37)</f>
        <v>303327.90703935467</v>
      </c>
      <c r="DY184" s="276">
        <f>$D184/$D$281*'25Ф'!$D$30</f>
        <v>9681.2745920898342</v>
      </c>
      <c r="DZ184" s="276">
        <f>$D184/$D$281*'25Ф'!$D$31</f>
        <v>5316.4364948727944</v>
      </c>
      <c r="EA184" s="276"/>
      <c r="EB184" s="276">
        <f t="shared" si="27"/>
        <v>191101.34218411084</v>
      </c>
      <c r="EC184" s="276">
        <f>$D184/$D$281*'26Ф'!$D$36</f>
        <v>99474.402979947452</v>
      </c>
      <c r="ED184" s="276">
        <f>$D184/$D$281*'26Ф'!$D$37</f>
        <v>11951.74327730718</v>
      </c>
      <c r="EE184" s="276">
        <f>$D184/$D$281*'26Ф'!$D$38</f>
        <v>12074.32016529507</v>
      </c>
      <c r="EF184" s="276">
        <f>$D184/$D$281*'26Ф'!$D$39</f>
        <v>8470.1245760075399</v>
      </c>
      <c r="EG184" s="276">
        <f>$D184/$D$281*'91Ф'!$D$10</f>
        <v>2613.0299090207409</v>
      </c>
      <c r="EH184" s="276">
        <f>$D184/$D$281*('20Ф'!$I$509+'26Ф'!$D$41+'20Ф'!$I$507)</f>
        <v>18486.326176301271</v>
      </c>
      <c r="EI184" s="276">
        <f>$D184/$D$281*'91Ф'!$D$31</f>
        <v>33888.151147217213</v>
      </c>
      <c r="EJ184" s="276">
        <f>$D184/$D$281*'20Ф'!$I$1316</f>
        <v>4143.2439530143802</v>
      </c>
      <c r="EK184" s="276">
        <f>$D184/$D$281*('20Ф'!$I$1105+'20Ф'!$I$1282+'91Ф'!$D$17+'91Ф'!$D$41)</f>
        <v>136068.74740569378</v>
      </c>
      <c r="EL184" s="276">
        <f>$D184/$D$281*отчёт!BX$294</f>
        <v>227465.44793317604</v>
      </c>
      <c r="EM184" s="276">
        <f>$D184/$D$281*отчёт!BY$294</f>
        <v>200043.65155785767</v>
      </c>
      <c r="EN184" s="276">
        <f>$D184/$D$283*отчёт!BZ$294</f>
        <v>35901.582208304564</v>
      </c>
      <c r="EO184" s="240">
        <f t="shared" si="37"/>
        <v>183876.00950099801</v>
      </c>
      <c r="EP184" s="276">
        <f>SUMIF('20Ф'!$H:$H,$B:$B,'20Ф'!T:T)*1.2</f>
        <v>6012.5999999999995</v>
      </c>
      <c r="EQ184" s="276">
        <f>SUM(H184:I184)/SUM($H$284:$I$284)*SUM('60Ф'!$O$155:$P$155)</f>
        <v>172510.26175648702</v>
      </c>
      <c r="ER184" s="276">
        <f>SUM($H184:$I184)/SUM($H$284:$I$284)*SUM('60Ф'!$P$227)</f>
        <v>5353.1477445109776</v>
      </c>
      <c r="ES184" s="239">
        <f t="shared" si="31"/>
        <v>76132.772057139358</v>
      </c>
      <c r="ET184" s="276">
        <f>$D184/$D$282*'20Ф'!$I$381</f>
        <v>5818.9007128742687</v>
      </c>
      <c r="EU184" s="276">
        <f>$D184/$D$282*('20Ф'!$I$75+'20Ф'!$I$1098)*1.2</f>
        <v>67210.88640320483</v>
      </c>
      <c r="EV184" s="276">
        <f>$D184/$D$282*('20Ф'!$I$1286)</f>
        <v>3102.9849410602674</v>
      </c>
      <c r="EW184" s="276">
        <f>SUMIF('91.1Ф'!$N:$N,$B:$B,'91.1Ф'!$F:$F)+$D184/$D$281*('91Ф'!$D$12+'91Ф'!$D$11+'91Ф'!$D$19+'91Ф'!$D$20)</f>
        <v>17933.195830429609</v>
      </c>
      <c r="EX184" s="276">
        <f t="shared" si="29"/>
        <v>0</v>
      </c>
      <c r="EY184" s="276">
        <f>SUMIF('20Ф'!$H:$H,$B:$B,'20Ф'!$AY:$AY)*1.2</f>
        <v>0</v>
      </c>
      <c r="EZ184" s="236"/>
      <c r="FA184" s="277">
        <f>SUMIF(отчёт!$B:$B,$B:$B,отчёт!$CU:$CU)/отчёт!$CU$281*'20Ф'!$I$1341</f>
        <v>920.96385542168503</v>
      </c>
      <c r="FB184" s="276">
        <f>SUMIF(Сальдо!$A:$A,$B:$B,Сальдо!$H:$H)-SUMIF(Сальдо!$A:$A,$B:$B,Сальдо!$I:$I)</f>
        <v>134457.16</v>
      </c>
    </row>
    <row r="185" spans="1:158" ht="12" customHeight="1" x14ac:dyDescent="0.25">
      <c r="A185" s="3">
        <f t="shared" si="32"/>
        <v>181</v>
      </c>
      <c r="B185" s="4" t="s">
        <v>230</v>
      </c>
      <c r="C185" s="4" t="s">
        <v>230</v>
      </c>
      <c r="D185" s="5">
        <v>3865.05</v>
      </c>
      <c r="E185" s="6">
        <v>3865.05</v>
      </c>
      <c r="F185" s="6">
        <v>0</v>
      </c>
      <c r="G185" s="6">
        <v>719.61</v>
      </c>
      <c r="H185" s="5">
        <f>SUMIF(отчёт!$B:$B,$B:$B,отчёт!I:I)</f>
        <v>1</v>
      </c>
      <c r="I185" s="5">
        <f>SUMIF(отчёт!$B:$B,$B:$B,отчёт!J:J)</f>
        <v>1</v>
      </c>
      <c r="J185" s="3" t="s">
        <v>70</v>
      </c>
      <c r="K185" s="105">
        <v>1</v>
      </c>
      <c r="L185" s="105" t="s">
        <v>52</v>
      </c>
      <c r="M185" s="7">
        <v>44.8</v>
      </c>
      <c r="N185" s="8">
        <v>5.0999999999999996</v>
      </c>
      <c r="O185" s="8">
        <v>8.6300000000000008</v>
      </c>
      <c r="P185" s="8">
        <v>13.43</v>
      </c>
      <c r="Q185" s="8">
        <v>6.91</v>
      </c>
      <c r="R185" s="8">
        <v>3.15</v>
      </c>
      <c r="S185" s="8">
        <v>1.81</v>
      </c>
      <c r="T185" s="8">
        <v>5.77</v>
      </c>
      <c r="U185" s="8">
        <v>0</v>
      </c>
      <c r="V185" s="9">
        <v>40</v>
      </c>
      <c r="W185" s="9">
        <v>40</v>
      </c>
      <c r="X185" s="9">
        <v>2604.04</v>
      </c>
      <c r="Y185" s="8">
        <v>195.98199600000001</v>
      </c>
      <c r="Z185" s="9">
        <v>42.3</v>
      </c>
      <c r="AA185" s="9">
        <v>2604.04</v>
      </c>
      <c r="AB185" s="8">
        <v>0</v>
      </c>
      <c r="AC185" s="10">
        <v>0</v>
      </c>
      <c r="AD185" s="8">
        <v>5.05</v>
      </c>
      <c r="AE185" s="8">
        <v>10.67</v>
      </c>
      <c r="AF185" s="8">
        <v>14</v>
      </c>
      <c r="AG185" s="7">
        <v>1038925.44</v>
      </c>
      <c r="AH185" s="8">
        <v>118270.53</v>
      </c>
      <c r="AI185" s="8">
        <v>200132.28900000002</v>
      </c>
      <c r="AJ185" s="8">
        <v>311445.72899999999</v>
      </c>
      <c r="AK185" s="8">
        <v>160244.973</v>
      </c>
      <c r="AL185" s="8">
        <v>73049.444999999992</v>
      </c>
      <c r="AM185" s="8">
        <v>41974.443000000007</v>
      </c>
      <c r="AN185" s="8">
        <v>133808.03099999999</v>
      </c>
      <c r="AO185" s="8">
        <v>0</v>
      </c>
      <c r="AQ185" s="104">
        <v>48.16</v>
      </c>
      <c r="AR185" s="375">
        <v>18.649999999999999</v>
      </c>
      <c r="AS185" s="376"/>
      <c r="AT185" s="104">
        <v>7.16</v>
      </c>
      <c r="AU185" s="104">
        <v>1.53</v>
      </c>
      <c r="AV185" s="104">
        <v>0.32</v>
      </c>
      <c r="AW185" s="104">
        <v>0.87</v>
      </c>
      <c r="AX185" s="104">
        <v>5.01</v>
      </c>
      <c r="AY185" s="104">
        <v>4.99</v>
      </c>
      <c r="AZ185" s="104">
        <v>2.7</v>
      </c>
      <c r="BA185" s="104">
        <v>6.46</v>
      </c>
      <c r="BB185" s="104">
        <v>0.47</v>
      </c>
      <c r="BC185" s="101">
        <v>0</v>
      </c>
      <c r="BD185" s="104">
        <v>54.565279999999994</v>
      </c>
      <c r="BE185" s="375">
        <v>21.130449999999996</v>
      </c>
      <c r="BF185" s="376">
        <v>0</v>
      </c>
      <c r="BG185" s="104">
        <v>8.1122800000000002</v>
      </c>
      <c r="BH185" s="104">
        <v>1.7334900000000002</v>
      </c>
      <c r="BI185" s="104">
        <v>0.36255999999999999</v>
      </c>
      <c r="BJ185" s="104">
        <v>0.98570999999999998</v>
      </c>
      <c r="BK185" s="104">
        <v>5.6763299999999992</v>
      </c>
      <c r="BL185" s="104">
        <v>5.6536700000000009</v>
      </c>
      <c r="BM185" s="104">
        <v>3.0591000000000004</v>
      </c>
      <c r="BN185" s="104">
        <v>7.3191800000000002</v>
      </c>
      <c r="BO185" s="104">
        <v>0.53250999999999993</v>
      </c>
      <c r="BP185" s="101">
        <v>0</v>
      </c>
      <c r="BQ185" s="103">
        <v>2481256.97064</v>
      </c>
      <c r="BR185" s="371">
        <v>960868.82272499998</v>
      </c>
      <c r="BS185" s="371">
        <v>0</v>
      </c>
      <c r="BT185" s="103">
        <v>368891.19414000004</v>
      </c>
      <c r="BU185" s="103">
        <v>78827.308245000007</v>
      </c>
      <c r="BV185" s="103">
        <v>16486.757280000002</v>
      </c>
      <c r="BW185" s="103">
        <v>44823.371355000003</v>
      </c>
      <c r="BX185" s="103">
        <v>258120.793665</v>
      </c>
      <c r="BY185" s="103">
        <v>257090.37133500006</v>
      </c>
      <c r="BZ185" s="103">
        <v>139107.01455000002</v>
      </c>
      <c r="CA185" s="103">
        <v>332826.41259000002</v>
      </c>
      <c r="CB185" s="103">
        <v>24214.924754999996</v>
      </c>
      <c r="CC185" s="103">
        <v>0</v>
      </c>
      <c r="CD185" s="1">
        <v>1</v>
      </c>
      <c r="CF185" s="277">
        <f>SUMIF(Оборот!$A:$A,$B:$B,Оборот!H:H)</f>
        <v>2025295.73</v>
      </c>
      <c r="CG185" s="277">
        <f>SUMIF(Оборот!$A:$A,$B:$B,Оборот!I:I)</f>
        <v>2165751.7599999998</v>
      </c>
      <c r="CH185" s="277">
        <f t="shared" si="25"/>
        <v>1487188.6822350689</v>
      </c>
      <c r="CI185" s="239">
        <f t="shared" si="30"/>
        <v>51994.408994849058</v>
      </c>
      <c r="CJ185" s="276">
        <f>SUMIF('20Ф'!$H:$H,$B:$B,'20Ф'!M:M)*1.2</f>
        <v>0</v>
      </c>
      <c r="CK185" s="276">
        <f>SUMIF('20Ф'!$H:$H,$B:$B,'20Ф'!O:O)*1.2</f>
        <v>0</v>
      </c>
      <c r="CL185" s="276">
        <f>SUMIF('20Ф'!$H:$H,$B:$B,'20Ф'!Q:Q)*1.2</f>
        <v>0</v>
      </c>
      <c r="CM185" s="276">
        <f>SUMIF('20Ф'!$H:$H,$B:$B,'20Ф'!R:R)*1.2</f>
        <v>0</v>
      </c>
      <c r="CN185" s="276">
        <f>SUMIF('20Ф'!$H:$H,$B:$B,'20Ф'!S:S)*1.2</f>
        <v>0</v>
      </c>
      <c r="CO185" s="276">
        <f>SUMIF('20Ф'!$H:$H,$B:$B,'20Ф'!W:W)*1.2</f>
        <v>18000</v>
      </c>
      <c r="CP185" s="276">
        <f>SUMIF('20Ф'!$H:$H,$B:$B,'20Ф'!P:P)*1.2</f>
        <v>0</v>
      </c>
      <c r="CQ185" s="276">
        <f>SUMIF('20Ф'!$H:$H,$B:$B,'20Ф'!Y:Y)*1.2</f>
        <v>0</v>
      </c>
      <c r="CR185" s="276">
        <f>SUMIF('20Ф'!$H:$H,$B:$B,'20Ф'!Z:Z)*1.2</f>
        <v>0</v>
      </c>
      <c r="CS185" s="276">
        <f>SUMIF('20Ф'!$H:$H,$B:$B,'20Ф'!AB:AB)*1.2</f>
        <v>0</v>
      </c>
      <c r="CT185" s="276">
        <f>SUMIF('20Ф'!$H:$H,$B:$B,'20Ф'!AC:AC)*1.2</f>
        <v>0</v>
      </c>
      <c r="CU185" s="276">
        <f>SUMIF('20Ф'!$H:$H,$B:$B,'20Ф'!AD:AD)*1.2</f>
        <v>0</v>
      </c>
      <c r="CV185" s="276">
        <f>SUMIF('20Ф'!$H:$H,$B:$B,'20Ф'!AE:AE)*1.2</f>
        <v>0</v>
      </c>
      <c r="CW185" s="276">
        <f>SUMIF('20Ф'!$H:$H,$B:$B,'20Ф'!AF:AF)*1.2</f>
        <v>0</v>
      </c>
      <c r="CX185" s="276">
        <f>SUMIF('20Ф'!$H:$H,$B:$B,'20Ф'!AG:AG)*1.2</f>
        <v>0</v>
      </c>
      <c r="CY185" s="276">
        <f>SUMIF('20Ф'!$H:$H,$B:$B,'20Ф'!AH:AH)*1.2</f>
        <v>0</v>
      </c>
      <c r="CZ185" s="276">
        <f>SUMIF('20Ф'!$H:$H,$B:$B,'20Ф'!AI:AI)*1.2</f>
        <v>0</v>
      </c>
      <c r="DA185" s="276">
        <f>SUMIF('20Ф'!$H:$H,$B:$B,'20Ф'!AJ:AJ)*1.2</f>
        <v>0</v>
      </c>
      <c r="DB185" s="276">
        <f>SUMIF('20Ф'!$H:$H,$B:$B,'20Ф'!AK:AK)*1.2</f>
        <v>0</v>
      </c>
      <c r="DC185" s="276">
        <f>SUMIF('20Ф'!$H:$H,$B:$B,'20Ф'!AL:AL)*1.2</f>
        <v>0</v>
      </c>
      <c r="DD185" s="276">
        <f>SUMIF('20Ф'!$H:$H,$B:$B,'20Ф'!AM:AM)*1.2</f>
        <v>0</v>
      </c>
      <c r="DE185" s="276">
        <f>SUMIF('20Ф'!$H:$H,$B:$B,'20Ф'!AN:AN)*1.2</f>
        <v>0</v>
      </c>
      <c r="DF185" s="276">
        <f>SUMIF('20Ф'!$H:$H,$B:$B,'20Ф'!AO:AO)*1.2</f>
        <v>0</v>
      </c>
      <c r="DG185" s="276">
        <f>SUMIF('20Ф'!$H:$H,$B:$B,'20Ф'!AP:AP)*1.2</f>
        <v>0</v>
      </c>
      <c r="DH185" s="276">
        <f>SUMIF('20Ф'!$H:$H,$B:$B,'20Ф'!AQ:AQ)*1.2</f>
        <v>0</v>
      </c>
      <c r="DI185" s="276">
        <f>SUMIF('20Ф'!$H:$H,$B:$B,'20Ф'!BA:BA)*1.2</f>
        <v>0</v>
      </c>
      <c r="DJ185" s="276">
        <f>SUMIF('20Ф'!$H:$H,$B:$B,'20Ф'!BB:BB)*1.2</f>
        <v>0</v>
      </c>
      <c r="DK185" s="276">
        <f>SUMIF('20Ф'!$H:$H,$B:$B,'20Ф'!BC:BC)*1.2</f>
        <v>0</v>
      </c>
      <c r="DL185" s="276">
        <f>$D185/$D$281*'20Ф'!$H$218</f>
        <v>33994.408994849058</v>
      </c>
      <c r="DM185" s="240">
        <f t="shared" si="26"/>
        <v>364503.27275080228</v>
      </c>
      <c r="DN185" s="276">
        <f>SUMIF('20Ф'!$H:$H,$B:$B,'20Ф'!AV:AV)*1.2</f>
        <v>0</v>
      </c>
      <c r="DO185" s="276">
        <f>SUMIF('20Ф'!$H:$H,$B:$B,'20Ф'!AW:AW)*1.2+$D185/$D$281*'26Ф'!$D$42</f>
        <v>18090.064776136114</v>
      </c>
      <c r="DP185" s="276">
        <f>SUMIF('20Ф'!$H:$H,$B:$B,'20Ф'!AX:AX)*1.2</f>
        <v>0</v>
      </c>
      <c r="DQ185" s="276">
        <f>SUMIF('20Ф'!$H:$H,$B:$B,'20Ф'!AY:AY)*1.2</f>
        <v>0</v>
      </c>
      <c r="DR185" s="276">
        <f>SUMIF('20Ф'!$H:$H,$B:$B,'20Ф'!AU:AU)*1.2</f>
        <v>0</v>
      </c>
      <c r="DS185" s="276">
        <f>SUMIF('20Ф'!$H:$H,$B:$B,'20Ф'!AS:AS)*1.2</f>
        <v>27307.38</v>
      </c>
      <c r="DT185" s="276">
        <f>SUMIF('20Ф'!$H:$H,$B:$B,'20Ф'!AR:AR)*1.2</f>
        <v>0</v>
      </c>
      <c r="DU185" s="276">
        <f>SUMIF('20Ф'!$H:$H,$B:$B,'20Ф'!X:X)*1.2</f>
        <v>0</v>
      </c>
      <c r="DV185" s="276">
        <f>SUMIF('20Ф'!$H:$H,$B:$B,'20Ф'!AA:AA)*1.2</f>
        <v>0</v>
      </c>
      <c r="DW185" s="276">
        <f>SUMIF('20Ф'!$H:$H,$B:$B,'20Ф'!N:N)*1.2</f>
        <v>0</v>
      </c>
      <c r="DX185" s="276">
        <f>$D185/$D$281*('25Ф'!$D$37)</f>
        <v>304071.35779190215</v>
      </c>
      <c r="DY185" s="276">
        <f>$D185/$D$281*'25Ф'!$D$30</f>
        <v>9705.0032062861337</v>
      </c>
      <c r="DZ185" s="276">
        <f>$D185/$D$281*'25Ф'!$D$31</f>
        <v>5329.4669764778755</v>
      </c>
      <c r="EA185" s="276"/>
      <c r="EB185" s="276">
        <f t="shared" si="27"/>
        <v>191569.727826719</v>
      </c>
      <c r="EC185" s="276">
        <f>$D185/$D$281*'26Ф'!$D$36</f>
        <v>99718.212791172817</v>
      </c>
      <c r="ED185" s="276">
        <f>$D185/$D$281*'26Ф'!$D$37</f>
        <v>11981.036765731953</v>
      </c>
      <c r="EE185" s="276">
        <f>$D185/$D$281*'26Ф'!$D$38</f>
        <v>12103.914087268833</v>
      </c>
      <c r="EF185" s="276">
        <f>$D185/$D$281*'26Ф'!$D$39</f>
        <v>8490.8846852624611</v>
      </c>
      <c r="EG185" s="276">
        <f>$D185/$D$281*'91Ф'!$D$10</f>
        <v>2619.4343940918702</v>
      </c>
      <c r="EH185" s="276">
        <f>$D185/$D$281*('20Ф'!$I$509+'26Ф'!$D$41+'20Ф'!$I$507)</f>
        <v>18531.635799282405</v>
      </c>
      <c r="EI185" s="276">
        <f>$D185/$D$281*'91Ф'!$D$31</f>
        <v>33971.210341205493</v>
      </c>
      <c r="EJ185" s="276">
        <f>$D185/$D$281*'20Ф'!$I$1316</f>
        <v>4153.3989627031415</v>
      </c>
      <c r="EK185" s="276">
        <f>$D185/$D$281*('20Ф'!$I$1105+'20Ф'!$I$1282+'91Ф'!$D$17+'91Ф'!$D$41)</f>
        <v>136402.24923757048</v>
      </c>
      <c r="EL185" s="276">
        <f>$D185/$D$281*отчёт!BX$294</f>
        <v>228022.96128595344</v>
      </c>
      <c r="EM185" s="276">
        <f>$D185/$D$281*отчёт!BY$294</f>
        <v>200533.95462540144</v>
      </c>
      <c r="EN185" s="276">
        <f>$D185/$D$283*отчёт!BZ$294</f>
        <v>35989.576282344526</v>
      </c>
      <c r="EO185" s="240">
        <f t="shared" si="37"/>
        <v>183876.00950099801</v>
      </c>
      <c r="EP185" s="276">
        <f>SUMIF('20Ф'!$H:$H,$B:$B,'20Ф'!T:T)*1.2</f>
        <v>6012.5999999999995</v>
      </c>
      <c r="EQ185" s="276">
        <f>SUM(H185:I185)/SUM($H$284:$I$284)*SUM('60Ф'!$O$155:$P$155)</f>
        <v>172510.26175648702</v>
      </c>
      <c r="ER185" s="276">
        <f>SUM($H185:$I185)/SUM($H$284:$I$284)*SUM('60Ф'!$P$227)</f>
        <v>5353.1477445109776</v>
      </c>
      <c r="ES185" s="239">
        <f t="shared" si="31"/>
        <v>76319.371988651983</v>
      </c>
      <c r="ET185" s="276">
        <f>$D185/$D$282*'20Ф'!$I$381</f>
        <v>5833.1627244254323</v>
      </c>
      <c r="EU185" s="276">
        <f>$D185/$D$282*('20Ф'!$I$75+'20Ф'!$I$1098)*1.2</f>
        <v>67375.618967918577</v>
      </c>
      <c r="EV185" s="276">
        <f>$D185/$D$282*('20Ф'!$I$1286)</f>
        <v>3110.5902963079643</v>
      </c>
      <c r="EW185" s="276">
        <f>SUMIF('91.1Ф'!$N:$N,$B:$B,'91.1Ф'!$F:$F)+$D185/$D$281*('91Ф'!$D$12+'91Ф'!$D$11+'91Ф'!$D$19+'91Ф'!$D$20)</f>
        <v>17977.149741778703</v>
      </c>
      <c r="EX185" s="276">
        <f t="shared" si="29"/>
        <v>0</v>
      </c>
      <c r="EY185" s="276">
        <f>SUMIF('20Ф'!$H:$H,$B:$B,'20Ф'!$AY:$AY)*1.2</f>
        <v>0</v>
      </c>
      <c r="EZ185" s="236"/>
      <c r="FA185" s="277">
        <f>SUMIF(отчёт!$B:$B,$B:$B,отчёт!$CU:$CU)/отчёт!$CU$281*'20Ф'!$I$1341</f>
        <v>920.96385542168503</v>
      </c>
      <c r="FB185" s="276">
        <f>SUMIF(Сальдо!$A:$A,$B:$B,Сальдо!$H:$H)-SUMIF(Сальдо!$A:$A,$B:$B,Сальдо!$I:$I)</f>
        <v>261546.16000000003</v>
      </c>
    </row>
    <row r="186" spans="1:158" ht="12" customHeight="1" x14ac:dyDescent="0.25">
      <c r="A186" s="3">
        <f t="shared" si="32"/>
        <v>182</v>
      </c>
      <c r="B186" s="4" t="s">
        <v>231</v>
      </c>
      <c r="C186" s="4" t="s">
        <v>231</v>
      </c>
      <c r="D186" s="5">
        <v>3852.1</v>
      </c>
      <c r="E186" s="6">
        <v>3852.1</v>
      </c>
      <c r="F186" s="6">
        <v>0</v>
      </c>
      <c r="G186" s="6">
        <v>717.19</v>
      </c>
      <c r="H186" s="5">
        <f>SUMIF(отчёт!$B:$B,$B:$B,отчёт!I:I)</f>
        <v>1</v>
      </c>
      <c r="I186" s="5">
        <f>SUMIF(отчёт!$B:$B,$B:$B,отчёт!J:J)</f>
        <v>1</v>
      </c>
      <c r="J186" s="3" t="s">
        <v>70</v>
      </c>
      <c r="K186" s="105">
        <v>1</v>
      </c>
      <c r="L186" s="105" t="s">
        <v>52</v>
      </c>
      <c r="M186" s="7">
        <v>44.8</v>
      </c>
      <c r="N186" s="8">
        <v>5.0999999999999996</v>
      </c>
      <c r="O186" s="8">
        <v>8.6300000000000008</v>
      </c>
      <c r="P186" s="8">
        <v>13.43</v>
      </c>
      <c r="Q186" s="8">
        <v>6.91</v>
      </c>
      <c r="R186" s="8">
        <v>3.15</v>
      </c>
      <c r="S186" s="8">
        <v>1.81</v>
      </c>
      <c r="T186" s="8">
        <v>5.77</v>
      </c>
      <c r="U186" s="8">
        <v>0</v>
      </c>
      <c r="V186" s="9">
        <v>40</v>
      </c>
      <c r="W186" s="9">
        <v>40</v>
      </c>
      <c r="X186" s="9">
        <v>2604.04</v>
      </c>
      <c r="Y186" s="8">
        <v>195.98199600000001</v>
      </c>
      <c r="Z186" s="9">
        <v>42.3</v>
      </c>
      <c r="AA186" s="9">
        <v>2604.04</v>
      </c>
      <c r="AB186" s="8">
        <v>0</v>
      </c>
      <c r="AC186" s="10">
        <v>0</v>
      </c>
      <c r="AD186" s="8">
        <v>5.05</v>
      </c>
      <c r="AE186" s="8">
        <v>10.67</v>
      </c>
      <c r="AF186" s="8">
        <v>14</v>
      </c>
      <c r="AG186" s="7">
        <v>1035444.48</v>
      </c>
      <c r="AH186" s="8">
        <v>117874.26</v>
      </c>
      <c r="AI186" s="8">
        <v>199461.73800000001</v>
      </c>
      <c r="AJ186" s="8">
        <v>310402.21799999999</v>
      </c>
      <c r="AK186" s="8">
        <v>159708.06599999999</v>
      </c>
      <c r="AL186" s="8">
        <v>72804.69</v>
      </c>
      <c r="AM186" s="8">
        <v>41833.806000000004</v>
      </c>
      <c r="AN186" s="8">
        <v>133359.70199999999</v>
      </c>
      <c r="AO186" s="8">
        <v>0</v>
      </c>
      <c r="AQ186" s="104">
        <v>48.16</v>
      </c>
      <c r="AR186" s="375">
        <v>18.649999999999999</v>
      </c>
      <c r="AS186" s="376"/>
      <c r="AT186" s="104">
        <v>7.16</v>
      </c>
      <c r="AU186" s="104">
        <v>1.53</v>
      </c>
      <c r="AV186" s="104">
        <v>0.32</v>
      </c>
      <c r="AW186" s="104">
        <v>0.87</v>
      </c>
      <c r="AX186" s="104">
        <v>5.01</v>
      </c>
      <c r="AY186" s="104">
        <v>4.99</v>
      </c>
      <c r="AZ186" s="104">
        <v>2.7</v>
      </c>
      <c r="BA186" s="104">
        <v>6.46</v>
      </c>
      <c r="BB186" s="104">
        <v>0.47</v>
      </c>
      <c r="BC186" s="101">
        <v>0</v>
      </c>
      <c r="BD186" s="104">
        <v>54.565279999999994</v>
      </c>
      <c r="BE186" s="375">
        <v>21.130449999999996</v>
      </c>
      <c r="BF186" s="376">
        <v>0</v>
      </c>
      <c r="BG186" s="104">
        <v>8.1122800000000002</v>
      </c>
      <c r="BH186" s="104">
        <v>1.7334900000000002</v>
      </c>
      <c r="BI186" s="104">
        <v>0.36255999999999999</v>
      </c>
      <c r="BJ186" s="104">
        <v>0.98570999999999998</v>
      </c>
      <c r="BK186" s="104">
        <v>5.6763299999999992</v>
      </c>
      <c r="BL186" s="104">
        <v>5.6536700000000009</v>
      </c>
      <c r="BM186" s="104">
        <v>3.0591000000000004</v>
      </c>
      <c r="BN186" s="104">
        <v>7.3191800000000002</v>
      </c>
      <c r="BO186" s="104">
        <v>0.53250999999999993</v>
      </c>
      <c r="BP186" s="101">
        <v>0</v>
      </c>
      <c r="BQ186" s="103">
        <v>2472943.42288</v>
      </c>
      <c r="BR186" s="371">
        <v>957649.39444999991</v>
      </c>
      <c r="BS186" s="371">
        <v>0</v>
      </c>
      <c r="BT186" s="103">
        <v>367655.20988000004</v>
      </c>
      <c r="BU186" s="103">
        <v>78563.194289999999</v>
      </c>
      <c r="BV186" s="103">
        <v>16431.517759999999</v>
      </c>
      <c r="BW186" s="103">
        <v>44673.188909999997</v>
      </c>
      <c r="BX186" s="103">
        <v>257255.94992999997</v>
      </c>
      <c r="BY186" s="103">
        <v>256228.98007000005</v>
      </c>
      <c r="BZ186" s="103">
        <v>138640.93110000002</v>
      </c>
      <c r="CA186" s="103">
        <v>331711.26478000003</v>
      </c>
      <c r="CB186" s="103">
        <v>24133.791709999994</v>
      </c>
      <c r="CC186" s="103">
        <v>0</v>
      </c>
      <c r="CD186" s="1">
        <v>1</v>
      </c>
      <c r="CF186" s="277">
        <f>SUMIF(Оборот!$A:$A,$B:$B,Оборот!H:H)</f>
        <v>2122771.2800000003</v>
      </c>
      <c r="CG186" s="277">
        <f>SUMIF(Оборот!$A:$A,$B:$B,Оборот!I:I)</f>
        <v>2061969.8800000001</v>
      </c>
      <c r="CH186" s="277">
        <f t="shared" si="25"/>
        <v>1827206.8626875586</v>
      </c>
      <c r="CI186" s="239">
        <f t="shared" si="30"/>
        <v>370939.16140843148</v>
      </c>
      <c r="CJ186" s="276">
        <f>SUMIF('20Ф'!$H:$H,$B:$B,'20Ф'!M:M)*1.2</f>
        <v>0</v>
      </c>
      <c r="CK186" s="276">
        <f>SUMIF('20Ф'!$H:$H,$B:$B,'20Ф'!O:O)*1.2</f>
        <v>0</v>
      </c>
      <c r="CL186" s="276">
        <f>SUMIF('20Ф'!$H:$H,$B:$B,'20Ф'!Q:Q)*1.2</f>
        <v>0</v>
      </c>
      <c r="CM186" s="276">
        <f>SUMIF('20Ф'!$H:$H,$B:$B,'20Ф'!R:R)*1.2</f>
        <v>0</v>
      </c>
      <c r="CN186" s="276">
        <f>SUMIF('20Ф'!$H:$H,$B:$B,'20Ф'!S:S)*1.2</f>
        <v>0</v>
      </c>
      <c r="CO186" s="276">
        <f>SUMIF('20Ф'!$H:$H,$B:$B,'20Ф'!W:W)*1.2</f>
        <v>0</v>
      </c>
      <c r="CP186" s="276">
        <f>SUMIF('20Ф'!$H:$H,$B:$B,'20Ф'!P:P)*1.2</f>
        <v>0</v>
      </c>
      <c r="CQ186" s="276">
        <f>SUMIF('20Ф'!$H:$H,$B:$B,'20Ф'!Y:Y)*1.2</f>
        <v>0</v>
      </c>
      <c r="CR186" s="276">
        <f>SUMIF('20Ф'!$H:$H,$B:$B,'20Ф'!Z:Z)*1.2</f>
        <v>0</v>
      </c>
      <c r="CS186" s="276">
        <f>SUMIF('20Ф'!$H:$H,$B:$B,'20Ф'!AB:AB)*1.2</f>
        <v>0</v>
      </c>
      <c r="CT186" s="276">
        <f>SUMIF('20Ф'!$H:$H,$B:$B,'20Ф'!AC:AC)*1.2</f>
        <v>0</v>
      </c>
      <c r="CU186" s="276">
        <f>SUMIF('20Ф'!$H:$H,$B:$B,'20Ф'!AD:AD)*1.2</f>
        <v>0</v>
      </c>
      <c r="CV186" s="276">
        <f>SUMIF('20Ф'!$H:$H,$B:$B,'20Ф'!AE:AE)*1.2</f>
        <v>0</v>
      </c>
      <c r="CW186" s="276">
        <f>SUMIF('20Ф'!$H:$H,$B:$B,'20Ф'!AF:AF)*1.2</f>
        <v>0</v>
      </c>
      <c r="CX186" s="276">
        <f>SUMIF('20Ф'!$H:$H,$B:$B,'20Ф'!AG:AG)*1.2</f>
        <v>0</v>
      </c>
      <c r="CY186" s="276">
        <f>SUMIF('20Ф'!$H:$H,$B:$B,'20Ф'!AH:AH)*1.2</f>
        <v>0</v>
      </c>
      <c r="CZ186" s="276">
        <f>SUMIF('20Ф'!$H:$H,$B:$B,'20Ф'!AI:AI)*1.2</f>
        <v>0</v>
      </c>
      <c r="DA186" s="276">
        <f>SUMIF('20Ф'!$H:$H,$B:$B,'20Ф'!AJ:AJ)*1.2</f>
        <v>0</v>
      </c>
      <c r="DB186" s="276">
        <f>SUMIF('20Ф'!$H:$H,$B:$B,'20Ф'!AK:AK)*1.2</f>
        <v>0</v>
      </c>
      <c r="DC186" s="276">
        <f>SUMIF('20Ф'!$H:$H,$B:$B,'20Ф'!AL:AL)*1.2</f>
        <v>337058.652</v>
      </c>
      <c r="DD186" s="276">
        <f>SUMIF('20Ф'!$H:$H,$B:$B,'20Ф'!AM:AM)*1.2</f>
        <v>0</v>
      </c>
      <c r="DE186" s="276">
        <f>SUMIF('20Ф'!$H:$H,$B:$B,'20Ф'!AN:AN)*1.2</f>
        <v>0</v>
      </c>
      <c r="DF186" s="276">
        <f>SUMIF('20Ф'!$H:$H,$B:$B,'20Ф'!AO:AO)*1.2</f>
        <v>0</v>
      </c>
      <c r="DG186" s="276">
        <f>SUMIF('20Ф'!$H:$H,$B:$B,'20Ф'!AP:AP)*1.2</f>
        <v>0</v>
      </c>
      <c r="DH186" s="276">
        <f>SUMIF('20Ф'!$H:$H,$B:$B,'20Ф'!AQ:AQ)*1.2</f>
        <v>0</v>
      </c>
      <c r="DI186" s="276">
        <f>SUMIF('20Ф'!$H:$H,$B:$B,'20Ф'!BA:BA)*1.2</f>
        <v>0</v>
      </c>
      <c r="DJ186" s="276">
        <f>SUMIF('20Ф'!$H:$H,$B:$B,'20Ф'!BB:BB)*1.2</f>
        <v>0</v>
      </c>
      <c r="DK186" s="276">
        <f>SUMIF('20Ф'!$H:$H,$B:$B,'20Ф'!BC:BC)*1.2</f>
        <v>0</v>
      </c>
      <c r="DL186" s="276">
        <f>$D186/$D$281*'20Ф'!$H$218</f>
        <v>33880.509408431477</v>
      </c>
      <c r="DM186" s="240">
        <f t="shared" si="26"/>
        <v>373548.00882797519</v>
      </c>
      <c r="DN186" s="276">
        <f>SUMIF('20Ф'!$H:$H,$B:$B,'20Ф'!AV:AV)*1.2</f>
        <v>0</v>
      </c>
      <c r="DO186" s="276">
        <f>SUMIF('20Ф'!$H:$H,$B:$B,'20Ф'!AW:AW)*1.2+$D186/$D$281*'26Ф'!$D$42</f>
        <v>18029.453312157391</v>
      </c>
      <c r="DP186" s="276">
        <f>SUMIF('20Ф'!$H:$H,$B:$B,'20Ф'!AX:AX)*1.2</f>
        <v>0</v>
      </c>
      <c r="DQ186" s="276">
        <f>SUMIF('20Ф'!$H:$H,$B:$B,'20Ф'!AY:AY)*1.2</f>
        <v>0</v>
      </c>
      <c r="DR186" s="276">
        <f>SUMIF('20Ф'!$H:$H,$B:$B,'20Ф'!AU:AU)*1.2</f>
        <v>0</v>
      </c>
      <c r="DS186" s="276">
        <f>SUMIF('20Ф'!$H:$H,$B:$B,'20Ф'!AS:AS)*1.2</f>
        <v>37481.903999999995</v>
      </c>
      <c r="DT186" s="276">
        <f>SUMIF('20Ф'!$H:$H,$B:$B,'20Ф'!AR:AR)*1.2</f>
        <v>0</v>
      </c>
      <c r="DU186" s="276">
        <f>SUMIF('20Ф'!$H:$H,$B:$B,'20Ф'!X:X)*1.2</f>
        <v>0</v>
      </c>
      <c r="DV186" s="276">
        <f>SUMIF('20Ф'!$H:$H,$B:$B,'20Ф'!AA:AA)*1.2</f>
        <v>0</v>
      </c>
      <c r="DW186" s="276">
        <f>SUMIF('20Ф'!$H:$H,$B:$B,'20Ф'!N:N)*1.2</f>
        <v>0</v>
      </c>
      <c r="DX186" s="276">
        <f>$D186/$D$281*('25Ф'!$D$37)</f>
        <v>303052.5549087816</v>
      </c>
      <c r="DY186" s="276">
        <f>$D186/$D$281*'25Ф'!$D$30</f>
        <v>9672.486216461577</v>
      </c>
      <c r="DZ186" s="276">
        <f>$D186/$D$281*'25Ф'!$D$31</f>
        <v>5311.6103905746168</v>
      </c>
      <c r="EA186" s="276"/>
      <c r="EB186" s="276">
        <f t="shared" si="27"/>
        <v>190927.86602018191</v>
      </c>
      <c r="EC186" s="276">
        <f>$D186/$D$281*'26Ф'!$D$36</f>
        <v>99384.103049863988</v>
      </c>
      <c r="ED186" s="276">
        <f>$D186/$D$281*'26Ф'!$D$37</f>
        <v>11940.893837149857</v>
      </c>
      <c r="EE186" s="276">
        <f>$D186/$D$281*'26Ф'!$D$38</f>
        <v>12063.359453452937</v>
      </c>
      <c r="EF186" s="276">
        <f>$D186/$D$281*'26Ф'!$D$39</f>
        <v>8462.4356466538666</v>
      </c>
      <c r="EG186" s="276">
        <f>$D186/$D$281*'91Ф'!$D$10</f>
        <v>2610.6578775129151</v>
      </c>
      <c r="EH186" s="276">
        <f>$D186/$D$281*('20Ф'!$I$509+'26Ф'!$D$41+'20Ф'!$I$507)</f>
        <v>18469.54483445641</v>
      </c>
      <c r="EI186" s="276">
        <f>$D186/$D$281*'91Ф'!$D$31</f>
        <v>33857.388482777118</v>
      </c>
      <c r="EJ186" s="276">
        <f>$D186/$D$281*'20Ф'!$I$1316</f>
        <v>4139.4828383148397</v>
      </c>
      <c r="EK186" s="276">
        <f>$D186/$D$281*('20Ф'!$I$1105+'20Ф'!$I$1282+'91Ф'!$D$17+'91Ф'!$D$41)</f>
        <v>135945.22820870241</v>
      </c>
      <c r="EL186" s="276">
        <f>$D186/$D$281*отчёт!BX$294</f>
        <v>227258.96150622147</v>
      </c>
      <c r="EM186" s="276">
        <f>$D186/$D$281*отчёт!BY$294</f>
        <v>199862.05782913778</v>
      </c>
      <c r="EN186" s="276">
        <f>$D186/$D$283*отчёт!BZ$294</f>
        <v>35868.991810511987</v>
      </c>
      <c r="EO186" s="240">
        <f t="shared" si="37"/>
        <v>183876.00950099801</v>
      </c>
      <c r="EP186" s="276">
        <f>SUMIF('20Ф'!$H:$H,$B:$B,'20Ф'!T:T)*1.2</f>
        <v>6012.5999999999995</v>
      </c>
      <c r="EQ186" s="276">
        <f>SUM(H186:I186)/SUM($H$284:$I$284)*SUM('60Ф'!$O$155:$P$155)</f>
        <v>172510.26175648702</v>
      </c>
      <c r="ER186" s="276">
        <f>SUM($H186:$I186)/SUM($H$284:$I$284)*SUM('60Ф'!$P$227)</f>
        <v>5353.1477445109776</v>
      </c>
      <c r="ES186" s="239">
        <f t="shared" si="31"/>
        <v>76063.660971393954</v>
      </c>
      <c r="ET186" s="276">
        <f>$D186/$D$282*'20Ф'!$I$381</f>
        <v>5813.618486373839</v>
      </c>
      <c r="EU186" s="276">
        <f>$D186/$D$282*('20Ф'!$I$75+'20Ф'!$I$1098)*1.2</f>
        <v>67149.874342199735</v>
      </c>
      <c r="EV186" s="276">
        <f>$D186/$D$282*('20Ф'!$I$1286)</f>
        <v>3100.1681428203797</v>
      </c>
      <c r="EW186" s="276">
        <f>SUMIF('91.1Ф'!$N:$N,$B:$B,'91.1Ф'!$F:$F)+$D186/$D$281*('91Ф'!$D$12+'91Ф'!$D$11+'91Ф'!$D$19+'91Ф'!$D$20)</f>
        <v>32916.916604004022</v>
      </c>
      <c r="EX186" s="276">
        <f t="shared" si="29"/>
        <v>0</v>
      </c>
      <c r="EY186" s="276">
        <f>SUMIF('20Ф'!$H:$H,$B:$B,'20Ф'!$AY:$AY)*1.2</f>
        <v>0</v>
      </c>
      <c r="EZ186" s="236"/>
      <c r="FA186" s="277">
        <f>SUMIF(отчёт!$B:$B,$B:$B,отчёт!$CU:$CU)/отчёт!$CU$281*'20Ф'!$I$1341</f>
        <v>920.96385542168503</v>
      </c>
      <c r="FB186" s="276">
        <f>SUMIF(Сальдо!$A:$A,$B:$B,Сальдо!$H:$H)-SUMIF(Сальдо!$A:$A,$B:$B,Сальдо!$I:$I)</f>
        <v>452958.5</v>
      </c>
    </row>
    <row r="187" spans="1:158" ht="12" customHeight="1" x14ac:dyDescent="0.25">
      <c r="A187" s="3">
        <f t="shared" si="32"/>
        <v>183</v>
      </c>
      <c r="B187" s="4" t="s">
        <v>232</v>
      </c>
      <c r="C187" s="4" t="s">
        <v>232</v>
      </c>
      <c r="D187" s="5">
        <v>16826.7</v>
      </c>
      <c r="E187" s="6">
        <v>16826.7</v>
      </c>
      <c r="F187" s="6">
        <v>0</v>
      </c>
      <c r="G187" s="6">
        <v>4544.6000000000004</v>
      </c>
      <c r="H187" s="5">
        <f>SUMIF(отчёт!$B:$B,$B:$B,отчёт!I:I)</f>
        <v>3</v>
      </c>
      <c r="I187" s="5">
        <f>SUMIF(отчёт!$B:$B,$B:$B,отчёт!J:J)</f>
        <v>6</v>
      </c>
      <c r="J187" s="3" t="s">
        <v>114</v>
      </c>
      <c r="K187" s="105">
        <v>1</v>
      </c>
      <c r="L187" s="105" t="s">
        <v>75</v>
      </c>
      <c r="M187" s="12">
        <v>36.54</v>
      </c>
      <c r="N187" s="8">
        <v>4.03</v>
      </c>
      <c r="O187" s="8">
        <v>7</v>
      </c>
      <c r="P187" s="8">
        <v>11</v>
      </c>
      <c r="Q187" s="8">
        <v>5.4</v>
      </c>
      <c r="R187" s="8">
        <v>2.67</v>
      </c>
      <c r="S187" s="8">
        <v>1.54</v>
      </c>
      <c r="T187" s="8">
        <v>4.9000000000000004</v>
      </c>
      <c r="U187" s="8">
        <v>0</v>
      </c>
      <c r="V187" s="9">
        <v>40</v>
      </c>
      <c r="W187" s="9">
        <v>40</v>
      </c>
      <c r="X187" s="9">
        <v>2604.04</v>
      </c>
      <c r="Y187" s="8">
        <v>195.98199600000001</v>
      </c>
      <c r="Z187" s="9">
        <v>42.3</v>
      </c>
      <c r="AA187" s="9">
        <v>2604.04</v>
      </c>
      <c r="AB187" s="8">
        <v>0</v>
      </c>
      <c r="AC187" s="10">
        <v>0</v>
      </c>
      <c r="AD187" s="8">
        <v>5.05</v>
      </c>
      <c r="AE187" s="8">
        <v>10.67</v>
      </c>
      <c r="AF187" s="8">
        <v>14</v>
      </c>
      <c r="AG187" s="7">
        <v>3689085.7080000001</v>
      </c>
      <c r="AH187" s="8">
        <v>406869.60600000003</v>
      </c>
      <c r="AI187" s="8">
        <v>706721.4</v>
      </c>
      <c r="AJ187" s="8">
        <v>1110562.2000000002</v>
      </c>
      <c r="AK187" s="8">
        <v>545185.08000000007</v>
      </c>
      <c r="AL187" s="8">
        <v>269563.73400000005</v>
      </c>
      <c r="AM187" s="8">
        <v>155478.70800000001</v>
      </c>
      <c r="AN187" s="8">
        <v>494704.9800000001</v>
      </c>
      <c r="AO187" s="8">
        <v>0</v>
      </c>
      <c r="AP187" s="1" t="s">
        <v>75</v>
      </c>
      <c r="AQ187" s="104">
        <v>39.28</v>
      </c>
      <c r="AR187" s="104">
        <v>4.3321948549534763</v>
      </c>
      <c r="AS187" s="104">
        <v>7.5249042145593874</v>
      </c>
      <c r="AT187" s="104">
        <v>11.824849480021895</v>
      </c>
      <c r="AU187" s="104"/>
      <c r="AV187" s="104"/>
      <c r="AW187" s="104"/>
      <c r="AX187" s="104">
        <v>5.8049261083743851</v>
      </c>
      <c r="AY187" s="104">
        <v>2.870213464696223</v>
      </c>
      <c r="AZ187" s="104">
        <v>1.6554789272030652</v>
      </c>
      <c r="BA187" s="104">
        <v>5.267432950191572</v>
      </c>
      <c r="BB187" s="104"/>
      <c r="BC187" s="101">
        <v>0</v>
      </c>
      <c r="BD187" s="104">
        <v>39.28</v>
      </c>
      <c r="BE187" s="104">
        <v>4.3321948549534763</v>
      </c>
      <c r="BF187" s="104">
        <v>7.5249042145593874</v>
      </c>
      <c r="BG187" s="104">
        <v>11.824849480021895</v>
      </c>
      <c r="BH187" s="104">
        <v>0</v>
      </c>
      <c r="BI187" s="104">
        <v>0</v>
      </c>
      <c r="BJ187" s="104">
        <v>0</v>
      </c>
      <c r="BK187" s="104">
        <v>5.8049261083743851</v>
      </c>
      <c r="BL187" s="104">
        <v>2.870213464696223</v>
      </c>
      <c r="BM187" s="104">
        <v>1.6554789272030652</v>
      </c>
      <c r="BN187" s="104">
        <v>5.267432950191572</v>
      </c>
      <c r="BO187" s="104">
        <v>0</v>
      </c>
      <c r="BP187" s="101">
        <v>0</v>
      </c>
      <c r="BQ187" s="103">
        <v>7931433.3120000008</v>
      </c>
      <c r="BR187" s="103">
        <v>874758.51799014804</v>
      </c>
      <c r="BS187" s="103">
        <v>1519431.6689655173</v>
      </c>
      <c r="BT187" s="103">
        <v>2387678.3369458131</v>
      </c>
      <c r="BU187" s="103">
        <v>0</v>
      </c>
      <c r="BV187" s="103">
        <v>0</v>
      </c>
      <c r="BW187" s="103">
        <v>0</v>
      </c>
      <c r="BX187" s="103">
        <v>1172133.0017733993</v>
      </c>
      <c r="BY187" s="103">
        <v>579554.65087684733</v>
      </c>
      <c r="BZ187" s="103">
        <v>334274.96717241383</v>
      </c>
      <c r="CA187" s="103">
        <v>1063602.1682758625</v>
      </c>
      <c r="CB187" s="103">
        <v>0</v>
      </c>
      <c r="CC187" s="103">
        <v>0</v>
      </c>
      <c r="CD187" s="13">
        <v>2</v>
      </c>
      <c r="CF187" s="277">
        <f>SUMIF(Оборот!$A:$A,$B:$B,Оборот!H:H)</f>
        <v>7562115.2400000002</v>
      </c>
      <c r="CG187" s="277">
        <f>SUMIF(Оборот!$A:$A,$B:$B,Оборот!I:I)</f>
        <v>7676746.8599999994</v>
      </c>
      <c r="CH187" s="277">
        <f t="shared" si="25"/>
        <v>7142537.0395806106</v>
      </c>
      <c r="CI187" s="239">
        <f t="shared" si="30"/>
        <v>590138.5970635378</v>
      </c>
      <c r="CJ187" s="276">
        <f>SUMIF('20Ф'!$H:$H,$B:$B,'20Ф'!M:M)*1.2</f>
        <v>0</v>
      </c>
      <c r="CK187" s="276">
        <f>SUMIF('20Ф'!$H:$H,$B:$B,'20Ф'!O:O)*1.2</f>
        <v>0</v>
      </c>
      <c r="CL187" s="276">
        <f>SUMIF('20Ф'!$H:$H,$B:$B,'20Ф'!Q:Q)*1.2</f>
        <v>0</v>
      </c>
      <c r="CM187" s="276">
        <f>SUMIF('20Ф'!$H:$H,$B:$B,'20Ф'!R:R)*1.2</f>
        <v>0</v>
      </c>
      <c r="CN187" s="276">
        <f>SUMIF('20Ф'!$H:$H,$B:$B,'20Ф'!S:S)*1.2</f>
        <v>0</v>
      </c>
      <c r="CO187" s="276">
        <f>SUMIF('20Ф'!$H:$H,$B:$B,'20Ф'!W:W)*1.2</f>
        <v>0</v>
      </c>
      <c r="CP187" s="276">
        <f>SUMIF('20Ф'!$H:$H,$B:$B,'20Ф'!P:P)*1.2</f>
        <v>0</v>
      </c>
      <c r="CQ187" s="276">
        <f>SUMIF('20Ф'!$H:$H,$B:$B,'20Ф'!Y:Y)*1.2</f>
        <v>0</v>
      </c>
      <c r="CR187" s="276">
        <f>SUMIF('20Ф'!$H:$H,$B:$B,'20Ф'!Z:Z)*1.2</f>
        <v>43200</v>
      </c>
      <c r="CS187" s="276">
        <f>SUMIF('20Ф'!$H:$H,$B:$B,'20Ф'!AB:AB)*1.2</f>
        <v>0</v>
      </c>
      <c r="CT187" s="276">
        <f>SUMIF('20Ф'!$H:$H,$B:$B,'20Ф'!AC:AC)*1.2</f>
        <v>0</v>
      </c>
      <c r="CU187" s="276">
        <f>SUMIF('20Ф'!$H:$H,$B:$B,'20Ф'!AD:AD)*1.2</f>
        <v>0</v>
      </c>
      <c r="CV187" s="276">
        <f>SUMIF('20Ф'!$H:$H,$B:$B,'20Ф'!AE:AE)*1.2</f>
        <v>0</v>
      </c>
      <c r="CW187" s="276">
        <f>SUMIF('20Ф'!$H:$H,$B:$B,'20Ф'!AF:AF)*1.2</f>
        <v>0</v>
      </c>
      <c r="CX187" s="276">
        <f>SUMIF('20Ф'!$H:$H,$B:$B,'20Ф'!AG:AG)*1.2</f>
        <v>0</v>
      </c>
      <c r="CY187" s="276">
        <f>SUMIF('20Ф'!$H:$H,$B:$B,'20Ф'!AH:AH)*1.2</f>
        <v>0</v>
      </c>
      <c r="CZ187" s="276">
        <f>SUMIF('20Ф'!$H:$H,$B:$B,'20Ф'!AI:AI)*1.2</f>
        <v>0</v>
      </c>
      <c r="DA187" s="276">
        <f>SUMIF('20Ф'!$H:$H,$B:$B,'20Ф'!AJ:AJ)*1.2</f>
        <v>0</v>
      </c>
      <c r="DB187" s="276">
        <f>SUMIF('20Ф'!$H:$H,$B:$B,'20Ф'!AK:AK)*1.2</f>
        <v>0</v>
      </c>
      <c r="DC187" s="276">
        <f>SUMIF('20Ф'!$H:$H,$B:$B,'20Ф'!AL:AL)*1.2</f>
        <v>397742.136</v>
      </c>
      <c r="DD187" s="276">
        <f>SUMIF('20Ф'!$H:$H,$B:$B,'20Ф'!AM:AM)*1.2</f>
        <v>0</v>
      </c>
      <c r="DE187" s="276">
        <f>SUMIF('20Ф'!$H:$H,$B:$B,'20Ф'!AN:AN)*1.2</f>
        <v>0</v>
      </c>
      <c r="DF187" s="276">
        <f>SUMIF('20Ф'!$H:$H,$B:$B,'20Ф'!AO:AO)*1.2</f>
        <v>0</v>
      </c>
      <c r="DG187" s="276">
        <f>SUMIF('20Ф'!$H:$H,$B:$B,'20Ф'!AP:AP)*1.2</f>
        <v>0</v>
      </c>
      <c r="DH187" s="276">
        <f>SUMIF('20Ф'!$H:$H,$B:$B,'20Ф'!AQ:AQ)*1.2</f>
        <v>0</v>
      </c>
      <c r="DI187" s="276">
        <f>SUMIF('20Ф'!$H:$H,$B:$B,'20Ф'!BA:BA)*1.2</f>
        <v>0</v>
      </c>
      <c r="DJ187" s="276">
        <f>SUMIF('20Ф'!$H:$H,$B:$B,'20Ф'!BB:BB)*1.2</f>
        <v>1200</v>
      </c>
      <c r="DK187" s="276">
        <f>SUMIF('20Ф'!$H:$H,$B:$B,'20Ф'!BC:BC)*1.2</f>
        <v>0</v>
      </c>
      <c r="DL187" s="276">
        <f>$D187/$D$281*'20Ф'!$H$218</f>
        <v>147996.46106353778</v>
      </c>
      <c r="DM187" s="240">
        <f t="shared" si="26"/>
        <v>1851855.4684968952</v>
      </c>
      <c r="DN187" s="276">
        <f>SUMIF('20Ф'!$H:$H,$B:$B,'20Ф'!AV:AV)*1.2</f>
        <v>0</v>
      </c>
      <c r="DO187" s="276">
        <f>SUMIF('20Ф'!$H:$H,$B:$B,'20Ф'!AW:AW)*1.2+$D187/$D$281*'26Ф'!$D$42</f>
        <v>78756.055670330155</v>
      </c>
      <c r="DP187" s="276">
        <f>SUMIF('20Ф'!$H:$H,$B:$B,'20Ф'!AX:AX)*1.2</f>
        <v>0</v>
      </c>
      <c r="DQ187" s="276">
        <f>SUMIF('20Ф'!$H:$H,$B:$B,'20Ф'!AY:AY)*1.2</f>
        <v>0</v>
      </c>
      <c r="DR187" s="276">
        <f>SUMIF('20Ф'!$H:$H,$B:$B,'20Ф'!AU:AU)*1.2</f>
        <v>0</v>
      </c>
      <c r="DS187" s="276">
        <f>SUMIF('20Ф'!$H:$H,$B:$B,'20Ф'!AS:AS)*1.2</f>
        <v>383855.28</v>
      </c>
      <c r="DT187" s="276">
        <f>SUMIF('20Ф'!$H:$H,$B:$B,'20Ф'!AR:AR)*1.2</f>
        <v>0</v>
      </c>
      <c r="DU187" s="276">
        <f>SUMIF('20Ф'!$H:$H,$B:$B,'20Ф'!X:X)*1.2</f>
        <v>0</v>
      </c>
      <c r="DV187" s="276">
        <f>SUMIF('20Ф'!$H:$H,$B:$B,'20Ф'!AA:AA)*1.2</f>
        <v>0</v>
      </c>
      <c r="DW187" s="276">
        <f>SUMIF('20Ф'!$H:$H,$B:$B,'20Ф'!N:N)*1.2</f>
        <v>0</v>
      </c>
      <c r="DX187" s="276">
        <f>$D187/$D$281*('25Ф'!$D$37)</f>
        <v>1323790.7701470873</v>
      </c>
      <c r="DY187" s="276">
        <f>$D187/$D$281*'25Ф'!$D$30</f>
        <v>42251.245766863271</v>
      </c>
      <c r="DZ187" s="276">
        <f>$D187/$D$281*'25Ф'!$D$31</f>
        <v>23202.116912614394</v>
      </c>
      <c r="EA187" s="276"/>
      <c r="EB187" s="276">
        <f t="shared" si="27"/>
        <v>834008.96216655709</v>
      </c>
      <c r="EC187" s="276">
        <f>$D187/$D$281*'26Ф'!$D$36</f>
        <v>434128.52386727923</v>
      </c>
      <c r="ED187" s="276">
        <f>$D187/$D$281*'26Ф'!$D$37</f>
        <v>52160.078484351267</v>
      </c>
      <c r="EE187" s="276">
        <f>$D187/$D$281*'26Ф'!$D$38</f>
        <v>52695.031415440026</v>
      </c>
      <c r="EF187" s="276">
        <f>$D187/$D$281*'26Ф'!$D$39</f>
        <v>36965.516444420085</v>
      </c>
      <c r="EG187" s="276">
        <f>$D187/$D$281*'91Ф'!$D$10</f>
        <v>11403.846449351411</v>
      </c>
      <c r="EH187" s="276">
        <f>$D187/$D$281*('20Ф'!$I$509+'26Ф'!$D$41+'20Ф'!$I$507)</f>
        <v>80678.458520274056</v>
      </c>
      <c r="EI187" s="276">
        <f>$D187/$D$281*'91Ф'!$D$31</f>
        <v>147895.46449550783</v>
      </c>
      <c r="EJ187" s="276">
        <f>$D187/$D$281*'20Ф'!$I$1316</f>
        <v>18082.042489933363</v>
      </c>
      <c r="EK187" s="276">
        <f>$D187/$D$281*('20Ф'!$I$1105+'20Ф'!$I$1282+'91Ф'!$D$17+'91Ф'!$D$41)</f>
        <v>593834.42057562701</v>
      </c>
      <c r="EL187" s="276">
        <f>$D187/$D$281*отчёт!BX$294</f>
        <v>992710.04583908431</v>
      </c>
      <c r="EM187" s="276">
        <f>$D187/$D$281*отчёт!BY$294</f>
        <v>873035.19858610956</v>
      </c>
      <c r="EN187" s="276">
        <f>$D187/$D$283*отчёт!BZ$294</f>
        <v>156682.52758182347</v>
      </c>
      <c r="EO187" s="240">
        <f t="shared" si="37"/>
        <v>839746.91475449095</v>
      </c>
      <c r="EP187" s="276">
        <f>SUMIF('20Ф'!$H:$H,$B:$B,'20Ф'!T:T)*1.2</f>
        <v>39361.571999999993</v>
      </c>
      <c r="EQ187" s="276">
        <f>SUM(H187:I187)/SUM($H$284:$I$284)*SUM('60Ф'!$O$155:$P$155)</f>
        <v>776296.17790419154</v>
      </c>
      <c r="ER187" s="276">
        <f>SUM($H187:$I187)/SUM($H$284:$I$284)*SUM('60Ф'!$P$227)</f>
        <v>24089.164850299399</v>
      </c>
      <c r="ES187" s="239">
        <f t="shared" si="31"/>
        <v>332260.43043206428</v>
      </c>
      <c r="ET187" s="276">
        <f>$D187/$D$282*'20Ф'!$I$381</f>
        <v>25394.983044226959</v>
      </c>
      <c r="EU187" s="276">
        <f>$D187/$D$282*('20Ф'!$I$75+'20Ф'!$I$1098)*1.2</f>
        <v>293323.32768980361</v>
      </c>
      <c r="EV187" s="276">
        <f>$D187/$D$282*('20Ф'!$I$1286)</f>
        <v>13542.119698033719</v>
      </c>
      <c r="EW187" s="276">
        <f>SUMIF('91.1Ф'!$N:$N,$B:$B,'91.1Ф'!$F:$F)+$D187/$D$281*('91Ф'!$D$12+'91Ф'!$D$11+'91Ф'!$D$19+'91Ф'!$D$20)</f>
        <v>78264.474084420042</v>
      </c>
      <c r="EX187" s="276">
        <f t="shared" si="29"/>
        <v>0</v>
      </c>
      <c r="EY187" s="276">
        <f>SUMIF('20Ф'!$H:$H,$B:$B,'20Ф'!$AY:$AY)*1.2</f>
        <v>0</v>
      </c>
      <c r="EZ187" s="236"/>
      <c r="FA187" s="277">
        <f>SUMIF(отчёт!$B:$B,$B:$B,отчёт!$CU:$CU)/отчёт!$CU$281*'20Ф'!$I$1341</f>
        <v>0</v>
      </c>
      <c r="FB187" s="276">
        <f>SUMIF(Сальдо!$A:$A,$B:$B,Сальдо!$H:$H)-SUMIF(Сальдо!$A:$A,$B:$B,Сальдо!$I:$I)</f>
        <v>1392898.1600000001</v>
      </c>
    </row>
    <row r="188" spans="1:158" ht="12" customHeight="1" x14ac:dyDescent="0.25">
      <c r="A188" s="3">
        <f t="shared" si="32"/>
        <v>184</v>
      </c>
      <c r="B188" s="4" t="s">
        <v>233</v>
      </c>
      <c r="C188" s="4" t="s">
        <v>233</v>
      </c>
      <c r="D188" s="5">
        <v>30188.099999999984</v>
      </c>
      <c r="E188" s="6">
        <v>27705.999999999985</v>
      </c>
      <c r="F188" s="6">
        <v>2482.1</v>
      </c>
      <c r="G188" s="6">
        <v>4990</v>
      </c>
      <c r="H188" s="5">
        <f>SUMIF(отчёт!$B:$B,$B:$B,отчёт!I:I)</f>
        <v>8</v>
      </c>
      <c r="I188" s="5">
        <f>SUMIF(отчёт!$B:$B,$B:$B,отчёт!J:J)</f>
        <v>3</v>
      </c>
      <c r="J188" s="3" t="s">
        <v>114</v>
      </c>
      <c r="K188" s="105">
        <v>1</v>
      </c>
      <c r="L188" s="105" t="s">
        <v>75</v>
      </c>
      <c r="M188" s="12">
        <v>36.54</v>
      </c>
      <c r="N188" s="8">
        <v>4.03</v>
      </c>
      <c r="O188" s="8">
        <v>7</v>
      </c>
      <c r="P188" s="8">
        <v>11</v>
      </c>
      <c r="Q188" s="8">
        <v>5.4</v>
      </c>
      <c r="R188" s="8">
        <v>2.67</v>
      </c>
      <c r="S188" s="8">
        <v>1.54</v>
      </c>
      <c r="T188" s="8">
        <v>4.9000000000000004</v>
      </c>
      <c r="U188" s="8">
        <v>0</v>
      </c>
      <c r="V188" s="9">
        <v>40</v>
      </c>
      <c r="W188" s="9">
        <v>40</v>
      </c>
      <c r="X188" s="9">
        <v>2604.04</v>
      </c>
      <c r="Y188" s="8">
        <v>195.98199600000001</v>
      </c>
      <c r="Z188" s="9">
        <v>42.3</v>
      </c>
      <c r="AA188" s="9">
        <v>2604.04</v>
      </c>
      <c r="AB188" s="8">
        <v>0</v>
      </c>
      <c r="AC188" s="10">
        <v>0</v>
      </c>
      <c r="AD188" s="8">
        <v>5.05</v>
      </c>
      <c r="AE188" s="8">
        <v>10.67</v>
      </c>
      <c r="AF188" s="8">
        <v>14</v>
      </c>
      <c r="AG188" s="7">
        <v>6618439.043999996</v>
      </c>
      <c r="AH188" s="8">
        <v>729948.25799999968</v>
      </c>
      <c r="AI188" s="8">
        <v>1267900.1999999993</v>
      </c>
      <c r="AJ188" s="8">
        <v>1992414.5999999987</v>
      </c>
      <c r="AK188" s="8">
        <v>978094.43999999959</v>
      </c>
      <c r="AL188" s="8">
        <v>483613.36199999973</v>
      </c>
      <c r="AM188" s="8">
        <v>278938.04399999988</v>
      </c>
      <c r="AN188" s="8">
        <v>887530.13999999966</v>
      </c>
      <c r="AO188" s="8">
        <v>0</v>
      </c>
      <c r="AP188" s="1" t="s">
        <v>75</v>
      </c>
      <c r="AQ188" s="104">
        <v>39.28</v>
      </c>
      <c r="AR188" s="104">
        <v>4.3321948549534763</v>
      </c>
      <c r="AS188" s="104">
        <v>7.5249042145593874</v>
      </c>
      <c r="AT188" s="104">
        <v>11.824849480021895</v>
      </c>
      <c r="AU188" s="104"/>
      <c r="AV188" s="104"/>
      <c r="AW188" s="104"/>
      <c r="AX188" s="104">
        <v>5.8049261083743851</v>
      </c>
      <c r="AY188" s="104">
        <v>2.870213464696223</v>
      </c>
      <c r="AZ188" s="104">
        <v>1.6554789272030652</v>
      </c>
      <c r="BA188" s="104">
        <v>5.267432950191572</v>
      </c>
      <c r="BB188" s="104"/>
      <c r="BC188" s="101">
        <v>0</v>
      </c>
      <c r="BD188" s="104">
        <v>39.28</v>
      </c>
      <c r="BE188" s="104">
        <v>4.3321948549534763</v>
      </c>
      <c r="BF188" s="104">
        <v>7.5249042145593874</v>
      </c>
      <c r="BG188" s="104">
        <v>11.824849480021895</v>
      </c>
      <c r="BH188" s="104">
        <v>0</v>
      </c>
      <c r="BI188" s="104">
        <v>0</v>
      </c>
      <c r="BJ188" s="104">
        <v>0</v>
      </c>
      <c r="BK188" s="104">
        <v>5.8049261083743851</v>
      </c>
      <c r="BL188" s="104">
        <v>2.870213464696223</v>
      </c>
      <c r="BM188" s="104">
        <v>1.6554789272030652</v>
      </c>
      <c r="BN188" s="104">
        <v>5.267432950191572</v>
      </c>
      <c r="BO188" s="104">
        <v>0</v>
      </c>
      <c r="BP188" s="101">
        <v>0</v>
      </c>
      <c r="BQ188" s="103">
        <v>14229462.815999994</v>
      </c>
      <c r="BR188" s="103">
        <v>1569368.7780098519</v>
      </c>
      <c r="BS188" s="103">
        <v>2725950.7310344814</v>
      </c>
      <c r="BT188" s="103">
        <v>4283636.8630541852</v>
      </c>
      <c r="BU188" s="103">
        <v>0</v>
      </c>
      <c r="BV188" s="103">
        <v>0</v>
      </c>
      <c r="BW188" s="103">
        <v>0</v>
      </c>
      <c r="BX188" s="103">
        <v>2102876.2782266</v>
      </c>
      <c r="BY188" s="103">
        <v>1039755.4931231521</v>
      </c>
      <c r="BZ188" s="103">
        <v>599709.16082758596</v>
      </c>
      <c r="CA188" s="103">
        <v>1908165.5117241375</v>
      </c>
      <c r="CB188" s="103">
        <v>0</v>
      </c>
      <c r="CC188" s="103">
        <v>0</v>
      </c>
      <c r="CD188" s="13">
        <v>2</v>
      </c>
      <c r="CF188" s="277">
        <f>SUMIF(Оборот!$A:$A,$B:$B,Оборот!H:H)</f>
        <v>11185423.719999999</v>
      </c>
      <c r="CG188" s="277">
        <f>SUMIF(Оборот!$A:$A,$B:$B,Оборот!I:I)</f>
        <v>12664106.799999997</v>
      </c>
      <c r="CH188" s="277">
        <f t="shared" si="25"/>
        <v>13433877.427267659</v>
      </c>
      <c r="CI188" s="239">
        <f t="shared" si="30"/>
        <v>1841585.3162419123</v>
      </c>
      <c r="CJ188" s="276">
        <f>SUMIF('20Ф'!$H:$H,$B:$B,'20Ф'!M:M)*1.2</f>
        <v>0</v>
      </c>
      <c r="CK188" s="276">
        <f>SUMIF('20Ф'!$H:$H,$B:$B,'20Ф'!O:O)*1.2</f>
        <v>6714.4080000000004</v>
      </c>
      <c r="CL188" s="276">
        <f>SUMIF('20Ф'!$H:$H,$B:$B,'20Ф'!Q:Q)*1.2</f>
        <v>0</v>
      </c>
      <c r="CM188" s="276">
        <f>SUMIF('20Ф'!$H:$H,$B:$B,'20Ф'!R:R)*1.2</f>
        <v>0</v>
      </c>
      <c r="CN188" s="276">
        <f>SUMIF('20Ф'!$H:$H,$B:$B,'20Ф'!S:S)*1.2</f>
        <v>0</v>
      </c>
      <c r="CO188" s="276">
        <f>SUMIF('20Ф'!$H:$H,$B:$B,'20Ф'!W:W)*1.2</f>
        <v>0</v>
      </c>
      <c r="CP188" s="276">
        <f>SUMIF('20Ф'!$H:$H,$B:$B,'20Ф'!P:P)*1.2</f>
        <v>0</v>
      </c>
      <c r="CQ188" s="276">
        <f>SUMIF('20Ф'!$H:$H,$B:$B,'20Ф'!Y:Y)*1.2</f>
        <v>0</v>
      </c>
      <c r="CR188" s="276">
        <f>SUMIF('20Ф'!$H:$H,$B:$B,'20Ф'!Z:Z)*1.2</f>
        <v>43200</v>
      </c>
      <c r="CS188" s="276">
        <f>SUMIF('20Ф'!$H:$H,$B:$B,'20Ф'!AB:AB)*1.2</f>
        <v>0</v>
      </c>
      <c r="CT188" s="276">
        <f>SUMIF('20Ф'!$H:$H,$B:$B,'20Ф'!AC:AC)*1.2</f>
        <v>0</v>
      </c>
      <c r="CU188" s="276">
        <f>SUMIF('20Ф'!$H:$H,$B:$B,'20Ф'!AD:AD)*1.2</f>
        <v>0</v>
      </c>
      <c r="CV188" s="276">
        <f>SUMIF('20Ф'!$H:$H,$B:$B,'20Ф'!AE:AE)*1.2</f>
        <v>0</v>
      </c>
      <c r="CW188" s="276">
        <f>SUMIF('20Ф'!$H:$H,$B:$B,'20Ф'!AF:AF)*1.2</f>
        <v>0</v>
      </c>
      <c r="CX188" s="276">
        <f>SUMIF('20Ф'!$H:$H,$B:$B,'20Ф'!AG:AG)*1.2</f>
        <v>0</v>
      </c>
      <c r="CY188" s="276">
        <f>SUMIF('20Ф'!$H:$H,$B:$B,'20Ф'!AH:AH)*1.2</f>
        <v>0</v>
      </c>
      <c r="CZ188" s="276">
        <f>SUMIF('20Ф'!$H:$H,$B:$B,'20Ф'!AI:AI)*1.2</f>
        <v>0</v>
      </c>
      <c r="DA188" s="276">
        <f>SUMIF('20Ф'!$H:$H,$B:$B,'20Ф'!AJ:AJ)*1.2</f>
        <v>0</v>
      </c>
      <c r="DB188" s="276">
        <f>SUMIF('20Ф'!$H:$H,$B:$B,'20Ф'!AK:AK)*1.2</f>
        <v>0</v>
      </c>
      <c r="DC188" s="276">
        <f>SUMIF('20Ф'!$H:$H,$B:$B,'20Ф'!AL:AL)*1.2</f>
        <v>634980.78</v>
      </c>
      <c r="DD188" s="276">
        <f>SUMIF('20Ф'!$H:$H,$B:$B,'20Ф'!AM:AM)*1.2</f>
        <v>0</v>
      </c>
      <c r="DE188" s="276">
        <f>SUMIF('20Ф'!$H:$H,$B:$B,'20Ф'!AN:AN)*1.2</f>
        <v>29980.955999999998</v>
      </c>
      <c r="DF188" s="276">
        <f>SUMIF('20Ф'!$H:$H,$B:$B,'20Ф'!AO:AO)*1.2</f>
        <v>0</v>
      </c>
      <c r="DG188" s="276">
        <f>SUMIF('20Ф'!$H:$H,$B:$B,'20Ф'!AP:AP)*1.2</f>
        <v>839006.72400000005</v>
      </c>
      <c r="DH188" s="276">
        <f>SUMIF('20Ф'!$H:$H,$B:$B,'20Ф'!AQ:AQ)*1.2</f>
        <v>0</v>
      </c>
      <c r="DI188" s="276">
        <f>SUMIF('20Ф'!$H:$H,$B:$B,'20Ф'!BA:BA)*1.2</f>
        <v>0</v>
      </c>
      <c r="DJ188" s="276">
        <f>SUMIF('20Ф'!$H:$H,$B:$B,'20Ф'!BB:BB)*1.2</f>
        <v>22188</v>
      </c>
      <c r="DK188" s="276">
        <f>SUMIF('20Ф'!$H:$H,$B:$B,'20Ф'!BC:BC)*1.2</f>
        <v>0</v>
      </c>
      <c r="DL188" s="276">
        <f>$D188/$D$281*'20Ф'!$H$218</f>
        <v>265514.44824191212</v>
      </c>
      <c r="DM188" s="240">
        <f t="shared" si="26"/>
        <v>3382419.1179225338</v>
      </c>
      <c r="DN188" s="276">
        <f>SUMIF('20Ф'!$H:$H,$B:$B,'20Ф'!AV:AV)*1.2</f>
        <v>0</v>
      </c>
      <c r="DO188" s="276">
        <f>SUMIF('20Ф'!$H:$H,$B:$B,'20Ф'!AW:AW)*1.2+$D188/$D$281*'26Ф'!$D$42</f>
        <v>141293.04523058547</v>
      </c>
      <c r="DP188" s="276">
        <f>SUMIF('20Ф'!$H:$H,$B:$B,'20Ф'!AX:AX)*1.2</f>
        <v>0</v>
      </c>
      <c r="DQ188" s="276">
        <f>SUMIF('20Ф'!$H:$H,$B:$B,'20Ф'!AY:AY)*1.2</f>
        <v>0</v>
      </c>
      <c r="DR188" s="276">
        <f>SUMIF('20Ф'!$H:$H,$B:$B,'20Ф'!AU:AU)*1.2</f>
        <v>0</v>
      </c>
      <c r="DS188" s="276">
        <f>SUMIF('20Ф'!$H:$H,$B:$B,'20Ф'!AS:AS)*1.2</f>
        <v>748739.5199999999</v>
      </c>
      <c r="DT188" s="276">
        <f>SUMIF('20Ф'!$H:$H,$B:$B,'20Ф'!AR:AR)*1.2</f>
        <v>0</v>
      </c>
      <c r="DU188" s="276">
        <f>SUMIF('20Ф'!$H:$H,$B:$B,'20Ф'!X:X)*1.2</f>
        <v>0</v>
      </c>
      <c r="DV188" s="276">
        <f>SUMIF('20Ф'!$H:$H,$B:$B,'20Ф'!AA:AA)*1.2</f>
        <v>0</v>
      </c>
      <c r="DW188" s="276">
        <f>SUMIF('20Ф'!$H:$H,$B:$B,'20Ф'!N:N)*1.2</f>
        <v>0</v>
      </c>
      <c r="DX188" s="276">
        <f>$D188/$D$281*('25Ф'!$D$37)</f>
        <v>2374959.3294155877</v>
      </c>
      <c r="DY188" s="276">
        <f>$D188/$D$281*'25Ф'!$D$30</f>
        <v>75801.24637241078</v>
      </c>
      <c r="DZ188" s="276">
        <f>$D188/$D$281*'25Ф'!$D$31</f>
        <v>41625.97690394993</v>
      </c>
      <c r="EA188" s="276"/>
      <c r="EB188" s="276">
        <f t="shared" si="27"/>
        <v>1496261.652657992</v>
      </c>
      <c r="EC188" s="276">
        <f>$D188/$D$281*'26Ф'!$D$36</f>
        <v>778852.37695791852</v>
      </c>
      <c r="ED188" s="276">
        <f>$D188/$D$281*'26Ф'!$D$37</f>
        <v>93578.281260939082</v>
      </c>
      <c r="EE188" s="276">
        <f>$D188/$D$281*'26Ф'!$D$38</f>
        <v>94538.018617580659</v>
      </c>
      <c r="EF188" s="276">
        <f>$D188/$D$281*'26Ф'!$D$39</f>
        <v>66318.333777615189</v>
      </c>
      <c r="EG188" s="276">
        <f>$D188/$D$281*'91Ф'!$D$10</f>
        <v>20459.17838896903</v>
      </c>
      <c r="EH188" s="276">
        <f>$D188/$D$281*('20Ф'!$I$509+'26Ф'!$D$41+'20Ф'!$I$507)</f>
        <v>144741.95021340394</v>
      </c>
      <c r="EI188" s="276">
        <f>$D188/$D$281*'91Ф'!$D$31</f>
        <v>265333.2543955046</v>
      </c>
      <c r="EJ188" s="276">
        <f>$D188/$D$281*'20Ф'!$I$1316</f>
        <v>32440.259046061146</v>
      </c>
      <c r="EK188" s="276">
        <f>$D188/$D$281*('20Ф'!$I$1105+'20Ф'!$I$1282+'91Ф'!$D$17+'91Ф'!$D$41)</f>
        <v>1065374.2487700547</v>
      </c>
      <c r="EL188" s="276">
        <f>$D188/$D$281*отчёт!BX$294</f>
        <v>1780980.8301565279</v>
      </c>
      <c r="EM188" s="276">
        <f>$D188/$D$281*отчёт!BY$294</f>
        <v>1566277.0405627557</v>
      </c>
      <c r="EN188" s="276">
        <f>$D188/$D$283*отчёт!BZ$294</f>
        <v>281097.76788632601</v>
      </c>
      <c r="EO188" s="240">
        <f t="shared" si="37"/>
        <v>1033375.3722554891</v>
      </c>
      <c r="EP188" s="276">
        <f>SUMIF('20Ф'!$H:$H,$B:$B,'20Ф'!T:T)*1.2</f>
        <v>55126.619999999995</v>
      </c>
      <c r="EQ188" s="276">
        <f>SUM(H188:I188)/SUM($H$284:$I$284)*SUM('60Ф'!$O$155:$P$155)</f>
        <v>948806.43966067873</v>
      </c>
      <c r="ER188" s="276">
        <f>SUM($H188:$I188)/SUM($H$284:$I$284)*SUM('60Ф'!$P$227)</f>
        <v>29442.312594810381</v>
      </c>
      <c r="ES188" s="239">
        <f t="shared" si="31"/>
        <v>596094.96216882649</v>
      </c>
      <c r="ET188" s="276">
        <f>$D188/$D$282*'20Ф'!$I$381</f>
        <v>45560.109090756203</v>
      </c>
      <c r="EU188" s="276">
        <f>$D188/$D$282*('20Ф'!$I$75+'20Ф'!$I$1098)*1.2</f>
        <v>526239.48537934083</v>
      </c>
      <c r="EV188" s="276">
        <f>$D188/$D$282*('20Ф'!$I$1286)</f>
        <v>24295.367698729486</v>
      </c>
      <c r="EW188" s="276">
        <f>SUMIF('91.1Ф'!$N:$N,$B:$B,'91.1Ф'!$F:$F)+$D188/$D$281*('91Ф'!$D$12+'91Ф'!$D$11+'91Ф'!$D$19+'91Ф'!$D$20)</f>
        <v>390411.11864524113</v>
      </c>
      <c r="EX188" s="276">
        <f t="shared" si="29"/>
        <v>0</v>
      </c>
      <c r="EY188" s="276">
        <f>SUMIF('20Ф'!$H:$H,$B:$B,'20Ф'!$AY:$AY)*1.2</f>
        <v>0</v>
      </c>
      <c r="EZ188" s="236"/>
      <c r="FA188" s="277">
        <f>SUMIF(отчёт!$B:$B,$B:$B,отчёт!$CU:$CU)/отчёт!$CU$281*'20Ф'!$I$1341</f>
        <v>0</v>
      </c>
      <c r="FB188" s="276">
        <f>SUMIF(Сальдо!$A:$A,$B:$B,Сальдо!$H:$H)-SUMIF(Сальдо!$A:$A,$B:$B,Сальдо!$I:$I)</f>
        <v>1834173.08</v>
      </c>
    </row>
    <row r="189" spans="1:158" ht="12" customHeight="1" x14ac:dyDescent="0.25">
      <c r="A189" s="3">
        <f t="shared" si="32"/>
        <v>185</v>
      </c>
      <c r="B189" s="4" t="s">
        <v>234</v>
      </c>
      <c r="C189" s="4" t="s">
        <v>234</v>
      </c>
      <c r="D189" s="5">
        <v>5090.8</v>
      </c>
      <c r="E189" s="6">
        <v>3431.6</v>
      </c>
      <c r="F189" s="6">
        <v>1659.2</v>
      </c>
      <c r="G189" s="6">
        <v>577.9</v>
      </c>
      <c r="H189" s="5">
        <f>SUMIF(отчёт!$B:$B,$B:$B,отчёт!I:I)</f>
        <v>2</v>
      </c>
      <c r="I189" s="5">
        <f>SUMIF(отчёт!$B:$B,$B:$B,отчёт!J:J)</f>
        <v>0</v>
      </c>
      <c r="J189" s="3" t="s">
        <v>114</v>
      </c>
      <c r="K189" s="105">
        <v>3</v>
      </c>
      <c r="L189" s="105" t="s">
        <v>52</v>
      </c>
      <c r="M189" s="7">
        <v>45.06</v>
      </c>
      <c r="N189" s="8">
        <v>5.0999999999999996</v>
      </c>
      <c r="O189" s="8">
        <v>8.6300000000000008</v>
      </c>
      <c r="P189" s="8">
        <v>13.43</v>
      </c>
      <c r="Q189" s="8">
        <v>6.91</v>
      </c>
      <c r="R189" s="8">
        <v>3.15</v>
      </c>
      <c r="S189" s="8">
        <v>1.81</v>
      </c>
      <c r="T189" s="8">
        <v>5.77</v>
      </c>
      <c r="U189" s="8">
        <v>0.26</v>
      </c>
      <c r="V189" s="9">
        <v>40</v>
      </c>
      <c r="W189" s="9">
        <v>40</v>
      </c>
      <c r="X189" s="9">
        <v>2604.04</v>
      </c>
      <c r="Y189" s="8">
        <v>195.98199600000001</v>
      </c>
      <c r="Z189" s="9">
        <v>42.3</v>
      </c>
      <c r="AA189" s="9">
        <v>2604.04</v>
      </c>
      <c r="AB189" s="8">
        <v>7.85</v>
      </c>
      <c r="AC189" s="10">
        <v>0</v>
      </c>
      <c r="AD189" s="8">
        <v>6.73</v>
      </c>
      <c r="AE189" s="8">
        <v>10.67</v>
      </c>
      <c r="AF189" s="8">
        <v>14</v>
      </c>
      <c r="AG189" s="7">
        <v>1376348.6880000001</v>
      </c>
      <c r="AH189" s="8">
        <v>155778.47999999998</v>
      </c>
      <c r="AI189" s="8">
        <v>263601.62400000007</v>
      </c>
      <c r="AJ189" s="8">
        <v>410216.66399999999</v>
      </c>
      <c r="AK189" s="8">
        <v>211064.568</v>
      </c>
      <c r="AL189" s="8">
        <v>96216.12</v>
      </c>
      <c r="AM189" s="8">
        <v>55286.088000000003</v>
      </c>
      <c r="AN189" s="8">
        <v>176243.49599999998</v>
      </c>
      <c r="AO189" s="8">
        <v>7941.648000000001</v>
      </c>
      <c r="AQ189" s="104">
        <v>48.44</v>
      </c>
      <c r="AR189" s="375">
        <v>18.489999999999998</v>
      </c>
      <c r="AS189" s="376"/>
      <c r="AT189" s="14">
        <v>6.67</v>
      </c>
      <c r="AU189" s="14">
        <v>1.53</v>
      </c>
      <c r="AV189" s="14">
        <v>0.32</v>
      </c>
      <c r="AW189" s="14">
        <v>0.87</v>
      </c>
      <c r="AX189" s="14">
        <v>5.01</v>
      </c>
      <c r="AY189" s="14">
        <v>4.99</v>
      </c>
      <c r="AZ189" s="14">
        <v>2.7</v>
      </c>
      <c r="BA189" s="14">
        <v>6.46</v>
      </c>
      <c r="BB189" s="14">
        <v>0.47</v>
      </c>
      <c r="BC189" s="15">
        <v>0.93</v>
      </c>
      <c r="BD189" s="104">
        <v>54.88252</v>
      </c>
      <c r="BE189" s="375">
        <v>20.949169999999999</v>
      </c>
      <c r="BF189" s="376">
        <v>0</v>
      </c>
      <c r="BG189" s="14">
        <v>7.5571100000000007</v>
      </c>
      <c r="BH189" s="14">
        <v>1.7334900000000002</v>
      </c>
      <c r="BI189" s="14">
        <v>0.36256000000000005</v>
      </c>
      <c r="BJ189" s="14">
        <v>0.98571000000000009</v>
      </c>
      <c r="BK189" s="14">
        <v>5.6763300000000001</v>
      </c>
      <c r="BL189" s="14">
        <v>5.65367</v>
      </c>
      <c r="BM189" s="14">
        <v>3.0591000000000004</v>
      </c>
      <c r="BN189" s="14">
        <v>7.3191800000000002</v>
      </c>
      <c r="BO189" s="14">
        <v>0.53250999999999993</v>
      </c>
      <c r="BP189" s="15">
        <v>1.05369</v>
      </c>
      <c r="BQ189" s="103">
        <v>3287156.0321599999</v>
      </c>
      <c r="BR189" s="371">
        <v>1254738.1303599998</v>
      </c>
      <c r="BS189" s="371">
        <v>0</v>
      </c>
      <c r="BT189" s="103">
        <v>452628.62788000004</v>
      </c>
      <c r="BU189" s="103">
        <v>103826.35692000001</v>
      </c>
      <c r="BV189" s="103">
        <v>21715.316480000001</v>
      </c>
      <c r="BW189" s="103">
        <v>59038.516680000008</v>
      </c>
      <c r="BX189" s="103">
        <v>339980.42363999999</v>
      </c>
      <c r="BY189" s="103">
        <v>338623.21636000002</v>
      </c>
      <c r="BZ189" s="103">
        <v>183222.98280000003</v>
      </c>
      <c r="CA189" s="103">
        <v>438377.95144000003</v>
      </c>
      <c r="CB189" s="103">
        <v>31894.371079999994</v>
      </c>
      <c r="CC189" s="103">
        <v>63110.138519999993</v>
      </c>
      <c r="CD189" s="1">
        <v>1</v>
      </c>
      <c r="CF189" s="277">
        <f>SUMIF(Оборот!$A:$A,$B:$B,Оборот!H:H)</f>
        <v>1888523.4799999997</v>
      </c>
      <c r="CG189" s="277">
        <f>SUMIF(Оборот!$A:$A,$B:$B,Оборот!I:I)</f>
        <v>2015686.07</v>
      </c>
      <c r="CH189" s="277">
        <f t="shared" si="25"/>
        <v>1909676.5117398778</v>
      </c>
      <c r="CI189" s="239">
        <f t="shared" si="30"/>
        <v>44775.290697656594</v>
      </c>
      <c r="CJ189" s="276">
        <f>SUMIF('20Ф'!$H:$H,$B:$B,'20Ф'!M:M)*1.2</f>
        <v>0</v>
      </c>
      <c r="CK189" s="276">
        <f>SUMIF('20Ф'!$H:$H,$B:$B,'20Ф'!O:O)*1.2</f>
        <v>0</v>
      </c>
      <c r="CL189" s="276">
        <f>SUMIF('20Ф'!$H:$H,$B:$B,'20Ф'!Q:Q)*1.2</f>
        <v>0</v>
      </c>
      <c r="CM189" s="276">
        <f>SUMIF('20Ф'!$H:$H,$B:$B,'20Ф'!R:R)*1.2</f>
        <v>0</v>
      </c>
      <c r="CN189" s="276">
        <f>SUMIF('20Ф'!$H:$H,$B:$B,'20Ф'!S:S)*1.2</f>
        <v>0</v>
      </c>
      <c r="CO189" s="276">
        <f>SUMIF('20Ф'!$H:$H,$B:$B,'20Ф'!W:W)*1.2</f>
        <v>0</v>
      </c>
      <c r="CP189" s="276">
        <f>SUMIF('20Ф'!$H:$H,$B:$B,'20Ф'!P:P)*1.2</f>
        <v>0</v>
      </c>
      <c r="CQ189" s="276">
        <f>SUMIF('20Ф'!$H:$H,$B:$B,'20Ф'!Y:Y)*1.2</f>
        <v>0</v>
      </c>
      <c r="CR189" s="276">
        <f>SUMIF('20Ф'!$H:$H,$B:$B,'20Ф'!Z:Z)*1.2</f>
        <v>0</v>
      </c>
      <c r="CS189" s="276">
        <f>SUMIF('20Ф'!$H:$H,$B:$B,'20Ф'!AB:AB)*1.2</f>
        <v>0</v>
      </c>
      <c r="CT189" s="276">
        <f>SUMIF('20Ф'!$H:$H,$B:$B,'20Ф'!AC:AC)*1.2</f>
        <v>0</v>
      </c>
      <c r="CU189" s="276">
        <f>SUMIF('20Ф'!$H:$H,$B:$B,'20Ф'!AD:AD)*1.2</f>
        <v>0</v>
      </c>
      <c r="CV189" s="276">
        <f>SUMIF('20Ф'!$H:$H,$B:$B,'20Ф'!AE:AE)*1.2</f>
        <v>0</v>
      </c>
      <c r="CW189" s="276">
        <f>SUMIF('20Ф'!$H:$H,$B:$B,'20Ф'!AF:AF)*1.2</f>
        <v>0</v>
      </c>
      <c r="CX189" s="276">
        <f>SUMIF('20Ф'!$H:$H,$B:$B,'20Ф'!AG:AG)*1.2</f>
        <v>0</v>
      </c>
      <c r="CY189" s="276">
        <f>SUMIF('20Ф'!$H:$H,$B:$B,'20Ф'!AH:AH)*1.2</f>
        <v>0</v>
      </c>
      <c r="CZ189" s="276">
        <f>SUMIF('20Ф'!$H:$H,$B:$B,'20Ф'!AI:AI)*1.2</f>
        <v>0</v>
      </c>
      <c r="DA189" s="276">
        <f>SUMIF('20Ф'!$H:$H,$B:$B,'20Ф'!AJ:AJ)*1.2</f>
        <v>0</v>
      </c>
      <c r="DB189" s="276">
        <f>SUMIF('20Ф'!$H:$H,$B:$B,'20Ф'!AK:AK)*1.2</f>
        <v>0</v>
      </c>
      <c r="DC189" s="276">
        <f>SUMIF('20Ф'!$H:$H,$B:$B,'20Ф'!AL:AL)*1.2</f>
        <v>0</v>
      </c>
      <c r="DD189" s="276">
        <f>SUMIF('20Ф'!$H:$H,$B:$B,'20Ф'!AM:AM)*1.2</f>
        <v>0</v>
      </c>
      <c r="DE189" s="276">
        <f>SUMIF('20Ф'!$H:$H,$B:$B,'20Ф'!AN:AN)*1.2</f>
        <v>0</v>
      </c>
      <c r="DF189" s="276">
        <f>SUMIF('20Ф'!$H:$H,$B:$B,'20Ф'!AO:AO)*1.2</f>
        <v>0</v>
      </c>
      <c r="DG189" s="276">
        <f>SUMIF('20Ф'!$H:$H,$B:$B,'20Ф'!AP:AP)*1.2</f>
        <v>0</v>
      </c>
      <c r="DH189" s="276">
        <f>SUMIF('20Ф'!$H:$H,$B:$B,'20Ф'!AQ:AQ)*1.2</f>
        <v>0</v>
      </c>
      <c r="DI189" s="276">
        <f>SUMIF('20Ф'!$H:$H,$B:$B,'20Ф'!BA:BA)*1.2</f>
        <v>0</v>
      </c>
      <c r="DJ189" s="276">
        <f>SUMIF('20Ф'!$H:$H,$B:$B,'20Ф'!BB:BB)*1.2</f>
        <v>0</v>
      </c>
      <c r="DK189" s="276">
        <f>SUMIF('20Ф'!$H:$H,$B:$B,'20Ф'!BC:BC)*1.2</f>
        <v>0</v>
      </c>
      <c r="DL189" s="276">
        <f>$D189/$D$281*'20Ф'!$H$218</f>
        <v>44775.290697656594</v>
      </c>
      <c r="DM189" s="240">
        <f t="shared" si="26"/>
        <v>509377.38302148337</v>
      </c>
      <c r="DN189" s="276">
        <f>SUMIF('20Ф'!$H:$H,$B:$B,'20Ф'!AV:AV)*1.2</f>
        <v>0</v>
      </c>
      <c r="DO189" s="276">
        <f>SUMIF('20Ф'!$H:$H,$B:$B,'20Ф'!AW:AW)*1.2+$D189/$D$281*'26Ф'!$D$42</f>
        <v>23827.09195543492</v>
      </c>
      <c r="DP189" s="276">
        <f>SUMIF('20Ф'!$H:$H,$B:$B,'20Ф'!AX:AX)*1.2</f>
        <v>0</v>
      </c>
      <c r="DQ189" s="276">
        <f>SUMIF('20Ф'!$H:$H,$B:$B,'20Ф'!AY:AY)*1.2</f>
        <v>0</v>
      </c>
      <c r="DR189" s="276">
        <f>SUMIF('20Ф'!$H:$H,$B:$B,'20Ф'!AU:AU)*1.2</f>
        <v>0</v>
      </c>
      <c r="DS189" s="276">
        <f>SUMIF('20Ф'!$H:$H,$B:$B,'20Ф'!AS:AS)*1.2</f>
        <v>65244.228000000003</v>
      </c>
      <c r="DT189" s="276">
        <f>SUMIF('20Ф'!$H:$H,$B:$B,'20Ф'!AR:AR)*1.2</f>
        <v>0</v>
      </c>
      <c r="DU189" s="276">
        <f>SUMIF('20Ф'!$H:$H,$B:$B,'20Ф'!X:X)*1.2</f>
        <v>0</v>
      </c>
      <c r="DV189" s="276">
        <f>SUMIF('20Ф'!$H:$H,$B:$B,'20Ф'!AA:AA)*1.2</f>
        <v>0</v>
      </c>
      <c r="DW189" s="276">
        <f>SUMIF('20Ф'!$H:$H,$B:$B,'20Ф'!N:N)*1.2</f>
        <v>0</v>
      </c>
      <c r="DX189" s="276">
        <f>$D189/$D$281*('25Ф'!$D$37)</f>
        <v>400503.60752047593</v>
      </c>
      <c r="DY189" s="276">
        <f>$D189/$D$281*'25Ф'!$D$30</f>
        <v>12782.817899525608</v>
      </c>
      <c r="DZ189" s="276">
        <f>$D189/$D$281*'25Ф'!$D$31</f>
        <v>7019.6376460469</v>
      </c>
      <c r="EA189" s="276"/>
      <c r="EB189" s="276">
        <f t="shared" si="27"/>
        <v>252323.55866554403</v>
      </c>
      <c r="EC189" s="276">
        <f>$D189/$D$281*'26Ф'!$D$36</f>
        <v>131342.53830540422</v>
      </c>
      <c r="ED189" s="276">
        <f>$D189/$D$281*'26Ф'!$D$37</f>
        <v>15780.665700828768</v>
      </c>
      <c r="EE189" s="276">
        <f>$D189/$D$281*'26Ф'!$D$38</f>
        <v>15942.511955981987</v>
      </c>
      <c r="EF189" s="276">
        <f>$D189/$D$281*'26Ф'!$D$39</f>
        <v>11183.657586767089</v>
      </c>
      <c r="EG189" s="276">
        <f>$D189/$D$281*'91Ф'!$D$10</f>
        <v>3450.1537142968123</v>
      </c>
      <c r="EH189" s="276">
        <f>$D189/$D$281*('20Ф'!$I$509+'26Ф'!$D$41+'20Ф'!$I$507)</f>
        <v>24408.701446808416</v>
      </c>
      <c r="EI189" s="276">
        <f>$D189/$D$281*'91Ф'!$D$31</f>
        <v>44744.734894764348</v>
      </c>
      <c r="EJ189" s="276">
        <f>$D189/$D$281*'20Ф'!$I$1316</f>
        <v>5470.595060692398</v>
      </c>
      <c r="EK189" s="276">
        <f>$D189/$D$281*('20Ф'!$I$1105+'20Ф'!$I$1282+'91Ф'!$D$17+'91Ф'!$D$41)</f>
        <v>179660.43658390548</v>
      </c>
      <c r="EL189" s="276">
        <f>$D189/$D$281*отчёт!BX$294</f>
        <v>300337.45781155012</v>
      </c>
      <c r="EM189" s="276">
        <f>$D189/$D$281*отчёт!BY$294</f>
        <v>264130.67261924007</v>
      </c>
      <c r="EN189" s="276">
        <f>$D189/$D$283*отчёт!BZ$294</f>
        <v>47403.199166416875</v>
      </c>
      <c r="EO189" s="240">
        <f t="shared" si="37"/>
        <v>183876.00950099801</v>
      </c>
      <c r="EP189" s="276">
        <f>SUMIF('20Ф'!$H:$H,$B:$B,'20Ф'!T:T)*1.2</f>
        <v>6012.5999999999995</v>
      </c>
      <c r="EQ189" s="276">
        <f>SUM(H189:I189)/SUM($H$284:$I$284)*SUM('60Ф'!$O$155:$P$155)</f>
        <v>172510.26175648702</v>
      </c>
      <c r="ER189" s="276">
        <f>SUM($H189:$I189)/SUM($H$284:$I$284)*SUM('60Ф'!$P$227)</f>
        <v>5353.1477445109776</v>
      </c>
      <c r="ES189" s="239">
        <f t="shared" si="31"/>
        <v>100523.06151791812</v>
      </c>
      <c r="ET189" s="276">
        <f>$D189/$D$282*'20Ф'!$I$381</f>
        <v>7683.0739052547806</v>
      </c>
      <c r="EU189" s="276">
        <f>$D189/$D$282*('20Ф'!$I$75+'20Ф'!$I$1098)*1.2</f>
        <v>88742.914332771848</v>
      </c>
      <c r="EV189" s="276">
        <f>$D189/$D$282*('20Ф'!$I$1286)</f>
        <v>4097.0732798914851</v>
      </c>
      <c r="EW189" s="276">
        <f>SUMIF('91.1Ф'!$N:$N,$B:$B,'91.1Ф'!$F:$F)+$D189/$D$281*('91Ф'!$D$12+'91Ф'!$D$11+'91Ф'!$D$19+'91Ф'!$D$20)</f>
        <v>23678.367396397723</v>
      </c>
      <c r="EX189" s="276">
        <f t="shared" si="29"/>
        <v>3591.0747587671503</v>
      </c>
      <c r="EY189" s="276">
        <f>SUMIF('20Ф'!$H:$H,$B:$B,'20Ф'!$AY:$AY)*1.2</f>
        <v>0</v>
      </c>
      <c r="EZ189" s="295">
        <f>D189/$D$286*'20Ф'!$I$1163</f>
        <v>3591.0747587671503</v>
      </c>
      <c r="FA189" s="277">
        <f>SUMIF(отчёт!$B:$B,$B:$B,отчёт!$CU:$CU)/отчёт!$CU$281*'20Ф'!$I$1341</f>
        <v>920.96385542168503</v>
      </c>
      <c r="FB189" s="276">
        <f>SUMIF(Сальдо!$A:$A,$B:$B,Сальдо!$H:$H)-SUMIF(Сальдо!$A:$A,$B:$B,Сальдо!$I:$I)</f>
        <v>390923.26</v>
      </c>
    </row>
    <row r="190" spans="1:158" ht="12" customHeight="1" x14ac:dyDescent="0.25">
      <c r="A190" s="3">
        <f t="shared" si="32"/>
        <v>186</v>
      </c>
      <c r="B190" s="4" t="s">
        <v>235</v>
      </c>
      <c r="C190" s="4" t="s">
        <v>235</v>
      </c>
      <c r="D190" s="5">
        <v>3571.9999999999991</v>
      </c>
      <c r="E190" s="6">
        <v>3571.9999999999991</v>
      </c>
      <c r="F190" s="6">
        <v>0</v>
      </c>
      <c r="G190" s="6">
        <v>577.9</v>
      </c>
      <c r="H190" s="5">
        <f>SUMIF(отчёт!$B:$B,$B:$B,отчёт!I:I)</f>
        <v>2</v>
      </c>
      <c r="I190" s="5">
        <f>SUMIF(отчёт!$B:$B,$B:$B,отчёт!J:J)</f>
        <v>0</v>
      </c>
      <c r="J190" s="3" t="s">
        <v>114</v>
      </c>
      <c r="K190" s="105">
        <v>3</v>
      </c>
      <c r="L190" s="105" t="s">
        <v>52</v>
      </c>
      <c r="M190" s="7">
        <v>45.06</v>
      </c>
      <c r="N190" s="8">
        <v>5.0999999999999996</v>
      </c>
      <c r="O190" s="8">
        <v>8.6300000000000008</v>
      </c>
      <c r="P190" s="8">
        <v>13.43</v>
      </c>
      <c r="Q190" s="8">
        <v>6.91</v>
      </c>
      <c r="R190" s="8">
        <v>3.15</v>
      </c>
      <c r="S190" s="8">
        <v>1.81</v>
      </c>
      <c r="T190" s="8">
        <v>5.77</v>
      </c>
      <c r="U190" s="8">
        <v>0.26</v>
      </c>
      <c r="V190" s="9">
        <v>40</v>
      </c>
      <c r="W190" s="9">
        <v>40</v>
      </c>
      <c r="X190" s="9">
        <v>2604.04</v>
      </c>
      <c r="Y190" s="8">
        <v>195.98199600000001</v>
      </c>
      <c r="Z190" s="9">
        <v>42.3</v>
      </c>
      <c r="AA190" s="9">
        <v>2604.04</v>
      </c>
      <c r="AB190" s="8">
        <v>7.85</v>
      </c>
      <c r="AC190" s="10">
        <v>0</v>
      </c>
      <c r="AD190" s="8">
        <v>6.73</v>
      </c>
      <c r="AE190" s="8">
        <v>10.67</v>
      </c>
      <c r="AF190" s="8">
        <v>14</v>
      </c>
      <c r="AG190" s="7">
        <v>965725.91999999993</v>
      </c>
      <c r="AH190" s="8">
        <v>109303.19999999995</v>
      </c>
      <c r="AI190" s="8">
        <v>184958.15999999997</v>
      </c>
      <c r="AJ190" s="8">
        <v>287831.75999999989</v>
      </c>
      <c r="AK190" s="8">
        <v>148095.11999999997</v>
      </c>
      <c r="AL190" s="8">
        <v>67510.799999999988</v>
      </c>
      <c r="AM190" s="8">
        <v>38791.919999999991</v>
      </c>
      <c r="AN190" s="8">
        <v>123662.63999999996</v>
      </c>
      <c r="AO190" s="8">
        <v>5572.3199999999988</v>
      </c>
      <c r="AQ190" s="104">
        <v>48.44</v>
      </c>
      <c r="AR190" s="375">
        <v>18.489999999999998</v>
      </c>
      <c r="AS190" s="376"/>
      <c r="AT190" s="104">
        <v>6.67</v>
      </c>
      <c r="AU190" s="104">
        <v>1.53</v>
      </c>
      <c r="AV190" s="104">
        <v>0.32</v>
      </c>
      <c r="AW190" s="104">
        <v>0.87</v>
      </c>
      <c r="AX190" s="104">
        <v>5.01</v>
      </c>
      <c r="AY190" s="104">
        <v>4.99</v>
      </c>
      <c r="AZ190" s="104">
        <v>2.7</v>
      </c>
      <c r="BA190" s="104">
        <v>6.46</v>
      </c>
      <c r="BB190" s="104">
        <v>0.47</v>
      </c>
      <c r="BC190" s="101">
        <v>0.93</v>
      </c>
      <c r="BD190" s="104">
        <v>54.88252</v>
      </c>
      <c r="BE190" s="375">
        <v>20.949169999999999</v>
      </c>
      <c r="BF190" s="376">
        <v>0</v>
      </c>
      <c r="BG190" s="104">
        <v>7.5571100000000007</v>
      </c>
      <c r="BH190" s="104">
        <v>1.7334900000000002</v>
      </c>
      <c r="BI190" s="104">
        <v>0.36256000000000005</v>
      </c>
      <c r="BJ190" s="104">
        <v>0.98571000000000009</v>
      </c>
      <c r="BK190" s="104">
        <v>5.6763300000000001</v>
      </c>
      <c r="BL190" s="104">
        <v>5.65367</v>
      </c>
      <c r="BM190" s="104">
        <v>3.0591000000000004</v>
      </c>
      <c r="BN190" s="104">
        <v>7.3191800000000002</v>
      </c>
      <c r="BO190" s="104">
        <v>0.53250999999999993</v>
      </c>
      <c r="BP190" s="101">
        <v>1.05369</v>
      </c>
      <c r="BQ190" s="103">
        <v>2306458.9743999988</v>
      </c>
      <c r="BR190" s="371">
        <v>880396.91239999968</v>
      </c>
      <c r="BS190" s="371">
        <v>0</v>
      </c>
      <c r="BT190" s="103">
        <v>317590.44919999992</v>
      </c>
      <c r="BU190" s="103">
        <v>72850.582799999975</v>
      </c>
      <c r="BV190" s="103">
        <v>15236.723199999997</v>
      </c>
      <c r="BW190" s="103">
        <v>41424.841199999995</v>
      </c>
      <c r="BX190" s="103">
        <v>238549.94759999993</v>
      </c>
      <c r="BY190" s="103">
        <v>237597.65239999993</v>
      </c>
      <c r="BZ190" s="103">
        <v>128559.85199999998</v>
      </c>
      <c r="CA190" s="103">
        <v>307591.34959999996</v>
      </c>
      <c r="CB190" s="103">
        <v>22378.937199999989</v>
      </c>
      <c r="CC190" s="103">
        <v>44281.726799999982</v>
      </c>
      <c r="CD190" s="1">
        <v>1</v>
      </c>
      <c r="CF190" s="277">
        <f>SUMIF(Оборот!$A:$A,$B:$B,Оборот!H:H)</f>
        <v>1979357.2800000003</v>
      </c>
      <c r="CG190" s="277">
        <f>SUMIF(Оборот!$A:$A,$B:$B,Оборот!I:I)</f>
        <v>1877669.22</v>
      </c>
      <c r="CH190" s="277">
        <f t="shared" si="25"/>
        <v>1426195.4055419497</v>
      </c>
      <c r="CI190" s="239">
        <f t="shared" si="30"/>
        <v>31416.936114565349</v>
      </c>
      <c r="CJ190" s="276">
        <f>SUMIF('20Ф'!$H:$H,$B:$B,'20Ф'!M:M)*1.2</f>
        <v>0</v>
      </c>
      <c r="CK190" s="276">
        <f>SUMIF('20Ф'!$H:$H,$B:$B,'20Ф'!O:O)*1.2</f>
        <v>0</v>
      </c>
      <c r="CL190" s="276">
        <f>SUMIF('20Ф'!$H:$H,$B:$B,'20Ф'!Q:Q)*1.2</f>
        <v>0</v>
      </c>
      <c r="CM190" s="276">
        <f>SUMIF('20Ф'!$H:$H,$B:$B,'20Ф'!R:R)*1.2</f>
        <v>0</v>
      </c>
      <c r="CN190" s="276">
        <f>SUMIF('20Ф'!$H:$H,$B:$B,'20Ф'!S:S)*1.2</f>
        <v>0</v>
      </c>
      <c r="CO190" s="276">
        <f>SUMIF('20Ф'!$H:$H,$B:$B,'20Ф'!W:W)*1.2</f>
        <v>0</v>
      </c>
      <c r="CP190" s="276">
        <f>SUMIF('20Ф'!$H:$H,$B:$B,'20Ф'!P:P)*1.2</f>
        <v>0</v>
      </c>
      <c r="CQ190" s="276">
        <f>SUMIF('20Ф'!$H:$H,$B:$B,'20Ф'!Y:Y)*1.2</f>
        <v>0</v>
      </c>
      <c r="CR190" s="276">
        <f>SUMIF('20Ф'!$H:$H,$B:$B,'20Ф'!Z:Z)*1.2</f>
        <v>0</v>
      </c>
      <c r="CS190" s="276">
        <f>SUMIF('20Ф'!$H:$H,$B:$B,'20Ф'!AB:AB)*1.2</f>
        <v>0</v>
      </c>
      <c r="CT190" s="276">
        <f>SUMIF('20Ф'!$H:$H,$B:$B,'20Ф'!AC:AC)*1.2</f>
        <v>0</v>
      </c>
      <c r="CU190" s="276">
        <f>SUMIF('20Ф'!$H:$H,$B:$B,'20Ф'!AD:AD)*1.2</f>
        <v>0</v>
      </c>
      <c r="CV190" s="276">
        <f>SUMIF('20Ф'!$H:$H,$B:$B,'20Ф'!AE:AE)*1.2</f>
        <v>0</v>
      </c>
      <c r="CW190" s="276">
        <f>SUMIF('20Ф'!$H:$H,$B:$B,'20Ф'!AF:AF)*1.2</f>
        <v>0</v>
      </c>
      <c r="CX190" s="276">
        <f>SUMIF('20Ф'!$H:$H,$B:$B,'20Ф'!AG:AG)*1.2</f>
        <v>0</v>
      </c>
      <c r="CY190" s="276">
        <f>SUMIF('20Ф'!$H:$H,$B:$B,'20Ф'!AH:AH)*1.2</f>
        <v>0</v>
      </c>
      <c r="CZ190" s="276">
        <f>SUMIF('20Ф'!$H:$H,$B:$B,'20Ф'!AI:AI)*1.2</f>
        <v>0</v>
      </c>
      <c r="DA190" s="276">
        <f>SUMIF('20Ф'!$H:$H,$B:$B,'20Ф'!AJ:AJ)*1.2</f>
        <v>0</v>
      </c>
      <c r="DB190" s="276">
        <f>SUMIF('20Ф'!$H:$H,$B:$B,'20Ф'!AK:AK)*1.2</f>
        <v>0</v>
      </c>
      <c r="DC190" s="276">
        <f>SUMIF('20Ф'!$H:$H,$B:$B,'20Ф'!AL:AL)*1.2</f>
        <v>0</v>
      </c>
      <c r="DD190" s="276">
        <f>SUMIF('20Ф'!$H:$H,$B:$B,'20Ф'!AM:AM)*1.2</f>
        <v>0</v>
      </c>
      <c r="DE190" s="276">
        <f>SUMIF('20Ф'!$H:$H,$B:$B,'20Ф'!AN:AN)*1.2</f>
        <v>0</v>
      </c>
      <c r="DF190" s="276">
        <f>SUMIF('20Ф'!$H:$H,$B:$B,'20Ф'!AO:AO)*1.2</f>
        <v>0</v>
      </c>
      <c r="DG190" s="276">
        <f>SUMIF('20Ф'!$H:$H,$B:$B,'20Ф'!AP:AP)*1.2</f>
        <v>0</v>
      </c>
      <c r="DH190" s="276">
        <f>SUMIF('20Ф'!$H:$H,$B:$B,'20Ф'!AQ:AQ)*1.2</f>
        <v>0</v>
      </c>
      <c r="DI190" s="276">
        <f>SUMIF('20Ф'!$H:$H,$B:$B,'20Ф'!BA:BA)*1.2</f>
        <v>0</v>
      </c>
      <c r="DJ190" s="276">
        <f>SUMIF('20Ф'!$H:$H,$B:$B,'20Ф'!BB:BB)*1.2</f>
        <v>0</v>
      </c>
      <c r="DK190" s="276">
        <f>SUMIF('20Ф'!$H:$H,$B:$B,'20Ф'!BC:BC)*1.2</f>
        <v>0</v>
      </c>
      <c r="DL190" s="276">
        <f>$D190/$D$281*'20Ф'!$H$218</f>
        <v>31416.936114565349</v>
      </c>
      <c r="DM190" s="240">
        <f t="shared" si="26"/>
        <v>374029.50961686537</v>
      </c>
      <c r="DN190" s="276">
        <f>SUMIF('20Ф'!$H:$H,$B:$B,'20Ф'!AV:AV)*1.2</f>
        <v>0</v>
      </c>
      <c r="DO190" s="276">
        <f>SUMIF('20Ф'!$H:$H,$B:$B,'20Ф'!AW:AW)*1.2+$D190/$D$281*'26Ф'!$D$42</f>
        <v>16718.467129884008</v>
      </c>
      <c r="DP190" s="276">
        <f>SUMIF('20Ф'!$H:$H,$B:$B,'20Ф'!AX:AX)*1.2</f>
        <v>0</v>
      </c>
      <c r="DQ190" s="276">
        <f>SUMIF('20Ф'!$H:$H,$B:$B,'20Ф'!AY:AY)*1.2</f>
        <v>14777.003999999999</v>
      </c>
      <c r="DR190" s="276">
        <f>SUMIF('20Ф'!$H:$H,$B:$B,'20Ф'!AU:AU)*1.2</f>
        <v>0</v>
      </c>
      <c r="DS190" s="276">
        <f>SUMIF('20Ф'!$H:$H,$B:$B,'20Ф'!AS:AS)*1.2</f>
        <v>47622.971999999994</v>
      </c>
      <c r="DT190" s="276">
        <f>SUMIF('20Ф'!$H:$H,$B:$B,'20Ф'!AR:AR)*1.2</f>
        <v>0</v>
      </c>
      <c r="DU190" s="276">
        <f>SUMIF('20Ф'!$H:$H,$B:$B,'20Ф'!X:X)*1.2</f>
        <v>0</v>
      </c>
      <c r="DV190" s="276">
        <f>SUMIF('20Ф'!$H:$H,$B:$B,'20Ф'!AA:AA)*1.2</f>
        <v>0</v>
      </c>
      <c r="DW190" s="276">
        <f>SUMIF('20Ф'!$H:$H,$B:$B,'20Ф'!N:N)*1.2</f>
        <v>0</v>
      </c>
      <c r="DX190" s="276">
        <f>$D190/$D$281*('25Ф'!$D$37)</f>
        <v>281016.51725920086</v>
      </c>
      <c r="DY190" s="276">
        <f>$D190/$D$281*'25Ф'!$D$30</f>
        <v>8969.1650697543519</v>
      </c>
      <c r="DZ190" s="276">
        <f>$D190/$D$281*'25Ф'!$D$31</f>
        <v>4925.3841580261487</v>
      </c>
      <c r="EA190" s="276"/>
      <c r="EB190" s="276">
        <f t="shared" si="27"/>
        <v>177044.81644404083</v>
      </c>
      <c r="EC190" s="276">
        <f>$D190/$D$281*'26Ф'!$D$36</f>
        <v>92157.528645184197</v>
      </c>
      <c r="ED190" s="276">
        <f>$D190/$D$281*'26Ф'!$D$37</f>
        <v>11072.628640559507</v>
      </c>
      <c r="EE190" s="276">
        <f>$D190/$D$281*'26Ф'!$D$38</f>
        <v>11186.189342886706</v>
      </c>
      <c r="EF190" s="276">
        <f>$D190/$D$281*'26Ф'!$D$39</f>
        <v>7847.101614664105</v>
      </c>
      <c r="EG190" s="276">
        <f>$D190/$D$281*'91Ф'!$D$10</f>
        <v>2420.827584558067</v>
      </c>
      <c r="EH190" s="276">
        <f>$D190/$D$281*('20Ф'!$I$509+'26Ф'!$D$41+'20Ф'!$I$507)</f>
        <v>17126.558019957498</v>
      </c>
      <c r="EI190" s="276">
        <f>$D190/$D$281*'91Ф'!$D$31</f>
        <v>31395.496394299167</v>
      </c>
      <c r="EJ190" s="276">
        <f>$D190/$D$281*'20Ф'!$I$1316</f>
        <v>3838.4862019315701</v>
      </c>
      <c r="EK190" s="276">
        <f>$D190/$D$281*('20Ф'!$I$1105+'20Ф'!$I$1282+'91Ф'!$D$17+'91Ф'!$D$41)</f>
        <v>126060.16332947869</v>
      </c>
      <c r="EL190" s="276">
        <f>$D190/$D$281*отчёт!BX$294</f>
        <v>210734.14773765553</v>
      </c>
      <c r="EM190" s="276">
        <f>$D190/$D$281*отчёт!BY$294</f>
        <v>185329.37113929543</v>
      </c>
      <c r="EN190" s="276">
        <f>$D190/$D$283*отчёт!BZ$294</f>
        <v>33260.828832883046</v>
      </c>
      <c r="EO190" s="240">
        <f t="shared" si="37"/>
        <v>183876.00950099801</v>
      </c>
      <c r="EP190" s="276">
        <f>SUMIF('20Ф'!$H:$H,$B:$B,'20Ф'!T:T)*1.2</f>
        <v>6012.5999999999995</v>
      </c>
      <c r="EQ190" s="276">
        <f>SUM(H190:I190)/SUM($H$284:$I$284)*SUM('60Ф'!$O$155:$P$155)</f>
        <v>172510.26175648702</v>
      </c>
      <c r="ER190" s="276">
        <f>SUM($H190:$I190)/SUM($H$284:$I$284)*SUM('60Ф'!$P$227)</f>
        <v>5353.1477445109776</v>
      </c>
      <c r="ES190" s="239">
        <f t="shared" si="31"/>
        <v>70532.799509311575</v>
      </c>
      <c r="ET190" s="276">
        <f>$D190/$D$282*'20Ф'!$I$381</f>
        <v>5390.8894455822392</v>
      </c>
      <c r="EU190" s="276">
        <f>$D190/$D$282*('20Ф'!$I$75+'20Ф'!$I$1098)*1.2</f>
        <v>62267.166260049686</v>
      </c>
      <c r="EV190" s="276">
        <f>$D190/$D$282*('20Ф'!$I$1286)</f>
        <v>2874.7438036796534</v>
      </c>
      <c r="EW190" s="276">
        <f>SUMIF('91.1Ф'!$N:$N,$B:$B,'91.1Ф'!$F:$F)+$D190/$D$281*('91Ф'!$D$12+'91Ф'!$D$11+'91Ф'!$D$19+'91Ф'!$D$20)</f>
        <v>16614.113369201823</v>
      </c>
      <c r="EX190" s="276">
        <f t="shared" si="29"/>
        <v>17296.709947653857</v>
      </c>
      <c r="EY190" s="276">
        <f>SUMIF('20Ф'!$H:$H,$B:$B,'20Ф'!$AY:$AY)*1.2</f>
        <v>14777.003999999999</v>
      </c>
      <c r="EZ190" s="295">
        <f>D190/$D$286*'20Ф'!$I$1163</f>
        <v>2519.7059476538575</v>
      </c>
      <c r="FA190" s="277">
        <f>SUMIF(отчёт!$B:$B,$B:$B,отчёт!$CU:$CU)/отчёт!$CU$281*'20Ф'!$I$1341</f>
        <v>920.96385542168503</v>
      </c>
      <c r="FB190" s="276">
        <f>SUMIF(Сальдо!$A:$A,$B:$B,Сальдо!$H:$H)-SUMIF(Сальдо!$A:$A,$B:$B,Сальдо!$I:$I)</f>
        <v>799837.96000000008</v>
      </c>
    </row>
    <row r="191" spans="1:158" ht="12" customHeight="1" x14ac:dyDescent="0.25">
      <c r="A191" s="3">
        <f t="shared" si="32"/>
        <v>187</v>
      </c>
      <c r="B191" s="4" t="s">
        <v>236</v>
      </c>
      <c r="C191" s="4" t="s">
        <v>236</v>
      </c>
      <c r="D191" s="5">
        <v>5235.6000000000004</v>
      </c>
      <c r="E191" s="6">
        <v>5235.6000000000004</v>
      </c>
      <c r="F191" s="6">
        <v>0</v>
      </c>
      <c r="G191" s="6">
        <v>1025</v>
      </c>
      <c r="H191" s="5">
        <f>SUMIF(отчёт!$B:$B,$B:$B,отчёт!I:I)</f>
        <v>1</v>
      </c>
      <c r="I191" s="5">
        <f>SUMIF(отчёт!$B:$B,$B:$B,отчёт!J:J)</f>
        <v>1</v>
      </c>
      <c r="J191" s="3" t="s">
        <v>114</v>
      </c>
      <c r="K191" s="105">
        <v>1</v>
      </c>
      <c r="L191" s="105" t="s">
        <v>52</v>
      </c>
      <c r="M191" s="7">
        <v>44.8</v>
      </c>
      <c r="N191" s="8">
        <v>5.0999999999999996</v>
      </c>
      <c r="O191" s="8">
        <v>8.6300000000000008</v>
      </c>
      <c r="P191" s="8">
        <v>13.43</v>
      </c>
      <c r="Q191" s="8">
        <v>6.91</v>
      </c>
      <c r="R191" s="8">
        <v>3.15</v>
      </c>
      <c r="S191" s="8">
        <v>1.81</v>
      </c>
      <c r="T191" s="8">
        <v>5.77</v>
      </c>
      <c r="U191" s="8">
        <v>0</v>
      </c>
      <c r="V191" s="9">
        <v>40</v>
      </c>
      <c r="W191" s="9">
        <v>40</v>
      </c>
      <c r="X191" s="9">
        <v>2604.04</v>
      </c>
      <c r="Y191" s="8">
        <v>195.98199600000001</v>
      </c>
      <c r="Z191" s="9">
        <v>42.3</v>
      </c>
      <c r="AA191" s="9">
        <v>2604.04</v>
      </c>
      <c r="AB191" s="8">
        <v>0</v>
      </c>
      <c r="AC191" s="10">
        <v>0</v>
      </c>
      <c r="AD191" s="8">
        <v>5.05</v>
      </c>
      <c r="AE191" s="8">
        <v>10.67</v>
      </c>
      <c r="AF191" s="8">
        <v>14</v>
      </c>
      <c r="AG191" s="7">
        <v>1407329.28</v>
      </c>
      <c r="AH191" s="8">
        <v>160209.36000000002</v>
      </c>
      <c r="AI191" s="8">
        <v>271099.36800000007</v>
      </c>
      <c r="AJ191" s="8">
        <v>421884.64800000004</v>
      </c>
      <c r="AK191" s="8">
        <v>217067.97600000002</v>
      </c>
      <c r="AL191" s="8">
        <v>98952.84</v>
      </c>
      <c r="AM191" s="8">
        <v>56858.616000000009</v>
      </c>
      <c r="AN191" s="8">
        <v>181256.47200000001</v>
      </c>
      <c r="AO191" s="8">
        <v>0</v>
      </c>
      <c r="AQ191" s="104">
        <v>48.16</v>
      </c>
      <c r="AR191" s="375">
        <v>18.649999999999999</v>
      </c>
      <c r="AS191" s="376"/>
      <c r="AT191" s="104">
        <v>7.16</v>
      </c>
      <c r="AU191" s="104">
        <v>1.53</v>
      </c>
      <c r="AV191" s="104">
        <v>0.32</v>
      </c>
      <c r="AW191" s="104">
        <v>0.87</v>
      </c>
      <c r="AX191" s="104">
        <v>5.01</v>
      </c>
      <c r="AY191" s="104">
        <v>4.99</v>
      </c>
      <c r="AZ191" s="104">
        <v>2.7</v>
      </c>
      <c r="BA191" s="104">
        <v>6.46</v>
      </c>
      <c r="BB191" s="104">
        <v>0.47</v>
      </c>
      <c r="BC191" s="101">
        <v>0</v>
      </c>
      <c r="BD191" s="104">
        <v>54.565279999999994</v>
      </c>
      <c r="BE191" s="375">
        <v>21.130449999999996</v>
      </c>
      <c r="BF191" s="376">
        <v>0</v>
      </c>
      <c r="BG191" s="104">
        <v>8.1122800000000002</v>
      </c>
      <c r="BH191" s="104">
        <v>1.7334900000000002</v>
      </c>
      <c r="BI191" s="104">
        <v>0.36255999999999999</v>
      </c>
      <c r="BJ191" s="104">
        <v>0.98570999999999998</v>
      </c>
      <c r="BK191" s="104">
        <v>5.6763299999999992</v>
      </c>
      <c r="BL191" s="104">
        <v>5.6536700000000009</v>
      </c>
      <c r="BM191" s="104">
        <v>3.0591000000000004</v>
      </c>
      <c r="BN191" s="104">
        <v>7.3191800000000002</v>
      </c>
      <c r="BO191" s="104">
        <v>0.53250999999999993</v>
      </c>
      <c r="BP191" s="101">
        <v>0</v>
      </c>
      <c r="BQ191" s="103">
        <v>3361112.7916800007</v>
      </c>
      <c r="BR191" s="371">
        <v>1301593.7201999999</v>
      </c>
      <c r="BS191" s="371">
        <v>0</v>
      </c>
      <c r="BT191" s="103">
        <v>499700.32368000009</v>
      </c>
      <c r="BU191" s="103">
        <v>106779.53844</v>
      </c>
      <c r="BV191" s="103">
        <v>22332.97536</v>
      </c>
      <c r="BW191" s="103">
        <v>60717.776760000001</v>
      </c>
      <c r="BX191" s="103">
        <v>349650.64548000001</v>
      </c>
      <c r="BY191" s="103">
        <v>348254.83452000009</v>
      </c>
      <c r="BZ191" s="103">
        <v>188434.47960000005</v>
      </c>
      <c r="CA191" s="103">
        <v>450846.94008000003</v>
      </c>
      <c r="CB191" s="103">
        <v>32801.557559999994</v>
      </c>
      <c r="CC191" s="103">
        <v>0</v>
      </c>
      <c r="CD191" s="1">
        <v>1</v>
      </c>
      <c r="CF191" s="277">
        <f>SUMIF(Оборот!$A:$A,$B:$B,Оборот!H:H)</f>
        <v>2879320.04</v>
      </c>
      <c r="CG191" s="277">
        <f>SUMIF(Оборот!$A:$A,$B:$B,Оборот!I:I)</f>
        <v>2918524.25</v>
      </c>
      <c r="CH191" s="277">
        <f t="shared" si="25"/>
        <v>2362880.7513656318</v>
      </c>
      <c r="CI191" s="239">
        <f t="shared" si="30"/>
        <v>463057.68718516751</v>
      </c>
      <c r="CJ191" s="276">
        <f>SUMIF('20Ф'!$H:$H,$B:$B,'20Ф'!M:M)*1.2</f>
        <v>0</v>
      </c>
      <c r="CK191" s="276">
        <f>SUMIF('20Ф'!$H:$H,$B:$B,'20Ф'!O:O)*1.2</f>
        <v>25985.543999999998</v>
      </c>
      <c r="CL191" s="276">
        <f>SUMIF('20Ф'!$H:$H,$B:$B,'20Ф'!Q:Q)*1.2</f>
        <v>0</v>
      </c>
      <c r="CM191" s="276">
        <f>SUMIF('20Ф'!$H:$H,$B:$B,'20Ф'!R:R)*1.2</f>
        <v>0</v>
      </c>
      <c r="CN191" s="276">
        <f>SUMIF('20Ф'!$H:$H,$B:$B,'20Ф'!S:S)*1.2</f>
        <v>0</v>
      </c>
      <c r="CO191" s="276">
        <f>SUMIF('20Ф'!$H:$H,$B:$B,'20Ф'!W:W)*1.2</f>
        <v>18000</v>
      </c>
      <c r="CP191" s="276">
        <f>SUMIF('20Ф'!$H:$H,$B:$B,'20Ф'!P:P)*1.2</f>
        <v>0</v>
      </c>
      <c r="CQ191" s="276">
        <f>SUMIF('20Ф'!$H:$H,$B:$B,'20Ф'!Y:Y)*1.2</f>
        <v>0</v>
      </c>
      <c r="CR191" s="276">
        <f>SUMIF('20Ф'!$H:$H,$B:$B,'20Ф'!Z:Z)*1.2</f>
        <v>0</v>
      </c>
      <c r="CS191" s="276">
        <f>SUMIF('20Ф'!$H:$H,$B:$B,'20Ф'!AB:AB)*1.2</f>
        <v>0</v>
      </c>
      <c r="CT191" s="276">
        <f>SUMIF('20Ф'!$H:$H,$B:$B,'20Ф'!AC:AC)*1.2</f>
        <v>0</v>
      </c>
      <c r="CU191" s="276">
        <f>SUMIF('20Ф'!$H:$H,$B:$B,'20Ф'!AD:AD)*1.2</f>
        <v>0</v>
      </c>
      <c r="CV191" s="276">
        <f>SUMIF('20Ф'!$H:$H,$B:$B,'20Ф'!AE:AE)*1.2</f>
        <v>0</v>
      </c>
      <c r="CW191" s="276">
        <f>SUMIF('20Ф'!$H:$H,$B:$B,'20Ф'!AF:AF)*1.2</f>
        <v>0</v>
      </c>
      <c r="CX191" s="276">
        <f>SUMIF('20Ф'!$H:$H,$B:$B,'20Ф'!AG:AG)*1.2</f>
        <v>0</v>
      </c>
      <c r="CY191" s="276">
        <f>SUMIF('20Ф'!$H:$H,$B:$B,'20Ф'!AH:AH)*1.2</f>
        <v>253496.08799999999</v>
      </c>
      <c r="CZ191" s="276">
        <f>SUMIF('20Ф'!$H:$H,$B:$B,'20Ф'!AI:AI)*1.2</f>
        <v>0</v>
      </c>
      <c r="DA191" s="276">
        <f>SUMIF('20Ф'!$H:$H,$B:$B,'20Ф'!AJ:AJ)*1.2</f>
        <v>0</v>
      </c>
      <c r="DB191" s="276">
        <f>SUMIF('20Ф'!$H:$H,$B:$B,'20Ф'!AK:AK)*1.2</f>
        <v>0</v>
      </c>
      <c r="DC191" s="276">
        <f>SUMIF('20Ф'!$H:$H,$B:$B,'20Ф'!AL:AL)*1.2</f>
        <v>0</v>
      </c>
      <c r="DD191" s="276">
        <f>SUMIF('20Ф'!$H:$H,$B:$B,'20Ф'!AM:AM)*1.2</f>
        <v>0</v>
      </c>
      <c r="DE191" s="276">
        <f>SUMIF('20Ф'!$H:$H,$B:$B,'20Ф'!AN:AN)*1.2</f>
        <v>0</v>
      </c>
      <c r="DF191" s="276">
        <f>SUMIF('20Ф'!$H:$H,$B:$B,'20Ф'!AO:AO)*1.2</f>
        <v>0</v>
      </c>
      <c r="DG191" s="276">
        <f>SUMIF('20Ф'!$H:$H,$B:$B,'20Ф'!AP:AP)*1.2</f>
        <v>0</v>
      </c>
      <c r="DH191" s="276">
        <f>SUMIF('20Ф'!$H:$H,$B:$B,'20Ф'!AQ:AQ)*1.2</f>
        <v>0</v>
      </c>
      <c r="DI191" s="276">
        <f>SUMIF('20Ф'!$H:$H,$B:$B,'20Ф'!BA:BA)*1.2</f>
        <v>118327.2</v>
      </c>
      <c r="DJ191" s="276">
        <f>SUMIF('20Ф'!$H:$H,$B:$B,'20Ф'!BB:BB)*1.2</f>
        <v>1200</v>
      </c>
      <c r="DK191" s="276">
        <f>SUMIF('20Ф'!$H:$H,$B:$B,'20Ф'!BC:BC)*1.2</f>
        <v>0</v>
      </c>
      <c r="DL191" s="276">
        <f>$D191/$D$281*'20Ф'!$H$218</f>
        <v>46048.855185167529</v>
      </c>
      <c r="DM191" s="240">
        <f t="shared" si="26"/>
        <v>513572.94160259259</v>
      </c>
      <c r="DN191" s="276">
        <f>SUMIF('20Ф'!$H:$H,$B:$B,'20Ф'!AV:AV)*1.2</f>
        <v>0</v>
      </c>
      <c r="DO191" s="276">
        <f>SUMIF('20Ф'!$H:$H,$B:$B,'20Ф'!AW:AW)*1.2+$D191/$D$281*'26Ф'!$D$42</f>
        <v>24504.817050733687</v>
      </c>
      <c r="DP191" s="276">
        <f>SUMIF('20Ф'!$H:$H,$B:$B,'20Ф'!AX:AX)*1.2</f>
        <v>0</v>
      </c>
      <c r="DQ191" s="276">
        <f>SUMIF('20Ф'!$H:$H,$B:$B,'20Ф'!AY:AY)*1.2</f>
        <v>0</v>
      </c>
      <c r="DR191" s="276">
        <f>SUMIF('20Ф'!$H:$H,$B:$B,'20Ф'!AU:AU)*1.2</f>
        <v>0</v>
      </c>
      <c r="DS191" s="276">
        <f>SUMIF('20Ф'!$H:$H,$B:$B,'20Ф'!AS:AS)*1.2</f>
        <v>56807.1</v>
      </c>
      <c r="DT191" s="276">
        <f>SUMIF('20Ф'!$H:$H,$B:$B,'20Ф'!AR:AR)*1.2</f>
        <v>0</v>
      </c>
      <c r="DU191" s="276">
        <f>SUMIF('20Ф'!$H:$H,$B:$B,'20Ф'!X:X)*1.2</f>
        <v>0</v>
      </c>
      <c r="DV191" s="276">
        <f>SUMIF('20Ф'!$H:$H,$B:$B,'20Ф'!AA:AA)*1.2</f>
        <v>0</v>
      </c>
      <c r="DW191" s="276">
        <f>SUMIF('20Ф'!$H:$H,$B:$B,'20Ф'!N:N)*1.2</f>
        <v>0</v>
      </c>
      <c r="DX191" s="276">
        <f>$D191/$D$281*('25Ф'!$D$37)</f>
        <v>411895.31852247269</v>
      </c>
      <c r="DY191" s="276">
        <f>$D191/$D$281*'25Ф'!$D$30</f>
        <v>13146.405554088999</v>
      </c>
      <c r="DZ191" s="276">
        <f>$D191/$D$281*'25Ф'!$D$31</f>
        <v>7219.300475297232</v>
      </c>
      <c r="EA191" s="276"/>
      <c r="EB191" s="276">
        <f t="shared" si="27"/>
        <v>259500.51539037528</v>
      </c>
      <c r="EC191" s="276">
        <f>$D191/$D$281*'26Ф'!$D$36</f>
        <v>135078.37541285739</v>
      </c>
      <c r="ED191" s="276">
        <f>$D191/$D$281*'26Ф'!$D$37</f>
        <v>16229.522539337451</v>
      </c>
      <c r="EE191" s="276">
        <f>$D191/$D$281*'26Ф'!$D$38</f>
        <v>16395.972263050855</v>
      </c>
      <c r="EF191" s="276">
        <f>$D191/$D$281*'26Ф'!$D$39</f>
        <v>11501.759578313382</v>
      </c>
      <c r="EG191" s="276">
        <f>$D191/$D$281*'91Ф'!$D$10</f>
        <v>3548.2880463919992</v>
      </c>
      <c r="EH191" s="276">
        <f>$D191/$D$281*('20Ф'!$I$509+'26Ф'!$D$41+'20Ф'!$I$507)</f>
        <v>25102.9695322759</v>
      </c>
      <c r="EI191" s="276">
        <f>$D191/$D$281*'91Ф'!$D$31</f>
        <v>46017.430269314886</v>
      </c>
      <c r="EJ191" s="276">
        <f>$D191/$D$281*'20Ф'!$I$1316</f>
        <v>5626.1977488334087</v>
      </c>
      <c r="EK191" s="276">
        <f>$D191/$D$281*('20Ф'!$I$1105+'20Ф'!$I$1282+'91Ф'!$D$17+'91Ф'!$D$41)</f>
        <v>184770.60221943419</v>
      </c>
      <c r="EL191" s="276">
        <f>$D191/$D$281*отчёт!BX$294</f>
        <v>308880.09627527144</v>
      </c>
      <c r="EM191" s="276">
        <f>$D191/$D$281*отчёт!BY$294</f>
        <v>271643.46459599538</v>
      </c>
      <c r="EN191" s="276">
        <f>$D191/$D$283*отчёт!BZ$294</f>
        <v>48751.510480806988</v>
      </c>
      <c r="EO191" s="240">
        <f t="shared" si="37"/>
        <v>184969.78550099797</v>
      </c>
      <c r="EP191" s="276">
        <f>SUMIF('20Ф'!$H:$H,$B:$B,'20Ф'!T:T)*1.2</f>
        <v>7106.3759999999993</v>
      </c>
      <c r="EQ191" s="276">
        <f>SUM(H191:I191)/SUM($H$284:$I$284)*SUM('60Ф'!$O$155:$P$155)</f>
        <v>172510.26175648702</v>
      </c>
      <c r="ER191" s="276">
        <f>SUM($H191:$I191)/SUM($H$284:$I$284)*SUM('60Ф'!$P$227)</f>
        <v>5353.1477445109776</v>
      </c>
      <c r="ES191" s="239">
        <f t="shared" si="31"/>
        <v>103382.28586532807</v>
      </c>
      <c r="ET191" s="276">
        <f>$D191/$D$282*'20Ф'!$I$381</f>
        <v>7901.6071616154486</v>
      </c>
      <c r="EU191" s="276">
        <f>$D191/$D$282*('20Ф'!$I$75+'20Ф'!$I$1098)*1.2</f>
        <v>91267.0704566395</v>
      </c>
      <c r="EV191" s="276">
        <f>$D191/$D$282*('20Ф'!$I$1286)</f>
        <v>4213.6082470731235</v>
      </c>
      <c r="EW191" s="276">
        <f>SUMIF('91.1Ф'!$N:$N,$B:$B,'91.1Ф'!$F:$F)+$D191/$D$281*('91Ф'!$D$12+'91Ф'!$D$11+'91Ф'!$D$19+'91Ф'!$D$20)</f>
        <v>24351.862249662121</v>
      </c>
      <c r="EX191" s="276">
        <f t="shared" si="29"/>
        <v>0</v>
      </c>
      <c r="EY191" s="276">
        <f>SUMIF('20Ф'!$H:$H,$B:$B,'20Ф'!$AY:$AY)*1.2</f>
        <v>0</v>
      </c>
      <c r="EZ191" s="236"/>
      <c r="FA191" s="277">
        <f>SUMIF(отчёт!$B:$B,$B:$B,отчёт!$CU:$CU)/отчёт!$CU$281*'20Ф'!$I$1341</f>
        <v>920.96385542168503</v>
      </c>
      <c r="FB191" s="276">
        <f>SUMIF(Сальдо!$A:$A,$B:$B,Сальдо!$H:$H)-SUMIF(Сальдо!$A:$A,$B:$B,Сальдо!$I:$I)</f>
        <v>404890.30000000005</v>
      </c>
    </row>
    <row r="192" spans="1:158" ht="12" customHeight="1" x14ac:dyDescent="0.25">
      <c r="A192" s="3">
        <f t="shared" si="32"/>
        <v>188</v>
      </c>
      <c r="B192" s="4" t="s">
        <v>237</v>
      </c>
      <c r="C192" s="4" t="s">
        <v>237</v>
      </c>
      <c r="D192" s="5">
        <v>4185.8</v>
      </c>
      <c r="E192" s="6">
        <v>4185.8</v>
      </c>
      <c r="F192" s="6">
        <v>0</v>
      </c>
      <c r="G192" s="6">
        <v>712.9</v>
      </c>
      <c r="H192" s="5">
        <f>SUMIF(отчёт!$B:$B,$B:$B,отчёт!I:I)</f>
        <v>2</v>
      </c>
      <c r="I192" s="5">
        <f>SUMIF(отчёт!$B:$B,$B:$B,отчёт!J:J)</f>
        <v>0</v>
      </c>
      <c r="J192" s="3" t="s">
        <v>114</v>
      </c>
      <c r="K192" s="105">
        <v>3</v>
      </c>
      <c r="L192" s="105" t="s">
        <v>52</v>
      </c>
      <c r="M192" s="7">
        <v>45.06</v>
      </c>
      <c r="N192" s="8">
        <v>5.0999999999999996</v>
      </c>
      <c r="O192" s="8">
        <v>8.6300000000000008</v>
      </c>
      <c r="P192" s="8">
        <v>13.43</v>
      </c>
      <c r="Q192" s="8">
        <v>6.91</v>
      </c>
      <c r="R192" s="8">
        <v>3.15</v>
      </c>
      <c r="S192" s="8">
        <v>1.81</v>
      </c>
      <c r="T192" s="8">
        <v>5.77</v>
      </c>
      <c r="U192" s="8">
        <v>0.26</v>
      </c>
      <c r="V192" s="9">
        <v>40</v>
      </c>
      <c r="W192" s="9">
        <v>40</v>
      </c>
      <c r="X192" s="9">
        <v>2604.04</v>
      </c>
      <c r="Y192" s="8">
        <v>195.98199600000001</v>
      </c>
      <c r="Z192" s="9">
        <v>42.3</v>
      </c>
      <c r="AA192" s="9">
        <v>2604.04</v>
      </c>
      <c r="AB192" s="8">
        <v>7.85</v>
      </c>
      <c r="AC192" s="10">
        <v>0</v>
      </c>
      <c r="AD192" s="8">
        <v>6.73</v>
      </c>
      <c r="AE192" s="8">
        <v>10.67</v>
      </c>
      <c r="AF192" s="8">
        <v>14</v>
      </c>
      <c r="AG192" s="7">
        <v>1131672.888</v>
      </c>
      <c r="AH192" s="8">
        <v>128085.47999999998</v>
      </c>
      <c r="AI192" s="8">
        <v>216740.72400000005</v>
      </c>
      <c r="AJ192" s="8">
        <v>337291.76400000002</v>
      </c>
      <c r="AK192" s="8">
        <v>173543.26800000001</v>
      </c>
      <c r="AL192" s="8">
        <v>79111.62</v>
      </c>
      <c r="AM192" s="8">
        <v>45457.788</v>
      </c>
      <c r="AN192" s="8">
        <v>144912.39600000001</v>
      </c>
      <c r="AO192" s="8">
        <v>6529.848</v>
      </c>
      <c r="AQ192" s="104">
        <v>48.44</v>
      </c>
      <c r="AR192" s="375">
        <v>18.489999999999998</v>
      </c>
      <c r="AS192" s="376"/>
      <c r="AT192" s="104">
        <v>6.67</v>
      </c>
      <c r="AU192" s="104">
        <v>1.53</v>
      </c>
      <c r="AV192" s="104">
        <v>0.32</v>
      </c>
      <c r="AW192" s="104">
        <v>0.87</v>
      </c>
      <c r="AX192" s="104">
        <v>5.01</v>
      </c>
      <c r="AY192" s="104">
        <v>4.99</v>
      </c>
      <c r="AZ192" s="104">
        <v>2.7</v>
      </c>
      <c r="BA192" s="104">
        <v>6.46</v>
      </c>
      <c r="BB192" s="104">
        <v>0.47</v>
      </c>
      <c r="BC192" s="101">
        <v>0.93</v>
      </c>
      <c r="BD192" s="104">
        <v>54.88252</v>
      </c>
      <c r="BE192" s="375">
        <v>20.949169999999999</v>
      </c>
      <c r="BF192" s="376">
        <v>0</v>
      </c>
      <c r="BG192" s="104">
        <v>7.5571100000000007</v>
      </c>
      <c r="BH192" s="104">
        <v>1.7334900000000002</v>
      </c>
      <c r="BI192" s="104">
        <v>0.36256000000000005</v>
      </c>
      <c r="BJ192" s="104">
        <v>0.98571000000000009</v>
      </c>
      <c r="BK192" s="104">
        <v>5.6763300000000001</v>
      </c>
      <c r="BL192" s="104">
        <v>5.65367</v>
      </c>
      <c r="BM192" s="104">
        <v>3.0591000000000004</v>
      </c>
      <c r="BN192" s="104">
        <v>7.3191800000000002</v>
      </c>
      <c r="BO192" s="104">
        <v>0.53250999999999993</v>
      </c>
      <c r="BP192" s="101">
        <v>1.05369</v>
      </c>
      <c r="BQ192" s="103">
        <v>2702792.8261599997</v>
      </c>
      <c r="BR192" s="371">
        <v>1031681.24186</v>
      </c>
      <c r="BS192" s="371">
        <v>0</v>
      </c>
      <c r="BT192" s="103">
        <v>372164.08238000004</v>
      </c>
      <c r="BU192" s="103">
        <v>85368.972420000006</v>
      </c>
      <c r="BV192" s="103">
        <v>17854.948480000003</v>
      </c>
      <c r="BW192" s="103">
        <v>48543.141180000006</v>
      </c>
      <c r="BX192" s="103">
        <v>279541.53713999997</v>
      </c>
      <c r="BY192" s="103">
        <v>278425.60285999998</v>
      </c>
      <c r="BZ192" s="103">
        <v>150651.12780000005</v>
      </c>
      <c r="CA192" s="103">
        <v>360446.77244000003</v>
      </c>
      <c r="CB192" s="103">
        <v>26224.455579999994</v>
      </c>
      <c r="CC192" s="103">
        <v>51890.944019999995</v>
      </c>
      <c r="CD192" s="1">
        <v>1</v>
      </c>
      <c r="CF192" s="277">
        <f>SUMIF(Оборот!$A:$A,$B:$B,Оборот!H:H)</f>
        <v>2310925.1100000003</v>
      </c>
      <c r="CG192" s="277">
        <f>SUMIF(Оборот!$A:$A,$B:$B,Оборот!I:I)</f>
        <v>2386203.12</v>
      </c>
      <c r="CH192" s="277">
        <f t="shared" si="25"/>
        <v>5024560.0594921</v>
      </c>
      <c r="CI192" s="239">
        <f t="shared" si="30"/>
        <v>3297297.1366507127</v>
      </c>
      <c r="CJ192" s="276">
        <f>SUMIF('20Ф'!$H:$H,$B:$B,'20Ф'!M:M)*1.2</f>
        <v>0</v>
      </c>
      <c r="CK192" s="276">
        <f>SUMIF('20Ф'!$H:$H,$B:$B,'20Ф'!O:O)*1.2</f>
        <v>41392.212</v>
      </c>
      <c r="CL192" s="276">
        <f>SUMIF('20Ф'!$H:$H,$B:$B,'20Ф'!Q:Q)*1.2</f>
        <v>0</v>
      </c>
      <c r="CM192" s="276">
        <f>SUMIF('20Ф'!$H:$H,$B:$B,'20Ф'!R:R)*1.2</f>
        <v>0</v>
      </c>
      <c r="CN192" s="276">
        <f>SUMIF('20Ф'!$H:$H,$B:$B,'20Ф'!S:S)*1.2</f>
        <v>0</v>
      </c>
      <c r="CO192" s="276">
        <f>SUMIF('20Ф'!$H:$H,$B:$B,'20Ф'!W:W)*1.2</f>
        <v>0</v>
      </c>
      <c r="CP192" s="276">
        <f>SUMIF('20Ф'!$H:$H,$B:$B,'20Ф'!P:P)*1.2</f>
        <v>0</v>
      </c>
      <c r="CQ192" s="276">
        <f>SUMIF('20Ф'!$H:$H,$B:$B,'20Ф'!Y:Y)*1.2</f>
        <v>0</v>
      </c>
      <c r="CR192" s="276">
        <f>SUMIF('20Ф'!$H:$H,$B:$B,'20Ф'!Z:Z)*1.2</f>
        <v>0</v>
      </c>
      <c r="CS192" s="276">
        <f>SUMIF('20Ф'!$H:$H,$B:$B,'20Ф'!AB:AB)*1.2</f>
        <v>0</v>
      </c>
      <c r="CT192" s="276">
        <f>SUMIF('20Ф'!$H:$H,$B:$B,'20Ф'!AC:AC)*1.2</f>
        <v>0</v>
      </c>
      <c r="CU192" s="276">
        <f>SUMIF('20Ф'!$H:$H,$B:$B,'20Ф'!AD:AD)*1.2</f>
        <v>0</v>
      </c>
      <c r="CV192" s="276">
        <f>SUMIF('20Ф'!$H:$H,$B:$B,'20Ф'!AE:AE)*1.2</f>
        <v>0</v>
      </c>
      <c r="CW192" s="276">
        <f>SUMIF('20Ф'!$H:$H,$B:$B,'20Ф'!AF:AF)*1.2</f>
        <v>0</v>
      </c>
      <c r="CX192" s="276">
        <f>SUMIF('20Ф'!$H:$H,$B:$B,'20Ф'!AG:AG)*1.2</f>
        <v>0</v>
      </c>
      <c r="CY192" s="276">
        <f>SUMIF('20Ф'!$H:$H,$B:$B,'20Ф'!AH:AH)*1.2</f>
        <v>0</v>
      </c>
      <c r="CZ192" s="276">
        <f>SUMIF('20Ф'!$H:$H,$B:$B,'20Ф'!AI:AI)*1.2</f>
        <v>0</v>
      </c>
      <c r="DA192" s="276">
        <f>SUMIF('20Ф'!$H:$H,$B:$B,'20Ф'!AJ:AJ)*1.2</f>
        <v>0</v>
      </c>
      <c r="DB192" s="276">
        <f>SUMIF('20Ф'!$H:$H,$B:$B,'20Ф'!AK:AK)*1.2</f>
        <v>0</v>
      </c>
      <c r="DC192" s="276">
        <f>SUMIF('20Ф'!$H:$H,$B:$B,'20Ф'!AL:AL)*1.2</f>
        <v>3211505.4119999995</v>
      </c>
      <c r="DD192" s="276">
        <f>SUMIF('20Ф'!$H:$H,$B:$B,'20Ф'!AM:AM)*1.2</f>
        <v>0</v>
      </c>
      <c r="DE192" s="276">
        <f>SUMIF('20Ф'!$H:$H,$B:$B,'20Ф'!AN:AN)*1.2</f>
        <v>0</v>
      </c>
      <c r="DF192" s="276">
        <f>SUMIF('20Ф'!$H:$H,$B:$B,'20Ф'!AO:AO)*1.2</f>
        <v>0</v>
      </c>
      <c r="DG192" s="276">
        <f>SUMIF('20Ф'!$H:$H,$B:$B,'20Ф'!AP:AP)*1.2</f>
        <v>0</v>
      </c>
      <c r="DH192" s="276">
        <f>SUMIF('20Ф'!$H:$H,$B:$B,'20Ф'!AQ:AQ)*1.2</f>
        <v>0</v>
      </c>
      <c r="DI192" s="276">
        <f>SUMIF('20Ф'!$H:$H,$B:$B,'20Ф'!BA:BA)*1.2</f>
        <v>0</v>
      </c>
      <c r="DJ192" s="276">
        <f>SUMIF('20Ф'!$H:$H,$B:$B,'20Ф'!BB:BB)*1.2</f>
        <v>7584</v>
      </c>
      <c r="DK192" s="276">
        <f>SUMIF('20Ф'!$H:$H,$B:$B,'20Ф'!BC:BC)*1.2</f>
        <v>0</v>
      </c>
      <c r="DL192" s="276">
        <f>$D192/$D$281*'20Ф'!$H$218</f>
        <v>36815.512650713245</v>
      </c>
      <c r="DM192" s="240">
        <f t="shared" si="26"/>
        <v>579477.98388955079</v>
      </c>
      <c r="DN192" s="276">
        <f>SUMIF('20Ф'!$H:$H,$B:$B,'20Ф'!AV:AV)*1.2</f>
        <v>0</v>
      </c>
      <c r="DO192" s="276">
        <f>SUMIF('20Ф'!$H:$H,$B:$B,'20Ф'!AW:AW)*1.2+$D192/$D$281*'26Ф'!$D$42</f>
        <v>19591.310109817608</v>
      </c>
      <c r="DP192" s="276">
        <f>SUMIF('20Ф'!$H:$H,$B:$B,'20Ф'!AX:AX)*1.2</f>
        <v>0</v>
      </c>
      <c r="DQ192" s="276">
        <f>SUMIF('20Ф'!$H:$H,$B:$B,'20Ф'!AY:AY)*1.2</f>
        <v>0</v>
      </c>
      <c r="DR192" s="276">
        <f>SUMIF('20Ф'!$H:$H,$B:$B,'20Ф'!AU:AU)*1.2</f>
        <v>0</v>
      </c>
      <c r="DS192" s="276">
        <f>SUMIF('20Ф'!$H:$H,$B:$B,'20Ф'!AS:AS)*1.2</f>
        <v>214299.12</v>
      </c>
      <c r="DT192" s="276">
        <f>SUMIF('20Ф'!$H:$H,$B:$B,'20Ф'!AR:AR)*1.2</f>
        <v>0</v>
      </c>
      <c r="DU192" s="276">
        <f>SUMIF('20Ф'!$H:$H,$B:$B,'20Ф'!X:X)*1.2</f>
        <v>0</v>
      </c>
      <c r="DV192" s="276">
        <f>SUMIF('20Ф'!$H:$H,$B:$B,'20Ф'!AA:AA)*1.2</f>
        <v>0</v>
      </c>
      <c r="DW192" s="276">
        <f>SUMIF('20Ф'!$H:$H,$B:$B,'20Ф'!N:N)*1.2</f>
        <v>0</v>
      </c>
      <c r="DX192" s="276">
        <f>$D192/$D$281*('25Ф'!$D$37)</f>
        <v>329305.41375799646</v>
      </c>
      <c r="DY192" s="276">
        <f>$D192/$D$281*'25Ф'!$D$30</f>
        <v>10510.395058504419</v>
      </c>
      <c r="DZ192" s="276">
        <f>$D192/$D$281*'25Ф'!$D$31</f>
        <v>5771.7449632323242</v>
      </c>
      <c r="EA192" s="276"/>
      <c r="EB192" s="276">
        <f t="shared" si="27"/>
        <v>207467.57913534887</v>
      </c>
      <c r="EC192" s="276">
        <f>$D192/$D$281*'26Ф'!$D$36</f>
        <v>107993.556383822</v>
      </c>
      <c r="ED192" s="276">
        <f>$D192/$D$281*'26Ф'!$D$37</f>
        <v>12975.310460149498</v>
      </c>
      <c r="EE192" s="276">
        <f>$D192/$D$281*'26Ф'!$D$38</f>
        <v>13108.385036801565</v>
      </c>
      <c r="EF192" s="276">
        <f>$D192/$D$281*'26Ф'!$D$39</f>
        <v>9195.5201396027514</v>
      </c>
      <c r="EG192" s="276">
        <f>$D192/$D$281*'91Ф'!$D$10</f>
        <v>2836.8141387018932</v>
      </c>
      <c r="EH192" s="276">
        <f>$D192/$D$281*('20Ф'!$I$509+'26Ф'!$D$41+'20Ф'!$I$507)</f>
        <v>20069.525912636655</v>
      </c>
      <c r="EI192" s="276">
        <f>$D192/$D$281*'91Ф'!$D$31</f>
        <v>36790.388803823487</v>
      </c>
      <c r="EJ192" s="276">
        <f>$D192/$D$281*'20Ф'!$I$1316</f>
        <v>4498.0782598110791</v>
      </c>
      <c r="EK192" s="276">
        <f>$D192/$D$281*('20Ф'!$I$1105+'20Ф'!$I$1282+'91Ф'!$D$17+'91Ф'!$D$41)</f>
        <v>147721.90136185111</v>
      </c>
      <c r="EL192" s="276">
        <f>$D192/$D$281*отчёт!BX$294</f>
        <v>246945.96741329195</v>
      </c>
      <c r="EM192" s="276">
        <f>$D192/$D$281*отчёт!BY$294</f>
        <v>217175.72276451933</v>
      </c>
      <c r="EN192" s="276">
        <f>$D192/$D$283*отчёт!BZ$294</f>
        <v>38976.253451478697</v>
      </c>
      <c r="EO192" s="240">
        <f t="shared" si="37"/>
        <v>184422.89750099799</v>
      </c>
      <c r="EP192" s="276">
        <f>SUMIF('20Ф'!$H:$H,$B:$B,'20Ф'!T:T)*1.2</f>
        <v>6559.4879999999994</v>
      </c>
      <c r="EQ192" s="276">
        <f>SUM(H192:I192)/SUM($H$284:$I$284)*SUM('60Ф'!$O$155:$P$155)</f>
        <v>172510.26175648702</v>
      </c>
      <c r="ER192" s="276">
        <f>SUM($H192:$I192)/SUM($H$284:$I$284)*SUM('60Ф'!$P$227)</f>
        <v>5353.1477445109776</v>
      </c>
      <c r="ES192" s="239">
        <f t="shared" si="31"/>
        <v>82652.909346605971</v>
      </c>
      <c r="ET192" s="276">
        <f>$D192/$D$282*'20Ф'!$I$381</f>
        <v>6317.2410530006009</v>
      </c>
      <c r="EU192" s="276">
        <f>$D192/$D$282*('20Ф'!$I$75+'20Ф'!$I$1098)*1.2</f>
        <v>72966.938558599126</v>
      </c>
      <c r="EV192" s="276">
        <f>$D192/$D$282*('20Ф'!$I$1286)</f>
        <v>3368.7297350062422</v>
      </c>
      <c r="EW192" s="276">
        <f>SUMIF('91.1Ф'!$N:$N,$B:$B,'91.1Ф'!$F:$F)+$D192/$D$281*('91Ф'!$D$12+'91Ф'!$D$11+'91Ф'!$D$19+'91Ф'!$D$20)</f>
        <v>19469.024563495244</v>
      </c>
      <c r="EX192" s="276">
        <f t="shared" si="29"/>
        <v>2952.683414246786</v>
      </c>
      <c r="EY192" s="276">
        <f>SUMIF('20Ф'!$H:$H,$B:$B,'20Ф'!$AY:$AY)*1.2</f>
        <v>0</v>
      </c>
      <c r="EZ192" s="295">
        <f>D192/$D$286*'20Ф'!$I$1163</f>
        <v>2952.683414246786</v>
      </c>
      <c r="FA192" s="277">
        <f>SUMIF(отчёт!$B:$B,$B:$B,отчёт!$CU:$CU)/отчёт!$CU$281*'20Ф'!$I$1341</f>
        <v>920.96385542168503</v>
      </c>
      <c r="FB192" s="276">
        <f>SUMIF(Сальдо!$A:$A,$B:$B,Сальдо!$H:$H)-SUMIF(Сальдо!$A:$A,$B:$B,Сальдо!$I:$I)</f>
        <v>232574.4</v>
      </c>
    </row>
    <row r="193" spans="1:158" ht="12" customHeight="1" x14ac:dyDescent="0.25">
      <c r="A193" s="3">
        <f t="shared" si="32"/>
        <v>189</v>
      </c>
      <c r="B193" s="4" t="s">
        <v>238</v>
      </c>
      <c r="C193" s="4" t="s">
        <v>238</v>
      </c>
      <c r="D193" s="5">
        <v>3577.7</v>
      </c>
      <c r="E193" s="6">
        <v>3577.7</v>
      </c>
      <c r="F193" s="6">
        <v>0</v>
      </c>
      <c r="G193" s="6">
        <v>577.9</v>
      </c>
      <c r="H193" s="5">
        <f>SUMIF(отчёт!$B:$B,$B:$B,отчёт!I:I)</f>
        <v>2</v>
      </c>
      <c r="I193" s="5">
        <f>SUMIF(отчёт!$B:$B,$B:$B,отчёт!J:J)</f>
        <v>0</v>
      </c>
      <c r="J193" s="3" t="s">
        <v>114</v>
      </c>
      <c r="K193" s="105">
        <v>3</v>
      </c>
      <c r="L193" s="105" t="s">
        <v>52</v>
      </c>
      <c r="M193" s="7">
        <v>45.06</v>
      </c>
      <c r="N193" s="8">
        <v>5.0999999999999996</v>
      </c>
      <c r="O193" s="8">
        <v>8.6300000000000008</v>
      </c>
      <c r="P193" s="8">
        <v>13.43</v>
      </c>
      <c r="Q193" s="8">
        <v>6.91</v>
      </c>
      <c r="R193" s="8">
        <v>3.15</v>
      </c>
      <c r="S193" s="8">
        <v>1.81</v>
      </c>
      <c r="T193" s="8">
        <v>5.77</v>
      </c>
      <c r="U193" s="8">
        <v>0.26</v>
      </c>
      <c r="V193" s="9">
        <v>40</v>
      </c>
      <c r="W193" s="9">
        <v>40</v>
      </c>
      <c r="X193" s="9">
        <v>2604.04</v>
      </c>
      <c r="Y193" s="8">
        <v>195.98199600000001</v>
      </c>
      <c r="Z193" s="9">
        <v>42.3</v>
      </c>
      <c r="AA193" s="9">
        <v>2604.04</v>
      </c>
      <c r="AB193" s="8">
        <v>7.85</v>
      </c>
      <c r="AC193" s="10">
        <v>0</v>
      </c>
      <c r="AD193" s="8">
        <v>6.73</v>
      </c>
      <c r="AE193" s="8">
        <v>10.67</v>
      </c>
      <c r="AF193" s="8">
        <v>14</v>
      </c>
      <c r="AG193" s="7">
        <v>967266.97200000007</v>
      </c>
      <c r="AH193" s="8">
        <v>109477.61999999998</v>
      </c>
      <c r="AI193" s="8">
        <v>185253.30599999998</v>
      </c>
      <c r="AJ193" s="8">
        <v>288291.06599999999</v>
      </c>
      <c r="AK193" s="8">
        <v>148331.44199999998</v>
      </c>
      <c r="AL193" s="8">
        <v>67618.53</v>
      </c>
      <c r="AM193" s="8">
        <v>38853.822</v>
      </c>
      <c r="AN193" s="8">
        <v>123859.97399999999</v>
      </c>
      <c r="AO193" s="8">
        <v>5581.2119999999995</v>
      </c>
      <c r="AQ193" s="104">
        <v>48.44</v>
      </c>
      <c r="AR193" s="375">
        <v>18.489999999999998</v>
      </c>
      <c r="AS193" s="376"/>
      <c r="AT193" s="104">
        <v>6.67</v>
      </c>
      <c r="AU193" s="104">
        <v>1.53</v>
      </c>
      <c r="AV193" s="104">
        <v>0.32</v>
      </c>
      <c r="AW193" s="104">
        <v>0.87</v>
      </c>
      <c r="AX193" s="104">
        <v>5.01</v>
      </c>
      <c r="AY193" s="104">
        <v>4.99</v>
      </c>
      <c r="AZ193" s="104">
        <v>2.7</v>
      </c>
      <c r="BA193" s="104">
        <v>6.46</v>
      </c>
      <c r="BB193" s="104">
        <v>0.47</v>
      </c>
      <c r="BC193" s="101">
        <v>0.93</v>
      </c>
      <c r="BD193" s="104">
        <v>54.88252</v>
      </c>
      <c r="BE193" s="375">
        <v>20.949169999999999</v>
      </c>
      <c r="BF193" s="376">
        <v>0</v>
      </c>
      <c r="BG193" s="104">
        <v>7.5571100000000007</v>
      </c>
      <c r="BH193" s="104">
        <v>1.7334900000000002</v>
      </c>
      <c r="BI193" s="104">
        <v>0.36256000000000005</v>
      </c>
      <c r="BJ193" s="104">
        <v>0.98571000000000009</v>
      </c>
      <c r="BK193" s="104">
        <v>5.6763300000000001</v>
      </c>
      <c r="BL193" s="104">
        <v>5.65367</v>
      </c>
      <c r="BM193" s="104">
        <v>3.0591000000000004</v>
      </c>
      <c r="BN193" s="104">
        <v>7.3191800000000002</v>
      </c>
      <c r="BO193" s="104">
        <v>0.53250999999999993</v>
      </c>
      <c r="BP193" s="101">
        <v>1.05369</v>
      </c>
      <c r="BQ193" s="103">
        <v>2310139.4940400003</v>
      </c>
      <c r="BR193" s="371">
        <v>881801.80108999985</v>
      </c>
      <c r="BS193" s="371">
        <v>0</v>
      </c>
      <c r="BT193" s="103">
        <v>318097.24247</v>
      </c>
      <c r="BU193" s="103">
        <v>72966.833729999998</v>
      </c>
      <c r="BV193" s="103">
        <v>15261.037119999999</v>
      </c>
      <c r="BW193" s="103">
        <v>41490.944670000004</v>
      </c>
      <c r="BX193" s="103">
        <v>238930.61240999997</v>
      </c>
      <c r="BY193" s="103">
        <v>237976.79759</v>
      </c>
      <c r="BZ193" s="103">
        <v>128765.00070000002</v>
      </c>
      <c r="CA193" s="103">
        <v>308082.18686000002</v>
      </c>
      <c r="CB193" s="103">
        <v>22414.648269999994</v>
      </c>
      <c r="CC193" s="103">
        <v>44352.389129999996</v>
      </c>
      <c r="CD193" s="1">
        <v>1</v>
      </c>
      <c r="CF193" s="277">
        <f>SUMIF(Оборот!$A:$A,$B:$B,Оборот!H:H)</f>
        <v>1983181.6099999996</v>
      </c>
      <c r="CG193" s="277">
        <f>SUMIF(Оборот!$A:$A,$B:$B,Оборот!I:I)</f>
        <v>1959900.7999999998</v>
      </c>
      <c r="CH193" s="277">
        <f t="shared" si="25"/>
        <v>1475769.2673547813</v>
      </c>
      <c r="CI193" s="239">
        <f t="shared" si="30"/>
        <v>31467.069523258815</v>
      </c>
      <c r="CJ193" s="276">
        <f>SUMIF('20Ф'!$H:$H,$B:$B,'20Ф'!M:M)*1.2</f>
        <v>0</v>
      </c>
      <c r="CK193" s="276">
        <f>SUMIF('20Ф'!$H:$H,$B:$B,'20Ф'!O:O)*1.2</f>
        <v>0</v>
      </c>
      <c r="CL193" s="276">
        <f>SUMIF('20Ф'!$H:$H,$B:$B,'20Ф'!Q:Q)*1.2</f>
        <v>0</v>
      </c>
      <c r="CM193" s="276">
        <f>SUMIF('20Ф'!$H:$H,$B:$B,'20Ф'!R:R)*1.2</f>
        <v>0</v>
      </c>
      <c r="CN193" s="276">
        <f>SUMIF('20Ф'!$H:$H,$B:$B,'20Ф'!S:S)*1.2</f>
        <v>0</v>
      </c>
      <c r="CO193" s="276">
        <f>SUMIF('20Ф'!$H:$H,$B:$B,'20Ф'!W:W)*1.2</f>
        <v>0</v>
      </c>
      <c r="CP193" s="276">
        <f>SUMIF('20Ф'!$H:$H,$B:$B,'20Ф'!P:P)*1.2</f>
        <v>0</v>
      </c>
      <c r="CQ193" s="276">
        <f>SUMIF('20Ф'!$H:$H,$B:$B,'20Ф'!Y:Y)*1.2</f>
        <v>0</v>
      </c>
      <c r="CR193" s="276">
        <f>SUMIF('20Ф'!$H:$H,$B:$B,'20Ф'!Z:Z)*1.2</f>
        <v>0</v>
      </c>
      <c r="CS193" s="276">
        <f>SUMIF('20Ф'!$H:$H,$B:$B,'20Ф'!AB:AB)*1.2</f>
        <v>0</v>
      </c>
      <c r="CT193" s="276">
        <f>SUMIF('20Ф'!$H:$H,$B:$B,'20Ф'!AC:AC)*1.2</f>
        <v>0</v>
      </c>
      <c r="CU193" s="276">
        <f>SUMIF('20Ф'!$H:$H,$B:$B,'20Ф'!AD:AD)*1.2</f>
        <v>0</v>
      </c>
      <c r="CV193" s="276">
        <f>SUMIF('20Ф'!$H:$H,$B:$B,'20Ф'!AE:AE)*1.2</f>
        <v>0</v>
      </c>
      <c r="CW193" s="276">
        <f>SUMIF('20Ф'!$H:$H,$B:$B,'20Ф'!AF:AF)*1.2</f>
        <v>0</v>
      </c>
      <c r="CX193" s="276">
        <f>SUMIF('20Ф'!$H:$H,$B:$B,'20Ф'!AG:AG)*1.2</f>
        <v>0</v>
      </c>
      <c r="CY193" s="276">
        <f>SUMIF('20Ф'!$H:$H,$B:$B,'20Ф'!AH:AH)*1.2</f>
        <v>0</v>
      </c>
      <c r="CZ193" s="276">
        <f>SUMIF('20Ф'!$H:$H,$B:$B,'20Ф'!AI:AI)*1.2</f>
        <v>0</v>
      </c>
      <c r="DA193" s="276">
        <f>SUMIF('20Ф'!$H:$H,$B:$B,'20Ф'!AJ:AJ)*1.2</f>
        <v>0</v>
      </c>
      <c r="DB193" s="276">
        <f>SUMIF('20Ф'!$H:$H,$B:$B,'20Ф'!AK:AK)*1.2</f>
        <v>0</v>
      </c>
      <c r="DC193" s="276">
        <f>SUMIF('20Ф'!$H:$H,$B:$B,'20Ф'!AL:AL)*1.2</f>
        <v>0</v>
      </c>
      <c r="DD193" s="276">
        <f>SUMIF('20Ф'!$H:$H,$B:$B,'20Ф'!AM:AM)*1.2</f>
        <v>0</v>
      </c>
      <c r="DE193" s="276">
        <f>SUMIF('20Ф'!$H:$H,$B:$B,'20Ф'!AN:AN)*1.2</f>
        <v>0</v>
      </c>
      <c r="DF193" s="276">
        <f>SUMIF('20Ф'!$H:$H,$B:$B,'20Ф'!AO:AO)*1.2</f>
        <v>0</v>
      </c>
      <c r="DG193" s="276">
        <f>SUMIF('20Ф'!$H:$H,$B:$B,'20Ф'!AP:AP)*1.2</f>
        <v>0</v>
      </c>
      <c r="DH193" s="276">
        <f>SUMIF('20Ф'!$H:$H,$B:$B,'20Ф'!AQ:AQ)*1.2</f>
        <v>0</v>
      </c>
      <c r="DI193" s="276">
        <f>SUMIF('20Ф'!$H:$H,$B:$B,'20Ф'!BA:BA)*1.2</f>
        <v>0</v>
      </c>
      <c r="DJ193" s="276">
        <f>SUMIF('20Ф'!$H:$H,$B:$B,'20Ф'!BB:BB)*1.2</f>
        <v>0</v>
      </c>
      <c r="DK193" s="276">
        <f>SUMIF('20Ф'!$H:$H,$B:$B,'20Ф'!BC:BC)*1.2</f>
        <v>0</v>
      </c>
      <c r="DL193" s="276">
        <f>$D193/$D$281*'20Ф'!$H$218</f>
        <v>31467.069523258815</v>
      </c>
      <c r="DM193" s="240">
        <f t="shared" si="26"/>
        <v>437018.38678753068</v>
      </c>
      <c r="DN193" s="276">
        <f>SUMIF('20Ф'!$H:$H,$B:$B,'20Ф'!AV:AV)*1.2</f>
        <v>0</v>
      </c>
      <c r="DO193" s="276">
        <f>SUMIF('20Ф'!$H:$H,$B:$B,'20Ф'!AW:AW)*1.2+$D193/$D$281*'26Ф'!$D$42</f>
        <v>16745.145534878506</v>
      </c>
      <c r="DP193" s="276">
        <f>SUMIF('20Ф'!$H:$H,$B:$B,'20Ф'!AX:AX)*1.2</f>
        <v>0</v>
      </c>
      <c r="DQ193" s="276">
        <f>SUMIF('20Ф'!$H:$H,$B:$B,'20Ф'!AY:AY)*1.2</f>
        <v>0</v>
      </c>
      <c r="DR193" s="276">
        <f>SUMIF('20Ф'!$H:$H,$B:$B,'20Ф'!AU:AU)*1.2</f>
        <v>0</v>
      </c>
      <c r="DS193" s="276">
        <f>SUMIF('20Ф'!$H:$H,$B:$B,'20Ф'!AS:AS)*1.2</f>
        <v>124891.57199999999</v>
      </c>
      <c r="DT193" s="276">
        <f>SUMIF('20Ф'!$H:$H,$B:$B,'20Ф'!AR:AR)*1.2</f>
        <v>0</v>
      </c>
      <c r="DU193" s="276">
        <f>SUMIF('20Ф'!$H:$H,$B:$B,'20Ф'!X:X)*1.2</f>
        <v>0</v>
      </c>
      <c r="DV193" s="276">
        <f>SUMIF('20Ф'!$H:$H,$B:$B,'20Ф'!AA:AA)*1.2</f>
        <v>0</v>
      </c>
      <c r="DW193" s="276">
        <f>SUMIF('20Ф'!$H:$H,$B:$B,'20Ф'!N:N)*1.2</f>
        <v>0</v>
      </c>
      <c r="DX193" s="276">
        <f>$D193/$D$281*('25Ф'!$D$37)</f>
        <v>281464.94787184859</v>
      </c>
      <c r="DY193" s="276">
        <f>$D193/$D$281*'25Ф'!$D$30</f>
        <v>8983.4775672060896</v>
      </c>
      <c r="DZ193" s="276">
        <f>$D193/$D$281*'25Ф'!$D$31</f>
        <v>4933.243813597468</v>
      </c>
      <c r="EA193" s="276"/>
      <c r="EB193" s="276">
        <f t="shared" si="27"/>
        <v>177327.33476815373</v>
      </c>
      <c r="EC193" s="276">
        <f>$D193/$D$281*'26Ф'!$D$36</f>
        <v>92304.588531320158</v>
      </c>
      <c r="ED193" s="276">
        <f>$D193/$D$281*'26Ф'!$D$37</f>
        <v>11090.297728815722</v>
      </c>
      <c r="EE193" s="276">
        <f>$D193/$D$281*'26Ф'!$D$38</f>
        <v>11204.039645029612</v>
      </c>
      <c r="EF193" s="276">
        <f>$D193/$D$281*'26Ф'!$D$39</f>
        <v>7859.6235853258049</v>
      </c>
      <c r="EG193" s="276">
        <f>$D193/$D$281*'91Ф'!$D$10</f>
        <v>2424.6906072993838</v>
      </c>
      <c r="EH193" s="276">
        <f>$D193/$D$281*('20Ф'!$I$509+'26Ф'!$D$41+'20Ф'!$I$507)</f>
        <v>17153.887633819137</v>
      </c>
      <c r="EI193" s="276">
        <f>$D193/$D$281*'91Ф'!$D$31</f>
        <v>31445.595590673056</v>
      </c>
      <c r="EJ193" s="276">
        <f>$D193/$D$281*'20Ф'!$I$1316</f>
        <v>3844.6114458708239</v>
      </c>
      <c r="EK193" s="276">
        <f>$D193/$D$281*('20Ф'!$I$1105+'20Ф'!$I$1282+'91Ф'!$D$17+'91Ф'!$D$41)</f>
        <v>126261.32316457896</v>
      </c>
      <c r="EL193" s="276">
        <f>$D193/$D$281*отчёт!BX$294</f>
        <v>211070.42563298161</v>
      </c>
      <c r="EM193" s="276">
        <f>$D193/$D$281*отчёт!BY$294</f>
        <v>185625.10949749648</v>
      </c>
      <c r="EN193" s="276">
        <f>$D193/$D$283*отчёт!BZ$294</f>
        <v>33313.904623573821</v>
      </c>
      <c r="EO193" s="240">
        <f t="shared" si="37"/>
        <v>183876.00950099801</v>
      </c>
      <c r="EP193" s="276">
        <f>SUMIF('20Ф'!$H:$H,$B:$B,'20Ф'!T:T)*1.2</f>
        <v>6012.5999999999995</v>
      </c>
      <c r="EQ193" s="276">
        <f>SUM(H193:I193)/SUM($H$284:$I$284)*SUM('60Ф'!$O$155:$P$155)</f>
        <v>172510.26175648702</v>
      </c>
      <c r="ER193" s="276">
        <f>SUM($H193:$I193)/SUM($H$284:$I$284)*SUM('60Ф'!$P$227)</f>
        <v>5353.1477445109776</v>
      </c>
      <c r="ES193" s="239">
        <f t="shared" si="31"/>
        <v>70645.351848954131</v>
      </c>
      <c r="ET193" s="276">
        <f>$D193/$D$282*'20Ф'!$I$381</f>
        <v>5399.4919287400853</v>
      </c>
      <c r="EU193" s="276">
        <f>$D193/$D$282*('20Ф'!$I$75+'20Ф'!$I$1098)*1.2</f>
        <v>62366.528759400855</v>
      </c>
      <c r="EV193" s="276">
        <f>$D193/$D$282*('20Ф'!$I$1286)</f>
        <v>2879.3311608131858</v>
      </c>
      <c r="EW193" s="276">
        <f>SUMIF('91.1Ф'!$N:$N,$B:$B,'91.1Ф'!$F:$F)+$D193/$D$281*('91Ф'!$D$12+'91Ф'!$D$11+'91Ф'!$D$19+'91Ф'!$D$20)</f>
        <v>16640.625252237787</v>
      </c>
      <c r="EX193" s="276">
        <f t="shared" si="29"/>
        <v>2523.7267550171355</v>
      </c>
      <c r="EY193" s="276">
        <f>SUMIF('20Ф'!$H:$H,$B:$B,'20Ф'!$AY:$AY)*1.2</f>
        <v>0</v>
      </c>
      <c r="EZ193" s="295">
        <f>D193/$D$286*'20Ф'!$I$1163</f>
        <v>2523.7267550171355</v>
      </c>
      <c r="FA193" s="277">
        <f>SUMIF(отчёт!$B:$B,$B:$B,отчёт!$CU:$CU)/отчёт!$CU$281*'20Ф'!$I$1341</f>
        <v>920.96385542168503</v>
      </c>
      <c r="FB193" s="276">
        <f>SUMIF(Сальдо!$A:$A,$B:$B,Сальдо!$H:$H)-SUMIF(Сальдо!$A:$A,$B:$B,Сальдо!$I:$I)</f>
        <v>183151.83000000002</v>
      </c>
    </row>
    <row r="194" spans="1:158" ht="12" customHeight="1" x14ac:dyDescent="0.25">
      <c r="A194" s="3">
        <f t="shared" si="32"/>
        <v>190</v>
      </c>
      <c r="B194" s="4" t="s">
        <v>239</v>
      </c>
      <c r="C194" s="4" t="s">
        <v>239</v>
      </c>
      <c r="D194" s="5">
        <v>4230.2</v>
      </c>
      <c r="E194" s="6">
        <v>4230.2</v>
      </c>
      <c r="F194" s="6">
        <v>0</v>
      </c>
      <c r="G194" s="6">
        <v>712.9</v>
      </c>
      <c r="H194" s="5">
        <f>SUMIF(отчёт!$B:$B,$B:$B,отчёт!I:I)</f>
        <v>2</v>
      </c>
      <c r="I194" s="5">
        <f>SUMIF(отчёт!$B:$B,$B:$B,отчёт!J:J)</f>
        <v>0</v>
      </c>
      <c r="J194" s="3" t="s">
        <v>114</v>
      </c>
      <c r="K194" s="105">
        <v>3</v>
      </c>
      <c r="L194" s="105" t="s">
        <v>52</v>
      </c>
      <c r="M194" s="7">
        <v>45.06</v>
      </c>
      <c r="N194" s="8">
        <v>5.0999999999999996</v>
      </c>
      <c r="O194" s="8">
        <v>8.6300000000000008</v>
      </c>
      <c r="P194" s="8">
        <v>13.43</v>
      </c>
      <c r="Q194" s="8">
        <v>6.91</v>
      </c>
      <c r="R194" s="8">
        <v>3.15</v>
      </c>
      <c r="S194" s="8">
        <v>1.81</v>
      </c>
      <c r="T194" s="8">
        <v>5.77</v>
      </c>
      <c r="U194" s="8">
        <v>0.26</v>
      </c>
      <c r="V194" s="9">
        <v>40</v>
      </c>
      <c r="W194" s="9">
        <v>40</v>
      </c>
      <c r="X194" s="9">
        <v>2604.04</v>
      </c>
      <c r="Y194" s="8">
        <v>195.98199600000001</v>
      </c>
      <c r="Z194" s="9">
        <v>42.3</v>
      </c>
      <c r="AA194" s="9">
        <v>2604.04</v>
      </c>
      <c r="AB194" s="8">
        <v>7.85</v>
      </c>
      <c r="AC194" s="10">
        <v>0</v>
      </c>
      <c r="AD194" s="8">
        <v>6.73</v>
      </c>
      <c r="AE194" s="8">
        <v>10.67</v>
      </c>
      <c r="AF194" s="8">
        <v>14</v>
      </c>
      <c r="AG194" s="7">
        <v>1143676.872</v>
      </c>
      <c r="AH194" s="8">
        <v>129444.11999999998</v>
      </c>
      <c r="AI194" s="8">
        <v>219039.75600000002</v>
      </c>
      <c r="AJ194" s="8">
        <v>340869.51599999995</v>
      </c>
      <c r="AK194" s="8">
        <v>175384.092</v>
      </c>
      <c r="AL194" s="8">
        <v>79950.78</v>
      </c>
      <c r="AM194" s="8">
        <v>45939.972000000002</v>
      </c>
      <c r="AN194" s="8">
        <v>146449.52399999998</v>
      </c>
      <c r="AO194" s="8">
        <v>6599.112000000001</v>
      </c>
      <c r="AQ194" s="104">
        <v>48.44</v>
      </c>
      <c r="AR194" s="375">
        <v>18.489999999999998</v>
      </c>
      <c r="AS194" s="376"/>
      <c r="AT194" s="104">
        <v>6.67</v>
      </c>
      <c r="AU194" s="104">
        <v>1.53</v>
      </c>
      <c r="AV194" s="104">
        <v>0.32</v>
      </c>
      <c r="AW194" s="104">
        <v>0.87</v>
      </c>
      <c r="AX194" s="104">
        <v>5.01</v>
      </c>
      <c r="AY194" s="104">
        <v>4.99</v>
      </c>
      <c r="AZ194" s="104">
        <v>2.7</v>
      </c>
      <c r="BA194" s="104">
        <v>6.46</v>
      </c>
      <c r="BB194" s="104">
        <v>0.47</v>
      </c>
      <c r="BC194" s="101">
        <v>0.93</v>
      </c>
      <c r="BD194" s="104">
        <v>54.88252</v>
      </c>
      <c r="BE194" s="375">
        <v>20.949169999999999</v>
      </c>
      <c r="BF194" s="376">
        <v>0</v>
      </c>
      <c r="BG194" s="104">
        <v>7.5571100000000007</v>
      </c>
      <c r="BH194" s="104">
        <v>1.7334900000000002</v>
      </c>
      <c r="BI194" s="104">
        <v>0.36256000000000005</v>
      </c>
      <c r="BJ194" s="104">
        <v>0.98571000000000009</v>
      </c>
      <c r="BK194" s="104">
        <v>5.6763300000000001</v>
      </c>
      <c r="BL194" s="104">
        <v>5.65367</v>
      </c>
      <c r="BM194" s="104">
        <v>3.0591000000000004</v>
      </c>
      <c r="BN194" s="104">
        <v>7.3191800000000002</v>
      </c>
      <c r="BO194" s="104">
        <v>0.53250999999999993</v>
      </c>
      <c r="BP194" s="101">
        <v>1.05369</v>
      </c>
      <c r="BQ194" s="103">
        <v>2731462.1370399999</v>
      </c>
      <c r="BR194" s="371">
        <v>1042624.5853399999</v>
      </c>
      <c r="BS194" s="371">
        <v>0</v>
      </c>
      <c r="BT194" s="103">
        <v>376111.73522000003</v>
      </c>
      <c r="BU194" s="103">
        <v>86274.505980000002</v>
      </c>
      <c r="BV194" s="103">
        <v>18044.341120000001</v>
      </c>
      <c r="BW194" s="103">
        <v>49058.05242</v>
      </c>
      <c r="BX194" s="103">
        <v>282506.71565999999</v>
      </c>
      <c r="BY194" s="103">
        <v>281378.94433999999</v>
      </c>
      <c r="BZ194" s="103">
        <v>152249.12820000004</v>
      </c>
      <c r="CA194" s="103">
        <v>364270.13636</v>
      </c>
      <c r="CB194" s="103">
        <v>26502.626019999992</v>
      </c>
      <c r="CC194" s="103">
        <v>52441.366379999992</v>
      </c>
      <c r="CD194" s="1">
        <v>1</v>
      </c>
      <c r="CF194" s="277">
        <f>SUMIF(Оборот!$A:$A,$B:$B,Оборот!H:H)</f>
        <v>2331532.37</v>
      </c>
      <c r="CG194" s="277">
        <f>SUMIF(Оборот!$A:$A,$B:$B,Оборот!I:I)</f>
        <v>2386351.04</v>
      </c>
      <c r="CH194" s="277">
        <f t="shared" si="25"/>
        <v>1621020.6207709962</v>
      </c>
      <c r="CI194" s="239">
        <f t="shared" si="30"/>
        <v>37206.025518430673</v>
      </c>
      <c r="CJ194" s="276">
        <f>SUMIF('20Ф'!$H:$H,$B:$B,'20Ф'!M:M)*1.2</f>
        <v>0</v>
      </c>
      <c r="CK194" s="276">
        <f>SUMIF('20Ф'!$H:$H,$B:$B,'20Ф'!O:O)*1.2</f>
        <v>0</v>
      </c>
      <c r="CL194" s="276">
        <f>SUMIF('20Ф'!$H:$H,$B:$B,'20Ф'!Q:Q)*1.2</f>
        <v>0</v>
      </c>
      <c r="CM194" s="276">
        <f>SUMIF('20Ф'!$H:$H,$B:$B,'20Ф'!R:R)*1.2</f>
        <v>0</v>
      </c>
      <c r="CN194" s="276">
        <f>SUMIF('20Ф'!$H:$H,$B:$B,'20Ф'!S:S)*1.2</f>
        <v>0</v>
      </c>
      <c r="CO194" s="276">
        <f>SUMIF('20Ф'!$H:$H,$B:$B,'20Ф'!W:W)*1.2</f>
        <v>0</v>
      </c>
      <c r="CP194" s="276">
        <f>SUMIF('20Ф'!$H:$H,$B:$B,'20Ф'!P:P)*1.2</f>
        <v>0</v>
      </c>
      <c r="CQ194" s="276">
        <f>SUMIF('20Ф'!$H:$H,$B:$B,'20Ф'!Y:Y)*1.2</f>
        <v>0</v>
      </c>
      <c r="CR194" s="276">
        <f>SUMIF('20Ф'!$H:$H,$B:$B,'20Ф'!Z:Z)*1.2</f>
        <v>0</v>
      </c>
      <c r="CS194" s="276">
        <f>SUMIF('20Ф'!$H:$H,$B:$B,'20Ф'!AB:AB)*1.2</f>
        <v>0</v>
      </c>
      <c r="CT194" s="276">
        <f>SUMIF('20Ф'!$H:$H,$B:$B,'20Ф'!AC:AC)*1.2</f>
        <v>0</v>
      </c>
      <c r="CU194" s="276">
        <f>SUMIF('20Ф'!$H:$H,$B:$B,'20Ф'!AD:AD)*1.2</f>
        <v>0</v>
      </c>
      <c r="CV194" s="276">
        <f>SUMIF('20Ф'!$H:$H,$B:$B,'20Ф'!AE:AE)*1.2</f>
        <v>0</v>
      </c>
      <c r="CW194" s="276">
        <f>SUMIF('20Ф'!$H:$H,$B:$B,'20Ф'!AF:AF)*1.2</f>
        <v>0</v>
      </c>
      <c r="CX194" s="276">
        <f>SUMIF('20Ф'!$H:$H,$B:$B,'20Ф'!AG:AG)*1.2</f>
        <v>0</v>
      </c>
      <c r="CY194" s="276">
        <f>SUMIF('20Ф'!$H:$H,$B:$B,'20Ф'!AH:AH)*1.2</f>
        <v>0</v>
      </c>
      <c r="CZ194" s="276">
        <f>SUMIF('20Ф'!$H:$H,$B:$B,'20Ф'!AI:AI)*1.2</f>
        <v>0</v>
      </c>
      <c r="DA194" s="276">
        <f>SUMIF('20Ф'!$H:$H,$B:$B,'20Ф'!AJ:AJ)*1.2</f>
        <v>0</v>
      </c>
      <c r="DB194" s="276">
        <f>SUMIF('20Ф'!$H:$H,$B:$B,'20Ф'!AK:AK)*1.2</f>
        <v>0</v>
      </c>
      <c r="DC194" s="276">
        <f>SUMIF('20Ф'!$H:$H,$B:$B,'20Ф'!AL:AL)*1.2</f>
        <v>0</v>
      </c>
      <c r="DD194" s="276">
        <f>SUMIF('20Ф'!$H:$H,$B:$B,'20Ф'!AM:AM)*1.2</f>
        <v>0</v>
      </c>
      <c r="DE194" s="276">
        <f>SUMIF('20Ф'!$H:$H,$B:$B,'20Ф'!AN:AN)*1.2</f>
        <v>0</v>
      </c>
      <c r="DF194" s="276">
        <f>SUMIF('20Ф'!$H:$H,$B:$B,'20Ф'!AO:AO)*1.2</f>
        <v>0</v>
      </c>
      <c r="DG194" s="276">
        <f>SUMIF('20Ф'!$H:$H,$B:$B,'20Ф'!AP:AP)*1.2</f>
        <v>0</v>
      </c>
      <c r="DH194" s="276">
        <f>SUMIF('20Ф'!$H:$H,$B:$B,'20Ф'!AQ:AQ)*1.2</f>
        <v>0</v>
      </c>
      <c r="DI194" s="276">
        <f>SUMIF('20Ф'!$H:$H,$B:$B,'20Ф'!BA:BA)*1.2</f>
        <v>0</v>
      </c>
      <c r="DJ194" s="276">
        <f>SUMIF('20Ф'!$H:$H,$B:$B,'20Ф'!BB:BB)*1.2</f>
        <v>0</v>
      </c>
      <c r="DK194" s="276">
        <f>SUMIF('20Ф'!$H:$H,$B:$B,'20Ф'!BC:BC)*1.2</f>
        <v>0</v>
      </c>
      <c r="DL194" s="276">
        <f>$D194/$D$281*'20Ф'!$H$218</f>
        <v>37206.025518430673</v>
      </c>
      <c r="DM194" s="240">
        <f t="shared" si="26"/>
        <v>425810.99448210077</v>
      </c>
      <c r="DN194" s="276">
        <f>SUMIF('20Ф'!$H:$H,$B:$B,'20Ф'!AV:AV)*1.2</f>
        <v>0</v>
      </c>
      <c r="DO194" s="276">
        <f>SUMIF('20Ф'!$H:$H,$B:$B,'20Ф'!AW:AW)*1.2+$D194/$D$281*'26Ф'!$D$42</f>
        <v>19799.120843458943</v>
      </c>
      <c r="DP194" s="276">
        <f>SUMIF('20Ф'!$H:$H,$B:$B,'20Ф'!AX:AX)*1.2</f>
        <v>0</v>
      </c>
      <c r="DQ194" s="276">
        <f>SUMIF('20Ф'!$H:$H,$B:$B,'20Ф'!AY:AY)*1.2</f>
        <v>0</v>
      </c>
      <c r="DR194" s="276">
        <f>SUMIF('20Ф'!$H:$H,$B:$B,'20Ф'!AU:AU)*1.2</f>
        <v>0</v>
      </c>
      <c r="DS194" s="276">
        <f>SUMIF('20Ф'!$H:$H,$B:$B,'20Ф'!AS:AS)*1.2</f>
        <v>56758.571999999993</v>
      </c>
      <c r="DT194" s="276">
        <f>SUMIF('20Ф'!$H:$H,$B:$B,'20Ф'!AR:AR)*1.2</f>
        <v>0</v>
      </c>
      <c r="DU194" s="276">
        <f>SUMIF('20Ф'!$H:$H,$B:$B,'20Ф'!X:X)*1.2</f>
        <v>0</v>
      </c>
      <c r="DV194" s="276">
        <f>SUMIF('20Ф'!$H:$H,$B:$B,'20Ф'!AA:AA)*1.2</f>
        <v>0</v>
      </c>
      <c r="DW194" s="276">
        <f>SUMIF('20Ф'!$H:$H,$B:$B,'20Ф'!N:N)*1.2</f>
        <v>0</v>
      </c>
      <c r="DX194" s="276">
        <f>$D194/$D$281*('25Ф'!$D$37)</f>
        <v>332798.45221440977</v>
      </c>
      <c r="DY194" s="276">
        <f>$D194/$D$281*'25Ф'!$D$30</f>
        <v>10621.881880760042</v>
      </c>
      <c r="DZ194" s="276">
        <f>$D194/$D$281*'25Ф'!$D$31</f>
        <v>5832.9675434720657</v>
      </c>
      <c r="EA194" s="276"/>
      <c r="EB194" s="276">
        <f t="shared" si="27"/>
        <v>209668.24818633302</v>
      </c>
      <c r="EC194" s="276">
        <f>$D194/$D$281*'26Ф'!$D$36</f>
        <v>109139.07549688083</v>
      </c>
      <c r="ED194" s="276">
        <f>$D194/$D$281*'26Ф'!$D$37</f>
        <v>13112.943358145252</v>
      </c>
      <c r="EE194" s="276">
        <f>$D194/$D$281*'26Ф'!$D$38</f>
        <v>13247.429495598923</v>
      </c>
      <c r="EF194" s="276">
        <f>$D194/$D$281*'26Ф'!$D$39</f>
        <v>9293.0597005465024</v>
      </c>
      <c r="EG194" s="276">
        <f>$D194/$D$281*'91Ф'!$D$10</f>
        <v>2866.9050526868809</v>
      </c>
      <c r="EH194" s="276">
        <f>$D194/$D$281*('20Ф'!$I$509+'26Ф'!$D$41+'20Ф'!$I$507)</f>
        <v>20282.409220611484</v>
      </c>
      <c r="EI194" s="276">
        <f>$D194/$D$281*'91Ф'!$D$31</f>
        <v>37180.635175577932</v>
      </c>
      <c r="EJ194" s="276">
        <f>$D194/$D$281*'20Ф'!$I$1316</f>
        <v>4545.7906862852551</v>
      </c>
      <c r="EK194" s="276">
        <f>$D194/$D$281*('20Ф'!$I$1105+'20Ф'!$I$1282+'91Ф'!$D$17+'91Ф'!$D$41)</f>
        <v>149288.83060368447</v>
      </c>
      <c r="EL194" s="276">
        <f>$D194/$D$281*отчёт!BX$294</f>
        <v>249565.39522951585</v>
      </c>
      <c r="EM194" s="276">
        <f>$D194/$D$281*отчёт!BY$294</f>
        <v>219479.36892313763</v>
      </c>
      <c r="EN194" s="276">
        <f>$D194/$D$283*отчёт!BZ$294</f>
        <v>39389.685926333113</v>
      </c>
      <c r="EO194" s="240">
        <f t="shared" si="37"/>
        <v>184422.89750099799</v>
      </c>
      <c r="EP194" s="276">
        <f>SUMIF('20Ф'!$H:$H,$B:$B,'20Ф'!T:T)*1.2</f>
        <v>6559.4879999999994</v>
      </c>
      <c r="EQ194" s="276">
        <f>SUM(H194:I194)/SUM($H$284:$I$284)*SUM('60Ф'!$O$155:$P$155)</f>
        <v>172510.26175648702</v>
      </c>
      <c r="ER194" s="276">
        <f>SUM($H194:$I194)/SUM($H$284:$I$284)*SUM('60Ф'!$P$227)</f>
        <v>5353.1477445109776</v>
      </c>
      <c r="ES194" s="239">
        <f t="shared" si="31"/>
        <v>83529.632834347693</v>
      </c>
      <c r="ET194" s="276">
        <f>$D194/$D$282*'20Ф'!$I$381</f>
        <v>6384.2498691774908</v>
      </c>
      <c r="EU194" s="276">
        <f>$D194/$D$282*('20Ф'!$I$75+'20Ф'!$I$1098)*1.2</f>
        <v>73740.920132492232</v>
      </c>
      <c r="EV194" s="276">
        <f>$D194/$D$282*('20Ф'!$I$1286)</f>
        <v>3404.4628326779598</v>
      </c>
      <c r="EW194" s="276">
        <f>SUMIF('91.1Ф'!$N:$N,$B:$B,'91.1Ф'!$F:$F)+$D194/$D$281*('91Ф'!$D$12+'91Ф'!$D$11+'91Ф'!$D$19+'91Ф'!$D$20)</f>
        <v>19675.538178722723</v>
      </c>
      <c r="EX194" s="276">
        <f t="shared" si="29"/>
        <v>2984.0033873923153</v>
      </c>
      <c r="EY194" s="276">
        <f>SUMIF('20Ф'!$H:$H,$B:$B,'20Ф'!$AY:$AY)*1.2</f>
        <v>0</v>
      </c>
      <c r="EZ194" s="295">
        <f>D194/$D$286*'20Ф'!$I$1163</f>
        <v>2984.0033873923153</v>
      </c>
      <c r="FA194" s="277">
        <f>SUMIF(отчёт!$B:$B,$B:$B,отчёт!$CU:$CU)/отчёт!$CU$281*'20Ф'!$I$1341</f>
        <v>920.96385542168503</v>
      </c>
      <c r="FB194" s="276">
        <f>SUMIF(Сальдо!$A:$A,$B:$B,Сальдо!$H:$H)-SUMIF(Сальдо!$A:$A,$B:$B,Сальдо!$I:$I)</f>
        <v>631194.14999999991</v>
      </c>
    </row>
    <row r="195" spans="1:158" ht="12" customHeight="1" x14ac:dyDescent="0.25">
      <c r="A195" s="3">
        <f t="shared" si="32"/>
        <v>191</v>
      </c>
      <c r="B195" s="4" t="s">
        <v>240</v>
      </c>
      <c r="C195" s="4" t="s">
        <v>240</v>
      </c>
      <c r="D195" s="5">
        <v>5455.0599999999995</v>
      </c>
      <c r="E195" s="6">
        <v>5434.9</v>
      </c>
      <c r="F195" s="6">
        <v>20.16</v>
      </c>
      <c r="G195" s="6">
        <v>1224.5999999999999</v>
      </c>
      <c r="H195" s="5">
        <f>SUMIF(отчёт!$B:$B,$B:$B,отчёт!I:I)</f>
        <v>1</v>
      </c>
      <c r="I195" s="5">
        <f>SUMIF(отчёт!$B:$B,$B:$B,отчёт!J:J)</f>
        <v>1</v>
      </c>
      <c r="J195" s="3" t="s">
        <v>114</v>
      </c>
      <c r="K195" s="105">
        <v>3</v>
      </c>
      <c r="L195" s="105" t="s">
        <v>52</v>
      </c>
      <c r="M195" s="7">
        <v>45.06</v>
      </c>
      <c r="N195" s="8">
        <v>5.0999999999999996</v>
      </c>
      <c r="O195" s="8">
        <v>8.6300000000000008</v>
      </c>
      <c r="P195" s="8">
        <v>13.43</v>
      </c>
      <c r="Q195" s="8">
        <v>6.91</v>
      </c>
      <c r="R195" s="8">
        <v>3.15</v>
      </c>
      <c r="S195" s="8">
        <v>1.81</v>
      </c>
      <c r="T195" s="8">
        <v>5.77</v>
      </c>
      <c r="U195" s="8">
        <v>0.26</v>
      </c>
      <c r="V195" s="9">
        <v>40</v>
      </c>
      <c r="W195" s="9">
        <v>40</v>
      </c>
      <c r="X195" s="9">
        <v>2604.04</v>
      </c>
      <c r="Y195" s="8">
        <v>195.98199600000001</v>
      </c>
      <c r="Z195" s="9">
        <v>42.3</v>
      </c>
      <c r="AA195" s="9">
        <v>2604.04</v>
      </c>
      <c r="AB195" s="8">
        <v>7.85</v>
      </c>
      <c r="AC195" s="10">
        <v>0</v>
      </c>
      <c r="AD195" s="8">
        <v>6.73</v>
      </c>
      <c r="AE195" s="8">
        <v>10.67</v>
      </c>
      <c r="AF195" s="8">
        <v>14</v>
      </c>
      <c r="AG195" s="7">
        <v>1474830.0216000001</v>
      </c>
      <c r="AH195" s="8">
        <v>166924.83599999998</v>
      </c>
      <c r="AI195" s="8">
        <v>282463.00680000003</v>
      </c>
      <c r="AJ195" s="8">
        <v>439568.73479999998</v>
      </c>
      <c r="AK195" s="8">
        <v>226166.78759999998</v>
      </c>
      <c r="AL195" s="8">
        <v>103100.63399999999</v>
      </c>
      <c r="AM195" s="8">
        <v>59241.951599999993</v>
      </c>
      <c r="AN195" s="8">
        <v>188854.17719999998</v>
      </c>
      <c r="AO195" s="8">
        <v>8509.8935999999994</v>
      </c>
      <c r="AQ195" s="104">
        <v>48.44</v>
      </c>
      <c r="AR195" s="375">
        <v>18.489999999999998</v>
      </c>
      <c r="AS195" s="376"/>
      <c r="AT195" s="104">
        <v>6.67</v>
      </c>
      <c r="AU195" s="104">
        <v>1.53</v>
      </c>
      <c r="AV195" s="104">
        <v>0.32</v>
      </c>
      <c r="AW195" s="104">
        <v>0.87</v>
      </c>
      <c r="AX195" s="104">
        <v>5.01</v>
      </c>
      <c r="AY195" s="104">
        <v>4.99</v>
      </c>
      <c r="AZ195" s="104">
        <v>2.7</v>
      </c>
      <c r="BA195" s="104">
        <v>6.46</v>
      </c>
      <c r="BB195" s="104">
        <v>0.47</v>
      </c>
      <c r="BC195" s="101">
        <v>0.93</v>
      </c>
      <c r="BD195" s="104">
        <v>54.88252</v>
      </c>
      <c r="BE195" s="375">
        <v>20.949169999999999</v>
      </c>
      <c r="BF195" s="376">
        <v>0</v>
      </c>
      <c r="BG195" s="104">
        <v>7.5571100000000007</v>
      </c>
      <c r="BH195" s="104">
        <v>1.7334900000000002</v>
      </c>
      <c r="BI195" s="104">
        <v>0.36256000000000005</v>
      </c>
      <c r="BJ195" s="104">
        <v>0.98571000000000009</v>
      </c>
      <c r="BK195" s="104">
        <v>5.6763300000000001</v>
      </c>
      <c r="BL195" s="104">
        <v>5.65367</v>
      </c>
      <c r="BM195" s="104">
        <v>3.0591000000000004</v>
      </c>
      <c r="BN195" s="104">
        <v>7.3191800000000002</v>
      </c>
      <c r="BO195" s="104">
        <v>0.53250999999999993</v>
      </c>
      <c r="BP195" s="101">
        <v>1.05369</v>
      </c>
      <c r="BQ195" s="103">
        <v>3522360.6083119996</v>
      </c>
      <c r="BR195" s="371">
        <v>1344517.9118019997</v>
      </c>
      <c r="BS195" s="371">
        <v>0</v>
      </c>
      <c r="BT195" s="103">
        <v>485015.38516599999</v>
      </c>
      <c r="BU195" s="103">
        <v>111255.40319399998</v>
      </c>
      <c r="BV195" s="103">
        <v>23269.103936</v>
      </c>
      <c r="BW195" s="103">
        <v>63262.876325999998</v>
      </c>
      <c r="BX195" s="103">
        <v>364306.90849799995</v>
      </c>
      <c r="BY195" s="103">
        <v>362852.58950199996</v>
      </c>
      <c r="BZ195" s="103">
        <v>196333.06446000002</v>
      </c>
      <c r="CA195" s="103">
        <v>469745.03570799995</v>
      </c>
      <c r="CB195" s="103">
        <v>34176.496405999991</v>
      </c>
      <c r="CC195" s="103">
        <v>67625.833313999989</v>
      </c>
      <c r="CD195" s="1">
        <v>1</v>
      </c>
      <c r="CF195" s="277">
        <f>SUMIF(Оборот!$A:$A,$B:$B,Оборот!H:H)</f>
        <v>3011906.4</v>
      </c>
      <c r="CG195" s="277">
        <f>SUMIF(Оборот!$A:$A,$B:$B,Оборот!I:I)</f>
        <v>3061522.7899999996</v>
      </c>
      <c r="CH195" s="277">
        <f t="shared" si="25"/>
        <v>1996010.0584103912</v>
      </c>
      <c r="CI195" s="239">
        <f t="shared" si="30"/>
        <v>47979.079373214139</v>
      </c>
      <c r="CJ195" s="276">
        <f>SUMIF('20Ф'!$H:$H,$B:$B,'20Ф'!M:M)*1.2</f>
        <v>0</v>
      </c>
      <c r="CK195" s="276">
        <f>SUMIF('20Ф'!$H:$H,$B:$B,'20Ф'!O:O)*1.2</f>
        <v>0</v>
      </c>
      <c r="CL195" s="276">
        <f>SUMIF('20Ф'!$H:$H,$B:$B,'20Ф'!Q:Q)*1.2</f>
        <v>0</v>
      </c>
      <c r="CM195" s="276">
        <f>SUMIF('20Ф'!$H:$H,$B:$B,'20Ф'!R:R)*1.2</f>
        <v>0</v>
      </c>
      <c r="CN195" s="276">
        <f>SUMIF('20Ф'!$H:$H,$B:$B,'20Ф'!S:S)*1.2</f>
        <v>0</v>
      </c>
      <c r="CO195" s="276">
        <f>SUMIF('20Ф'!$H:$H,$B:$B,'20Ф'!W:W)*1.2</f>
        <v>0</v>
      </c>
      <c r="CP195" s="276">
        <f>SUMIF('20Ф'!$H:$H,$B:$B,'20Ф'!P:P)*1.2</f>
        <v>0</v>
      </c>
      <c r="CQ195" s="276">
        <f>SUMIF('20Ф'!$H:$H,$B:$B,'20Ф'!Y:Y)*1.2</f>
        <v>0</v>
      </c>
      <c r="CR195" s="276">
        <f>SUMIF('20Ф'!$H:$H,$B:$B,'20Ф'!Z:Z)*1.2</f>
        <v>0</v>
      </c>
      <c r="CS195" s="276">
        <f>SUMIF('20Ф'!$H:$H,$B:$B,'20Ф'!AB:AB)*1.2</f>
        <v>0</v>
      </c>
      <c r="CT195" s="276">
        <f>SUMIF('20Ф'!$H:$H,$B:$B,'20Ф'!AC:AC)*1.2</f>
        <v>0</v>
      </c>
      <c r="CU195" s="276">
        <f>SUMIF('20Ф'!$H:$H,$B:$B,'20Ф'!AD:AD)*1.2</f>
        <v>0</v>
      </c>
      <c r="CV195" s="276">
        <f>SUMIF('20Ф'!$H:$H,$B:$B,'20Ф'!AE:AE)*1.2</f>
        <v>0</v>
      </c>
      <c r="CW195" s="276">
        <f>SUMIF('20Ф'!$H:$H,$B:$B,'20Ф'!AF:AF)*1.2</f>
        <v>0</v>
      </c>
      <c r="CX195" s="276">
        <f>SUMIF('20Ф'!$H:$H,$B:$B,'20Ф'!AG:AG)*1.2</f>
        <v>0</v>
      </c>
      <c r="CY195" s="276">
        <f>SUMIF('20Ф'!$H:$H,$B:$B,'20Ф'!AH:AH)*1.2</f>
        <v>0</v>
      </c>
      <c r="CZ195" s="276">
        <f>SUMIF('20Ф'!$H:$H,$B:$B,'20Ф'!AI:AI)*1.2</f>
        <v>0</v>
      </c>
      <c r="DA195" s="276">
        <f>SUMIF('20Ф'!$H:$H,$B:$B,'20Ф'!AJ:AJ)*1.2</f>
        <v>0</v>
      </c>
      <c r="DB195" s="276">
        <f>SUMIF('20Ф'!$H:$H,$B:$B,'20Ф'!AK:AK)*1.2</f>
        <v>0</v>
      </c>
      <c r="DC195" s="276">
        <f>SUMIF('20Ф'!$H:$H,$B:$B,'20Ф'!AL:AL)*1.2</f>
        <v>0</v>
      </c>
      <c r="DD195" s="276">
        <f>SUMIF('20Ф'!$H:$H,$B:$B,'20Ф'!AM:AM)*1.2</f>
        <v>0</v>
      </c>
      <c r="DE195" s="276">
        <f>SUMIF('20Ф'!$H:$H,$B:$B,'20Ф'!AN:AN)*1.2</f>
        <v>0</v>
      </c>
      <c r="DF195" s="276">
        <f>SUMIF('20Ф'!$H:$H,$B:$B,'20Ф'!AO:AO)*1.2</f>
        <v>0</v>
      </c>
      <c r="DG195" s="276">
        <f>SUMIF('20Ф'!$H:$H,$B:$B,'20Ф'!AP:AP)*1.2</f>
        <v>0</v>
      </c>
      <c r="DH195" s="276">
        <f>SUMIF('20Ф'!$H:$H,$B:$B,'20Ф'!AQ:AQ)*1.2</f>
        <v>0</v>
      </c>
      <c r="DI195" s="276">
        <f>SUMIF('20Ф'!$H:$H,$B:$B,'20Ф'!BA:BA)*1.2</f>
        <v>0</v>
      </c>
      <c r="DJ195" s="276">
        <f>SUMIF('20Ф'!$H:$H,$B:$B,'20Ф'!BB:BB)*1.2</f>
        <v>0</v>
      </c>
      <c r="DK195" s="276">
        <f>SUMIF('20Ф'!$H:$H,$B:$B,'20Ф'!BC:BC)*1.2</f>
        <v>0</v>
      </c>
      <c r="DL195" s="276">
        <f>$D195/$D$281*'20Ф'!$H$218</f>
        <v>47979.079373214139</v>
      </c>
      <c r="DM195" s="240">
        <f t="shared" si="26"/>
        <v>508125.79909630952</v>
      </c>
      <c r="DN195" s="276">
        <f>SUMIF('20Ф'!$H:$H,$B:$B,'20Ф'!AV:AV)*1.2</f>
        <v>0</v>
      </c>
      <c r="DO195" s="276">
        <f>SUMIF('20Ф'!$H:$H,$B:$B,'20Ф'!AW:AW)*1.2+$D195/$D$281*'26Ф'!$D$42</f>
        <v>25531.982447241062</v>
      </c>
      <c r="DP195" s="276">
        <f>SUMIF('20Ф'!$H:$H,$B:$B,'20Ф'!AX:AX)*1.2</f>
        <v>0</v>
      </c>
      <c r="DQ195" s="276">
        <f>SUMIF('20Ф'!$H:$H,$B:$B,'20Ф'!AY:AY)*1.2</f>
        <v>0</v>
      </c>
      <c r="DR195" s="276">
        <f>SUMIF('20Ф'!$H:$H,$B:$B,'20Ф'!AU:AU)*1.2</f>
        <v>0</v>
      </c>
      <c r="DS195" s="276">
        <f>SUMIF('20Ф'!$H:$H,$B:$B,'20Ф'!AS:AS)*1.2</f>
        <v>32213.759999999998</v>
      </c>
      <c r="DT195" s="276">
        <f>SUMIF('20Ф'!$H:$H,$B:$B,'20Ф'!AR:AR)*1.2</f>
        <v>0</v>
      </c>
      <c r="DU195" s="276">
        <f>SUMIF('20Ф'!$H:$H,$B:$B,'20Ф'!X:X)*1.2</f>
        <v>0</v>
      </c>
      <c r="DV195" s="276">
        <f>SUMIF('20Ф'!$H:$H,$B:$B,'20Ф'!AA:AA)*1.2</f>
        <v>0</v>
      </c>
      <c r="DW195" s="276">
        <f>SUMIF('20Ф'!$H:$H,$B:$B,'20Ф'!N:N)*1.2</f>
        <v>0</v>
      </c>
      <c r="DX195" s="276">
        <f>$D195/$D$281*('25Ф'!$D$37)</f>
        <v>429160.68382978061</v>
      </c>
      <c r="DY195" s="276">
        <f>$D195/$D$281*'25Ф'!$D$30</f>
        <v>13697.461815625473</v>
      </c>
      <c r="DZ195" s="276">
        <f>$D195/$D$281*'25Ф'!$D$31</f>
        <v>7521.9110036624097</v>
      </c>
      <c r="EA195" s="276"/>
      <c r="EB195" s="276">
        <f t="shared" si="27"/>
        <v>270377.96651490184</v>
      </c>
      <c r="EC195" s="276">
        <f>$D195/$D$281*'26Ф'!$D$36</f>
        <v>140740.43902889101</v>
      </c>
      <c r="ED195" s="276">
        <f>$D195/$D$281*'26Ф'!$D$37</f>
        <v>16909.81343560206</v>
      </c>
      <c r="EE195" s="276">
        <f>$D195/$D$281*'26Ф'!$D$38</f>
        <v>17083.24021187222</v>
      </c>
      <c r="EF195" s="276">
        <f>$D195/$D$281*'26Ф'!$D$39</f>
        <v>11983.877417158337</v>
      </c>
      <c r="EG195" s="276">
        <f>$D195/$D$281*'91Ф'!$D$10</f>
        <v>3697.0211991655469</v>
      </c>
      <c r="EH195" s="276">
        <f>$D195/$D$281*('20Ф'!$I$509+'26Ф'!$D$41+'20Ф'!$I$507)</f>
        <v>26155.207612639802</v>
      </c>
      <c r="EI195" s="276">
        <f>$D195/$D$281*'91Ф'!$D$31</f>
        <v>47946.337223036295</v>
      </c>
      <c r="EJ195" s="276">
        <f>$D195/$D$281*'20Ф'!$I$1316</f>
        <v>5862.0303865366286</v>
      </c>
      <c r="EK195" s="276">
        <f>$D195/$D$281*('20Ф'!$I$1105+'20Ф'!$I$1282+'91Ф'!$D$17+'91Ф'!$D$41)</f>
        <v>192515.60878278449</v>
      </c>
      <c r="EL195" s="276">
        <f>$D195/$D$281*отчёт!BX$294</f>
        <v>321827.38520654407</v>
      </c>
      <c r="EM195" s="276">
        <f>$D195/$D$281*отчёт!BY$294</f>
        <v>283029.91022595885</v>
      </c>
      <c r="EN195" s="276">
        <f>$D195/$D$283*отчёт!BZ$294</f>
        <v>50795.021537823915</v>
      </c>
      <c r="EO195" s="240">
        <f t="shared" si="37"/>
        <v>184422.89750099799</v>
      </c>
      <c r="EP195" s="276">
        <f>SUMIF('20Ф'!$H:$H,$B:$B,'20Ф'!T:T)*1.2</f>
        <v>6559.4879999999994</v>
      </c>
      <c r="EQ195" s="276">
        <f>SUM(H195:I195)/SUM($H$284:$I$284)*SUM('60Ф'!$O$155:$P$155)</f>
        <v>172510.26175648702</v>
      </c>
      <c r="ER195" s="276">
        <f>SUM($H195:$I195)/SUM($H$284:$I$284)*SUM('60Ф'!$P$227)</f>
        <v>5353.1477445109776</v>
      </c>
      <c r="ES195" s="239">
        <f t="shared" si="31"/>
        <v>107715.74840181002</v>
      </c>
      <c r="ET195" s="276">
        <f>$D195/$D$282*'20Ф'!$I$381</f>
        <v>8232.8178552681584</v>
      </c>
      <c r="EU195" s="276">
        <f>$D195/$D$282*('20Ф'!$I$75+'20Ф'!$I$1098)*1.2</f>
        <v>95092.7010018328</v>
      </c>
      <c r="EV195" s="276">
        <f>$D195/$D$282*('20Ф'!$I$1286)</f>
        <v>4390.2295447090519</v>
      </c>
      <c r="EW195" s="276">
        <f>SUMIF('91.1Ф'!$N:$N,$B:$B,'91.1Ф'!$F:$F)+$D195/$D$281*('91Ф'!$D$12+'91Ф'!$D$11+'91Ф'!$D$19+'91Ф'!$D$20)</f>
        <v>25372.616258622093</v>
      </c>
      <c r="EX195" s="276">
        <f t="shared" si="29"/>
        <v>3848.0255114245952</v>
      </c>
      <c r="EY195" s="276">
        <f>SUMIF('20Ф'!$H:$H,$B:$B,'20Ф'!$AY:$AY)*1.2</f>
        <v>0</v>
      </c>
      <c r="EZ195" s="295">
        <f>D195/$D$286*'20Ф'!$I$1163</f>
        <v>3848.0255114245952</v>
      </c>
      <c r="FA195" s="277">
        <f>SUMIF(отчёт!$B:$B,$B:$B,отчёт!$CU:$CU)/отчёт!$CU$281*'20Ф'!$I$1341</f>
        <v>920.96385542168503</v>
      </c>
      <c r="FB195" s="276">
        <f>SUMIF(Сальдо!$A:$A,$B:$B,Сальдо!$H:$H)-SUMIF(Сальдо!$A:$A,$B:$B,Сальдо!$I:$I)</f>
        <v>466159.53</v>
      </c>
    </row>
    <row r="196" spans="1:158" ht="12" customHeight="1" x14ac:dyDescent="0.25">
      <c r="A196" s="3">
        <f t="shared" si="32"/>
        <v>192</v>
      </c>
      <c r="B196" s="4" t="s">
        <v>241</v>
      </c>
      <c r="C196" s="4" t="s">
        <v>241</v>
      </c>
      <c r="D196" s="5">
        <v>4167.5</v>
      </c>
      <c r="E196" s="6">
        <v>4167.5</v>
      </c>
      <c r="F196" s="6">
        <v>0</v>
      </c>
      <c r="G196" s="6">
        <v>1164.5999999999999</v>
      </c>
      <c r="H196" s="5">
        <f>SUMIF(отчёт!$B:$B,$B:$B,отчёт!I:I)</f>
        <v>2</v>
      </c>
      <c r="I196" s="5">
        <f>SUMIF(отчёт!$B:$B,$B:$B,отчёт!J:J)</f>
        <v>0</v>
      </c>
      <c r="J196" s="3" t="s">
        <v>114</v>
      </c>
      <c r="K196" s="105">
        <v>3</v>
      </c>
      <c r="L196" s="105" t="s">
        <v>52</v>
      </c>
      <c r="M196" s="7">
        <v>45.06</v>
      </c>
      <c r="N196" s="8">
        <v>5.0999999999999996</v>
      </c>
      <c r="O196" s="8">
        <v>8.6300000000000008</v>
      </c>
      <c r="P196" s="8">
        <v>13.43</v>
      </c>
      <c r="Q196" s="8">
        <v>6.91</v>
      </c>
      <c r="R196" s="8">
        <v>3.15</v>
      </c>
      <c r="S196" s="8">
        <v>1.81</v>
      </c>
      <c r="T196" s="8">
        <v>5.77</v>
      </c>
      <c r="U196" s="8">
        <v>0.26</v>
      </c>
      <c r="V196" s="9">
        <v>40</v>
      </c>
      <c r="W196" s="9">
        <v>40</v>
      </c>
      <c r="X196" s="9">
        <v>2604.04</v>
      </c>
      <c r="Y196" s="8">
        <v>195.98199600000001</v>
      </c>
      <c r="Z196" s="9">
        <v>42.3</v>
      </c>
      <c r="AA196" s="9">
        <v>2604.04</v>
      </c>
      <c r="AB196" s="8">
        <v>7.85</v>
      </c>
      <c r="AC196" s="10">
        <v>0</v>
      </c>
      <c r="AD196" s="8">
        <v>6.73</v>
      </c>
      <c r="AE196" s="8">
        <v>10.67</v>
      </c>
      <c r="AF196" s="8">
        <v>14</v>
      </c>
      <c r="AG196" s="7">
        <v>1126725.3</v>
      </c>
      <c r="AH196" s="8">
        <v>127525.5</v>
      </c>
      <c r="AI196" s="8">
        <v>215793.15000000002</v>
      </c>
      <c r="AJ196" s="8">
        <v>335817.15</v>
      </c>
      <c r="AK196" s="8">
        <v>172784.55</v>
      </c>
      <c r="AL196" s="8">
        <v>78765.75</v>
      </c>
      <c r="AM196" s="8">
        <v>45259.05</v>
      </c>
      <c r="AN196" s="8">
        <v>144278.84999999998</v>
      </c>
      <c r="AO196" s="8">
        <v>6501.2999999999993</v>
      </c>
      <c r="AQ196" s="104">
        <v>48.44</v>
      </c>
      <c r="AR196" s="375">
        <v>18.489999999999998</v>
      </c>
      <c r="AS196" s="376"/>
      <c r="AT196" s="104">
        <v>6.67</v>
      </c>
      <c r="AU196" s="104">
        <v>1.53</v>
      </c>
      <c r="AV196" s="104">
        <v>0.32</v>
      </c>
      <c r="AW196" s="104">
        <v>0.87</v>
      </c>
      <c r="AX196" s="104">
        <v>5.01</v>
      </c>
      <c r="AY196" s="104">
        <v>4.99</v>
      </c>
      <c r="AZ196" s="104">
        <v>2.7</v>
      </c>
      <c r="BA196" s="104">
        <v>6.46</v>
      </c>
      <c r="BB196" s="104">
        <v>0.47</v>
      </c>
      <c r="BC196" s="101">
        <v>0.93</v>
      </c>
      <c r="BD196" s="104">
        <v>54.88252</v>
      </c>
      <c r="BE196" s="375">
        <v>20.949169999999999</v>
      </c>
      <c r="BF196" s="376">
        <v>0</v>
      </c>
      <c r="BG196" s="104">
        <v>7.5571100000000007</v>
      </c>
      <c r="BH196" s="104">
        <v>1.7334900000000002</v>
      </c>
      <c r="BI196" s="104">
        <v>0.36256000000000005</v>
      </c>
      <c r="BJ196" s="104">
        <v>0.98571000000000009</v>
      </c>
      <c r="BK196" s="104">
        <v>5.6763300000000001</v>
      </c>
      <c r="BL196" s="104">
        <v>5.65367</v>
      </c>
      <c r="BM196" s="104">
        <v>3.0591000000000004</v>
      </c>
      <c r="BN196" s="104">
        <v>7.3191800000000002</v>
      </c>
      <c r="BO196" s="104">
        <v>0.53250999999999993</v>
      </c>
      <c r="BP196" s="101">
        <v>1.05369</v>
      </c>
      <c r="BQ196" s="103">
        <v>2690976.4210000006</v>
      </c>
      <c r="BR196" s="371">
        <v>1027170.8097499999</v>
      </c>
      <c r="BS196" s="371">
        <v>0</v>
      </c>
      <c r="BT196" s="103">
        <v>370537.00925</v>
      </c>
      <c r="BU196" s="103">
        <v>84995.745750000002</v>
      </c>
      <c r="BV196" s="103">
        <v>17776.887999999999</v>
      </c>
      <c r="BW196" s="103">
        <v>48330.914250000002</v>
      </c>
      <c r="BX196" s="103">
        <v>278319.40275000001</v>
      </c>
      <c r="BY196" s="103">
        <v>277208.34724999999</v>
      </c>
      <c r="BZ196" s="103">
        <v>149992.49250000002</v>
      </c>
      <c r="CA196" s="103">
        <v>358870.9265</v>
      </c>
      <c r="CB196" s="103">
        <v>26109.804249999994</v>
      </c>
      <c r="CC196" s="103">
        <v>51664.080749999994</v>
      </c>
      <c r="CD196" s="1">
        <v>1</v>
      </c>
      <c r="CF196" s="277">
        <f>SUMIF(Оборот!$A:$A,$B:$B,Оборот!H:H)</f>
        <v>2313072.2400000002</v>
      </c>
      <c r="CG196" s="277">
        <f>SUMIF(Оборот!$A:$A,$B:$B,Оборот!I:I)</f>
        <v>2305063.29</v>
      </c>
      <c r="CH196" s="277">
        <f t="shared" si="25"/>
        <v>1645382.0768298518</v>
      </c>
      <c r="CI196" s="239">
        <f t="shared" si="30"/>
        <v>36654.558022802674</v>
      </c>
      <c r="CJ196" s="276">
        <f>SUMIF('20Ф'!$H:$H,$B:$B,'20Ф'!M:M)*1.2</f>
        <v>0</v>
      </c>
      <c r="CK196" s="276">
        <f>SUMIF('20Ф'!$H:$H,$B:$B,'20Ф'!O:O)*1.2</f>
        <v>0</v>
      </c>
      <c r="CL196" s="276">
        <f>SUMIF('20Ф'!$H:$H,$B:$B,'20Ф'!Q:Q)*1.2</f>
        <v>0</v>
      </c>
      <c r="CM196" s="276">
        <f>SUMIF('20Ф'!$H:$H,$B:$B,'20Ф'!R:R)*1.2</f>
        <v>0</v>
      </c>
      <c r="CN196" s="276">
        <f>SUMIF('20Ф'!$H:$H,$B:$B,'20Ф'!S:S)*1.2</f>
        <v>0</v>
      </c>
      <c r="CO196" s="276">
        <f>SUMIF('20Ф'!$H:$H,$B:$B,'20Ф'!W:W)*1.2</f>
        <v>0</v>
      </c>
      <c r="CP196" s="276">
        <f>SUMIF('20Ф'!$H:$H,$B:$B,'20Ф'!P:P)*1.2</f>
        <v>0</v>
      </c>
      <c r="CQ196" s="276">
        <f>SUMIF('20Ф'!$H:$H,$B:$B,'20Ф'!Y:Y)*1.2</f>
        <v>0</v>
      </c>
      <c r="CR196" s="276">
        <f>SUMIF('20Ф'!$H:$H,$B:$B,'20Ф'!Z:Z)*1.2</f>
        <v>0</v>
      </c>
      <c r="CS196" s="276">
        <f>SUMIF('20Ф'!$H:$H,$B:$B,'20Ф'!AB:AB)*1.2</f>
        <v>0</v>
      </c>
      <c r="CT196" s="276">
        <f>SUMIF('20Ф'!$H:$H,$B:$B,'20Ф'!AC:AC)*1.2</f>
        <v>0</v>
      </c>
      <c r="CU196" s="276">
        <f>SUMIF('20Ф'!$H:$H,$B:$B,'20Ф'!AD:AD)*1.2</f>
        <v>0</v>
      </c>
      <c r="CV196" s="276">
        <f>SUMIF('20Ф'!$H:$H,$B:$B,'20Ф'!AE:AE)*1.2</f>
        <v>0</v>
      </c>
      <c r="CW196" s="276">
        <f>SUMIF('20Ф'!$H:$H,$B:$B,'20Ф'!AF:AF)*1.2</f>
        <v>0</v>
      </c>
      <c r="CX196" s="276">
        <f>SUMIF('20Ф'!$H:$H,$B:$B,'20Ф'!AG:AG)*1.2</f>
        <v>0</v>
      </c>
      <c r="CY196" s="276">
        <f>SUMIF('20Ф'!$H:$H,$B:$B,'20Ф'!AH:AH)*1.2</f>
        <v>0</v>
      </c>
      <c r="CZ196" s="276">
        <f>SUMIF('20Ф'!$H:$H,$B:$B,'20Ф'!AI:AI)*1.2</f>
        <v>0</v>
      </c>
      <c r="DA196" s="276">
        <f>SUMIF('20Ф'!$H:$H,$B:$B,'20Ф'!AJ:AJ)*1.2</f>
        <v>0</v>
      </c>
      <c r="DB196" s="276">
        <f>SUMIF('20Ф'!$H:$H,$B:$B,'20Ф'!AK:AK)*1.2</f>
        <v>0</v>
      </c>
      <c r="DC196" s="276">
        <f>SUMIF('20Ф'!$H:$H,$B:$B,'20Ф'!AL:AL)*1.2</f>
        <v>0</v>
      </c>
      <c r="DD196" s="276">
        <f>SUMIF('20Ф'!$H:$H,$B:$B,'20Ф'!AM:AM)*1.2</f>
        <v>0</v>
      </c>
      <c r="DE196" s="276">
        <f>SUMIF('20Ф'!$H:$H,$B:$B,'20Ф'!AN:AN)*1.2</f>
        <v>0</v>
      </c>
      <c r="DF196" s="276">
        <f>SUMIF('20Ф'!$H:$H,$B:$B,'20Ф'!AO:AO)*1.2</f>
        <v>0</v>
      </c>
      <c r="DG196" s="276">
        <f>SUMIF('20Ф'!$H:$H,$B:$B,'20Ф'!AP:AP)*1.2</f>
        <v>0</v>
      </c>
      <c r="DH196" s="276">
        <f>SUMIF('20Ф'!$H:$H,$B:$B,'20Ф'!AQ:AQ)*1.2</f>
        <v>0</v>
      </c>
      <c r="DI196" s="276">
        <f>SUMIF('20Ф'!$H:$H,$B:$B,'20Ф'!BA:BA)*1.2</f>
        <v>0</v>
      </c>
      <c r="DJ196" s="276">
        <f>SUMIF('20Ф'!$H:$H,$B:$B,'20Ф'!BB:BB)*1.2</f>
        <v>0</v>
      </c>
      <c r="DK196" s="276">
        <f>SUMIF('20Ф'!$H:$H,$B:$B,'20Ф'!BC:BC)*1.2</f>
        <v>0</v>
      </c>
      <c r="DL196" s="276">
        <f>$D196/$D$281*'20Ф'!$H$218</f>
        <v>36654.558022802674</v>
      </c>
      <c r="DM196" s="240">
        <f t="shared" si="26"/>
        <v>465154.32560478355</v>
      </c>
      <c r="DN196" s="276">
        <f>SUMIF('20Ф'!$H:$H,$B:$B,'20Ф'!AV:AV)*1.2</f>
        <v>0</v>
      </c>
      <c r="DO196" s="276">
        <f>SUMIF('20Ф'!$H:$H,$B:$B,'20Ф'!AW:AW)*1.2+$D196/$D$281*'26Ф'!$D$42</f>
        <v>19505.658388519492</v>
      </c>
      <c r="DP196" s="276">
        <f>SUMIF('20Ф'!$H:$H,$B:$B,'20Ф'!AX:AX)*1.2</f>
        <v>0</v>
      </c>
      <c r="DQ196" s="276">
        <f>SUMIF('20Ф'!$H:$H,$B:$B,'20Ф'!AY:AY)*1.2</f>
        <v>0</v>
      </c>
      <c r="DR196" s="276">
        <f>SUMIF('20Ф'!$H:$H,$B:$B,'20Ф'!AU:AU)*1.2</f>
        <v>0</v>
      </c>
      <c r="DS196" s="276">
        <f>SUMIF('20Ф'!$H:$H,$B:$B,'20Ф'!AS:AS)*1.2</f>
        <v>101571.996</v>
      </c>
      <c r="DT196" s="276">
        <f>SUMIF('20Ф'!$H:$H,$B:$B,'20Ф'!AR:AR)*1.2</f>
        <v>0</v>
      </c>
      <c r="DU196" s="276">
        <f>SUMIF('20Ф'!$H:$H,$B:$B,'20Ф'!X:X)*1.2</f>
        <v>0</v>
      </c>
      <c r="DV196" s="276">
        <f>SUMIF('20Ф'!$H:$H,$B:$B,'20Ф'!AA:AA)*1.2</f>
        <v>0</v>
      </c>
      <c r="DW196" s="276">
        <f>SUMIF('20Ф'!$H:$H,$B:$B,'20Ф'!N:N)*1.2</f>
        <v>0</v>
      </c>
      <c r="DX196" s="276">
        <f>$D196/$D$281*('25Ф'!$D$37)</f>
        <v>327865.71547528554</v>
      </c>
      <c r="DY196" s="276">
        <f>$D196/$D$281*'25Ф'!$D$30</f>
        <v>10464.444408790951</v>
      </c>
      <c r="DZ196" s="276">
        <f>$D196/$D$281*'25Ф'!$D$31</f>
        <v>5746.5113321875651</v>
      </c>
      <c r="EA196" s="276"/>
      <c r="EB196" s="276">
        <f t="shared" si="27"/>
        <v>206560.54662109195</v>
      </c>
      <c r="EC196" s="276">
        <f>$D196/$D$281*'26Ф'!$D$36</f>
        <v>107521.41674938558</v>
      </c>
      <c r="ED196" s="276">
        <f>$D196/$D$281*'26Ф'!$D$37</f>
        <v>12918.583387326922</v>
      </c>
      <c r="EE196" s="276">
        <f>$D196/$D$281*'26Ф'!$D$38</f>
        <v>13051.076172026977</v>
      </c>
      <c r="EF196" s="276">
        <f>$D196/$D$281*'26Ф'!$D$39</f>
        <v>9155.3180232678242</v>
      </c>
      <c r="EG196" s="276">
        <f>$D196/$D$281*'91Ф'!$D$10</f>
        <v>2824.4118025324046</v>
      </c>
      <c r="EH196" s="276">
        <f>$D196/$D$281*('20Ф'!$I$509+'26Ф'!$D$41+'20Ф'!$I$507)</f>
        <v>19981.783468133512</v>
      </c>
      <c r="EI196" s="276">
        <f>$D196/$D$281*'91Ф'!$D$31</f>
        <v>36629.544015465239</v>
      </c>
      <c r="EJ196" s="276">
        <f>$D196/$D$281*'20Ф'!$I$1316</f>
        <v>4478.4130029534781</v>
      </c>
      <c r="EK196" s="276">
        <f>$D196/$D$281*('20Ф'!$I$1105+'20Ф'!$I$1282+'91Ф'!$D$17+'91Ф'!$D$41)</f>
        <v>147076.07241758192</v>
      </c>
      <c r="EL196" s="276">
        <f>$D196/$D$281*отчёт!BX$294</f>
        <v>245866.33838092937</v>
      </c>
      <c r="EM196" s="276">
        <f>$D196/$D$281*отчёт!BY$294</f>
        <v>216226.24698292665</v>
      </c>
      <c r="EN196" s="276">
        <f>$D196/$D$283*отчёт!BZ$294</f>
        <v>38805.852228734642</v>
      </c>
      <c r="EO196" s="240">
        <f t="shared" si="37"/>
        <v>184422.89750099799</v>
      </c>
      <c r="EP196" s="276">
        <f>SUMIF('20Ф'!$H:$H,$B:$B,'20Ф'!T:T)*1.2</f>
        <v>6559.4879999999994</v>
      </c>
      <c r="EQ196" s="276">
        <f>SUM(H196:I196)/SUM($H$284:$I$284)*SUM('60Ф'!$O$155:$P$155)</f>
        <v>172510.26175648702</v>
      </c>
      <c r="ER196" s="276">
        <f>SUM($H196:$I196)/SUM($H$284:$I$284)*SUM('60Ф'!$P$227)</f>
        <v>5353.1477445109776</v>
      </c>
      <c r="ES196" s="239">
        <f t="shared" si="31"/>
        <v>82291.557098279969</v>
      </c>
      <c r="ET196" s="276">
        <f>$D196/$D$282*'20Ф'!$I$381</f>
        <v>6289.6225544412064</v>
      </c>
      <c r="EU196" s="276">
        <f>$D196/$D$282*('20Ф'!$I$75+'20Ф'!$I$1098)*1.2</f>
        <v>72647.932639629653</v>
      </c>
      <c r="EV196" s="276">
        <f>$D196/$D$282*('20Ф'!$I$1286)</f>
        <v>3354.0019042091149</v>
      </c>
      <c r="EW196" s="276">
        <f>SUMIF('91.1Ф'!$N:$N,$B:$B,'91.1Ф'!$F:$F)+$D196/$D$281*('91Ф'!$D$12+'91Ф'!$D$11+'91Ф'!$D$19+'91Ф'!$D$20)</f>
        <v>19383.90746532716</v>
      </c>
      <c r="EX196" s="276">
        <f t="shared" si="29"/>
        <v>2939.7745063962634</v>
      </c>
      <c r="EY196" s="276">
        <f>SUMIF('20Ф'!$H:$H,$B:$B,'20Ф'!$AY:$AY)*1.2</f>
        <v>0</v>
      </c>
      <c r="EZ196" s="295">
        <f>D196/$D$286*'20Ф'!$I$1163</f>
        <v>2939.7745063962634</v>
      </c>
      <c r="FA196" s="277">
        <f>SUMIF(отчёт!$B:$B,$B:$B,отчёт!$CU:$CU)/отчёт!$CU$281*'20Ф'!$I$1341</f>
        <v>920.96385542168503</v>
      </c>
      <c r="FB196" s="276">
        <f>SUMIF(Сальдо!$A:$A,$B:$B,Сальдо!$H:$H)-SUMIF(Сальдо!$A:$A,$B:$B,Сальдо!$I:$I)</f>
        <v>203604.63</v>
      </c>
    </row>
    <row r="197" spans="1:158" ht="12" customHeight="1" x14ac:dyDescent="0.25">
      <c r="A197" s="3">
        <f t="shared" si="32"/>
        <v>193</v>
      </c>
      <c r="B197" s="4" t="s">
        <v>242</v>
      </c>
      <c r="C197" s="4" t="s">
        <v>242</v>
      </c>
      <c r="D197" s="5">
        <v>4184.8</v>
      </c>
      <c r="E197" s="6">
        <v>4184.8</v>
      </c>
      <c r="F197" s="6">
        <v>0</v>
      </c>
      <c r="G197" s="6">
        <v>1100.4000000000001</v>
      </c>
      <c r="H197" s="5">
        <f>SUMIF(отчёт!$B:$B,$B:$B,отчёт!I:I)</f>
        <v>2</v>
      </c>
      <c r="I197" s="5">
        <f>SUMIF(отчёт!$B:$B,$B:$B,отчёт!J:J)</f>
        <v>0</v>
      </c>
      <c r="J197" s="3" t="s">
        <v>114</v>
      </c>
      <c r="K197" s="105">
        <v>3</v>
      </c>
      <c r="L197" s="105" t="s">
        <v>52</v>
      </c>
      <c r="M197" s="7">
        <v>45.06</v>
      </c>
      <c r="N197" s="8">
        <v>5.0999999999999996</v>
      </c>
      <c r="O197" s="8">
        <v>8.6300000000000008</v>
      </c>
      <c r="P197" s="8">
        <v>13.43</v>
      </c>
      <c r="Q197" s="8">
        <v>6.91</v>
      </c>
      <c r="R197" s="8">
        <v>3.15</v>
      </c>
      <c r="S197" s="8">
        <v>1.81</v>
      </c>
      <c r="T197" s="8">
        <v>5.77</v>
      </c>
      <c r="U197" s="8">
        <v>0.26</v>
      </c>
      <c r="V197" s="9">
        <v>40</v>
      </c>
      <c r="W197" s="9">
        <v>40</v>
      </c>
      <c r="X197" s="9">
        <v>2604.04</v>
      </c>
      <c r="Y197" s="8">
        <v>195.98199600000001</v>
      </c>
      <c r="Z197" s="9">
        <v>42.3</v>
      </c>
      <c r="AA197" s="9">
        <v>2604.04</v>
      </c>
      <c r="AB197" s="8">
        <v>7.85</v>
      </c>
      <c r="AC197" s="10">
        <v>0</v>
      </c>
      <c r="AD197" s="8">
        <v>6.73</v>
      </c>
      <c r="AE197" s="8">
        <v>10.67</v>
      </c>
      <c r="AF197" s="8">
        <v>14</v>
      </c>
      <c r="AG197" s="7">
        <v>1131402.5280000002</v>
      </c>
      <c r="AH197" s="8">
        <v>128054.88</v>
      </c>
      <c r="AI197" s="8">
        <v>216688.94400000005</v>
      </c>
      <c r="AJ197" s="8">
        <v>337211.18400000001</v>
      </c>
      <c r="AK197" s="8">
        <v>173501.80800000002</v>
      </c>
      <c r="AL197" s="8">
        <v>79092.72</v>
      </c>
      <c r="AM197" s="8">
        <v>45446.928</v>
      </c>
      <c r="AN197" s="8">
        <v>144877.77599999998</v>
      </c>
      <c r="AO197" s="8">
        <v>6528.2880000000005</v>
      </c>
      <c r="AQ197" s="104">
        <v>48.44</v>
      </c>
      <c r="AR197" s="375">
        <v>18.489999999999998</v>
      </c>
      <c r="AS197" s="376"/>
      <c r="AT197" s="104">
        <v>6.67</v>
      </c>
      <c r="AU197" s="104">
        <v>1.53</v>
      </c>
      <c r="AV197" s="104">
        <v>0.32</v>
      </c>
      <c r="AW197" s="104">
        <v>0.87</v>
      </c>
      <c r="AX197" s="104">
        <v>5.01</v>
      </c>
      <c r="AY197" s="104">
        <v>4.99</v>
      </c>
      <c r="AZ197" s="104">
        <v>2.7</v>
      </c>
      <c r="BA197" s="104">
        <v>6.46</v>
      </c>
      <c r="BB197" s="104">
        <v>0.47</v>
      </c>
      <c r="BC197" s="101">
        <v>0.93</v>
      </c>
      <c r="BD197" s="104">
        <v>54.88252</v>
      </c>
      <c r="BE197" s="375">
        <v>20.949169999999999</v>
      </c>
      <c r="BF197" s="376">
        <v>0</v>
      </c>
      <c r="BG197" s="104">
        <v>7.5571100000000007</v>
      </c>
      <c r="BH197" s="104">
        <v>1.7334900000000002</v>
      </c>
      <c r="BI197" s="104">
        <v>0.36256000000000005</v>
      </c>
      <c r="BJ197" s="104">
        <v>0.98571000000000009</v>
      </c>
      <c r="BK197" s="104">
        <v>5.6763300000000001</v>
      </c>
      <c r="BL197" s="104">
        <v>5.65367</v>
      </c>
      <c r="BM197" s="104">
        <v>3.0591000000000004</v>
      </c>
      <c r="BN197" s="104">
        <v>7.3191800000000002</v>
      </c>
      <c r="BO197" s="104">
        <v>0.53250999999999993</v>
      </c>
      <c r="BP197" s="101">
        <v>1.05369</v>
      </c>
      <c r="BQ197" s="103">
        <v>2702147.1209599995</v>
      </c>
      <c r="BR197" s="371">
        <v>1031434.77016</v>
      </c>
      <c r="BS197" s="371">
        <v>0</v>
      </c>
      <c r="BT197" s="103">
        <v>372075.17128000001</v>
      </c>
      <c r="BU197" s="103">
        <v>85348.577520000006</v>
      </c>
      <c r="BV197" s="103">
        <v>17850.68288</v>
      </c>
      <c r="BW197" s="103">
        <v>48531.544080000007</v>
      </c>
      <c r="BX197" s="103">
        <v>279474.75384000002</v>
      </c>
      <c r="BY197" s="103">
        <v>278359.08616000001</v>
      </c>
      <c r="BZ197" s="103">
        <v>150615.13680000004</v>
      </c>
      <c r="CA197" s="103">
        <v>360360.66064000002</v>
      </c>
      <c r="CB197" s="103">
        <v>26218.190479999994</v>
      </c>
      <c r="CC197" s="103">
        <v>51878.547119999996</v>
      </c>
      <c r="CD197" s="1">
        <v>1</v>
      </c>
      <c r="CF197" s="277">
        <f>SUMIF(Оборот!$A:$A,$B:$B,Оборот!H:H)</f>
        <v>2317634.0299999998</v>
      </c>
      <c r="CG197" s="277">
        <f>SUMIF(Оборот!$A:$A,$B:$B,Оборот!I:I)</f>
        <v>2262638.79</v>
      </c>
      <c r="CH197" s="277">
        <f t="shared" ref="CH197:CH260" si="38">CI197+DM197+EB197+EK197+EL197+EM197+EN197+EO197+ES197+EW197+EX197</f>
        <v>1970444.8198056382</v>
      </c>
      <c r="CI197" s="239">
        <f t="shared" si="30"/>
        <v>416849.64531585469</v>
      </c>
      <c r="CJ197" s="276">
        <f>SUMIF('20Ф'!$H:$H,$B:$B,'20Ф'!M:M)*1.2</f>
        <v>0</v>
      </c>
      <c r="CK197" s="276">
        <f>SUMIF('20Ф'!$H:$H,$B:$B,'20Ф'!O:O)*1.2</f>
        <v>0</v>
      </c>
      <c r="CL197" s="276">
        <f>SUMIF('20Ф'!$H:$H,$B:$B,'20Ф'!Q:Q)*1.2</f>
        <v>0</v>
      </c>
      <c r="CM197" s="276">
        <f>SUMIF('20Ф'!$H:$H,$B:$B,'20Ф'!R:R)*1.2</f>
        <v>0</v>
      </c>
      <c r="CN197" s="276">
        <f>SUMIF('20Ф'!$H:$H,$B:$B,'20Ф'!S:S)*1.2</f>
        <v>0</v>
      </c>
      <c r="CO197" s="276">
        <f>SUMIF('20Ф'!$H:$H,$B:$B,'20Ф'!W:W)*1.2</f>
        <v>0</v>
      </c>
      <c r="CP197" s="276">
        <f>SUMIF('20Ф'!$H:$H,$B:$B,'20Ф'!P:P)*1.2</f>
        <v>0</v>
      </c>
      <c r="CQ197" s="276">
        <f>SUMIF('20Ф'!$H:$H,$B:$B,'20Ф'!Y:Y)*1.2</f>
        <v>0</v>
      </c>
      <c r="CR197" s="276">
        <f>SUMIF('20Ф'!$H:$H,$B:$B,'20Ф'!Z:Z)*1.2</f>
        <v>0</v>
      </c>
      <c r="CS197" s="276">
        <f>SUMIF('20Ф'!$H:$H,$B:$B,'20Ф'!AB:AB)*1.2</f>
        <v>0</v>
      </c>
      <c r="CT197" s="276">
        <f>SUMIF('20Ф'!$H:$H,$B:$B,'20Ф'!AC:AC)*1.2</f>
        <v>0</v>
      </c>
      <c r="CU197" s="276">
        <f>SUMIF('20Ф'!$H:$H,$B:$B,'20Ф'!AD:AD)*1.2</f>
        <v>0</v>
      </c>
      <c r="CV197" s="276">
        <f>SUMIF('20Ф'!$H:$H,$B:$B,'20Ф'!AE:AE)*1.2</f>
        <v>0</v>
      </c>
      <c r="CW197" s="276">
        <f>SUMIF('20Ф'!$H:$H,$B:$B,'20Ф'!AF:AF)*1.2</f>
        <v>0</v>
      </c>
      <c r="CX197" s="276">
        <f>SUMIF('20Ф'!$H:$H,$B:$B,'20Ф'!AG:AG)*1.2</f>
        <v>0</v>
      </c>
      <c r="CY197" s="276">
        <f>SUMIF('20Ф'!$H:$H,$B:$B,'20Ф'!AH:AH)*1.2</f>
        <v>83766.011999999988</v>
      </c>
      <c r="CZ197" s="276">
        <f>SUMIF('20Ф'!$H:$H,$B:$B,'20Ф'!AI:AI)*1.2</f>
        <v>0</v>
      </c>
      <c r="DA197" s="276">
        <f>SUMIF('20Ф'!$H:$H,$B:$B,'20Ф'!AJ:AJ)*1.2</f>
        <v>114022.56</v>
      </c>
      <c r="DB197" s="276">
        <f>SUMIF('20Ф'!$H:$H,$B:$B,'20Ф'!AK:AK)*1.2</f>
        <v>0</v>
      </c>
      <c r="DC197" s="276">
        <f>SUMIF('20Ф'!$H:$H,$B:$B,'20Ф'!AL:AL)*1.2</f>
        <v>0</v>
      </c>
      <c r="DD197" s="276">
        <f>SUMIF('20Ф'!$H:$H,$B:$B,'20Ф'!AM:AM)*1.2</f>
        <v>0</v>
      </c>
      <c r="DE197" s="276">
        <f>SUMIF('20Ф'!$H:$H,$B:$B,'20Ф'!AN:AN)*1.2</f>
        <v>0</v>
      </c>
      <c r="DF197" s="276">
        <f>SUMIF('20Ф'!$H:$H,$B:$B,'20Ф'!AO:AO)*1.2</f>
        <v>0</v>
      </c>
      <c r="DG197" s="276">
        <f>SUMIF('20Ф'!$H:$H,$B:$B,'20Ф'!AP:AP)*1.2</f>
        <v>182254.356</v>
      </c>
      <c r="DH197" s="276">
        <f>SUMIF('20Ф'!$H:$H,$B:$B,'20Ф'!AQ:AQ)*1.2</f>
        <v>0</v>
      </c>
      <c r="DI197" s="276">
        <f>SUMIF('20Ф'!$H:$H,$B:$B,'20Ф'!BA:BA)*1.2</f>
        <v>0</v>
      </c>
      <c r="DJ197" s="276">
        <f>SUMIF('20Ф'!$H:$H,$B:$B,'20Ф'!BB:BB)*1.2</f>
        <v>0</v>
      </c>
      <c r="DK197" s="276">
        <f>SUMIF('20Ф'!$H:$H,$B:$B,'20Ф'!BC:BC)*1.2</f>
        <v>0</v>
      </c>
      <c r="DL197" s="276">
        <f>$D197/$D$281*'20Ф'!$H$218</f>
        <v>36806.717315854738</v>
      </c>
      <c r="DM197" s="240">
        <f t="shared" ref="DM197:DM260" si="39">SUM(DN197:DZ197)</f>
        <v>406040.38557890774</v>
      </c>
      <c r="DN197" s="276">
        <f>SUMIF('20Ф'!$H:$H,$B:$B,'20Ф'!AV:AV)*1.2</f>
        <v>0</v>
      </c>
      <c r="DO197" s="276">
        <f>SUMIF('20Ф'!$H:$H,$B:$B,'20Ф'!AW:AW)*1.2+$D197/$D$281*'26Ф'!$D$42</f>
        <v>19586.629687888748</v>
      </c>
      <c r="DP197" s="276">
        <f>SUMIF('20Ф'!$H:$H,$B:$B,'20Ф'!AX:AX)*1.2</f>
        <v>0</v>
      </c>
      <c r="DQ197" s="276">
        <f>SUMIF('20Ф'!$H:$H,$B:$B,'20Ф'!AY:AY)*1.2</f>
        <v>0</v>
      </c>
      <c r="DR197" s="276">
        <f>SUMIF('20Ф'!$H:$H,$B:$B,'20Ф'!AU:AU)*1.2</f>
        <v>0</v>
      </c>
      <c r="DS197" s="276">
        <f>SUMIF('20Ф'!$H:$H,$B:$B,'20Ф'!AS:AS)*1.2</f>
        <v>40948.764000000003</v>
      </c>
      <c r="DT197" s="276">
        <f>SUMIF('20Ф'!$H:$H,$B:$B,'20Ф'!AR:AR)*1.2</f>
        <v>0</v>
      </c>
      <c r="DU197" s="276">
        <f>SUMIF('20Ф'!$H:$H,$B:$B,'20Ф'!X:X)*1.2</f>
        <v>0</v>
      </c>
      <c r="DV197" s="276">
        <f>SUMIF('20Ф'!$H:$H,$B:$B,'20Ф'!AA:AA)*1.2</f>
        <v>0</v>
      </c>
      <c r="DW197" s="276">
        <f>SUMIF('20Ф'!$H:$H,$B:$B,'20Ф'!N:N)*1.2</f>
        <v>0</v>
      </c>
      <c r="DX197" s="276">
        <f>$D197/$D$281*('25Ф'!$D$37)</f>
        <v>329226.74172068981</v>
      </c>
      <c r="DY197" s="276">
        <f>$D197/$D$281*'25Ф'!$D$30</f>
        <v>10507.8840940392</v>
      </c>
      <c r="DZ197" s="276">
        <f>$D197/$D$281*'25Ф'!$D$31</f>
        <v>5770.3660762899863</v>
      </c>
      <c r="EA197" s="276"/>
      <c r="EB197" s="276">
        <f t="shared" ref="EB197:EB260" si="40">SUM(EC197:EJ197)</f>
        <v>207418.0145170835</v>
      </c>
      <c r="EC197" s="276">
        <f>$D197/$D$281*'26Ф'!$D$36</f>
        <v>107967.75640379815</v>
      </c>
      <c r="ED197" s="276">
        <f>$D197/$D$281*'26Ф'!$D$37</f>
        <v>12972.210620104546</v>
      </c>
      <c r="EE197" s="276">
        <f>$D197/$D$281*'26Ф'!$D$38</f>
        <v>13105.253404846668</v>
      </c>
      <c r="EF197" s="276">
        <f>$D197/$D$281*'26Ф'!$D$39</f>
        <v>9193.323302644556</v>
      </c>
      <c r="EG197" s="276">
        <f>$D197/$D$281*'91Ф'!$D$10</f>
        <v>2836.1364154139424</v>
      </c>
      <c r="EH197" s="276">
        <f>$D197/$D$281*('20Ф'!$I$509+'26Ф'!$D$41+'20Ф'!$I$507)</f>
        <v>20064.731243538117</v>
      </c>
      <c r="EI197" s="276">
        <f>$D197/$D$281*'91Ф'!$D$31</f>
        <v>36781.599471126312</v>
      </c>
      <c r="EJ197" s="276">
        <f>$D197/$D$281*'20Ф'!$I$1316</f>
        <v>4497.0036556112091</v>
      </c>
      <c r="EK197" s="276">
        <f>$D197/$D$281*('20Ф'!$I$1105+'20Ф'!$I$1282+'91Ф'!$D$17+'91Ф'!$D$41)</f>
        <v>147686.61016271068</v>
      </c>
      <c r="EL197" s="276">
        <f>$D197/$D$281*отчёт!BX$294</f>
        <v>246886.97129130489</v>
      </c>
      <c r="EM197" s="276">
        <f>$D197/$D$281*отчёт!BY$294</f>
        <v>217123.83884202791</v>
      </c>
      <c r="EN197" s="276">
        <f>$D197/$D$283*отчёт!BZ$294</f>
        <v>38966.941909252244</v>
      </c>
      <c r="EO197" s="240">
        <f t="shared" si="37"/>
        <v>184422.89750099799</v>
      </c>
      <c r="EP197" s="276">
        <f>SUMIF('20Ф'!$H:$H,$B:$B,'20Ф'!T:T)*1.2</f>
        <v>6559.4879999999994</v>
      </c>
      <c r="EQ197" s="276">
        <f>SUM(H197:I197)/SUM($H$284:$I$284)*SUM('60Ф'!$O$155:$P$155)</f>
        <v>172510.26175648702</v>
      </c>
      <c r="ER197" s="276">
        <f>SUM($H197:$I197)/SUM($H$284:$I$284)*SUM('60Ф'!$P$227)</f>
        <v>5353.1477445109776</v>
      </c>
      <c r="ES197" s="239">
        <f t="shared" si="31"/>
        <v>82633.163322107284</v>
      </c>
      <c r="ET197" s="276">
        <f>$D197/$D$282*'20Ф'!$I$381</f>
        <v>6315.7318454290489</v>
      </c>
      <c r="EU197" s="276">
        <f>$D197/$D$282*('20Ф'!$I$75+'20Ф'!$I$1098)*1.2</f>
        <v>72949.506541169103</v>
      </c>
      <c r="EV197" s="276">
        <f>$D197/$D$282*('20Ф'!$I$1286)</f>
        <v>3367.9249355091315</v>
      </c>
      <c r="EW197" s="276">
        <f>SUMIF('91.1Ф'!$N:$N,$B:$B,'91.1Ф'!$F:$F)+$D197/$D$281*('91Ф'!$D$12+'91Ф'!$D$11+'91Ф'!$D$19+'91Ф'!$D$20)</f>
        <v>19464.373355945074</v>
      </c>
      <c r="EX197" s="276">
        <f t="shared" ref="EX197:EX260" si="41">SUM(EY197:EZ197)</f>
        <v>2951.9780094462108</v>
      </c>
      <c r="EY197" s="276">
        <f>SUMIF('20Ф'!$H:$H,$B:$B,'20Ф'!$AY:$AY)*1.2</f>
        <v>0</v>
      </c>
      <c r="EZ197" s="295">
        <f>D197/$D$286*'20Ф'!$I$1163</f>
        <v>2951.9780094462108</v>
      </c>
      <c r="FA197" s="277">
        <f>SUMIF(отчёт!$B:$B,$B:$B,отчёт!$CU:$CU)/отчёт!$CU$281*'20Ф'!$I$1341</f>
        <v>920.96385542168503</v>
      </c>
      <c r="FB197" s="276">
        <f>SUMIF(Сальдо!$A:$A,$B:$B,Сальдо!$H:$H)-SUMIF(Сальдо!$A:$A,$B:$B,Сальдо!$I:$I)</f>
        <v>478074.11000000004</v>
      </c>
    </row>
    <row r="198" spans="1:158" ht="12" customHeight="1" x14ac:dyDescent="0.25">
      <c r="A198" s="3">
        <f t="shared" si="32"/>
        <v>194</v>
      </c>
      <c r="B198" s="4" t="s">
        <v>243</v>
      </c>
      <c r="C198" s="4" t="s">
        <v>243</v>
      </c>
      <c r="D198" s="5">
        <v>5377.9</v>
      </c>
      <c r="E198" s="6">
        <v>5377.9</v>
      </c>
      <c r="F198" s="6">
        <v>0</v>
      </c>
      <c r="G198" s="6">
        <v>1226.3</v>
      </c>
      <c r="H198" s="5">
        <f>SUMIF(отчёт!$B:$B,$B:$B,отчёт!I:I)</f>
        <v>1</v>
      </c>
      <c r="I198" s="5">
        <f>SUMIF(отчёт!$B:$B,$B:$B,отчёт!J:J)</f>
        <v>1</v>
      </c>
      <c r="J198" s="3" t="s">
        <v>114</v>
      </c>
      <c r="K198" s="105">
        <v>3</v>
      </c>
      <c r="L198" s="105" t="s">
        <v>52</v>
      </c>
      <c r="M198" s="7">
        <v>45.06</v>
      </c>
      <c r="N198" s="8">
        <v>5.0999999999999996</v>
      </c>
      <c r="O198" s="8">
        <v>8.6300000000000008</v>
      </c>
      <c r="P198" s="8">
        <v>13.43</v>
      </c>
      <c r="Q198" s="8">
        <v>6.91</v>
      </c>
      <c r="R198" s="8">
        <v>3.15</v>
      </c>
      <c r="S198" s="8">
        <v>1.81</v>
      </c>
      <c r="T198" s="8">
        <v>5.77</v>
      </c>
      <c r="U198" s="8">
        <v>0.26</v>
      </c>
      <c r="V198" s="9">
        <v>40</v>
      </c>
      <c r="W198" s="9">
        <v>40</v>
      </c>
      <c r="X198" s="9">
        <v>2604.04</v>
      </c>
      <c r="Y198" s="8">
        <v>195.98199600000001</v>
      </c>
      <c r="Z198" s="9">
        <v>42.3</v>
      </c>
      <c r="AA198" s="9">
        <v>2604.04</v>
      </c>
      <c r="AB198" s="8">
        <v>7.85</v>
      </c>
      <c r="AC198" s="10">
        <v>0</v>
      </c>
      <c r="AD198" s="8">
        <v>6.73</v>
      </c>
      <c r="AE198" s="8">
        <v>10.67</v>
      </c>
      <c r="AF198" s="8">
        <v>14</v>
      </c>
      <c r="AG198" s="7">
        <v>1453969.044</v>
      </c>
      <c r="AH198" s="8">
        <v>164563.74</v>
      </c>
      <c r="AI198" s="8">
        <v>278467.66200000001</v>
      </c>
      <c r="AJ198" s="8">
        <v>433351.18200000003</v>
      </c>
      <c r="AK198" s="8">
        <v>222967.734</v>
      </c>
      <c r="AL198" s="8">
        <v>101642.31</v>
      </c>
      <c r="AM198" s="8">
        <v>58403.993999999999</v>
      </c>
      <c r="AN198" s="8">
        <v>186182.89799999999</v>
      </c>
      <c r="AO198" s="8">
        <v>8389.5239999999994</v>
      </c>
      <c r="AQ198" s="104">
        <v>48.44</v>
      </c>
      <c r="AR198" s="375">
        <v>18.489999999999998</v>
      </c>
      <c r="AS198" s="376"/>
      <c r="AT198" s="104">
        <v>6.67</v>
      </c>
      <c r="AU198" s="104">
        <v>1.53</v>
      </c>
      <c r="AV198" s="104">
        <v>0.32</v>
      </c>
      <c r="AW198" s="104">
        <v>0.87</v>
      </c>
      <c r="AX198" s="104">
        <v>5.01</v>
      </c>
      <c r="AY198" s="104">
        <v>4.99</v>
      </c>
      <c r="AZ198" s="104">
        <v>2.7</v>
      </c>
      <c r="BA198" s="104">
        <v>6.46</v>
      </c>
      <c r="BB198" s="104">
        <v>0.47</v>
      </c>
      <c r="BC198" s="101">
        <v>0.93</v>
      </c>
      <c r="BD198" s="104">
        <v>54.88252</v>
      </c>
      <c r="BE198" s="375">
        <v>20.949169999999999</v>
      </c>
      <c r="BF198" s="376">
        <v>0</v>
      </c>
      <c r="BG198" s="104">
        <v>7.5571100000000007</v>
      </c>
      <c r="BH198" s="104">
        <v>1.7334900000000002</v>
      </c>
      <c r="BI198" s="104">
        <v>0.36256000000000005</v>
      </c>
      <c r="BJ198" s="104">
        <v>0.98571000000000009</v>
      </c>
      <c r="BK198" s="104">
        <v>5.6763300000000001</v>
      </c>
      <c r="BL198" s="104">
        <v>5.65367</v>
      </c>
      <c r="BM198" s="104">
        <v>3.0591000000000004</v>
      </c>
      <c r="BN198" s="104">
        <v>7.3191800000000002</v>
      </c>
      <c r="BO198" s="104">
        <v>0.53250999999999993</v>
      </c>
      <c r="BP198" s="101">
        <v>1.05369</v>
      </c>
      <c r="BQ198" s="103">
        <v>3472537.9950799993</v>
      </c>
      <c r="BR198" s="371">
        <v>1325500.1554299998</v>
      </c>
      <c r="BS198" s="371">
        <v>0</v>
      </c>
      <c r="BT198" s="103">
        <v>478155.00468999997</v>
      </c>
      <c r="BU198" s="103">
        <v>109681.73271</v>
      </c>
      <c r="BV198" s="103">
        <v>22939.970239999999</v>
      </c>
      <c r="BW198" s="103">
        <v>62368.044090000003</v>
      </c>
      <c r="BX198" s="103">
        <v>359153.90906999994</v>
      </c>
      <c r="BY198" s="103">
        <v>357720.16092999995</v>
      </c>
      <c r="BZ198" s="103">
        <v>193555.99890000004</v>
      </c>
      <c r="CA198" s="103">
        <v>463100.64921999996</v>
      </c>
      <c r="CB198" s="103">
        <v>33693.081289999987</v>
      </c>
      <c r="CC198" s="103">
        <v>66669.288509999984</v>
      </c>
      <c r="CD198" s="1">
        <v>1</v>
      </c>
      <c r="CF198" s="277">
        <f>SUMIF(Оборот!$A:$A,$B:$B,Оборот!H:H)</f>
        <v>2747826.78</v>
      </c>
      <c r="CG198" s="277">
        <f>SUMIF(Оборот!$A:$A,$B:$B,Оборот!I:I)</f>
        <v>2849726.2699999996</v>
      </c>
      <c r="CH198" s="277">
        <f t="shared" si="38"/>
        <v>1968714.2845230119</v>
      </c>
      <c r="CI198" s="239">
        <f t="shared" ref="CI198:CI261" si="42">SUM(CJ198:DL198)</f>
        <v>47300.431335532201</v>
      </c>
      <c r="CJ198" s="276">
        <f>SUMIF('20Ф'!$H:$H,$B:$B,'20Ф'!M:M)*1.2</f>
        <v>0</v>
      </c>
      <c r="CK198" s="276">
        <f>SUMIF('20Ф'!$H:$H,$B:$B,'20Ф'!O:O)*1.2</f>
        <v>0</v>
      </c>
      <c r="CL198" s="276">
        <f>SUMIF('20Ф'!$H:$H,$B:$B,'20Ф'!Q:Q)*1.2</f>
        <v>0</v>
      </c>
      <c r="CM198" s="276">
        <f>SUMIF('20Ф'!$H:$H,$B:$B,'20Ф'!R:R)*1.2</f>
        <v>0</v>
      </c>
      <c r="CN198" s="276">
        <f>SUMIF('20Ф'!$H:$H,$B:$B,'20Ф'!S:S)*1.2</f>
        <v>0</v>
      </c>
      <c r="CO198" s="276">
        <f>SUMIF('20Ф'!$H:$H,$B:$B,'20Ф'!W:W)*1.2</f>
        <v>0</v>
      </c>
      <c r="CP198" s="276">
        <f>SUMIF('20Ф'!$H:$H,$B:$B,'20Ф'!P:P)*1.2</f>
        <v>0</v>
      </c>
      <c r="CQ198" s="276">
        <f>SUMIF('20Ф'!$H:$H,$B:$B,'20Ф'!Y:Y)*1.2</f>
        <v>0</v>
      </c>
      <c r="CR198" s="276">
        <f>SUMIF('20Ф'!$H:$H,$B:$B,'20Ф'!Z:Z)*1.2</f>
        <v>0</v>
      </c>
      <c r="CS198" s="276">
        <f>SUMIF('20Ф'!$H:$H,$B:$B,'20Ф'!AB:AB)*1.2</f>
        <v>0</v>
      </c>
      <c r="CT198" s="276">
        <f>SUMIF('20Ф'!$H:$H,$B:$B,'20Ф'!AC:AC)*1.2</f>
        <v>0</v>
      </c>
      <c r="CU198" s="276">
        <f>SUMIF('20Ф'!$H:$H,$B:$B,'20Ф'!AD:AD)*1.2</f>
        <v>0</v>
      </c>
      <c r="CV198" s="276">
        <f>SUMIF('20Ф'!$H:$H,$B:$B,'20Ф'!AE:AE)*1.2</f>
        <v>0</v>
      </c>
      <c r="CW198" s="276">
        <f>SUMIF('20Ф'!$H:$H,$B:$B,'20Ф'!AF:AF)*1.2</f>
        <v>0</v>
      </c>
      <c r="CX198" s="276">
        <f>SUMIF('20Ф'!$H:$H,$B:$B,'20Ф'!AG:AG)*1.2</f>
        <v>0</v>
      </c>
      <c r="CY198" s="276">
        <f>SUMIF('20Ф'!$H:$H,$B:$B,'20Ф'!AH:AH)*1.2</f>
        <v>0</v>
      </c>
      <c r="CZ198" s="276">
        <f>SUMIF('20Ф'!$H:$H,$B:$B,'20Ф'!AI:AI)*1.2</f>
        <v>0</v>
      </c>
      <c r="DA198" s="276">
        <f>SUMIF('20Ф'!$H:$H,$B:$B,'20Ф'!AJ:AJ)*1.2</f>
        <v>0</v>
      </c>
      <c r="DB198" s="276">
        <f>SUMIF('20Ф'!$H:$H,$B:$B,'20Ф'!AK:AK)*1.2</f>
        <v>0</v>
      </c>
      <c r="DC198" s="276">
        <f>SUMIF('20Ф'!$H:$H,$B:$B,'20Ф'!AL:AL)*1.2</f>
        <v>0</v>
      </c>
      <c r="DD198" s="276">
        <f>SUMIF('20Ф'!$H:$H,$B:$B,'20Ф'!AM:AM)*1.2</f>
        <v>0</v>
      </c>
      <c r="DE198" s="276">
        <f>SUMIF('20Ф'!$H:$H,$B:$B,'20Ф'!AN:AN)*1.2</f>
        <v>0</v>
      </c>
      <c r="DF198" s="276">
        <f>SUMIF('20Ф'!$H:$H,$B:$B,'20Ф'!AO:AO)*1.2</f>
        <v>0</v>
      </c>
      <c r="DG198" s="276">
        <f>SUMIF('20Ф'!$H:$H,$B:$B,'20Ф'!AP:AP)*1.2</f>
        <v>0</v>
      </c>
      <c r="DH198" s="276">
        <f>SUMIF('20Ф'!$H:$H,$B:$B,'20Ф'!AQ:AQ)*1.2</f>
        <v>0</v>
      </c>
      <c r="DI198" s="276">
        <f>SUMIF('20Ф'!$H:$H,$B:$B,'20Ф'!BA:BA)*1.2</f>
        <v>0</v>
      </c>
      <c r="DJ198" s="276">
        <f>SUMIF('20Ф'!$H:$H,$B:$B,'20Ф'!BB:BB)*1.2</f>
        <v>0</v>
      </c>
      <c r="DK198" s="276">
        <f>SUMIF('20Ф'!$H:$H,$B:$B,'20Ф'!BC:BC)*1.2</f>
        <v>0</v>
      </c>
      <c r="DL198" s="276">
        <f>$D198/$D$281*'20Ф'!$H$218</f>
        <v>47300.431335532201</v>
      </c>
      <c r="DM198" s="240">
        <f t="shared" si="39"/>
        <v>499267.05040709412</v>
      </c>
      <c r="DN198" s="276">
        <f>SUMIF('20Ф'!$H:$H,$B:$B,'20Ф'!AV:AV)*1.2</f>
        <v>0</v>
      </c>
      <c r="DO198" s="276">
        <f>SUMIF('20Ф'!$H:$H,$B:$B,'20Ф'!AW:AW)*1.2+$D198/$D$281*'26Ф'!$D$42</f>
        <v>25170.841091210306</v>
      </c>
      <c r="DP198" s="276">
        <f>SUMIF('20Ф'!$H:$H,$B:$B,'20Ф'!AX:AX)*1.2</f>
        <v>0</v>
      </c>
      <c r="DQ198" s="276">
        <f>SUMIF('20Ф'!$H:$H,$B:$B,'20Ф'!AY:AY)*1.2</f>
        <v>0</v>
      </c>
      <c r="DR198" s="276">
        <f>SUMIF('20Ф'!$H:$H,$B:$B,'20Ф'!AU:AU)*1.2</f>
        <v>0</v>
      </c>
      <c r="DS198" s="276">
        <f>SUMIF('20Ф'!$H:$H,$B:$B,'20Ф'!AS:AS)*1.2</f>
        <v>30086.627999999997</v>
      </c>
      <c r="DT198" s="276">
        <f>SUMIF('20Ф'!$H:$H,$B:$B,'20Ф'!AR:AR)*1.2</f>
        <v>0</v>
      </c>
      <c r="DU198" s="276">
        <f>SUMIF('20Ф'!$H:$H,$B:$B,'20Ф'!X:X)*1.2</f>
        <v>0</v>
      </c>
      <c r="DV198" s="276">
        <f>SUMIF('20Ф'!$H:$H,$B:$B,'20Ф'!AA:AA)*1.2</f>
        <v>0</v>
      </c>
      <c r="DW198" s="276">
        <f>SUMIF('20Ф'!$H:$H,$B:$B,'20Ф'!N:N)*1.2</f>
        <v>0</v>
      </c>
      <c r="DX198" s="276">
        <f>$D198/$D$281*('25Ф'!$D$37)</f>
        <v>423090.34943120281</v>
      </c>
      <c r="DY198" s="276">
        <f>$D198/$D$281*'25Ф'!$D$30</f>
        <v>13503.715797489345</v>
      </c>
      <c r="DZ198" s="276">
        <f>$D198/$D$281*'25Ф'!$D$31</f>
        <v>7415.5160871917215</v>
      </c>
      <c r="EA198" s="276"/>
      <c r="EB198" s="276">
        <f t="shared" si="40"/>
        <v>266553.56056954293</v>
      </c>
      <c r="EC198" s="276">
        <f>$D198/$D$281*'26Ф'!$D$36</f>
        <v>138749.71257025091</v>
      </c>
      <c r="ED198" s="276">
        <f>$D198/$D$281*'26Ф'!$D$37</f>
        <v>16670.62977773376</v>
      </c>
      <c r="EE198" s="276">
        <f>$D198/$D$281*'26Ф'!$D$38</f>
        <v>16841.603490232483</v>
      </c>
      <c r="EF198" s="276">
        <f>$D198/$D$281*'26Ф'!$D$39</f>
        <v>11814.369477464194</v>
      </c>
      <c r="EG198" s="276">
        <f>$D198/$D$281*'91Ф'!$D$10</f>
        <v>3644.7280702673102</v>
      </c>
      <c r="EH198" s="276">
        <f>$D198/$D$281*('20Ф'!$I$509+'26Ф'!$D$41+'20Ф'!$I$507)</f>
        <v>25785.250944997046</v>
      </c>
      <c r="EI198" s="276">
        <f>$D198/$D$281*'91Ф'!$D$31</f>
        <v>47268.152312122489</v>
      </c>
      <c r="EJ198" s="276">
        <f>$D198/$D$281*'20Ф'!$I$1316</f>
        <v>5779.1139264747471</v>
      </c>
      <c r="EK198" s="276">
        <f>$D198/$D$281*('20Ф'!$I$1105+'20Ф'!$I$1282+'91Ф'!$D$17+'91Ф'!$D$41)</f>
        <v>189792.53985711187</v>
      </c>
      <c r="EL198" s="276">
        <f>$D198/$D$281*отчёт!BX$294</f>
        <v>317275.24443402514</v>
      </c>
      <c r="EM198" s="276">
        <f>$D198/$D$281*отчёт!BY$294</f>
        <v>279026.54676652211</v>
      </c>
      <c r="EN198" s="276">
        <f>$D198/$D$283*отчёт!BZ$294</f>
        <v>50076.542939630956</v>
      </c>
      <c r="EO198" s="240">
        <f t="shared" si="37"/>
        <v>184422.89750099799</v>
      </c>
      <c r="EP198" s="276">
        <f>SUMIF('20Ф'!$H:$H,$B:$B,'20Ф'!T:T)*1.2</f>
        <v>6559.4879999999994</v>
      </c>
      <c r="EQ198" s="276">
        <f>SUM(H198:I198)/SUM($H$284:$I$284)*SUM('60Ф'!$O$155:$P$155)</f>
        <v>172510.26175648702</v>
      </c>
      <c r="ER198" s="276">
        <f>SUM($H198:$I198)/SUM($H$284:$I$284)*SUM('60Ф'!$P$227)</f>
        <v>5353.1477445109776</v>
      </c>
      <c r="ES198" s="239">
        <f t="shared" ref="ES198:ES261" si="43">SUM(ET198:EV198)</f>
        <v>106192.14515149126</v>
      </c>
      <c r="ET198" s="276">
        <f>$D198/$D$282*'20Ф'!$I$381</f>
        <v>8116.3673990472371</v>
      </c>
      <c r="EU198" s="276">
        <f>$D198/$D$282*('20Ф'!$I$75+'20Ф'!$I$1098)*1.2</f>
        <v>93747.64653693205</v>
      </c>
      <c r="EV198" s="276">
        <f>$D198/$D$282*('20Ф'!$I$1286)</f>
        <v>4328.1312155119849</v>
      </c>
      <c r="EW198" s="276">
        <f>SUMIF('91.1Ф'!$N:$N,$B:$B,'91.1Ф'!$F:$F)+$D198/$D$281*('91Ф'!$D$12+'91Ф'!$D$11+'91Ф'!$D$19+'91Ф'!$D$20)</f>
        <v>25013.72908405109</v>
      </c>
      <c r="EX198" s="276">
        <f t="shared" si="41"/>
        <v>3793.5964770122287</v>
      </c>
      <c r="EY198" s="276">
        <f>SUMIF('20Ф'!$H:$H,$B:$B,'20Ф'!$AY:$AY)*1.2</f>
        <v>0</v>
      </c>
      <c r="EZ198" s="295">
        <f>D198/$D$286*'20Ф'!$I$1163</f>
        <v>3793.5964770122287</v>
      </c>
      <c r="FA198" s="277">
        <f>SUMIF(отчёт!$B:$B,$B:$B,отчёт!$CU:$CU)/отчёт!$CU$281*'20Ф'!$I$1341</f>
        <v>920.96385542168503</v>
      </c>
      <c r="FB198" s="276">
        <f>SUMIF(Сальдо!$A:$A,$B:$B,Сальдо!$H:$H)-SUMIF(Сальдо!$A:$A,$B:$B,Сальдо!$I:$I)</f>
        <v>267765.40999999997</v>
      </c>
    </row>
    <row r="199" spans="1:158" ht="12" customHeight="1" x14ac:dyDescent="0.25">
      <c r="A199" s="3">
        <f t="shared" ref="A199:A262" si="44">A198+1</f>
        <v>195</v>
      </c>
      <c r="B199" s="4" t="s">
        <v>244</v>
      </c>
      <c r="C199" s="4" t="s">
        <v>244</v>
      </c>
      <c r="D199" s="5">
        <v>5357</v>
      </c>
      <c r="E199" s="6">
        <v>5357</v>
      </c>
      <c r="F199" s="6">
        <v>0</v>
      </c>
      <c r="G199" s="6">
        <v>1216.7</v>
      </c>
      <c r="H199" s="5">
        <f>SUMIF(отчёт!$B:$B,$B:$B,отчёт!I:I)</f>
        <v>1</v>
      </c>
      <c r="I199" s="5">
        <f>SUMIF(отчёт!$B:$B,$B:$B,отчёт!J:J)</f>
        <v>1</v>
      </c>
      <c r="J199" s="3" t="s">
        <v>114</v>
      </c>
      <c r="K199" s="105">
        <v>3</v>
      </c>
      <c r="L199" s="105" t="s">
        <v>52</v>
      </c>
      <c r="M199" s="7">
        <v>45.06</v>
      </c>
      <c r="N199" s="8">
        <v>5.0999999999999996</v>
      </c>
      <c r="O199" s="8">
        <v>8.6300000000000008</v>
      </c>
      <c r="P199" s="8">
        <v>13.43</v>
      </c>
      <c r="Q199" s="8">
        <v>6.91</v>
      </c>
      <c r="R199" s="8">
        <v>3.15</v>
      </c>
      <c r="S199" s="8">
        <v>1.81</v>
      </c>
      <c r="T199" s="8">
        <v>5.77</v>
      </c>
      <c r="U199" s="8">
        <v>0.26</v>
      </c>
      <c r="V199" s="9">
        <v>40</v>
      </c>
      <c r="W199" s="9">
        <v>40</v>
      </c>
      <c r="X199" s="9">
        <v>2604.04</v>
      </c>
      <c r="Y199" s="8">
        <v>195.98199600000001</v>
      </c>
      <c r="Z199" s="9">
        <v>42.3</v>
      </c>
      <c r="AA199" s="9">
        <v>2604.04</v>
      </c>
      <c r="AB199" s="8">
        <v>7.85</v>
      </c>
      <c r="AC199" s="10">
        <v>0</v>
      </c>
      <c r="AD199" s="8">
        <v>6.73</v>
      </c>
      <c r="AE199" s="8">
        <v>10.67</v>
      </c>
      <c r="AF199" s="8">
        <v>14</v>
      </c>
      <c r="AG199" s="7">
        <v>1448318.52</v>
      </c>
      <c r="AH199" s="8">
        <v>163924.19999999998</v>
      </c>
      <c r="AI199" s="8">
        <v>277385.46000000002</v>
      </c>
      <c r="AJ199" s="8">
        <v>431667.05999999994</v>
      </c>
      <c r="AK199" s="8">
        <v>222101.22000000003</v>
      </c>
      <c r="AL199" s="8">
        <v>101247.29999999999</v>
      </c>
      <c r="AM199" s="8">
        <v>58177.020000000004</v>
      </c>
      <c r="AN199" s="8">
        <v>185459.34</v>
      </c>
      <c r="AO199" s="8">
        <v>8356.92</v>
      </c>
      <c r="AQ199" s="104">
        <v>48.44</v>
      </c>
      <c r="AR199" s="375">
        <v>18.489999999999998</v>
      </c>
      <c r="AS199" s="376"/>
      <c r="AT199" s="104">
        <v>6.67</v>
      </c>
      <c r="AU199" s="104">
        <v>1.53</v>
      </c>
      <c r="AV199" s="104">
        <v>0.32</v>
      </c>
      <c r="AW199" s="104">
        <v>0.87</v>
      </c>
      <c r="AX199" s="104">
        <v>5.01</v>
      </c>
      <c r="AY199" s="104">
        <v>4.99</v>
      </c>
      <c r="AZ199" s="104">
        <v>2.7</v>
      </c>
      <c r="BA199" s="104">
        <v>6.46</v>
      </c>
      <c r="BB199" s="104">
        <v>0.47</v>
      </c>
      <c r="BC199" s="101">
        <v>0.93</v>
      </c>
      <c r="BD199" s="104">
        <v>54.88252</v>
      </c>
      <c r="BE199" s="375">
        <v>20.949169999999999</v>
      </c>
      <c r="BF199" s="376">
        <v>0</v>
      </c>
      <c r="BG199" s="104">
        <v>7.5571100000000007</v>
      </c>
      <c r="BH199" s="104">
        <v>1.7334900000000002</v>
      </c>
      <c r="BI199" s="104">
        <v>0.36256000000000005</v>
      </c>
      <c r="BJ199" s="104">
        <v>0.98571000000000009</v>
      </c>
      <c r="BK199" s="104">
        <v>5.6763300000000001</v>
      </c>
      <c r="BL199" s="104">
        <v>5.65367</v>
      </c>
      <c r="BM199" s="104">
        <v>3.0591000000000004</v>
      </c>
      <c r="BN199" s="104">
        <v>7.3191800000000002</v>
      </c>
      <c r="BO199" s="104">
        <v>0.53250999999999993</v>
      </c>
      <c r="BP199" s="101">
        <v>1.05369</v>
      </c>
      <c r="BQ199" s="103">
        <v>3459042.7563999998</v>
      </c>
      <c r="BR199" s="371">
        <v>1320348.8968999998</v>
      </c>
      <c r="BS199" s="371">
        <v>0</v>
      </c>
      <c r="BT199" s="103">
        <v>476296.76270000002</v>
      </c>
      <c r="BU199" s="103">
        <v>109255.47929999999</v>
      </c>
      <c r="BV199" s="103">
        <v>22850.819200000002</v>
      </c>
      <c r="BW199" s="103">
        <v>62125.664700000008</v>
      </c>
      <c r="BX199" s="103">
        <v>357758.13809999998</v>
      </c>
      <c r="BY199" s="103">
        <v>356329.96189999999</v>
      </c>
      <c r="BZ199" s="103">
        <v>192803.78700000004</v>
      </c>
      <c r="CA199" s="103">
        <v>461300.91260000004</v>
      </c>
      <c r="CB199" s="103">
        <v>33562.140699999989</v>
      </c>
      <c r="CC199" s="103">
        <v>66410.193299999999</v>
      </c>
      <c r="CD199" s="1">
        <v>1</v>
      </c>
      <c r="CF199" s="277">
        <f>SUMIF(Оборот!$A:$A,$B:$B,Оборот!H:H)</f>
        <v>2965350.24</v>
      </c>
      <c r="CG199" s="277">
        <f>SUMIF(Оборот!$A:$A,$B:$B,Оборот!I:I)</f>
        <v>3003067.6</v>
      </c>
      <c r="CH199" s="277">
        <f t="shared" si="38"/>
        <v>2602303.6378759639</v>
      </c>
      <c r="CI199" s="239">
        <f t="shared" si="42"/>
        <v>519993.32483698957</v>
      </c>
      <c r="CJ199" s="276">
        <f>SUMIF('20Ф'!$H:$H,$B:$B,'20Ф'!M:M)*1.2</f>
        <v>0</v>
      </c>
      <c r="CK199" s="276">
        <f>SUMIF('20Ф'!$H:$H,$B:$B,'20Ф'!O:O)*1.2</f>
        <v>0</v>
      </c>
      <c r="CL199" s="276">
        <f>SUMIF('20Ф'!$H:$H,$B:$B,'20Ф'!Q:Q)*1.2</f>
        <v>0</v>
      </c>
      <c r="CM199" s="276">
        <f>SUMIF('20Ф'!$H:$H,$B:$B,'20Ф'!R:R)*1.2</f>
        <v>0</v>
      </c>
      <c r="CN199" s="276">
        <f>SUMIF('20Ф'!$H:$H,$B:$B,'20Ф'!S:S)*1.2</f>
        <v>0</v>
      </c>
      <c r="CO199" s="276">
        <f>SUMIF('20Ф'!$H:$H,$B:$B,'20Ф'!W:W)*1.2</f>
        <v>18000</v>
      </c>
      <c r="CP199" s="276">
        <f>SUMIF('20Ф'!$H:$H,$B:$B,'20Ф'!P:P)*1.2</f>
        <v>0</v>
      </c>
      <c r="CQ199" s="276">
        <f>SUMIF('20Ф'!$H:$H,$B:$B,'20Ф'!Y:Y)*1.2</f>
        <v>0</v>
      </c>
      <c r="CR199" s="276">
        <f>SUMIF('20Ф'!$H:$H,$B:$B,'20Ф'!Z:Z)*1.2</f>
        <v>0</v>
      </c>
      <c r="CS199" s="276">
        <f>SUMIF('20Ф'!$H:$H,$B:$B,'20Ф'!AB:AB)*1.2</f>
        <v>0</v>
      </c>
      <c r="CT199" s="276">
        <f>SUMIF('20Ф'!$H:$H,$B:$B,'20Ф'!AC:AC)*1.2</f>
        <v>0</v>
      </c>
      <c r="CU199" s="276">
        <f>SUMIF('20Ф'!$H:$H,$B:$B,'20Ф'!AD:AD)*1.2</f>
        <v>0</v>
      </c>
      <c r="CV199" s="276">
        <f>SUMIF('20Ф'!$H:$H,$B:$B,'20Ф'!AE:AE)*1.2</f>
        <v>4114.5479999999998</v>
      </c>
      <c r="CW199" s="276">
        <f>SUMIF('20Ф'!$H:$H,$B:$B,'20Ф'!AF:AF)*1.2</f>
        <v>0</v>
      </c>
      <c r="CX199" s="276">
        <f>SUMIF('20Ф'!$H:$H,$B:$B,'20Ф'!AG:AG)*1.2</f>
        <v>0</v>
      </c>
      <c r="CY199" s="276">
        <f>SUMIF('20Ф'!$H:$H,$B:$B,'20Ф'!AH:AH)*1.2</f>
        <v>0</v>
      </c>
      <c r="CZ199" s="276">
        <f>SUMIF('20Ф'!$H:$H,$B:$B,'20Ф'!AI:AI)*1.2</f>
        <v>0</v>
      </c>
      <c r="DA199" s="276">
        <f>SUMIF('20Ф'!$H:$H,$B:$B,'20Ф'!AJ:AJ)*1.2</f>
        <v>0</v>
      </c>
      <c r="DB199" s="276">
        <f>SUMIF('20Ф'!$H:$H,$B:$B,'20Ф'!AK:AK)*1.2</f>
        <v>0</v>
      </c>
      <c r="DC199" s="276">
        <f>SUMIF('20Ф'!$H:$H,$B:$B,'20Ф'!AL:AL)*1.2</f>
        <v>0</v>
      </c>
      <c r="DD199" s="276">
        <f>SUMIF('20Ф'!$H:$H,$B:$B,'20Ф'!AM:AM)*1.2</f>
        <v>0</v>
      </c>
      <c r="DE199" s="276">
        <f>SUMIF('20Ф'!$H:$H,$B:$B,'20Ф'!AN:AN)*1.2</f>
        <v>0</v>
      </c>
      <c r="DF199" s="276">
        <f>SUMIF('20Ф'!$H:$H,$B:$B,'20Ф'!AO:AO)*1.2</f>
        <v>0</v>
      </c>
      <c r="DG199" s="276">
        <f>SUMIF('20Ф'!$H:$H,$B:$B,'20Ф'!AP:AP)*1.2</f>
        <v>450762.16800000001</v>
      </c>
      <c r="DH199" s="276">
        <f>SUMIF('20Ф'!$H:$H,$B:$B,'20Ф'!AQ:AQ)*1.2</f>
        <v>0</v>
      </c>
      <c r="DI199" s="276">
        <f>SUMIF('20Ф'!$H:$H,$B:$B,'20Ф'!BA:BA)*1.2</f>
        <v>0</v>
      </c>
      <c r="DJ199" s="276">
        <f>SUMIF('20Ф'!$H:$H,$B:$B,'20Ф'!BB:BB)*1.2</f>
        <v>0</v>
      </c>
      <c r="DK199" s="276">
        <f>SUMIF('20Ф'!$H:$H,$B:$B,'20Ф'!BC:BC)*1.2</f>
        <v>0</v>
      </c>
      <c r="DL199" s="276">
        <f>$D199/$D$281*'20Ф'!$H$218</f>
        <v>47116.608836989544</v>
      </c>
      <c r="DM199" s="240">
        <f t="shared" si="39"/>
        <v>664973.64611465507</v>
      </c>
      <c r="DN199" s="276">
        <f>SUMIF('20Ф'!$H:$H,$B:$B,'20Ф'!AV:AV)*1.2</f>
        <v>0</v>
      </c>
      <c r="DO199" s="276">
        <f>SUMIF('20Ф'!$H:$H,$B:$B,'20Ф'!AW:AW)*1.2+$D199/$D$281*'26Ф'!$D$42</f>
        <v>25073.02027289716</v>
      </c>
      <c r="DP199" s="276">
        <f>SUMIF('20Ф'!$H:$H,$B:$B,'20Ф'!AX:AX)*1.2</f>
        <v>0</v>
      </c>
      <c r="DQ199" s="276">
        <f>SUMIF('20Ф'!$H:$H,$B:$B,'20Ф'!AY:AY)*1.2</f>
        <v>0</v>
      </c>
      <c r="DR199" s="276">
        <f>SUMIF('20Ф'!$H:$H,$B:$B,'20Ф'!AU:AU)*1.2</f>
        <v>0</v>
      </c>
      <c r="DS199" s="276">
        <f>SUMIF('20Ф'!$H:$H,$B:$B,'20Ф'!AS:AS)*1.2</f>
        <v>197616.58799999999</v>
      </c>
      <c r="DT199" s="276">
        <f>SUMIF('20Ф'!$H:$H,$B:$B,'20Ф'!AR:AR)*1.2</f>
        <v>0</v>
      </c>
      <c r="DU199" s="276">
        <f>SUMIF('20Ф'!$H:$H,$B:$B,'20Ф'!X:X)*1.2</f>
        <v>0</v>
      </c>
      <c r="DV199" s="276">
        <f>SUMIF('20Ф'!$H:$H,$B:$B,'20Ф'!AA:AA)*1.2</f>
        <v>0</v>
      </c>
      <c r="DW199" s="276">
        <f>SUMIF('20Ф'!$H:$H,$B:$B,'20Ф'!N:N)*1.2</f>
        <v>0</v>
      </c>
      <c r="DX199" s="276">
        <f>$D199/$D$281*('25Ф'!$D$37)</f>
        <v>421446.10385149479</v>
      </c>
      <c r="DY199" s="276">
        <f>$D199/$D$281*'25Ф'!$D$30</f>
        <v>13451.236640166317</v>
      </c>
      <c r="DZ199" s="276">
        <f>$D199/$D$281*'25Ф'!$D$31</f>
        <v>7386.6973500968888</v>
      </c>
      <c r="EA199" s="276"/>
      <c r="EB199" s="276">
        <f t="shared" si="40"/>
        <v>265517.66004779591</v>
      </c>
      <c r="EC199" s="276">
        <f>$D199/$D$281*'26Ф'!$D$36</f>
        <v>138210.49298775251</v>
      </c>
      <c r="ED199" s="276">
        <f>$D199/$D$281*'26Ф'!$D$37</f>
        <v>16605.843120794318</v>
      </c>
      <c r="EE199" s="276">
        <f>$D199/$D$281*'26Ф'!$D$38</f>
        <v>16776.152382375167</v>
      </c>
      <c r="EF199" s="276">
        <f>$D199/$D$281*'26Ф'!$D$39</f>
        <v>11768.455585037969</v>
      </c>
      <c r="EG199" s="276">
        <f>$D199/$D$281*'91Ф'!$D$10</f>
        <v>3630.5636535491517</v>
      </c>
      <c r="EH199" s="276">
        <f>$D199/$D$281*('20Ф'!$I$509+'26Ф'!$D$41+'20Ф'!$I$507)</f>
        <v>25685.042360837724</v>
      </c>
      <c r="EI199" s="276">
        <f>$D199/$D$281*'91Ф'!$D$31</f>
        <v>47084.455258751594</v>
      </c>
      <c r="EJ199" s="276">
        <f>$D199/$D$281*'20Ф'!$I$1316</f>
        <v>5756.654698697489</v>
      </c>
      <c r="EK199" s="276">
        <f>$D199/$D$281*('20Ф'!$I$1105+'20Ф'!$I$1282+'91Ф'!$D$17+'91Ф'!$D$41)</f>
        <v>189054.95379507772</v>
      </c>
      <c r="EL199" s="276">
        <f>$D199/$D$281*отчёт!BX$294</f>
        <v>316042.22548449639</v>
      </c>
      <c r="EM199" s="276">
        <f>$D199/$D$281*отчёт!BY$294</f>
        <v>277942.17278645182</v>
      </c>
      <c r="EN199" s="276">
        <f>$D199/$D$283*отчёт!BZ$294</f>
        <v>49881.931707098134</v>
      </c>
      <c r="EO199" s="240">
        <f t="shared" si="37"/>
        <v>184422.89750099799</v>
      </c>
      <c r="EP199" s="276">
        <f>SUMIF('20Ф'!$H:$H,$B:$B,'20Ф'!T:T)*1.2</f>
        <v>6559.4879999999994</v>
      </c>
      <c r="EQ199" s="276">
        <f>SUM(H199:I199)/SUM($H$284:$I$284)*SUM('60Ф'!$O$155:$P$155)</f>
        <v>172510.26175648702</v>
      </c>
      <c r="ER199" s="276">
        <f>SUM($H199:$I199)/SUM($H$284:$I$284)*SUM('60Ф'!$P$227)</f>
        <v>5353.1477445109776</v>
      </c>
      <c r="ES199" s="239">
        <f t="shared" si="43"/>
        <v>105779.45323946871</v>
      </c>
      <c r="ET199" s="276">
        <f>$D199/$D$282*'20Ф'!$I$381</f>
        <v>8084.8249608018095</v>
      </c>
      <c r="EU199" s="276">
        <f>$D199/$D$282*('20Ф'!$I$75+'20Ф'!$I$1098)*1.2</f>
        <v>93383.317372644538</v>
      </c>
      <c r="EV199" s="276">
        <f>$D199/$D$282*('20Ф'!$I$1286)</f>
        <v>4311.3109060223705</v>
      </c>
      <c r="EW199" s="276">
        <f>SUMIF('91.1Ф'!$N:$N,$B:$B,'91.1Ф'!$F:$F)+$D199/$D$281*('91Ф'!$D$12+'91Ф'!$D$11+'91Ф'!$D$19+'91Ф'!$D$20)</f>
        <v>24916.518846252573</v>
      </c>
      <c r="EX199" s="276">
        <f t="shared" si="41"/>
        <v>3778.8535166802121</v>
      </c>
      <c r="EY199" s="276">
        <f>SUMIF('20Ф'!$H:$H,$B:$B,'20Ф'!$AY:$AY)*1.2</f>
        <v>0</v>
      </c>
      <c r="EZ199" s="295">
        <f>D199/$D$286*'20Ф'!$I$1163</f>
        <v>3778.8535166802121</v>
      </c>
      <c r="FA199" s="277">
        <f>SUMIF(отчёт!$B:$B,$B:$B,отчёт!$CU:$CU)/отчёт!$CU$281*'20Ф'!$I$1341</f>
        <v>920.96385542168503</v>
      </c>
      <c r="FB199" s="276">
        <f>SUMIF(Сальдо!$A:$A,$B:$B,Сальдо!$H:$H)-SUMIF(Сальдо!$A:$A,$B:$B,Сальдо!$I:$I)</f>
        <v>359913.57</v>
      </c>
    </row>
    <row r="200" spans="1:158" ht="12" customHeight="1" x14ac:dyDescent="0.25">
      <c r="A200" s="3">
        <f t="shared" si="44"/>
        <v>196</v>
      </c>
      <c r="B200" s="4" t="s">
        <v>245</v>
      </c>
      <c r="C200" s="4" t="s">
        <v>245</v>
      </c>
      <c r="D200" s="5">
        <v>5375</v>
      </c>
      <c r="E200" s="6">
        <v>5375</v>
      </c>
      <c r="F200" s="6">
        <v>0</v>
      </c>
      <c r="G200" s="6">
        <v>2019.6</v>
      </c>
      <c r="H200" s="5">
        <f>SUMIF(отчёт!$B:$B,$B:$B,отчёт!I:I)</f>
        <v>1</v>
      </c>
      <c r="I200" s="5">
        <f>SUMIF(отчёт!$B:$B,$B:$B,отчёт!J:J)</f>
        <v>1</v>
      </c>
      <c r="J200" s="3" t="s">
        <v>114</v>
      </c>
      <c r="K200" s="105">
        <v>3</v>
      </c>
      <c r="L200" s="105" t="s">
        <v>52</v>
      </c>
      <c r="M200" s="7">
        <v>45.06</v>
      </c>
      <c r="N200" s="8">
        <v>5.0999999999999996</v>
      </c>
      <c r="O200" s="8">
        <v>8.6300000000000008</v>
      </c>
      <c r="P200" s="8">
        <v>13.43</v>
      </c>
      <c r="Q200" s="8">
        <v>6.91</v>
      </c>
      <c r="R200" s="8">
        <v>3.15</v>
      </c>
      <c r="S200" s="8">
        <v>1.81</v>
      </c>
      <c r="T200" s="8">
        <v>5.77</v>
      </c>
      <c r="U200" s="8">
        <v>0.26</v>
      </c>
      <c r="V200" s="9">
        <v>40</v>
      </c>
      <c r="W200" s="9">
        <v>40</v>
      </c>
      <c r="X200" s="9">
        <v>2604.04</v>
      </c>
      <c r="Y200" s="8">
        <v>195.98199600000001</v>
      </c>
      <c r="Z200" s="9">
        <v>42.3</v>
      </c>
      <c r="AA200" s="9">
        <v>2604.04</v>
      </c>
      <c r="AB200" s="8">
        <v>7.85</v>
      </c>
      <c r="AC200" s="10">
        <v>0</v>
      </c>
      <c r="AD200" s="8">
        <v>6.73</v>
      </c>
      <c r="AE200" s="8">
        <v>10.67</v>
      </c>
      <c r="AF200" s="8">
        <v>14</v>
      </c>
      <c r="AG200" s="7">
        <v>1453185</v>
      </c>
      <c r="AH200" s="8">
        <v>164474.99999999997</v>
      </c>
      <c r="AI200" s="8">
        <v>278317.50000000006</v>
      </c>
      <c r="AJ200" s="8">
        <v>433117.5</v>
      </c>
      <c r="AK200" s="8">
        <v>222847.5</v>
      </c>
      <c r="AL200" s="8">
        <v>101587.5</v>
      </c>
      <c r="AM200" s="8">
        <v>58372.5</v>
      </c>
      <c r="AN200" s="8">
        <v>186082.49999999997</v>
      </c>
      <c r="AO200" s="8">
        <v>8385</v>
      </c>
      <c r="AQ200" s="104">
        <v>48.44</v>
      </c>
      <c r="AR200" s="375">
        <v>18.489999999999998</v>
      </c>
      <c r="AS200" s="376"/>
      <c r="AT200" s="104">
        <v>6.67</v>
      </c>
      <c r="AU200" s="104">
        <v>1.53</v>
      </c>
      <c r="AV200" s="104">
        <v>0.32</v>
      </c>
      <c r="AW200" s="104">
        <v>0.87</v>
      </c>
      <c r="AX200" s="104">
        <v>5.01</v>
      </c>
      <c r="AY200" s="104">
        <v>4.99</v>
      </c>
      <c r="AZ200" s="104">
        <v>2.7</v>
      </c>
      <c r="BA200" s="104">
        <v>6.46</v>
      </c>
      <c r="BB200" s="104">
        <v>0.47</v>
      </c>
      <c r="BC200" s="101">
        <v>0.93</v>
      </c>
      <c r="BD200" s="104">
        <v>54.88252</v>
      </c>
      <c r="BE200" s="375">
        <v>20.949169999999999</v>
      </c>
      <c r="BF200" s="376">
        <v>0</v>
      </c>
      <c r="BG200" s="104">
        <v>7.5571100000000007</v>
      </c>
      <c r="BH200" s="104">
        <v>1.7334900000000002</v>
      </c>
      <c r="BI200" s="104">
        <v>0.36256000000000005</v>
      </c>
      <c r="BJ200" s="104">
        <v>0.98571000000000009</v>
      </c>
      <c r="BK200" s="104">
        <v>5.6763300000000001</v>
      </c>
      <c r="BL200" s="104">
        <v>5.65367</v>
      </c>
      <c r="BM200" s="104">
        <v>3.0591000000000004</v>
      </c>
      <c r="BN200" s="104">
        <v>7.3191800000000002</v>
      </c>
      <c r="BO200" s="104">
        <v>0.53250999999999993</v>
      </c>
      <c r="BP200" s="101">
        <v>1.05369</v>
      </c>
      <c r="BQ200" s="103">
        <v>3470665.45</v>
      </c>
      <c r="BR200" s="371">
        <v>1324785.3875</v>
      </c>
      <c r="BS200" s="371">
        <v>0</v>
      </c>
      <c r="BT200" s="103">
        <v>477897.16250000003</v>
      </c>
      <c r="BU200" s="103">
        <v>109622.58749999999</v>
      </c>
      <c r="BV200" s="103">
        <v>22927.599999999999</v>
      </c>
      <c r="BW200" s="103">
        <v>62334.412500000006</v>
      </c>
      <c r="BX200" s="103">
        <v>358960.23749999999</v>
      </c>
      <c r="BY200" s="103">
        <v>357527.26250000001</v>
      </c>
      <c r="BZ200" s="103">
        <v>193451.62500000003</v>
      </c>
      <c r="CA200" s="103">
        <v>462850.92499999999</v>
      </c>
      <c r="CB200" s="103">
        <v>33674.912499999991</v>
      </c>
      <c r="CC200" s="103">
        <v>66633.337499999994</v>
      </c>
      <c r="CD200" s="1">
        <v>1</v>
      </c>
      <c r="CF200" s="277">
        <f>SUMIF(Оборот!$A:$A,$B:$B,Оборот!H:H)</f>
        <v>2977855.8100000005</v>
      </c>
      <c r="CG200" s="277">
        <f>SUMIF(Оборот!$A:$A,$B:$B,Оборот!I:I)</f>
        <v>3152731.72</v>
      </c>
      <c r="CH200" s="277">
        <f t="shared" si="38"/>
        <v>1989553.3082322737</v>
      </c>
      <c r="CI200" s="239">
        <f t="shared" si="42"/>
        <v>47274.924864442561</v>
      </c>
      <c r="CJ200" s="276">
        <f>SUMIF('20Ф'!$H:$H,$B:$B,'20Ф'!M:M)*1.2</f>
        <v>0</v>
      </c>
      <c r="CK200" s="276">
        <f>SUMIF('20Ф'!$H:$H,$B:$B,'20Ф'!O:O)*1.2</f>
        <v>0</v>
      </c>
      <c r="CL200" s="276">
        <f>SUMIF('20Ф'!$H:$H,$B:$B,'20Ф'!Q:Q)*1.2</f>
        <v>0</v>
      </c>
      <c r="CM200" s="276">
        <f>SUMIF('20Ф'!$H:$H,$B:$B,'20Ф'!R:R)*1.2</f>
        <v>0</v>
      </c>
      <c r="CN200" s="276">
        <f>SUMIF('20Ф'!$H:$H,$B:$B,'20Ф'!S:S)*1.2</f>
        <v>0</v>
      </c>
      <c r="CO200" s="276">
        <f>SUMIF('20Ф'!$H:$H,$B:$B,'20Ф'!W:W)*1.2</f>
        <v>0</v>
      </c>
      <c r="CP200" s="276">
        <f>SUMIF('20Ф'!$H:$H,$B:$B,'20Ф'!P:P)*1.2</f>
        <v>0</v>
      </c>
      <c r="CQ200" s="276">
        <f>SUMIF('20Ф'!$H:$H,$B:$B,'20Ф'!Y:Y)*1.2</f>
        <v>0</v>
      </c>
      <c r="CR200" s="276">
        <f>SUMIF('20Ф'!$H:$H,$B:$B,'20Ф'!Z:Z)*1.2</f>
        <v>0</v>
      </c>
      <c r="CS200" s="276">
        <f>SUMIF('20Ф'!$H:$H,$B:$B,'20Ф'!AB:AB)*1.2</f>
        <v>0</v>
      </c>
      <c r="CT200" s="276">
        <f>SUMIF('20Ф'!$H:$H,$B:$B,'20Ф'!AC:AC)*1.2</f>
        <v>0</v>
      </c>
      <c r="CU200" s="276">
        <f>SUMIF('20Ф'!$H:$H,$B:$B,'20Ф'!AD:AD)*1.2</f>
        <v>0</v>
      </c>
      <c r="CV200" s="276">
        <f>SUMIF('20Ф'!$H:$H,$B:$B,'20Ф'!AE:AE)*1.2</f>
        <v>0</v>
      </c>
      <c r="CW200" s="276">
        <f>SUMIF('20Ф'!$H:$H,$B:$B,'20Ф'!AF:AF)*1.2</f>
        <v>0</v>
      </c>
      <c r="CX200" s="276">
        <f>SUMIF('20Ф'!$H:$H,$B:$B,'20Ф'!AG:AG)*1.2</f>
        <v>0</v>
      </c>
      <c r="CY200" s="276">
        <f>SUMIF('20Ф'!$H:$H,$B:$B,'20Ф'!AH:AH)*1.2</f>
        <v>0</v>
      </c>
      <c r="CZ200" s="276">
        <f>SUMIF('20Ф'!$H:$H,$B:$B,'20Ф'!AI:AI)*1.2</f>
        <v>0</v>
      </c>
      <c r="DA200" s="276">
        <f>SUMIF('20Ф'!$H:$H,$B:$B,'20Ф'!AJ:AJ)*1.2</f>
        <v>0</v>
      </c>
      <c r="DB200" s="276">
        <f>SUMIF('20Ф'!$H:$H,$B:$B,'20Ф'!AK:AK)*1.2</f>
        <v>0</v>
      </c>
      <c r="DC200" s="276">
        <f>SUMIF('20Ф'!$H:$H,$B:$B,'20Ф'!AL:AL)*1.2</f>
        <v>0</v>
      </c>
      <c r="DD200" s="276">
        <f>SUMIF('20Ф'!$H:$H,$B:$B,'20Ф'!AM:AM)*1.2</f>
        <v>0</v>
      </c>
      <c r="DE200" s="276">
        <f>SUMIF('20Ф'!$H:$H,$B:$B,'20Ф'!AN:AN)*1.2</f>
        <v>0</v>
      </c>
      <c r="DF200" s="276">
        <f>SUMIF('20Ф'!$H:$H,$B:$B,'20Ф'!AO:AO)*1.2</f>
        <v>0</v>
      </c>
      <c r="DG200" s="276">
        <f>SUMIF('20Ф'!$H:$H,$B:$B,'20Ф'!AP:AP)*1.2</f>
        <v>0</v>
      </c>
      <c r="DH200" s="276">
        <f>SUMIF('20Ф'!$H:$H,$B:$B,'20Ф'!AQ:AQ)*1.2</f>
        <v>0</v>
      </c>
      <c r="DI200" s="276">
        <f>SUMIF('20Ф'!$H:$H,$B:$B,'20Ф'!BA:BA)*1.2</f>
        <v>0</v>
      </c>
      <c r="DJ200" s="276">
        <f>SUMIF('20Ф'!$H:$H,$B:$B,'20Ф'!BB:BB)*1.2</f>
        <v>0</v>
      </c>
      <c r="DK200" s="276">
        <f>SUMIF('20Ф'!$H:$H,$B:$B,'20Ф'!BC:BC)*1.2</f>
        <v>0</v>
      </c>
      <c r="DL200" s="276">
        <f>$D200/$D$281*'20Ф'!$H$218</f>
        <v>47274.924864442561</v>
      </c>
      <c r="DM200" s="240">
        <f t="shared" si="39"/>
        <v>520799.01570622955</v>
      </c>
      <c r="DN200" s="276">
        <f>SUMIF('20Ф'!$H:$H,$B:$B,'20Ф'!AV:AV)*1.2</f>
        <v>0</v>
      </c>
      <c r="DO200" s="276">
        <f>SUMIF('20Ф'!$H:$H,$B:$B,'20Ф'!AW:AW)*1.2+$D200/$D$281*'26Ф'!$D$42</f>
        <v>25157.267867616622</v>
      </c>
      <c r="DP200" s="276">
        <f>SUMIF('20Ф'!$H:$H,$B:$B,'20Ф'!AX:AX)*1.2</f>
        <v>0</v>
      </c>
      <c r="DQ200" s="276">
        <f>SUMIF('20Ф'!$H:$H,$B:$B,'20Ф'!AY:AY)*1.2</f>
        <v>0</v>
      </c>
      <c r="DR200" s="276">
        <f>SUMIF('20Ф'!$H:$H,$B:$B,'20Ф'!AU:AU)*1.2</f>
        <v>0</v>
      </c>
      <c r="DS200" s="276">
        <f>SUMIF('20Ф'!$H:$H,$B:$B,'20Ф'!AS:AS)*1.2</f>
        <v>51871.595999999998</v>
      </c>
      <c r="DT200" s="276">
        <f>SUMIF('20Ф'!$H:$H,$B:$B,'20Ф'!AR:AR)*1.2</f>
        <v>0</v>
      </c>
      <c r="DU200" s="276">
        <f>SUMIF('20Ф'!$H:$H,$B:$B,'20Ф'!X:X)*1.2</f>
        <v>0</v>
      </c>
      <c r="DV200" s="276">
        <f>SUMIF('20Ф'!$H:$H,$B:$B,'20Ф'!AA:AA)*1.2</f>
        <v>0</v>
      </c>
      <c r="DW200" s="276">
        <f>SUMIF('20Ф'!$H:$H,$B:$B,'20Ф'!N:N)*1.2</f>
        <v>0</v>
      </c>
      <c r="DX200" s="276">
        <f>$D200/$D$281*('25Ф'!$D$37)</f>
        <v>422862.20052301371</v>
      </c>
      <c r="DY200" s="276">
        <f>$D200/$D$281*'25Ф'!$D$30</f>
        <v>13496.434000540217</v>
      </c>
      <c r="DZ200" s="276">
        <f>$D200/$D$281*'25Ф'!$D$31</f>
        <v>7411.5173150589462</v>
      </c>
      <c r="EA200" s="276"/>
      <c r="EB200" s="276">
        <f t="shared" si="40"/>
        <v>266409.82317657326</v>
      </c>
      <c r="EC200" s="276">
        <f>$D200/$D$281*'26Ф'!$D$36</f>
        <v>138674.89262818175</v>
      </c>
      <c r="ED200" s="276">
        <f>$D200/$D$281*'26Ф'!$D$37</f>
        <v>16661.640241603407</v>
      </c>
      <c r="EE200" s="276">
        <f>$D200/$D$281*'26Ф'!$D$38</f>
        <v>16832.521757563289</v>
      </c>
      <c r="EF200" s="276">
        <f>$D200/$D$281*'26Ф'!$D$39</f>
        <v>11807.998650285437</v>
      </c>
      <c r="EG200" s="276">
        <f>$D200/$D$281*'91Ф'!$D$10</f>
        <v>3642.7626727322554</v>
      </c>
      <c r="EH200" s="276">
        <f>$D200/$D$281*('20Ф'!$I$509+'26Ф'!$D$41+'20Ф'!$I$507)</f>
        <v>25771.346404611304</v>
      </c>
      <c r="EI200" s="276">
        <f>$D200/$D$281*'91Ф'!$D$31</f>
        <v>47242.66324730069</v>
      </c>
      <c r="EJ200" s="276">
        <f>$D200/$D$281*'20Ф'!$I$1316</f>
        <v>5775.9975742951283</v>
      </c>
      <c r="EK200" s="276">
        <f>$D200/$D$281*('20Ф'!$I$1105+'20Ф'!$I$1282+'91Ф'!$D$17+'91Ф'!$D$41)</f>
        <v>189690.19537960476</v>
      </c>
      <c r="EL200" s="276">
        <f>$D200/$D$281*отчёт!BX$294</f>
        <v>317104.15568026283</v>
      </c>
      <c r="EM200" s="276">
        <f>$D200/$D$281*отчёт!BY$294</f>
        <v>278876.08339129708</v>
      </c>
      <c r="EN200" s="276">
        <f>$D200/$D$283*отчёт!BZ$294</f>
        <v>50049.539467174254</v>
      </c>
      <c r="EO200" s="240">
        <f t="shared" si="37"/>
        <v>184422.89750099799</v>
      </c>
      <c r="EP200" s="276">
        <f>SUMIF('20Ф'!$H:$H,$B:$B,'20Ф'!T:T)*1.2</f>
        <v>6559.4879999999994</v>
      </c>
      <c r="EQ200" s="276">
        <f>SUM(H200:I200)/SUM($H$284:$I$284)*SUM('60Ф'!$O$155:$P$155)</f>
        <v>172510.26175648702</v>
      </c>
      <c r="ER200" s="276">
        <f>SUM($H200:$I200)/SUM($H$284:$I$284)*SUM('60Ф'!$P$227)</f>
        <v>5353.1477445109776</v>
      </c>
      <c r="ES200" s="239">
        <f t="shared" si="43"/>
        <v>106134.88168044509</v>
      </c>
      <c r="ET200" s="276">
        <f>$D200/$D$282*'20Ф'!$I$381</f>
        <v>8111.9906970897382</v>
      </c>
      <c r="EU200" s="276">
        <f>$D200/$D$282*('20Ф'!$I$75+'20Ф'!$I$1098)*1.2</f>
        <v>93697.093686384978</v>
      </c>
      <c r="EV200" s="276">
        <f>$D200/$D$282*('20Ф'!$I$1286)</f>
        <v>4325.7972969703642</v>
      </c>
      <c r="EW200" s="276">
        <f>SUMIF('91.1Ф'!$N:$N,$B:$B,'91.1Ф'!$F:$F)+$D200/$D$281*('91Ф'!$D$12+'91Ф'!$D$11+'91Ф'!$D$19+'91Ф'!$D$20)</f>
        <v>25000.240582155606</v>
      </c>
      <c r="EX200" s="276">
        <f t="shared" si="41"/>
        <v>3791.5508030905617</v>
      </c>
      <c r="EY200" s="276">
        <f>SUMIF('20Ф'!$H:$H,$B:$B,'20Ф'!$AY:$AY)*1.2</f>
        <v>0</v>
      </c>
      <c r="EZ200" s="295">
        <f>D200/$D$286*'20Ф'!$I$1163</f>
        <v>3791.5508030905617</v>
      </c>
      <c r="FA200" s="277">
        <f>SUMIF(отчёт!$B:$B,$B:$B,отчёт!$CU:$CU)/отчёт!$CU$281*'20Ф'!$I$1341</f>
        <v>920.96385542168503</v>
      </c>
      <c r="FB200" s="276">
        <f>SUMIF(Сальдо!$A:$A,$B:$B,Сальдо!$H:$H)-SUMIF(Сальдо!$A:$A,$B:$B,Сальдо!$I:$I)</f>
        <v>355843.2</v>
      </c>
    </row>
    <row r="201" spans="1:158" ht="12" customHeight="1" x14ac:dyDescent="0.25">
      <c r="A201" s="3">
        <f t="shared" si="44"/>
        <v>197</v>
      </c>
      <c r="B201" s="4" t="s">
        <v>246</v>
      </c>
      <c r="C201" s="4" t="s">
        <v>246</v>
      </c>
      <c r="D201" s="5">
        <v>4210.2</v>
      </c>
      <c r="E201" s="6">
        <v>4210.2</v>
      </c>
      <c r="F201" s="6">
        <v>0</v>
      </c>
      <c r="G201" s="6">
        <v>1155.4000000000001</v>
      </c>
      <c r="H201" s="5">
        <f>SUMIF(отчёт!$B:$B,$B:$B,отчёт!I:I)</f>
        <v>2</v>
      </c>
      <c r="I201" s="5">
        <f>SUMIF(отчёт!$B:$B,$B:$B,отчёт!J:J)</f>
        <v>0</v>
      </c>
      <c r="J201" s="3" t="s">
        <v>114</v>
      </c>
      <c r="K201" s="105">
        <v>3</v>
      </c>
      <c r="L201" s="105" t="s">
        <v>52</v>
      </c>
      <c r="M201" s="7">
        <v>45.06</v>
      </c>
      <c r="N201" s="8">
        <v>5.0999999999999996</v>
      </c>
      <c r="O201" s="8">
        <v>8.6300000000000008</v>
      </c>
      <c r="P201" s="8">
        <v>13.43</v>
      </c>
      <c r="Q201" s="8">
        <v>6.91</v>
      </c>
      <c r="R201" s="8">
        <v>3.15</v>
      </c>
      <c r="S201" s="8">
        <v>1.81</v>
      </c>
      <c r="T201" s="8">
        <v>5.77</v>
      </c>
      <c r="U201" s="8">
        <v>0.26</v>
      </c>
      <c r="V201" s="9">
        <v>40</v>
      </c>
      <c r="W201" s="9">
        <v>40</v>
      </c>
      <c r="X201" s="9">
        <v>2604.04</v>
      </c>
      <c r="Y201" s="8">
        <v>195.98199600000001</v>
      </c>
      <c r="Z201" s="9">
        <v>42.3</v>
      </c>
      <c r="AA201" s="9">
        <v>2604.04</v>
      </c>
      <c r="AB201" s="8">
        <v>7.85</v>
      </c>
      <c r="AC201" s="10">
        <v>0</v>
      </c>
      <c r="AD201" s="8">
        <v>6.73</v>
      </c>
      <c r="AE201" s="8">
        <v>10.67</v>
      </c>
      <c r="AF201" s="8">
        <v>14</v>
      </c>
      <c r="AG201" s="7">
        <v>1138269.672</v>
      </c>
      <c r="AH201" s="8">
        <v>128832.11999999998</v>
      </c>
      <c r="AI201" s="8">
        <v>218004.15600000002</v>
      </c>
      <c r="AJ201" s="8">
        <v>339257.91599999997</v>
      </c>
      <c r="AK201" s="8">
        <v>174554.89199999999</v>
      </c>
      <c r="AL201" s="8">
        <v>79572.78</v>
      </c>
      <c r="AM201" s="8">
        <v>45722.771999999997</v>
      </c>
      <c r="AN201" s="8">
        <v>145757.12399999998</v>
      </c>
      <c r="AO201" s="8">
        <v>6567.9120000000003</v>
      </c>
      <c r="AQ201" s="104">
        <v>48.44</v>
      </c>
      <c r="AR201" s="375">
        <v>18.489999999999998</v>
      </c>
      <c r="AS201" s="376"/>
      <c r="AT201" s="104">
        <v>6.67</v>
      </c>
      <c r="AU201" s="104">
        <v>1.53</v>
      </c>
      <c r="AV201" s="104">
        <v>0.32</v>
      </c>
      <c r="AW201" s="104">
        <v>0.87</v>
      </c>
      <c r="AX201" s="104">
        <v>5.01</v>
      </c>
      <c r="AY201" s="104">
        <v>4.99</v>
      </c>
      <c r="AZ201" s="104">
        <v>2.7</v>
      </c>
      <c r="BA201" s="104">
        <v>6.46</v>
      </c>
      <c r="BB201" s="104">
        <v>0.47</v>
      </c>
      <c r="BC201" s="101">
        <v>0.93</v>
      </c>
      <c r="BD201" s="104">
        <v>54.88252</v>
      </c>
      <c r="BE201" s="375">
        <v>20.949169999999999</v>
      </c>
      <c r="BF201" s="376">
        <v>0</v>
      </c>
      <c r="BG201" s="104">
        <v>7.5571100000000007</v>
      </c>
      <c r="BH201" s="104">
        <v>1.7334900000000002</v>
      </c>
      <c r="BI201" s="104">
        <v>0.36256000000000005</v>
      </c>
      <c r="BJ201" s="104">
        <v>0.98571000000000009</v>
      </c>
      <c r="BK201" s="104">
        <v>5.6763300000000001</v>
      </c>
      <c r="BL201" s="104">
        <v>5.65367</v>
      </c>
      <c r="BM201" s="104">
        <v>3.0591000000000004</v>
      </c>
      <c r="BN201" s="104">
        <v>7.3191800000000002</v>
      </c>
      <c r="BO201" s="104">
        <v>0.53250999999999993</v>
      </c>
      <c r="BP201" s="101">
        <v>1.05369</v>
      </c>
      <c r="BQ201" s="103">
        <v>2718548.0330400001</v>
      </c>
      <c r="BR201" s="371">
        <v>1037695.1513399999</v>
      </c>
      <c r="BS201" s="371">
        <v>0</v>
      </c>
      <c r="BT201" s="103">
        <v>374333.51322000002</v>
      </c>
      <c r="BU201" s="103">
        <v>85866.607980000001</v>
      </c>
      <c r="BV201" s="103">
        <v>17959.029119999999</v>
      </c>
      <c r="BW201" s="103">
        <v>48826.110420000005</v>
      </c>
      <c r="BX201" s="103">
        <v>281171.04965999996</v>
      </c>
      <c r="BY201" s="103">
        <v>280048.61034000001</v>
      </c>
      <c r="BZ201" s="103">
        <v>151529.30820000003</v>
      </c>
      <c r="CA201" s="103">
        <v>362547.90035999997</v>
      </c>
      <c r="CB201" s="103">
        <v>26377.324019999993</v>
      </c>
      <c r="CC201" s="103">
        <v>52193.42837999999</v>
      </c>
      <c r="CD201" s="1">
        <v>1</v>
      </c>
      <c r="CF201" s="277">
        <f>SUMIF(Оборот!$A:$A,$B:$B,Оборот!H:H)</f>
        <v>2333363.8300000005</v>
      </c>
      <c r="CG201" s="277">
        <f>SUMIF(Оборот!$A:$A,$B:$B,Оборот!I:I)</f>
        <v>2568916.9000000004</v>
      </c>
      <c r="CH201" s="277">
        <f t="shared" si="38"/>
        <v>1614455.071041764</v>
      </c>
      <c r="CI201" s="239">
        <f t="shared" si="42"/>
        <v>37030.118821260658</v>
      </c>
      <c r="CJ201" s="276">
        <f>SUMIF('20Ф'!$H:$H,$B:$B,'20Ф'!M:M)*1.2</f>
        <v>0</v>
      </c>
      <c r="CK201" s="276">
        <f>SUMIF('20Ф'!$H:$H,$B:$B,'20Ф'!O:O)*1.2</f>
        <v>0</v>
      </c>
      <c r="CL201" s="276">
        <f>SUMIF('20Ф'!$H:$H,$B:$B,'20Ф'!Q:Q)*1.2</f>
        <v>0</v>
      </c>
      <c r="CM201" s="276">
        <f>SUMIF('20Ф'!$H:$H,$B:$B,'20Ф'!R:R)*1.2</f>
        <v>0</v>
      </c>
      <c r="CN201" s="276">
        <f>SUMIF('20Ф'!$H:$H,$B:$B,'20Ф'!S:S)*1.2</f>
        <v>0</v>
      </c>
      <c r="CO201" s="276">
        <f>SUMIF('20Ф'!$H:$H,$B:$B,'20Ф'!W:W)*1.2</f>
        <v>0</v>
      </c>
      <c r="CP201" s="276">
        <f>SUMIF('20Ф'!$H:$H,$B:$B,'20Ф'!P:P)*1.2</f>
        <v>0</v>
      </c>
      <c r="CQ201" s="276">
        <f>SUMIF('20Ф'!$H:$H,$B:$B,'20Ф'!Y:Y)*1.2</f>
        <v>0</v>
      </c>
      <c r="CR201" s="276">
        <f>SUMIF('20Ф'!$H:$H,$B:$B,'20Ф'!Z:Z)*1.2</f>
        <v>0</v>
      </c>
      <c r="CS201" s="276">
        <f>SUMIF('20Ф'!$H:$H,$B:$B,'20Ф'!AB:AB)*1.2</f>
        <v>0</v>
      </c>
      <c r="CT201" s="276">
        <f>SUMIF('20Ф'!$H:$H,$B:$B,'20Ф'!AC:AC)*1.2</f>
        <v>0</v>
      </c>
      <c r="CU201" s="276">
        <f>SUMIF('20Ф'!$H:$H,$B:$B,'20Ф'!AD:AD)*1.2</f>
        <v>0</v>
      </c>
      <c r="CV201" s="276">
        <f>SUMIF('20Ф'!$H:$H,$B:$B,'20Ф'!AE:AE)*1.2</f>
        <v>0</v>
      </c>
      <c r="CW201" s="276">
        <f>SUMIF('20Ф'!$H:$H,$B:$B,'20Ф'!AF:AF)*1.2</f>
        <v>0</v>
      </c>
      <c r="CX201" s="276">
        <f>SUMIF('20Ф'!$H:$H,$B:$B,'20Ф'!AG:AG)*1.2</f>
        <v>0</v>
      </c>
      <c r="CY201" s="276">
        <f>SUMIF('20Ф'!$H:$H,$B:$B,'20Ф'!AH:AH)*1.2</f>
        <v>0</v>
      </c>
      <c r="CZ201" s="276">
        <f>SUMIF('20Ф'!$H:$H,$B:$B,'20Ф'!AI:AI)*1.2</f>
        <v>0</v>
      </c>
      <c r="DA201" s="276">
        <f>SUMIF('20Ф'!$H:$H,$B:$B,'20Ф'!AJ:AJ)*1.2</f>
        <v>0</v>
      </c>
      <c r="DB201" s="276">
        <f>SUMIF('20Ф'!$H:$H,$B:$B,'20Ф'!AK:AK)*1.2</f>
        <v>0</v>
      </c>
      <c r="DC201" s="276">
        <f>SUMIF('20Ф'!$H:$H,$B:$B,'20Ф'!AL:AL)*1.2</f>
        <v>0</v>
      </c>
      <c r="DD201" s="276">
        <f>SUMIF('20Ф'!$H:$H,$B:$B,'20Ф'!AM:AM)*1.2</f>
        <v>0</v>
      </c>
      <c r="DE201" s="276">
        <f>SUMIF('20Ф'!$H:$H,$B:$B,'20Ф'!AN:AN)*1.2</f>
        <v>0</v>
      </c>
      <c r="DF201" s="276">
        <f>SUMIF('20Ф'!$H:$H,$B:$B,'20Ф'!AO:AO)*1.2</f>
        <v>0</v>
      </c>
      <c r="DG201" s="276">
        <f>SUMIF('20Ф'!$H:$H,$B:$B,'20Ф'!AP:AP)*1.2</f>
        <v>0</v>
      </c>
      <c r="DH201" s="276">
        <f>SUMIF('20Ф'!$H:$H,$B:$B,'20Ф'!AQ:AQ)*1.2</f>
        <v>0</v>
      </c>
      <c r="DI201" s="276">
        <f>SUMIF('20Ф'!$H:$H,$B:$B,'20Ф'!BA:BA)*1.2</f>
        <v>0</v>
      </c>
      <c r="DJ201" s="276">
        <f>SUMIF('20Ф'!$H:$H,$B:$B,'20Ф'!BB:BB)*1.2</f>
        <v>0</v>
      </c>
      <c r="DK201" s="276">
        <f>SUMIF('20Ф'!$H:$H,$B:$B,'20Ф'!BC:BC)*1.2</f>
        <v>0</v>
      </c>
      <c r="DL201" s="276">
        <f>$D201/$D$281*'20Ф'!$H$218</f>
        <v>37030.118821260658</v>
      </c>
      <c r="DM201" s="240">
        <f t="shared" si="39"/>
        <v>424024.35226924042</v>
      </c>
      <c r="DN201" s="276">
        <f>SUMIF('20Ф'!$H:$H,$B:$B,'20Ф'!AV:AV)*1.2</f>
        <v>0</v>
      </c>
      <c r="DO201" s="276">
        <f>SUMIF('20Ф'!$H:$H,$B:$B,'20Ф'!AW:AW)*1.2+$D201/$D$281*'26Ф'!$D$42</f>
        <v>19705.512404881763</v>
      </c>
      <c r="DP201" s="276">
        <f>SUMIF('20Ф'!$H:$H,$B:$B,'20Ф'!AX:AX)*1.2</f>
        <v>0</v>
      </c>
      <c r="DQ201" s="276">
        <f>SUMIF('20Ф'!$H:$H,$B:$B,'20Ф'!AY:AY)*1.2</f>
        <v>0</v>
      </c>
      <c r="DR201" s="276">
        <f>SUMIF('20Ф'!$H:$H,$B:$B,'20Ф'!AU:AU)*1.2</f>
        <v>0</v>
      </c>
      <c r="DS201" s="276">
        <f>SUMIF('20Ф'!$H:$H,$B:$B,'20Ф'!AS:AS)*1.2</f>
        <v>56716.776000000005</v>
      </c>
      <c r="DT201" s="276">
        <f>SUMIF('20Ф'!$H:$H,$B:$B,'20Ф'!AR:AR)*1.2</f>
        <v>0</v>
      </c>
      <c r="DU201" s="276">
        <f>SUMIF('20Ф'!$H:$H,$B:$B,'20Ф'!X:X)*1.2</f>
        <v>0</v>
      </c>
      <c r="DV201" s="276">
        <f>SUMIF('20Ф'!$H:$H,$B:$B,'20Ф'!AA:AA)*1.2</f>
        <v>0</v>
      </c>
      <c r="DW201" s="276">
        <f>SUMIF('20Ф'!$H:$H,$B:$B,'20Ф'!N:N)*1.2</f>
        <v>0</v>
      </c>
      <c r="DX201" s="276">
        <f>$D201/$D$281*('25Ф'!$D$37)</f>
        <v>331225.0114682776</v>
      </c>
      <c r="DY201" s="276">
        <f>$D201/$D$281*'25Ф'!$D$30</f>
        <v>10571.662591455706</v>
      </c>
      <c r="DZ201" s="276">
        <f>$D201/$D$281*'25Ф'!$D$31</f>
        <v>5805.3898046253353</v>
      </c>
      <c r="EA201" s="276"/>
      <c r="EB201" s="276">
        <f t="shared" si="40"/>
        <v>208676.95582102489</v>
      </c>
      <c r="EC201" s="276">
        <f>$D201/$D$281*'26Ф'!$D$36</f>
        <v>108623.07589640387</v>
      </c>
      <c r="ED201" s="276">
        <f>$D201/$D$281*'26Ф'!$D$37</f>
        <v>13050.946557246263</v>
      </c>
      <c r="EE201" s="276">
        <f>$D201/$D$281*'26Ф'!$D$38</f>
        <v>13184.796856501014</v>
      </c>
      <c r="EF201" s="276">
        <f>$D201/$D$281*'26Ф'!$D$39</f>
        <v>9249.122961382649</v>
      </c>
      <c r="EG201" s="276">
        <f>$D201/$D$281*'91Ф'!$D$10</f>
        <v>2853.3505869278774</v>
      </c>
      <c r="EH201" s="276">
        <f>$D201/$D$281*('20Ф'!$I$509+'26Ф'!$D$41+'20Ф'!$I$507)</f>
        <v>20186.51583864084</v>
      </c>
      <c r="EI201" s="276">
        <f>$D201/$D$281*'91Ф'!$D$31</f>
        <v>37004.848521634485</v>
      </c>
      <c r="EJ201" s="276">
        <f>$D201/$D$281*'20Ф'!$I$1316</f>
        <v>4524.2986022878786</v>
      </c>
      <c r="EK201" s="276">
        <f>$D201/$D$281*('20Ф'!$I$1105+'20Ф'!$I$1282+'91Ф'!$D$17+'91Ф'!$D$41)</f>
        <v>148583.00662087664</v>
      </c>
      <c r="EL201" s="276">
        <f>$D201/$D$281*отчёт!BX$294</f>
        <v>248385.47278977535</v>
      </c>
      <c r="EM201" s="276">
        <f>$D201/$D$281*отчёт!BY$294</f>
        <v>218441.69047330957</v>
      </c>
      <c r="EN201" s="276">
        <f>$D201/$D$283*отчёт!BZ$294</f>
        <v>39203.455081804103</v>
      </c>
      <c r="EO201" s="240">
        <f t="shared" si="37"/>
        <v>184422.89750099799</v>
      </c>
      <c r="EP201" s="276">
        <f>SUMIF('20Ф'!$H:$H,$B:$B,'20Ф'!T:T)*1.2</f>
        <v>6559.4879999999994</v>
      </c>
      <c r="EQ201" s="276">
        <f>SUM(H201:I201)/SUM($H$284:$I$284)*SUM('60Ф'!$O$155:$P$155)</f>
        <v>172510.26175648702</v>
      </c>
      <c r="ER201" s="276">
        <f>SUM($H201:$I201)/SUM($H$284:$I$284)*SUM('60Ф'!$P$227)</f>
        <v>5353.1477445109776</v>
      </c>
      <c r="ES201" s="239">
        <f t="shared" si="43"/>
        <v>83134.71234437394</v>
      </c>
      <c r="ET201" s="276">
        <f>$D201/$D$282*'20Ф'!$I$381</f>
        <v>6354.0657177464582</v>
      </c>
      <c r="EU201" s="276">
        <f>$D201/$D$282*('20Ф'!$I$75+'20Ф'!$I$1098)*1.2</f>
        <v>73392.279783891732</v>
      </c>
      <c r="EV201" s="276">
        <f>$D201/$D$282*('20Ф'!$I$1286)</f>
        <v>3388.3668427357447</v>
      </c>
      <c r="EW201" s="276">
        <f>SUMIF('91.1Ф'!$N:$N,$B:$B,'91.1Ф'!$F:$F)+$D201/$D$281*('91Ф'!$D$12+'91Ф'!$D$11+'91Ф'!$D$19+'91Ф'!$D$20)</f>
        <v>19582.514027719353</v>
      </c>
      <c r="EX201" s="276">
        <f t="shared" si="41"/>
        <v>2969.8952913808153</v>
      </c>
      <c r="EY201" s="276">
        <f>SUMIF('20Ф'!$H:$H,$B:$B,'20Ф'!$AY:$AY)*1.2</f>
        <v>0</v>
      </c>
      <c r="EZ201" s="295">
        <f>D201/$D$286*'20Ф'!$I$1163</f>
        <v>2969.8952913808153</v>
      </c>
      <c r="FA201" s="277">
        <f>SUMIF(отчёт!$B:$B,$B:$B,отчёт!$CU:$CU)/отчёт!$CU$281*'20Ф'!$I$1341</f>
        <v>920.96385542168503</v>
      </c>
      <c r="FB201" s="276">
        <f>SUMIF(Сальдо!$A:$A,$B:$B,Сальдо!$H:$H)-SUMIF(Сальдо!$A:$A,$B:$B,Сальдо!$I:$I)</f>
        <v>1093094.7</v>
      </c>
    </row>
    <row r="202" spans="1:158" ht="12" customHeight="1" x14ac:dyDescent="0.25">
      <c r="A202" s="3">
        <f t="shared" si="44"/>
        <v>198</v>
      </c>
      <c r="B202" s="4" t="s">
        <v>247</v>
      </c>
      <c r="C202" s="4" t="s">
        <v>247</v>
      </c>
      <c r="D202" s="5">
        <v>6338.79</v>
      </c>
      <c r="E202" s="6">
        <v>6313.5</v>
      </c>
      <c r="F202" s="6">
        <v>25.29</v>
      </c>
      <c r="G202" s="6">
        <v>1427.1</v>
      </c>
      <c r="H202" s="5">
        <f>SUMIF(отчёт!$B:$B,$B:$B,отчёт!I:I)</f>
        <v>4</v>
      </c>
      <c r="I202" s="5">
        <f>SUMIF(отчёт!$B:$B,$B:$B,отчёт!J:J)</f>
        <v>0</v>
      </c>
      <c r="J202" s="3" t="s">
        <v>114</v>
      </c>
      <c r="K202" s="105">
        <v>1</v>
      </c>
      <c r="L202" s="105" t="s">
        <v>52</v>
      </c>
      <c r="M202" s="7">
        <v>44.8</v>
      </c>
      <c r="N202" s="8">
        <v>5.0999999999999996</v>
      </c>
      <c r="O202" s="8">
        <v>8.6300000000000008</v>
      </c>
      <c r="P202" s="8">
        <v>13.43</v>
      </c>
      <c r="Q202" s="8">
        <v>6.91</v>
      </c>
      <c r="R202" s="8">
        <v>3.15</v>
      </c>
      <c r="S202" s="8">
        <v>1.81</v>
      </c>
      <c r="T202" s="8">
        <v>5.77</v>
      </c>
      <c r="U202" s="8">
        <v>0</v>
      </c>
      <c r="V202" s="9">
        <v>40</v>
      </c>
      <c r="W202" s="9">
        <v>40</v>
      </c>
      <c r="X202" s="9">
        <v>2604.04</v>
      </c>
      <c r="Y202" s="8">
        <v>195.98199600000001</v>
      </c>
      <c r="Z202" s="9">
        <v>42.3</v>
      </c>
      <c r="AA202" s="9">
        <v>2604.04</v>
      </c>
      <c r="AB202" s="8">
        <v>0</v>
      </c>
      <c r="AC202" s="10">
        <v>0</v>
      </c>
      <c r="AD202" s="8">
        <v>5.05</v>
      </c>
      <c r="AE202" s="8">
        <v>10.67</v>
      </c>
      <c r="AF202" s="8">
        <v>14</v>
      </c>
      <c r="AG202" s="7">
        <v>1703866.7519999999</v>
      </c>
      <c r="AH202" s="8">
        <v>193966.97399999999</v>
      </c>
      <c r="AI202" s="8">
        <v>328222.54619999998</v>
      </c>
      <c r="AJ202" s="8">
        <v>510779.69819999998</v>
      </c>
      <c r="AK202" s="8">
        <v>262806.23340000003</v>
      </c>
      <c r="AL202" s="8">
        <v>119803.13099999999</v>
      </c>
      <c r="AM202" s="8">
        <v>68839.259399999995</v>
      </c>
      <c r="AN202" s="8">
        <v>219448.90979999999</v>
      </c>
      <c r="AO202" s="8">
        <v>0</v>
      </c>
      <c r="AQ202" s="104">
        <v>48.16</v>
      </c>
      <c r="AR202" s="375">
        <v>18.649999999999999</v>
      </c>
      <c r="AS202" s="376"/>
      <c r="AT202" s="104">
        <v>7.16</v>
      </c>
      <c r="AU202" s="104">
        <v>1.53</v>
      </c>
      <c r="AV202" s="104">
        <v>0.32</v>
      </c>
      <c r="AW202" s="104">
        <v>0.87</v>
      </c>
      <c r="AX202" s="104">
        <v>5.01</v>
      </c>
      <c r="AY202" s="104">
        <v>4.99</v>
      </c>
      <c r="AZ202" s="104">
        <v>2.7</v>
      </c>
      <c r="BA202" s="104">
        <v>6.46</v>
      </c>
      <c r="BB202" s="104">
        <v>0.47</v>
      </c>
      <c r="BC202" s="101">
        <v>0</v>
      </c>
      <c r="BD202" s="104">
        <v>54.565279999999994</v>
      </c>
      <c r="BE202" s="375">
        <v>21.130449999999996</v>
      </c>
      <c r="BF202" s="376">
        <v>0</v>
      </c>
      <c r="BG202" s="104">
        <v>8.1122800000000002</v>
      </c>
      <c r="BH202" s="104">
        <v>1.7334900000000002</v>
      </c>
      <c r="BI202" s="104">
        <v>0.36255999999999999</v>
      </c>
      <c r="BJ202" s="104">
        <v>0.98570999999999998</v>
      </c>
      <c r="BK202" s="104">
        <v>5.6763299999999992</v>
      </c>
      <c r="BL202" s="104">
        <v>5.6536700000000009</v>
      </c>
      <c r="BM202" s="104">
        <v>3.0591000000000004</v>
      </c>
      <c r="BN202" s="104">
        <v>7.3191800000000002</v>
      </c>
      <c r="BO202" s="104">
        <v>0.53250999999999993</v>
      </c>
      <c r="BP202" s="101">
        <v>0</v>
      </c>
      <c r="BQ202" s="103">
        <v>4069330.7649119999</v>
      </c>
      <c r="BR202" s="371">
        <v>1575851.7185549999</v>
      </c>
      <c r="BS202" s="371">
        <v>0</v>
      </c>
      <c r="BT202" s="103">
        <v>604991.86621200002</v>
      </c>
      <c r="BU202" s="103">
        <v>129278.988171</v>
      </c>
      <c r="BV202" s="103">
        <v>27038.742623999999</v>
      </c>
      <c r="BW202" s="103">
        <v>73511.581508999996</v>
      </c>
      <c r="BX202" s="103">
        <v>423325.31420699996</v>
      </c>
      <c r="BY202" s="103">
        <v>421635.39279300009</v>
      </c>
      <c r="BZ202" s="103">
        <v>228139.39089000004</v>
      </c>
      <c r="CA202" s="103">
        <v>545844.61672200006</v>
      </c>
      <c r="CB202" s="103">
        <v>39713.153228999989</v>
      </c>
      <c r="CC202" s="103">
        <v>0</v>
      </c>
      <c r="CD202" s="1">
        <v>1</v>
      </c>
      <c r="CF202" s="277">
        <f>SUMIF(Оборот!$A:$A,$B:$B,Оборот!H:H)</f>
        <v>3479224.64</v>
      </c>
      <c r="CG202" s="277">
        <f>SUMIF(Оборот!$A:$A,$B:$B,Оборот!I:I)</f>
        <v>3540996.0999999996</v>
      </c>
      <c r="CH202" s="277">
        <f t="shared" si="38"/>
        <v>3229559.6871722918</v>
      </c>
      <c r="CI202" s="239">
        <f t="shared" si="42"/>
        <v>616466.67264771718</v>
      </c>
      <c r="CJ202" s="276">
        <f>SUMIF('20Ф'!$H:$H,$B:$B,'20Ф'!M:M)*1.2</f>
        <v>162173.484</v>
      </c>
      <c r="CK202" s="276">
        <f>SUMIF('20Ф'!$H:$H,$B:$B,'20Ф'!O:O)*1.2</f>
        <v>196802.90400000001</v>
      </c>
      <c r="CL202" s="276">
        <f>SUMIF('20Ф'!$H:$H,$B:$B,'20Ф'!Q:Q)*1.2</f>
        <v>133740</v>
      </c>
      <c r="CM202" s="276">
        <f>SUMIF('20Ф'!$H:$H,$B:$B,'20Ф'!R:R)*1.2</f>
        <v>0</v>
      </c>
      <c r="CN202" s="276">
        <f>SUMIF('20Ф'!$H:$H,$B:$B,'20Ф'!S:S)*1.2</f>
        <v>0</v>
      </c>
      <c r="CO202" s="276">
        <f>SUMIF('20Ф'!$H:$H,$B:$B,'20Ф'!W:W)*1.2</f>
        <v>0</v>
      </c>
      <c r="CP202" s="276">
        <f>SUMIF('20Ф'!$H:$H,$B:$B,'20Ф'!P:P)*1.2</f>
        <v>0</v>
      </c>
      <c r="CQ202" s="276">
        <f>SUMIF('20Ф'!$H:$H,$B:$B,'20Ф'!Y:Y)*1.2</f>
        <v>0</v>
      </c>
      <c r="CR202" s="276">
        <f>SUMIF('20Ф'!$H:$H,$B:$B,'20Ф'!Z:Z)*1.2</f>
        <v>0</v>
      </c>
      <c r="CS202" s="276">
        <f>SUMIF('20Ф'!$H:$H,$B:$B,'20Ф'!AB:AB)*1.2</f>
        <v>0</v>
      </c>
      <c r="CT202" s="276">
        <f>SUMIF('20Ф'!$H:$H,$B:$B,'20Ф'!AC:AC)*1.2</f>
        <v>0</v>
      </c>
      <c r="CU202" s="276">
        <f>SUMIF('20Ф'!$H:$H,$B:$B,'20Ф'!AD:AD)*1.2</f>
        <v>0</v>
      </c>
      <c r="CV202" s="276">
        <f>SUMIF('20Ф'!$H:$H,$B:$B,'20Ф'!AE:AE)*1.2</f>
        <v>0</v>
      </c>
      <c r="CW202" s="276">
        <f>SUMIF('20Ф'!$H:$H,$B:$B,'20Ф'!AF:AF)*1.2</f>
        <v>0</v>
      </c>
      <c r="CX202" s="276">
        <f>SUMIF('20Ф'!$H:$H,$B:$B,'20Ф'!AG:AG)*1.2</f>
        <v>0</v>
      </c>
      <c r="CY202" s="276">
        <f>SUMIF('20Ф'!$H:$H,$B:$B,'20Ф'!AH:AH)*1.2</f>
        <v>0</v>
      </c>
      <c r="CZ202" s="276">
        <f>SUMIF('20Ф'!$H:$H,$B:$B,'20Ф'!AI:AI)*1.2</f>
        <v>0</v>
      </c>
      <c r="DA202" s="276">
        <f>SUMIF('20Ф'!$H:$H,$B:$B,'20Ф'!AJ:AJ)*1.2</f>
        <v>0</v>
      </c>
      <c r="DB202" s="276">
        <f>SUMIF('20Ф'!$H:$H,$B:$B,'20Ф'!AK:AK)*1.2</f>
        <v>0</v>
      </c>
      <c r="DC202" s="276">
        <f>SUMIF('20Ф'!$H:$H,$B:$B,'20Ф'!AL:AL)*1.2</f>
        <v>67998.504000000001</v>
      </c>
      <c r="DD202" s="276">
        <f>SUMIF('20Ф'!$H:$H,$B:$B,'20Ф'!AM:AM)*1.2</f>
        <v>0</v>
      </c>
      <c r="DE202" s="276">
        <f>SUMIF('20Ф'!$H:$H,$B:$B,'20Ф'!AN:AN)*1.2</f>
        <v>0</v>
      </c>
      <c r="DF202" s="276">
        <f>SUMIF('20Ф'!$H:$H,$B:$B,'20Ф'!AO:AO)*1.2</f>
        <v>0</v>
      </c>
      <c r="DG202" s="276">
        <f>SUMIF('20Ф'!$H:$H,$B:$B,'20Ф'!AP:AP)*1.2</f>
        <v>0</v>
      </c>
      <c r="DH202" s="276">
        <f>SUMIF('20Ф'!$H:$H,$B:$B,'20Ф'!AQ:AQ)*1.2</f>
        <v>0</v>
      </c>
      <c r="DI202" s="276">
        <f>SUMIF('20Ф'!$H:$H,$B:$B,'20Ф'!BA:BA)*1.2</f>
        <v>0</v>
      </c>
      <c r="DJ202" s="276">
        <f>SUMIF('20Ф'!$H:$H,$B:$B,'20Ф'!BB:BB)*1.2</f>
        <v>0</v>
      </c>
      <c r="DK202" s="276">
        <f>SUMIF('20Ф'!$H:$H,$B:$B,'20Ф'!BC:BC)*1.2</f>
        <v>0</v>
      </c>
      <c r="DL202" s="276">
        <f>$D202/$D$281*'20Ф'!$H$218</f>
        <v>55751.780647717176</v>
      </c>
      <c r="DM202" s="240">
        <f t="shared" si="39"/>
        <v>789845.85428086529</v>
      </c>
      <c r="DN202" s="276">
        <f>SUMIF('20Ф'!$H:$H,$B:$B,'20Ф'!AV:AV)*1.2</f>
        <v>0</v>
      </c>
      <c r="DO202" s="276">
        <f>SUMIF('20Ф'!$H:$H,$B:$B,'20Ф'!AW:AW)*1.2+$D202/$D$281*'26Ф'!$D$42</f>
        <v>29668.211718431543</v>
      </c>
      <c r="DP202" s="276">
        <f>SUMIF('20Ф'!$H:$H,$B:$B,'20Ф'!AX:AX)*1.2</f>
        <v>0</v>
      </c>
      <c r="DQ202" s="276">
        <f>SUMIF('20Ф'!$H:$H,$B:$B,'20Ф'!AY:AY)*1.2</f>
        <v>0</v>
      </c>
      <c r="DR202" s="276">
        <f>SUMIF('20Ф'!$H:$H,$B:$B,'20Ф'!AU:AU)*1.2</f>
        <v>0</v>
      </c>
      <c r="DS202" s="276">
        <f>SUMIF('20Ф'!$H:$H,$B:$B,'20Ф'!AS:AS)*1.2</f>
        <v>236835.16800000001</v>
      </c>
      <c r="DT202" s="276">
        <f>SUMIF('20Ф'!$H:$H,$B:$B,'20Ф'!AR:AR)*1.2</f>
        <v>0</v>
      </c>
      <c r="DU202" s="276">
        <f>SUMIF('20Ф'!$H:$H,$B:$B,'20Ф'!X:X)*1.2</f>
        <v>0</v>
      </c>
      <c r="DV202" s="276">
        <f>SUMIF('20Ф'!$H:$H,$B:$B,'20Ф'!AA:AA)*1.2</f>
        <v>0</v>
      </c>
      <c r="DW202" s="276">
        <f>SUMIF('20Ф'!$H:$H,$B:$B,'20Ф'!N:N)*1.2</f>
        <v>0</v>
      </c>
      <c r="DX202" s="276">
        <f>$D202/$D$281*('25Ф'!$D$37)</f>
        <v>498685.52335874864</v>
      </c>
      <c r="DY202" s="276">
        <f>$D202/$D$281*'25Ф'!$D$30</f>
        <v>15916.476442471503</v>
      </c>
      <c r="DZ202" s="276">
        <f>$D202/$D$281*'25Ф'!$D$31</f>
        <v>8740.4747612134888</v>
      </c>
      <c r="EA202" s="276"/>
      <c r="EB202" s="276">
        <f t="shared" si="40"/>
        <v>314179.70661459182</v>
      </c>
      <c r="EC202" s="276">
        <f>$D202/$D$281*'26Ф'!$D$36</f>
        <v>163540.65537536601</v>
      </c>
      <c r="ED202" s="276">
        <f>$D202/$D$281*'26Ф'!$D$37</f>
        <v>19649.235078525257</v>
      </c>
      <c r="EE202" s="276">
        <f>$D202/$D$281*'26Ф'!$D$38</f>
        <v>19850.757319372016</v>
      </c>
      <c r="EF202" s="276">
        <f>$D202/$D$281*'26Ф'!$D$39</f>
        <v>13925.28814222192</v>
      </c>
      <c r="EG202" s="276">
        <f>$D202/$D$281*'91Ф'!$D$10</f>
        <v>4295.9456004257654</v>
      </c>
      <c r="EH202" s="276">
        <f>$D202/$D$281*('20Ф'!$I$509+'26Ф'!$D$41+'20Ф'!$I$507)</f>
        <v>30392.400535085784</v>
      </c>
      <c r="EI202" s="276">
        <f>$D202/$D$281*'91Ф'!$D$31</f>
        <v>55713.734207508307</v>
      </c>
      <c r="EJ202" s="276">
        <f>$D202/$D$281*'20Ф'!$I$1316</f>
        <v>6811.6903560867377</v>
      </c>
      <c r="EK202" s="276">
        <f>$D202/$D$281*('20Ф'!$I$1105+'20Ф'!$I$1282+'91Ф'!$D$17+'91Ф'!$D$41)</f>
        <v>223703.50019912276</v>
      </c>
      <c r="EL202" s="276">
        <f>$D202/$D$281*отчёт!BX$294</f>
        <v>373964.02809013828</v>
      </c>
      <c r="EM202" s="276">
        <f>$D202/$D$281*отчёт!BY$294</f>
        <v>328881.28904928744</v>
      </c>
      <c r="EN202" s="276">
        <f>$D202/$D$283*отчёт!BZ$294</f>
        <v>59023.910749605486</v>
      </c>
      <c r="EO202" s="240">
        <f t="shared" si="37"/>
        <v>368845.79500199598</v>
      </c>
      <c r="EP202" s="276">
        <f>SUMIF('20Ф'!$H:$H,$B:$B,'20Ф'!T:T)*1.2</f>
        <v>13118.975999999999</v>
      </c>
      <c r="EQ202" s="276">
        <f>SUM(H202:I202)/SUM($H$284:$I$284)*SUM('60Ф'!$O$155:$P$155)</f>
        <v>345020.52351297403</v>
      </c>
      <c r="ER202" s="276">
        <f>SUM($H202:$I202)/SUM($H$284:$I$284)*SUM('60Ф'!$P$227)</f>
        <v>10706.295489021955</v>
      </c>
      <c r="ES202" s="239">
        <f t="shared" si="43"/>
        <v>125165.90263203507</v>
      </c>
      <c r="ET202" s="276">
        <f>$D202/$D$282*'20Ф'!$I$381</f>
        <v>9566.5498624754346</v>
      </c>
      <c r="EU202" s="276">
        <f>$D202/$D$282*('20Ф'!$I$75+'20Ф'!$I$1098)*1.2</f>
        <v>110497.89776526888</v>
      </c>
      <c r="EV202" s="276">
        <f>$D202/$D$282*('20Ф'!$I$1286)</f>
        <v>5101.4550042907485</v>
      </c>
      <c r="EW202" s="276">
        <f>SUMIF('91.1Ф'!$N:$N,$B:$B,'91.1Ф'!$F:$F)+$D202/$D$281*('91Ф'!$D$12+'91Ф'!$D$11+'91Ф'!$D$19+'91Ф'!$D$20)</f>
        <v>29483.02790693249</v>
      </c>
      <c r="EX202" s="276">
        <f t="shared" si="41"/>
        <v>0</v>
      </c>
      <c r="EY202" s="276">
        <f>SUMIF('20Ф'!$H:$H,$B:$B,'20Ф'!$AY:$AY)*1.2</f>
        <v>0</v>
      </c>
      <c r="EZ202" s="236"/>
      <c r="FA202" s="277">
        <f>SUMIF(отчёт!$B:$B,$B:$B,отчёт!$CU:$CU)/отчёт!$CU$281*'20Ф'!$I$1341</f>
        <v>1841.9277108433701</v>
      </c>
      <c r="FB202" s="276">
        <f>SUMIF(Сальдо!$A:$A,$B:$B,Сальдо!$H:$H)-SUMIF(Сальдо!$A:$A,$B:$B,Сальдо!$I:$I)</f>
        <v>370253.97000000003</v>
      </c>
    </row>
    <row r="203" spans="1:158" ht="12" customHeight="1" x14ac:dyDescent="0.25">
      <c r="A203" s="3">
        <f t="shared" si="44"/>
        <v>199</v>
      </c>
      <c r="B203" s="4" t="s">
        <v>248</v>
      </c>
      <c r="C203" s="4" t="s">
        <v>248</v>
      </c>
      <c r="D203" s="5">
        <v>28921.599999999984</v>
      </c>
      <c r="E203" s="6">
        <v>23865.599999999984</v>
      </c>
      <c r="F203" s="6">
        <v>5056</v>
      </c>
      <c r="G203" s="6">
        <v>5071.5</v>
      </c>
      <c r="H203" s="5">
        <f>SUMIF(отчёт!$B:$B,$B:$B,отчёт!I:I)</f>
        <v>2</v>
      </c>
      <c r="I203" s="5">
        <f>SUMIF(отчёт!$B:$B,$B:$B,отчёт!J:J)</f>
        <v>5</v>
      </c>
      <c r="J203" s="3" t="s">
        <v>114</v>
      </c>
      <c r="K203" s="105">
        <v>1</v>
      </c>
      <c r="L203" s="105" t="s">
        <v>75</v>
      </c>
      <c r="M203" s="12">
        <v>36.54</v>
      </c>
      <c r="N203" s="8">
        <v>4.03</v>
      </c>
      <c r="O203" s="8">
        <v>7</v>
      </c>
      <c r="P203" s="8">
        <v>11</v>
      </c>
      <c r="Q203" s="8">
        <v>5.4</v>
      </c>
      <c r="R203" s="8">
        <v>2.67</v>
      </c>
      <c r="S203" s="8">
        <v>1.54</v>
      </c>
      <c r="T203" s="8">
        <v>4.9000000000000004</v>
      </c>
      <c r="U203" s="8">
        <v>0</v>
      </c>
      <c r="V203" s="9">
        <v>40</v>
      </c>
      <c r="W203" s="9">
        <v>40</v>
      </c>
      <c r="X203" s="9">
        <v>2604.04</v>
      </c>
      <c r="Y203" s="8">
        <v>195.98199600000001</v>
      </c>
      <c r="Z203" s="9">
        <v>42.3</v>
      </c>
      <c r="AA203" s="9">
        <v>2604.04</v>
      </c>
      <c r="AB203" s="8">
        <v>0</v>
      </c>
      <c r="AC203" s="10">
        <v>0</v>
      </c>
      <c r="AD203" s="8">
        <v>5.05</v>
      </c>
      <c r="AE203" s="8">
        <v>10.67</v>
      </c>
      <c r="AF203" s="8">
        <v>14</v>
      </c>
      <c r="AG203" s="7">
        <v>6340771.583999997</v>
      </c>
      <c r="AH203" s="8">
        <v>699324.28799999959</v>
      </c>
      <c r="AI203" s="8">
        <v>1214707.1999999993</v>
      </c>
      <c r="AJ203" s="8">
        <v>1908825.5999999987</v>
      </c>
      <c r="AK203" s="8">
        <v>937059.83999999962</v>
      </c>
      <c r="AL203" s="8">
        <v>463324.03199999977</v>
      </c>
      <c r="AM203" s="8">
        <v>267235.58399999986</v>
      </c>
      <c r="AN203" s="8">
        <v>850295.03999999957</v>
      </c>
      <c r="AO203" s="8">
        <v>0</v>
      </c>
      <c r="AQ203" s="104">
        <v>48.16</v>
      </c>
      <c r="AR203" s="375">
        <v>18.649999999999999</v>
      </c>
      <c r="AS203" s="376"/>
      <c r="AT203" s="104">
        <v>7.16</v>
      </c>
      <c r="AU203" s="104">
        <v>1.53</v>
      </c>
      <c r="AV203" s="104">
        <v>0.32</v>
      </c>
      <c r="AW203" s="104">
        <v>0.87</v>
      </c>
      <c r="AX203" s="104">
        <v>5.01</v>
      </c>
      <c r="AY203" s="104">
        <v>4.99</v>
      </c>
      <c r="AZ203" s="104">
        <v>2.7</v>
      </c>
      <c r="BA203" s="104">
        <v>6.46</v>
      </c>
      <c r="BB203" s="104">
        <v>0.47</v>
      </c>
      <c r="BC203" s="101">
        <v>0</v>
      </c>
      <c r="BD203" s="104">
        <v>54.565279999999994</v>
      </c>
      <c r="BE203" s="375">
        <v>21.130449999999996</v>
      </c>
      <c r="BF203" s="376">
        <v>0</v>
      </c>
      <c r="BG203" s="104">
        <v>8.1122800000000002</v>
      </c>
      <c r="BH203" s="104">
        <v>1.7334900000000002</v>
      </c>
      <c r="BI203" s="104">
        <v>0.36255999999999999</v>
      </c>
      <c r="BJ203" s="104">
        <v>0.98570999999999998</v>
      </c>
      <c r="BK203" s="104">
        <v>5.6763299999999992</v>
      </c>
      <c r="BL203" s="104">
        <v>5.6536700000000009</v>
      </c>
      <c r="BM203" s="104">
        <v>3.0591000000000004</v>
      </c>
      <c r="BN203" s="104">
        <v>7.3191800000000002</v>
      </c>
      <c r="BO203" s="104">
        <v>0.53250999999999993</v>
      </c>
      <c r="BP203" s="101">
        <v>0</v>
      </c>
      <c r="BQ203" s="103">
        <v>18566880.532479987</v>
      </c>
      <c r="BR203" s="371">
        <v>7190039.9071999956</v>
      </c>
      <c r="BS203" s="371">
        <v>0</v>
      </c>
      <c r="BT203" s="103">
        <v>2760358.4844799987</v>
      </c>
      <c r="BU203" s="103">
        <v>589853.13983999961</v>
      </c>
      <c r="BV203" s="103">
        <v>123367.97695999993</v>
      </c>
      <c r="BW203" s="103">
        <v>335406.68735999981</v>
      </c>
      <c r="BX203" s="103">
        <v>1931479.8892799988</v>
      </c>
      <c r="BY203" s="103">
        <v>1923769.3907199993</v>
      </c>
      <c r="BZ203" s="103">
        <v>1040917.3055999996</v>
      </c>
      <c r="CA203" s="103">
        <v>2490491.0348799988</v>
      </c>
      <c r="CB203" s="103">
        <v>181196.71615999987</v>
      </c>
      <c r="CC203" s="103">
        <v>0</v>
      </c>
      <c r="CD203" s="1">
        <v>1</v>
      </c>
      <c r="CF203" s="277">
        <f>SUMIF(Оборот!$A:$A,$B:$B,Оборот!H:H)</f>
        <v>11450766.83</v>
      </c>
      <c r="CG203" s="277">
        <f>SUMIF(Оборот!$A:$A,$B:$B,Оборот!I:I)</f>
        <v>11582443.390000001</v>
      </c>
      <c r="CH203" s="277">
        <f t="shared" si="38"/>
        <v>12666484.010541931</v>
      </c>
      <c r="CI203" s="239">
        <f t="shared" si="42"/>
        <v>2364847.4606436207</v>
      </c>
      <c r="CJ203" s="276">
        <f>SUMIF('20Ф'!$H:$H,$B:$B,'20Ф'!M:M)*1.2</f>
        <v>275898.804</v>
      </c>
      <c r="CK203" s="276">
        <f>SUMIF('20Ф'!$H:$H,$B:$B,'20Ф'!O:O)*1.2</f>
        <v>78929.507999999987</v>
      </c>
      <c r="CL203" s="276">
        <f>SUMIF('20Ф'!$H:$H,$B:$B,'20Ф'!Q:Q)*1.2</f>
        <v>0</v>
      </c>
      <c r="CM203" s="276">
        <f>SUMIF('20Ф'!$H:$H,$B:$B,'20Ф'!R:R)*1.2</f>
        <v>0</v>
      </c>
      <c r="CN203" s="276">
        <f>SUMIF('20Ф'!$H:$H,$B:$B,'20Ф'!S:S)*1.2</f>
        <v>0</v>
      </c>
      <c r="CO203" s="276">
        <f>SUMIF('20Ф'!$H:$H,$B:$B,'20Ф'!W:W)*1.2</f>
        <v>0</v>
      </c>
      <c r="CP203" s="276">
        <f>SUMIF('20Ф'!$H:$H,$B:$B,'20Ф'!P:P)*1.2</f>
        <v>0</v>
      </c>
      <c r="CQ203" s="276">
        <f>SUMIF('20Ф'!$H:$H,$B:$B,'20Ф'!Y:Y)*1.2</f>
        <v>0</v>
      </c>
      <c r="CR203" s="276">
        <f>SUMIF('20Ф'!$H:$H,$B:$B,'20Ф'!Z:Z)*1.2</f>
        <v>43200</v>
      </c>
      <c r="CS203" s="276">
        <f>SUMIF('20Ф'!$H:$H,$B:$B,'20Ф'!AB:AB)*1.2</f>
        <v>0</v>
      </c>
      <c r="CT203" s="276">
        <f>SUMIF('20Ф'!$H:$H,$B:$B,'20Ф'!AC:AC)*1.2</f>
        <v>0</v>
      </c>
      <c r="CU203" s="276">
        <f>SUMIF('20Ф'!$H:$H,$B:$B,'20Ф'!AD:AD)*1.2</f>
        <v>0</v>
      </c>
      <c r="CV203" s="276">
        <f>SUMIF('20Ф'!$H:$H,$B:$B,'20Ф'!AE:AE)*1.2</f>
        <v>0</v>
      </c>
      <c r="CW203" s="276">
        <f>SUMIF('20Ф'!$H:$H,$B:$B,'20Ф'!AF:AF)*1.2</f>
        <v>0</v>
      </c>
      <c r="CX203" s="276">
        <f>SUMIF('20Ф'!$H:$H,$B:$B,'20Ф'!AG:AG)*1.2</f>
        <v>0</v>
      </c>
      <c r="CY203" s="276">
        <f>SUMIF('20Ф'!$H:$H,$B:$B,'20Ф'!AH:AH)*1.2</f>
        <v>209629.77600000001</v>
      </c>
      <c r="CZ203" s="276">
        <f>SUMIF('20Ф'!$H:$H,$B:$B,'20Ф'!AI:AI)*1.2</f>
        <v>0</v>
      </c>
      <c r="DA203" s="276">
        <f>SUMIF('20Ф'!$H:$H,$B:$B,'20Ф'!AJ:AJ)*1.2</f>
        <v>81332.652000000002</v>
      </c>
      <c r="DB203" s="276">
        <f>SUMIF('20Ф'!$H:$H,$B:$B,'20Ф'!AK:AK)*1.2</f>
        <v>0</v>
      </c>
      <c r="DC203" s="276">
        <f>SUMIF('20Ф'!$H:$H,$B:$B,'20Ф'!AL:AL)*1.2</f>
        <v>1413587.844</v>
      </c>
      <c r="DD203" s="276">
        <f>SUMIF('20Ф'!$H:$H,$B:$B,'20Ф'!AM:AM)*1.2</f>
        <v>0</v>
      </c>
      <c r="DE203" s="276">
        <f>SUMIF('20Ф'!$H:$H,$B:$B,'20Ф'!AN:AN)*1.2</f>
        <v>7893.72</v>
      </c>
      <c r="DF203" s="276">
        <f>SUMIF('20Ф'!$H:$H,$B:$B,'20Ф'!AO:AO)*1.2</f>
        <v>0</v>
      </c>
      <c r="DG203" s="276">
        <f>SUMIF('20Ф'!$H:$H,$B:$B,'20Ф'!AP:AP)*1.2</f>
        <v>0</v>
      </c>
      <c r="DH203" s="276">
        <f>SUMIF('20Ф'!$H:$H,$B:$B,'20Ф'!AQ:AQ)*1.2</f>
        <v>0</v>
      </c>
      <c r="DI203" s="276">
        <f>SUMIF('20Ф'!$H:$H,$B:$B,'20Ф'!BA:BA)*1.2</f>
        <v>0</v>
      </c>
      <c r="DJ203" s="276">
        <f>SUMIF('20Ф'!$H:$H,$B:$B,'20Ф'!BB:BB)*1.2</f>
        <v>0</v>
      </c>
      <c r="DK203" s="276">
        <f>SUMIF('20Ф'!$H:$H,$B:$B,'20Ф'!BC:BC)*1.2</f>
        <v>0</v>
      </c>
      <c r="DL203" s="276">
        <f>$D203/$D$281*'20Ф'!$H$218</f>
        <v>254375.15664362066</v>
      </c>
      <c r="DM203" s="240">
        <f t="shared" si="39"/>
        <v>3012320.6394931492</v>
      </c>
      <c r="DN203" s="276">
        <f>SUMIF('20Ф'!$H:$H,$B:$B,'20Ф'!AV:AV)*1.2</f>
        <v>0</v>
      </c>
      <c r="DO203" s="276">
        <f>SUMIF('20Ф'!$H:$H,$B:$B,'20Ф'!AW:AW)*1.2+$D203/$D$281*'26Ф'!$D$42</f>
        <v>135365.29085768564</v>
      </c>
      <c r="DP203" s="276">
        <f>SUMIF('20Ф'!$H:$H,$B:$B,'20Ф'!AX:AX)*1.2</f>
        <v>0</v>
      </c>
      <c r="DQ203" s="276">
        <f>SUMIF('20Ф'!$H:$H,$B:$B,'20Ф'!AY:AY)*1.2</f>
        <v>0</v>
      </c>
      <c r="DR203" s="276">
        <f>SUMIF('20Ф'!$H:$H,$B:$B,'20Ф'!AU:AU)*1.2</f>
        <v>0</v>
      </c>
      <c r="DS203" s="276">
        <f>SUMIF('20Ф'!$H:$H,$B:$B,'20Ф'!AS:AS)*1.2</f>
        <v>489133.42799999996</v>
      </c>
      <c r="DT203" s="276">
        <f>SUMIF('20Ф'!$H:$H,$B:$B,'20Ф'!AR:AR)*1.2</f>
        <v>0</v>
      </c>
      <c r="DU203" s="276">
        <f>SUMIF('20Ф'!$H:$H,$B:$B,'20Ф'!X:X)*1.2</f>
        <v>0</v>
      </c>
      <c r="DV203" s="276">
        <f>SUMIF('20Ф'!$H:$H,$B:$B,'20Ф'!AA:AA)*1.2</f>
        <v>0</v>
      </c>
      <c r="DW203" s="276">
        <f>SUMIF('20Ф'!$H:$H,$B:$B,'20Ф'!N:N)*1.2</f>
        <v>0</v>
      </c>
      <c r="DX203" s="276">
        <f>$D203/$D$281*('25Ф'!$D$37)</f>
        <v>2275321.1941667693</v>
      </c>
      <c r="DY203" s="276">
        <f>$D203/$D$281*'25Ф'!$D$30</f>
        <v>72621.109877213719</v>
      </c>
      <c r="DZ203" s="276">
        <f>$D203/$D$281*'25Ф'!$D$31</f>
        <v>39879.616591480692</v>
      </c>
      <c r="EA203" s="276"/>
      <c r="EB203" s="276">
        <f t="shared" si="40"/>
        <v>1433488.0636248514</v>
      </c>
      <c r="EC203" s="276">
        <f>$D203/$D$281*'26Ф'!$D$36</f>
        <v>746176.70225771517</v>
      </c>
      <c r="ED203" s="276">
        <f>$D203/$D$281*'26Ф'!$D$37</f>
        <v>89652.333844010573</v>
      </c>
      <c r="EE203" s="276">
        <f>$D203/$D$281*'26Ф'!$D$38</f>
        <v>90571.806746705493</v>
      </c>
      <c r="EF203" s="276">
        <f>$D203/$D$281*'26Ф'!$D$39</f>
        <v>63536.039770064199</v>
      </c>
      <c r="EG203" s="276">
        <f>$D203/$D$281*'91Ф'!$D$10</f>
        <v>19600.841844780116</v>
      </c>
      <c r="EH203" s="276">
        <f>$D203/$D$281*('20Ф'!$I$509+'26Ф'!$D$41+'20Ф'!$I$507)</f>
        <v>138669.50180011272</v>
      </c>
      <c r="EI203" s="276">
        <f>$D203/$D$281*'91Ф'!$D$31</f>
        <v>254201.56453453598</v>
      </c>
      <c r="EJ203" s="276">
        <f>$D203/$D$281*'20Ф'!$I$1316</f>
        <v>31079.272826927234</v>
      </c>
      <c r="EK203" s="276">
        <f>$D203/$D$281*('20Ф'!$I$1105+'20Ф'!$I$1282+'91Ф'!$D$17+'91Ф'!$D$41)</f>
        <v>1020677.9450587486</v>
      </c>
      <c r="EL203" s="276">
        <f>$D203/$D$281*отчёт!BX$294</f>
        <v>1706262.2416599598</v>
      </c>
      <c r="EM203" s="276">
        <f>$D203/$D$281*отчёт!BY$294</f>
        <v>1500566.0527273922</v>
      </c>
      <c r="EN203" s="276">
        <f>$D203/$D$283*отчёт!BZ$294</f>
        <v>269304.6996565258</v>
      </c>
      <c r="EO203" s="240">
        <f t="shared" si="37"/>
        <v>653409.92125349306</v>
      </c>
      <c r="EP203" s="276">
        <f>SUMIF('20Ф'!$H:$H,$B:$B,'20Ф'!T:T)*1.2</f>
        <v>30887.988000000001</v>
      </c>
      <c r="EQ203" s="276">
        <f>SUM(H203:I203)/SUM($H$284:$I$284)*SUM('60Ф'!$O$155:$P$155)</f>
        <v>603785.91614770459</v>
      </c>
      <c r="ER203" s="276">
        <f>SUM($H203:$I203)/SUM($H$284:$I$284)*SUM('60Ф'!$P$227)</f>
        <v>18736.017105788422</v>
      </c>
      <c r="ES203" s="239">
        <f t="shared" si="43"/>
        <v>571086.62214123888</v>
      </c>
      <c r="ET203" s="276">
        <f>$D203/$D$282*'20Ф'!$I$381</f>
        <v>43648.697701386132</v>
      </c>
      <c r="EU203" s="276">
        <f>$D203/$D$282*('20Ф'!$I$75+'20Ф'!$I$1098)*1.2</f>
        <v>504161.8353042141</v>
      </c>
      <c r="EV203" s="276">
        <f>$D203/$D$282*('20Ф'!$I$1286)</f>
        <v>23276.089135638704</v>
      </c>
      <c r="EW203" s="276">
        <f>SUMIF('91.1Ф'!$N:$N,$B:$B,'91.1Ф'!$F:$F)+$D203/$D$281*('91Ф'!$D$12+'91Ф'!$D$11+'91Ф'!$D$19+'91Ф'!$D$20)</f>
        <v>134520.36428295277</v>
      </c>
      <c r="EX203" s="276">
        <f t="shared" si="41"/>
        <v>0</v>
      </c>
      <c r="EY203" s="276">
        <f>SUMIF('20Ф'!$H:$H,$B:$B,'20Ф'!$AY:$AY)*1.2</f>
        <v>0</v>
      </c>
      <c r="EZ203" s="236"/>
      <c r="FA203" s="277">
        <f>SUMIF(отчёт!$B:$B,$B:$B,отчёт!$CU:$CU)/отчёт!$CU$281*'20Ф'!$I$1341</f>
        <v>0</v>
      </c>
      <c r="FB203" s="276">
        <f>SUMIF(Сальдо!$A:$A,$B:$B,Сальдо!$H:$H)-SUMIF(Сальдо!$A:$A,$B:$B,Сальдо!$I:$I)</f>
        <v>2614588.4</v>
      </c>
    </row>
    <row r="204" spans="1:158" ht="12" customHeight="1" x14ac:dyDescent="0.25">
      <c r="A204" s="3">
        <f t="shared" si="44"/>
        <v>200</v>
      </c>
      <c r="B204" s="4" t="s">
        <v>249</v>
      </c>
      <c r="C204" s="4" t="s">
        <v>249</v>
      </c>
      <c r="D204" s="5">
        <v>3534.12</v>
      </c>
      <c r="E204" s="6">
        <v>3534.12</v>
      </c>
      <c r="F204" s="6">
        <v>0</v>
      </c>
      <c r="G204" s="6">
        <v>596</v>
      </c>
      <c r="H204" s="5">
        <f>SUMIF(отчёт!$B:$B,$B:$B,отчёт!I:I)</f>
        <v>0</v>
      </c>
      <c r="I204" s="5">
        <f>SUMIF(отчёт!$B:$B,$B:$B,отчёт!J:J)</f>
        <v>0</v>
      </c>
      <c r="J204" s="3" t="s">
        <v>114</v>
      </c>
      <c r="K204" s="105">
        <v>7</v>
      </c>
      <c r="L204" s="105" t="s">
        <v>52</v>
      </c>
      <c r="M204" s="7">
        <v>31</v>
      </c>
      <c r="N204" s="8">
        <v>5.0999999999999996</v>
      </c>
      <c r="O204" s="8">
        <v>6.59</v>
      </c>
      <c r="P204" s="8">
        <v>8.98</v>
      </c>
      <c r="Q204" s="8">
        <v>6.92</v>
      </c>
      <c r="R204" s="8">
        <v>3.15</v>
      </c>
      <c r="S204" s="8">
        <v>0</v>
      </c>
      <c r="T204" s="8">
        <v>0</v>
      </c>
      <c r="U204" s="8">
        <v>0.26</v>
      </c>
      <c r="V204" s="9">
        <v>40</v>
      </c>
      <c r="W204" s="9">
        <v>40</v>
      </c>
      <c r="X204" s="9">
        <v>2604.04</v>
      </c>
      <c r="Y204" s="8">
        <v>195.98199600000001</v>
      </c>
      <c r="Z204" s="9">
        <v>42.3</v>
      </c>
      <c r="AA204" s="9">
        <v>2604.04</v>
      </c>
      <c r="AB204" s="8">
        <v>7.85</v>
      </c>
      <c r="AC204" s="10">
        <v>0</v>
      </c>
      <c r="AD204" s="8">
        <v>6.73</v>
      </c>
      <c r="AE204" s="8">
        <v>10.67</v>
      </c>
      <c r="AF204" s="8">
        <v>14</v>
      </c>
      <c r="AG204" s="7">
        <v>657346.32000000007</v>
      </c>
      <c r="AH204" s="8">
        <v>108144.07199999999</v>
      </c>
      <c r="AI204" s="8">
        <v>139739.1048</v>
      </c>
      <c r="AJ204" s="8">
        <v>190418.38560000001</v>
      </c>
      <c r="AK204" s="8">
        <v>146736.66239999997</v>
      </c>
      <c r="AL204" s="8">
        <v>66794.867999999988</v>
      </c>
      <c r="AM204" s="8">
        <v>0</v>
      </c>
      <c r="AN204" s="8">
        <v>0</v>
      </c>
      <c r="AO204" s="8">
        <v>5513.2272000000003</v>
      </c>
      <c r="AQ204" s="104">
        <v>33.17</v>
      </c>
      <c r="AR204" s="375">
        <v>13.89</v>
      </c>
      <c r="AS204" s="376"/>
      <c r="AT204" s="104">
        <v>5.9</v>
      </c>
      <c r="AU204" s="104">
        <v>1.53</v>
      </c>
      <c r="AV204" s="104">
        <v>0.32</v>
      </c>
      <c r="AW204" s="104">
        <v>0.6</v>
      </c>
      <c r="AX204" s="104">
        <v>5.01</v>
      </c>
      <c r="AY204" s="104">
        <v>4.99</v>
      </c>
      <c r="AZ204" s="104">
        <v>0</v>
      </c>
      <c r="BA204" s="104">
        <v>0</v>
      </c>
      <c r="BB204" s="104">
        <v>0</v>
      </c>
      <c r="BC204" s="101">
        <v>0.93</v>
      </c>
      <c r="BD204" s="104">
        <v>37.581610000000005</v>
      </c>
      <c r="BE204" s="375">
        <v>15.737370000000004</v>
      </c>
      <c r="BF204" s="376">
        <v>0</v>
      </c>
      <c r="BG204" s="104">
        <v>6.6847000000000012</v>
      </c>
      <c r="BH204" s="104">
        <v>1.7334900000000002</v>
      </c>
      <c r="BI204" s="104">
        <v>0.36256000000000005</v>
      </c>
      <c r="BJ204" s="104">
        <v>0.67980000000000007</v>
      </c>
      <c r="BK204" s="104">
        <v>5.6763300000000001</v>
      </c>
      <c r="BL204" s="104">
        <v>5.65367</v>
      </c>
      <c r="BM204" s="104">
        <v>0</v>
      </c>
      <c r="BN204" s="104">
        <v>0</v>
      </c>
      <c r="BO204" s="104">
        <v>0</v>
      </c>
      <c r="BP204" s="101">
        <v>1.0536900000000002</v>
      </c>
      <c r="BQ204" s="103">
        <v>1562632.7161320001</v>
      </c>
      <c r="BR204" s="371">
        <v>654355.39424400008</v>
      </c>
      <c r="BS204" s="371">
        <v>0</v>
      </c>
      <c r="BT204" s="103">
        <v>277947.93564000004</v>
      </c>
      <c r="BU204" s="103">
        <v>72078.023988000001</v>
      </c>
      <c r="BV204" s="103">
        <v>15075.142271999999</v>
      </c>
      <c r="BW204" s="103">
        <v>28265.891760000002</v>
      </c>
      <c r="BX204" s="103">
        <v>236020.19619599998</v>
      </c>
      <c r="BY204" s="103">
        <v>235077.99980399999</v>
      </c>
      <c r="BZ204" s="103">
        <v>0</v>
      </c>
      <c r="CA204" s="103">
        <v>0</v>
      </c>
      <c r="CB204" s="103">
        <v>0</v>
      </c>
      <c r="CC204" s="103">
        <v>43812.132228000009</v>
      </c>
      <c r="CD204" s="1">
        <v>1</v>
      </c>
      <c r="CF204" s="277">
        <f>SUMIF(Оборот!$A:$A,$B:$B,Оборот!H:H)</f>
        <v>1352777.6500000001</v>
      </c>
      <c r="CG204" s="277">
        <f>SUMIF(Оборот!$A:$A,$B:$B,Оборот!I:I)</f>
        <v>1339861.4100000001</v>
      </c>
      <c r="CH204" s="277">
        <f t="shared" si="38"/>
        <v>1249606.2868644402</v>
      </c>
      <c r="CI204" s="239">
        <f t="shared" si="42"/>
        <v>48580.896830125341</v>
      </c>
      <c r="CJ204" s="276">
        <f>SUMIF('20Ф'!$H:$H,$B:$B,'20Ф'!M:M)*1.2</f>
        <v>0</v>
      </c>
      <c r="CK204" s="276">
        <f>SUMIF('20Ф'!$H:$H,$B:$B,'20Ф'!O:O)*1.2</f>
        <v>0</v>
      </c>
      <c r="CL204" s="276">
        <f>SUMIF('20Ф'!$H:$H,$B:$B,'20Ф'!Q:Q)*1.2</f>
        <v>0</v>
      </c>
      <c r="CM204" s="276">
        <f>SUMIF('20Ф'!$H:$H,$B:$B,'20Ф'!R:R)*1.2</f>
        <v>0</v>
      </c>
      <c r="CN204" s="276">
        <f>SUMIF('20Ф'!$H:$H,$B:$B,'20Ф'!S:S)*1.2</f>
        <v>0</v>
      </c>
      <c r="CO204" s="276">
        <f>SUMIF('20Ф'!$H:$H,$B:$B,'20Ф'!W:W)*1.2</f>
        <v>0</v>
      </c>
      <c r="CP204" s="276">
        <f>SUMIF('20Ф'!$H:$H,$B:$B,'20Ф'!P:P)*1.2</f>
        <v>0</v>
      </c>
      <c r="CQ204" s="276">
        <f>SUMIF('20Ф'!$H:$H,$B:$B,'20Ф'!Y:Y)*1.2</f>
        <v>0</v>
      </c>
      <c r="CR204" s="276">
        <f>SUMIF('20Ф'!$H:$H,$B:$B,'20Ф'!Z:Z)*1.2</f>
        <v>0</v>
      </c>
      <c r="CS204" s="276">
        <f>SUMIF('20Ф'!$H:$H,$B:$B,'20Ф'!AB:AB)*1.2</f>
        <v>0</v>
      </c>
      <c r="CT204" s="276">
        <f>SUMIF('20Ф'!$H:$H,$B:$B,'20Ф'!AC:AC)*1.2</f>
        <v>0</v>
      </c>
      <c r="CU204" s="276">
        <f>SUMIF('20Ф'!$H:$H,$B:$B,'20Ф'!AD:AD)*1.2</f>
        <v>0</v>
      </c>
      <c r="CV204" s="276">
        <f>SUMIF('20Ф'!$H:$H,$B:$B,'20Ф'!AE:AE)*1.2</f>
        <v>0</v>
      </c>
      <c r="CW204" s="276">
        <f>SUMIF('20Ф'!$H:$H,$B:$B,'20Ф'!AF:AF)*1.2</f>
        <v>0</v>
      </c>
      <c r="CX204" s="276">
        <f>SUMIF('20Ф'!$H:$H,$B:$B,'20Ф'!AG:AG)*1.2</f>
        <v>7493.8680000000004</v>
      </c>
      <c r="CY204" s="276">
        <f>SUMIF('20Ф'!$H:$H,$B:$B,'20Ф'!AH:AH)*1.2</f>
        <v>0</v>
      </c>
      <c r="CZ204" s="276">
        <f>SUMIF('20Ф'!$H:$H,$B:$B,'20Ф'!AI:AI)*1.2</f>
        <v>0</v>
      </c>
      <c r="DA204" s="276">
        <f>SUMIF('20Ф'!$H:$H,$B:$B,'20Ф'!AJ:AJ)*1.2</f>
        <v>0</v>
      </c>
      <c r="DB204" s="276">
        <f>SUMIF('20Ф'!$H:$H,$B:$B,'20Ф'!AK:AK)*1.2</f>
        <v>0</v>
      </c>
      <c r="DC204" s="276">
        <f>SUMIF('20Ф'!$H:$H,$B:$B,'20Ф'!AL:AL)*1.2</f>
        <v>0</v>
      </c>
      <c r="DD204" s="276">
        <f>SUMIF('20Ф'!$H:$H,$B:$B,'20Ф'!AM:AM)*1.2</f>
        <v>0</v>
      </c>
      <c r="DE204" s="276">
        <f>SUMIF('20Ф'!$H:$H,$B:$B,'20Ф'!AN:AN)*1.2</f>
        <v>0</v>
      </c>
      <c r="DF204" s="276">
        <f>SUMIF('20Ф'!$H:$H,$B:$B,'20Ф'!AO:AO)*1.2</f>
        <v>0</v>
      </c>
      <c r="DG204" s="276">
        <f>SUMIF('20Ф'!$H:$H,$B:$B,'20Ф'!AP:AP)*1.2</f>
        <v>0</v>
      </c>
      <c r="DH204" s="276">
        <f>SUMIF('20Ф'!$H:$H,$B:$B,'20Ф'!AQ:AQ)*1.2</f>
        <v>10003.259999999998</v>
      </c>
      <c r="DI204" s="276">
        <f>SUMIF('20Ф'!$H:$H,$B:$B,'20Ф'!BA:BA)*1.2</f>
        <v>0</v>
      </c>
      <c r="DJ204" s="276">
        <f>SUMIF('20Ф'!$H:$H,$B:$B,'20Ф'!BB:BB)*1.2</f>
        <v>0</v>
      </c>
      <c r="DK204" s="276">
        <f>SUMIF('20Ф'!$H:$H,$B:$B,'20Ф'!BC:BC)*1.2</f>
        <v>0</v>
      </c>
      <c r="DL204" s="276">
        <f>$D204/$D$281*'20Ф'!$H$218</f>
        <v>31083.768830125344</v>
      </c>
      <c r="DM204" s="240">
        <f t="shared" si="39"/>
        <v>420555.63488970784</v>
      </c>
      <c r="DN204" s="276">
        <f>SUMIF('20Ф'!$H:$H,$B:$B,'20Ф'!AV:AV)*1.2</f>
        <v>0</v>
      </c>
      <c r="DO204" s="276">
        <f>SUMIF('20Ф'!$H:$H,$B:$B,'20Ф'!AW:AW)*1.2+$D204/$D$281*'26Ф'!$D$42</f>
        <v>16541.172747218836</v>
      </c>
      <c r="DP204" s="276">
        <f>SUMIF('20Ф'!$H:$H,$B:$B,'20Ф'!AX:AX)*1.2</f>
        <v>0</v>
      </c>
      <c r="DQ204" s="276">
        <f>SUMIF('20Ф'!$H:$H,$B:$B,'20Ф'!AY:AY)*1.2</f>
        <v>0</v>
      </c>
      <c r="DR204" s="276">
        <f>SUMIF('20Ф'!$H:$H,$B:$B,'20Ф'!AU:AU)*1.2</f>
        <v>0</v>
      </c>
      <c r="DS204" s="276">
        <f>SUMIF('20Ф'!$H:$H,$B:$B,'20Ф'!AS:AS)*1.2</f>
        <v>50131.02</v>
      </c>
      <c r="DT204" s="276">
        <f>SUMIF('20Ф'!$H:$H,$B:$B,'20Ф'!AR:AR)*1.2</f>
        <v>0</v>
      </c>
      <c r="DU204" s="276">
        <f>SUMIF('20Ф'!$H:$H,$B:$B,'20Ф'!X:X)*1.2</f>
        <v>62099.819999999992</v>
      </c>
      <c r="DV204" s="276">
        <f>SUMIF('20Ф'!$H:$H,$B:$B,'20Ф'!AA:AA)*1.2</f>
        <v>0</v>
      </c>
      <c r="DW204" s="276">
        <f>SUMIF('20Ф'!$H:$H,$B:$B,'20Ф'!N:N)*1.2</f>
        <v>0</v>
      </c>
      <c r="DX204" s="276">
        <f>$D204/$D$281*('25Ф'!$D$37)</f>
        <v>278036.42048602662</v>
      </c>
      <c r="DY204" s="276">
        <f>$D204/$D$281*'25Ф'!$D$30</f>
        <v>8874.0497358119428</v>
      </c>
      <c r="DZ204" s="276">
        <f>$D204/$D$281*'25Ф'!$D$31</f>
        <v>4873.1519206504418</v>
      </c>
      <c r="EA204" s="276"/>
      <c r="EB204" s="276">
        <f t="shared" si="40"/>
        <v>175167.3087041472</v>
      </c>
      <c r="EC204" s="276">
        <f>$D204/$D$281*'26Ф'!$D$36</f>
        <v>91180.225401880874</v>
      </c>
      <c r="ED204" s="276">
        <f>$D204/$D$281*'26Ф'!$D$37</f>
        <v>10955.206699656825</v>
      </c>
      <c r="EE204" s="276">
        <f>$D204/$D$281*'26Ф'!$D$38</f>
        <v>11067.563124435268</v>
      </c>
      <c r="EF204" s="276">
        <f>$D204/$D$281*'26Ф'!$D$39</f>
        <v>7763.8854306877702</v>
      </c>
      <c r="EG204" s="276">
        <f>$D204/$D$281*'91Ф'!$D$10</f>
        <v>2395.1554264105148</v>
      </c>
      <c r="EH204" s="276">
        <f>$D204/$D$281*('20Ф'!$I$509+'26Ф'!$D$41+'20Ф'!$I$507)</f>
        <v>16944.935954505097</v>
      </c>
      <c r="EI204" s="276">
        <f>$D204/$D$281*'91Ф'!$D$31</f>
        <v>31062.556471730291</v>
      </c>
      <c r="EJ204" s="276">
        <f>$D204/$D$281*'20Ф'!$I$1316</f>
        <v>3797.780194840539</v>
      </c>
      <c r="EK204" s="276">
        <f>$D204/$D$281*('20Ф'!$I$1105+'20Ф'!$I$1282+'91Ф'!$D$17+'91Ф'!$D$41)</f>
        <v>124723.3327060407</v>
      </c>
      <c r="EL204" s="276">
        <f>$D204/$D$281*отчёт!BX$294</f>
        <v>208499.37463678705</v>
      </c>
      <c r="EM204" s="276">
        <f>$D204/$D$281*отчёт!BY$294</f>
        <v>183364.00815532109</v>
      </c>
      <c r="EN204" s="276">
        <f>SUMIF(отчёт!$B:$B,$B:$B,отчёт!BZ:BZ)/отчёт!BZ$281*('60Ф'!$O$151+'60Ф'!$P$151)*отчёт!BZ$293</f>
        <v>0</v>
      </c>
      <c r="EO204" s="240">
        <f t="shared" ref="EO204:EO258" si="45">SUM(EP204:EQ204)</f>
        <v>0</v>
      </c>
      <c r="EP204" s="276">
        <f>SUMIF('20Ф'!$H:$H,$B:$B,'20Ф'!T:T)*1.2</f>
        <v>0</v>
      </c>
      <c r="EQ204" s="276">
        <f>SUMIF('20Ф'!$H:$H,$B:$B,'20Ф'!U:U)*1.2</f>
        <v>0</v>
      </c>
      <c r="ER204" s="236"/>
      <c r="ES204" s="239">
        <f t="shared" si="43"/>
        <v>69784.820101301317</v>
      </c>
      <c r="ET204" s="276">
        <f>$D204/$D$282*'20Ф'!$I$381</f>
        <v>5333.7206627718679</v>
      </c>
      <c r="EU204" s="276">
        <f>$D204/$D$282*('20Ф'!$I$75+'20Ф'!$I$1098)*1.2</f>
        <v>61606.841439800359</v>
      </c>
      <c r="EV204" s="276">
        <f>$D204/$D$282*('20Ф'!$I$1286)</f>
        <v>2844.2579987290983</v>
      </c>
      <c r="EW204" s="276">
        <f>SUMIF('91.1Ф'!$N:$N,$B:$B,'91.1Ф'!$F:$F)+$D204/$D$281*('91Ф'!$D$12+'91Ф'!$D$11+'91Ф'!$D$19+'91Ф'!$D$20)</f>
        <v>16437.925627201446</v>
      </c>
      <c r="EX204" s="276">
        <f t="shared" si="41"/>
        <v>2492.9852138080773</v>
      </c>
      <c r="EY204" s="276">
        <f>SUMIF('20Ф'!$H:$H,$B:$B,'20Ф'!$AY:$AY)*1.2</f>
        <v>0</v>
      </c>
      <c r="EZ204" s="295">
        <f>D204/$D$286*'20Ф'!$I$1163</f>
        <v>2492.9852138080773</v>
      </c>
      <c r="FA204" s="277">
        <f>SUMIF(отчёт!$B:$B,$B:$B,отчёт!$CU:$CU)/отчёт!$CU$281*'20Ф'!$I$1341</f>
        <v>0</v>
      </c>
      <c r="FB204" s="276">
        <f>SUMIF(Сальдо!$A:$A,$B:$B,Сальдо!$H:$H)-SUMIF(Сальдо!$A:$A,$B:$B,Сальдо!$I:$I)</f>
        <v>277710.61000000004</v>
      </c>
    </row>
    <row r="205" spans="1:158" ht="12" customHeight="1" x14ac:dyDescent="0.25">
      <c r="A205" s="3">
        <f t="shared" si="44"/>
        <v>201</v>
      </c>
      <c r="B205" s="4" t="s">
        <v>250</v>
      </c>
      <c r="C205" s="4" t="s">
        <v>250</v>
      </c>
      <c r="D205" s="5">
        <v>7052.6</v>
      </c>
      <c r="E205" s="6">
        <v>6966.3</v>
      </c>
      <c r="F205" s="6">
        <v>86.3</v>
      </c>
      <c r="G205" s="6">
        <v>638</v>
      </c>
      <c r="H205" s="5">
        <f>SUMIF(отчёт!$B:$B,$B:$B,отчёт!I:I)</f>
        <v>0</v>
      </c>
      <c r="I205" s="5">
        <f>SUMIF(отчёт!$B:$B,$B:$B,отчёт!J:J)</f>
        <v>0</v>
      </c>
      <c r="J205" s="3" t="s">
        <v>114</v>
      </c>
      <c r="K205" s="105">
        <v>7</v>
      </c>
      <c r="L205" s="105" t="s">
        <v>52</v>
      </c>
      <c r="M205" s="7">
        <v>31</v>
      </c>
      <c r="N205" s="8">
        <v>5.0999999999999996</v>
      </c>
      <c r="O205" s="8">
        <v>6.59</v>
      </c>
      <c r="P205" s="8">
        <v>8.98</v>
      </c>
      <c r="Q205" s="8">
        <v>6.92</v>
      </c>
      <c r="R205" s="8">
        <v>3.15</v>
      </c>
      <c r="S205" s="8">
        <v>0</v>
      </c>
      <c r="T205" s="8">
        <v>0</v>
      </c>
      <c r="U205" s="8">
        <v>0.26</v>
      </c>
      <c r="V205" s="9">
        <v>40</v>
      </c>
      <c r="W205" s="9">
        <v>40</v>
      </c>
      <c r="X205" s="9">
        <v>2604.04</v>
      </c>
      <c r="Y205" s="8">
        <v>195.98199600000001</v>
      </c>
      <c r="Z205" s="9">
        <v>42.3</v>
      </c>
      <c r="AA205" s="9">
        <v>2604.04</v>
      </c>
      <c r="AB205" s="8">
        <v>7.85</v>
      </c>
      <c r="AC205" s="10">
        <v>0</v>
      </c>
      <c r="AD205" s="8">
        <v>6.73</v>
      </c>
      <c r="AE205" s="8">
        <v>10.67</v>
      </c>
      <c r="AF205" s="8">
        <v>14</v>
      </c>
      <c r="AG205" s="7">
        <v>1311783.6000000001</v>
      </c>
      <c r="AH205" s="8">
        <v>215809.56</v>
      </c>
      <c r="AI205" s="8">
        <v>278859.804</v>
      </c>
      <c r="AJ205" s="8">
        <v>379994.08800000005</v>
      </c>
      <c r="AK205" s="8">
        <v>292823.95200000005</v>
      </c>
      <c r="AL205" s="8">
        <v>133294.14000000001</v>
      </c>
      <c r="AM205" s="8">
        <v>0</v>
      </c>
      <c r="AN205" s="8">
        <v>0</v>
      </c>
      <c r="AO205" s="8">
        <v>11002.056</v>
      </c>
      <c r="AQ205" s="104">
        <v>33.17</v>
      </c>
      <c r="AR205" s="375">
        <v>13.89</v>
      </c>
      <c r="AS205" s="376"/>
      <c r="AT205" s="104">
        <v>5.9</v>
      </c>
      <c r="AU205" s="104">
        <v>1.53</v>
      </c>
      <c r="AV205" s="104">
        <v>0.32</v>
      </c>
      <c r="AW205" s="104">
        <v>0.6</v>
      </c>
      <c r="AX205" s="104">
        <v>5.01</v>
      </c>
      <c r="AY205" s="104">
        <v>4.99</v>
      </c>
      <c r="AZ205" s="104">
        <v>0</v>
      </c>
      <c r="BA205" s="104">
        <v>0</v>
      </c>
      <c r="BB205" s="104">
        <v>0</v>
      </c>
      <c r="BC205" s="101">
        <v>0.93</v>
      </c>
      <c r="BD205" s="104">
        <v>37.581610000000005</v>
      </c>
      <c r="BE205" s="375">
        <v>15.737370000000004</v>
      </c>
      <c r="BF205" s="376">
        <v>0</v>
      </c>
      <c r="BG205" s="104">
        <v>6.6847000000000012</v>
      </c>
      <c r="BH205" s="104">
        <v>1.7334900000000002</v>
      </c>
      <c r="BI205" s="104">
        <v>0.36256000000000005</v>
      </c>
      <c r="BJ205" s="104">
        <v>0.67980000000000007</v>
      </c>
      <c r="BK205" s="104">
        <v>5.6763300000000001</v>
      </c>
      <c r="BL205" s="104">
        <v>5.65367</v>
      </c>
      <c r="BM205" s="104">
        <v>0</v>
      </c>
      <c r="BN205" s="104">
        <v>0</v>
      </c>
      <c r="BO205" s="104">
        <v>0</v>
      </c>
      <c r="BP205" s="101">
        <v>1.0536900000000002</v>
      </c>
      <c r="BQ205" s="103">
        <v>3118350.1108600004</v>
      </c>
      <c r="BR205" s="371">
        <v>1305814.9846200005</v>
      </c>
      <c r="BS205" s="371">
        <v>0</v>
      </c>
      <c r="BT205" s="103">
        <v>554665.83220000006</v>
      </c>
      <c r="BU205" s="103">
        <v>143837.07174000001</v>
      </c>
      <c r="BV205" s="103">
        <v>30083.570560000004</v>
      </c>
      <c r="BW205" s="103">
        <v>56406.694800000012</v>
      </c>
      <c r="BX205" s="103">
        <v>470995.90158000001</v>
      </c>
      <c r="BY205" s="103">
        <v>469115.67842000001</v>
      </c>
      <c r="BZ205" s="103">
        <v>0</v>
      </c>
      <c r="CA205" s="103">
        <v>0</v>
      </c>
      <c r="CB205" s="103">
        <v>0</v>
      </c>
      <c r="CC205" s="103">
        <v>87430.376940000016</v>
      </c>
      <c r="CD205" s="1">
        <v>1</v>
      </c>
      <c r="CF205" s="277">
        <f>SUMIF(Оборот!$A:$A,$B:$B,Оборот!H:H)</f>
        <v>2651702.88</v>
      </c>
      <c r="CG205" s="277">
        <f>SUMIF(Оборот!$A:$A,$B:$B,Оборот!I:I)</f>
        <v>2765929.58</v>
      </c>
      <c r="CH205" s="277">
        <f t="shared" si="38"/>
        <v>2751000.9988330421</v>
      </c>
      <c r="CI205" s="239">
        <f t="shared" si="42"/>
        <v>73264.810623063735</v>
      </c>
      <c r="CJ205" s="276">
        <f>SUMIF('20Ф'!$H:$H,$B:$B,'20Ф'!M:M)*1.2</f>
        <v>0</v>
      </c>
      <c r="CK205" s="276">
        <f>SUMIF('20Ф'!$H:$H,$B:$B,'20Ф'!O:O)*1.2</f>
        <v>0</v>
      </c>
      <c r="CL205" s="276">
        <f>SUMIF('20Ф'!$H:$H,$B:$B,'20Ф'!Q:Q)*1.2</f>
        <v>0</v>
      </c>
      <c r="CM205" s="276">
        <f>SUMIF('20Ф'!$H:$H,$B:$B,'20Ф'!R:R)*1.2</f>
        <v>0</v>
      </c>
      <c r="CN205" s="276">
        <f>SUMIF('20Ф'!$H:$H,$B:$B,'20Ф'!S:S)*1.2</f>
        <v>0</v>
      </c>
      <c r="CO205" s="276">
        <f>SUMIF('20Ф'!$H:$H,$B:$B,'20Ф'!W:W)*1.2</f>
        <v>0</v>
      </c>
      <c r="CP205" s="276">
        <f>SUMIF('20Ф'!$H:$H,$B:$B,'20Ф'!P:P)*1.2</f>
        <v>0</v>
      </c>
      <c r="CQ205" s="276">
        <f>SUMIF('20Ф'!$H:$H,$B:$B,'20Ф'!Y:Y)*1.2</f>
        <v>0</v>
      </c>
      <c r="CR205" s="276">
        <f>SUMIF('20Ф'!$H:$H,$B:$B,'20Ф'!Z:Z)*1.2</f>
        <v>0</v>
      </c>
      <c r="CS205" s="276">
        <f>SUMIF('20Ф'!$H:$H,$B:$B,'20Ф'!AB:AB)*1.2</f>
        <v>0</v>
      </c>
      <c r="CT205" s="276">
        <f>SUMIF('20Ф'!$H:$H,$B:$B,'20Ф'!AC:AC)*1.2</f>
        <v>0</v>
      </c>
      <c r="CU205" s="276">
        <f>SUMIF('20Ф'!$H:$H,$B:$B,'20Ф'!AD:AD)*1.2</f>
        <v>0</v>
      </c>
      <c r="CV205" s="276">
        <f>SUMIF('20Ф'!$H:$H,$B:$B,'20Ф'!AE:AE)*1.2</f>
        <v>0</v>
      </c>
      <c r="CW205" s="276">
        <f>SUMIF('20Ф'!$H:$H,$B:$B,'20Ф'!AF:AF)*1.2</f>
        <v>0</v>
      </c>
      <c r="CX205" s="276">
        <f>SUMIF('20Ф'!$H:$H,$B:$B,'20Ф'!AG:AG)*1.2</f>
        <v>6473.5319999999992</v>
      </c>
      <c r="CY205" s="276">
        <f>SUMIF('20Ф'!$H:$H,$B:$B,'20Ф'!AH:AH)*1.2</f>
        <v>0</v>
      </c>
      <c r="CZ205" s="276">
        <f>SUMIF('20Ф'!$H:$H,$B:$B,'20Ф'!AI:AI)*1.2</f>
        <v>0</v>
      </c>
      <c r="DA205" s="276">
        <f>SUMIF('20Ф'!$H:$H,$B:$B,'20Ф'!AJ:AJ)*1.2</f>
        <v>0</v>
      </c>
      <c r="DB205" s="276">
        <f>SUMIF('20Ф'!$H:$H,$B:$B,'20Ф'!AK:AK)*1.2</f>
        <v>0</v>
      </c>
      <c r="DC205" s="276">
        <f>SUMIF('20Ф'!$H:$H,$B:$B,'20Ф'!AL:AL)*1.2</f>
        <v>0</v>
      </c>
      <c r="DD205" s="276">
        <f>SUMIF('20Ф'!$H:$H,$B:$B,'20Ф'!AM:AM)*1.2</f>
        <v>0</v>
      </c>
      <c r="DE205" s="276">
        <f>SUMIF('20Ф'!$H:$H,$B:$B,'20Ф'!AN:AN)*1.2</f>
        <v>0</v>
      </c>
      <c r="DF205" s="276">
        <f>SUMIF('20Ф'!$H:$H,$B:$B,'20Ф'!AO:AO)*1.2</f>
        <v>0</v>
      </c>
      <c r="DG205" s="276">
        <f>SUMIF('20Ф'!$H:$H,$B:$B,'20Ф'!AP:AP)*1.2</f>
        <v>0</v>
      </c>
      <c r="DH205" s="276">
        <f>SUMIF('20Ф'!$H:$H,$B:$B,'20Ф'!AQ:AQ)*1.2</f>
        <v>4761.3</v>
      </c>
      <c r="DI205" s="276">
        <f>SUMIF('20Ф'!$H:$H,$B:$B,'20Ф'!BA:BA)*1.2</f>
        <v>0</v>
      </c>
      <c r="DJ205" s="276">
        <f>SUMIF('20Ф'!$H:$H,$B:$B,'20Ф'!BB:BB)*1.2</f>
        <v>0</v>
      </c>
      <c r="DK205" s="276">
        <f>SUMIF('20Ф'!$H:$H,$B:$B,'20Ф'!BC:BC)*1.2</f>
        <v>0</v>
      </c>
      <c r="DL205" s="276">
        <f>$D205/$D$281*'20Ф'!$H$218</f>
        <v>62029.978623063733</v>
      </c>
      <c r="DM205" s="240">
        <f t="shared" si="39"/>
        <v>977856.49204095884</v>
      </c>
      <c r="DN205" s="276">
        <f>SUMIF('20Ф'!$H:$H,$B:$B,'20Ф'!AV:AV)*1.2</f>
        <v>0</v>
      </c>
      <c r="DO205" s="276">
        <f>SUMIF('20Ф'!$H:$H,$B:$B,'20Ф'!AW:AW)*1.2+$D205/$D$281*'26Ф'!$D$42</f>
        <v>33009.143695470317</v>
      </c>
      <c r="DP205" s="276">
        <f>SUMIF('20Ф'!$H:$H,$B:$B,'20Ф'!AX:AX)*1.2</f>
        <v>0</v>
      </c>
      <c r="DQ205" s="276">
        <f>SUMIF('20Ф'!$H:$H,$B:$B,'20Ф'!AY:AY)*1.2</f>
        <v>142394.1</v>
      </c>
      <c r="DR205" s="276">
        <f>SUMIF('20Ф'!$H:$H,$B:$B,'20Ф'!AU:AU)*1.2</f>
        <v>0</v>
      </c>
      <c r="DS205" s="276">
        <f>SUMIF('20Ф'!$H:$H,$B:$B,'20Ф'!AS:AS)*1.2</f>
        <v>92294.411999999997</v>
      </c>
      <c r="DT205" s="276">
        <f>SUMIF('20Ф'!$H:$H,$B:$B,'20Ф'!AR:AR)*1.2</f>
        <v>0</v>
      </c>
      <c r="DU205" s="276">
        <f>SUMIF('20Ф'!$H:$H,$B:$B,'20Ф'!X:X)*1.2</f>
        <v>127882.86</v>
      </c>
      <c r="DV205" s="276">
        <f>SUMIF('20Ф'!$H:$H,$B:$B,'20Ф'!AA:AA)*1.2</f>
        <v>0</v>
      </c>
      <c r="DW205" s="276">
        <f>SUMIF('20Ф'!$H:$H,$B:$B,'20Ф'!N:N)*1.2</f>
        <v>0</v>
      </c>
      <c r="DX205" s="276">
        <f>$D205/$D$281*('25Ф'!$D$37)</f>
        <v>554842.41030857794</v>
      </c>
      <c r="DY205" s="276">
        <f>$D205/$D$281*'25Ф'!$D$30</f>
        <v>17708.827987387896</v>
      </c>
      <c r="DZ205" s="276">
        <f>$D205/$D$281*'25Ф'!$D$31</f>
        <v>9724.7380495227389</v>
      </c>
      <c r="EA205" s="276"/>
      <c r="EB205" s="276">
        <f t="shared" si="40"/>
        <v>349559.42677862337</v>
      </c>
      <c r="EC205" s="276">
        <f>$D205/$D$281*'26Ф'!$D$36</f>
        <v>181956.93911618879</v>
      </c>
      <c r="ED205" s="276">
        <f>$D205/$D$281*'26Ф'!$D$37</f>
        <v>21861.931901010641</v>
      </c>
      <c r="EE205" s="276">
        <f>$D205/$D$281*'26Ф'!$D$38</f>
        <v>22086.14752509597</v>
      </c>
      <c r="EF205" s="276">
        <f>$D205/$D$281*'26Ф'!$D$39</f>
        <v>15493.412331349409</v>
      </c>
      <c r="EG205" s="276">
        <f>$D205/$D$281*'91Ф'!$D$10</f>
        <v>4779.7112605974889</v>
      </c>
      <c r="EH205" s="276">
        <f>$D205/$D$281*('20Ф'!$I$509+'26Ф'!$D$41+'20Ф'!$I$507)</f>
        <v>33814.883284309151</v>
      </c>
      <c r="EI205" s="276">
        <f>$D205/$D$281*'91Ф'!$D$31</f>
        <v>61987.647780076812</v>
      </c>
      <c r="EJ205" s="276">
        <f>$D205/$D$281*'20Ф'!$I$1316</f>
        <v>7578.7535799951293</v>
      </c>
      <c r="EK205" s="276">
        <f>$D205/$D$281*('20Ф'!$I$1105+'20Ф'!$I$1282+'91Ф'!$D$17+'91Ф'!$D$41)</f>
        <v>248894.71105752568</v>
      </c>
      <c r="EL205" s="276">
        <f>$D205/$D$281*отчёт!BX$294</f>
        <v>416076.04992569704</v>
      </c>
      <c r="EM205" s="276">
        <f>$D205/$D$281*отчёт!BY$294</f>
        <v>365916.55176287662</v>
      </c>
      <c r="EN205" s="276">
        <f>SUMIF(отчёт!$B:$B,$B:$B,отчёт!BZ:BZ)/отчёт!BZ$281*('60Ф'!$O$151+'60Ф'!$P$151)*отчёт!BZ$293</f>
        <v>0</v>
      </c>
      <c r="EO205" s="240">
        <f t="shared" si="45"/>
        <v>0</v>
      </c>
      <c r="EP205" s="276">
        <f>SUMIF('20Ф'!$H:$H,$B:$B,'20Ф'!T:T)*1.2</f>
        <v>0</v>
      </c>
      <c r="EQ205" s="276">
        <f>SUMIF('20Ф'!$H:$H,$B:$B,'20Ф'!U:U)*1.2</f>
        <v>0</v>
      </c>
      <c r="ER205" s="236"/>
      <c r="ES205" s="239">
        <f t="shared" si="43"/>
        <v>139260.81237944317</v>
      </c>
      <c r="ET205" s="276">
        <f>$D205/$D$282*'20Ф'!$I$381</f>
        <v>10643.837319124668</v>
      </c>
      <c r="EU205" s="276">
        <f>$D205/$D$282*('20Ф'!$I$75+'20Ф'!$I$1098)*1.2</f>
        <v>122941.0461269951</v>
      </c>
      <c r="EV205" s="276">
        <f>$D205/$D$282*('20Ф'!$I$1286)</f>
        <v>5675.9289333233846</v>
      </c>
      <c r="EW205" s="276">
        <f>SUMIF('91.1Ф'!$N:$N,$B:$B,'91.1Ф'!$F:$F)+$D205/$D$281*('91Ф'!$D$12+'91Ф'!$D$11+'91Ф'!$D$19+'91Ф'!$D$20)</f>
        <v>32803.106368318258</v>
      </c>
      <c r="EX205" s="276">
        <f t="shared" si="41"/>
        <v>147369.03789653516</v>
      </c>
      <c r="EY205" s="276">
        <f>SUMIF('20Ф'!$H:$H,$B:$B,'20Ф'!$AY:$AY)*1.2</f>
        <v>142394.1</v>
      </c>
      <c r="EZ205" s="295">
        <f>D205/$D$286*'20Ф'!$I$1163</f>
        <v>4974.9378965351625</v>
      </c>
      <c r="FA205" s="277">
        <f>SUMIF(отчёт!$B:$B,$B:$B,отчёт!$CU:$CU)/отчёт!$CU$281*'20Ф'!$I$1341</f>
        <v>0</v>
      </c>
      <c r="FB205" s="276">
        <f>SUMIF(Сальдо!$A:$A,$B:$B,Сальдо!$H:$H)-SUMIF(Сальдо!$A:$A,$B:$B,Сальдо!$I:$I)</f>
        <v>462368.62</v>
      </c>
    </row>
    <row r="206" spans="1:158" ht="12" customHeight="1" x14ac:dyDescent="0.25">
      <c r="A206" s="3">
        <f t="shared" si="44"/>
        <v>202</v>
      </c>
      <c r="B206" s="4" t="s">
        <v>251</v>
      </c>
      <c r="C206" s="4" t="s">
        <v>251</v>
      </c>
      <c r="D206" s="5">
        <v>3498.85</v>
      </c>
      <c r="E206" s="6">
        <v>3498.85</v>
      </c>
      <c r="F206" s="6">
        <v>0</v>
      </c>
      <c r="G206" s="6">
        <v>300.8</v>
      </c>
      <c r="H206" s="5">
        <f>SUMIF(отчёт!$B:$B,$B:$B,отчёт!I:I)</f>
        <v>0</v>
      </c>
      <c r="I206" s="5">
        <f>SUMIF(отчёт!$B:$B,$B:$B,отчёт!J:J)</f>
        <v>0</v>
      </c>
      <c r="J206" s="3" t="s">
        <v>111</v>
      </c>
      <c r="K206" s="105">
        <v>7</v>
      </c>
      <c r="L206" s="105" t="s">
        <v>52</v>
      </c>
      <c r="M206" s="7">
        <v>31</v>
      </c>
      <c r="N206" s="8">
        <v>5.0999999999999996</v>
      </c>
      <c r="O206" s="8">
        <v>6.59</v>
      </c>
      <c r="P206" s="8">
        <v>8.98</v>
      </c>
      <c r="Q206" s="8">
        <v>6.92</v>
      </c>
      <c r="R206" s="8">
        <v>3.15</v>
      </c>
      <c r="S206" s="8">
        <v>0</v>
      </c>
      <c r="T206" s="8">
        <v>0</v>
      </c>
      <c r="U206" s="8">
        <v>0.26</v>
      </c>
      <c r="V206" s="9">
        <v>40</v>
      </c>
      <c r="W206" s="9">
        <v>40</v>
      </c>
      <c r="X206" s="9">
        <v>2604.04</v>
      </c>
      <c r="Y206" s="8">
        <v>195.98199600000001</v>
      </c>
      <c r="Z206" s="9">
        <v>42.3</v>
      </c>
      <c r="AA206" s="9">
        <v>2604.04</v>
      </c>
      <c r="AB206" s="8">
        <v>7.85</v>
      </c>
      <c r="AC206" s="10">
        <v>0</v>
      </c>
      <c r="AD206" s="8">
        <v>6.73</v>
      </c>
      <c r="AE206" s="8">
        <v>10.67</v>
      </c>
      <c r="AF206" s="8">
        <v>14</v>
      </c>
      <c r="AG206" s="7">
        <v>650786.1</v>
      </c>
      <c r="AH206" s="8">
        <v>107064.81</v>
      </c>
      <c r="AI206" s="8">
        <v>138344.52900000001</v>
      </c>
      <c r="AJ206" s="8">
        <v>188518.038</v>
      </c>
      <c r="AK206" s="8">
        <v>145272.25199999998</v>
      </c>
      <c r="AL206" s="8">
        <v>66128.264999999985</v>
      </c>
      <c r="AM206" s="8">
        <v>0</v>
      </c>
      <c r="AN206" s="8">
        <v>0</v>
      </c>
      <c r="AO206" s="8">
        <v>5458.2060000000001</v>
      </c>
      <c r="AQ206" s="104">
        <v>33.17</v>
      </c>
      <c r="AR206" s="375">
        <v>13.89</v>
      </c>
      <c r="AS206" s="376"/>
      <c r="AT206" s="104">
        <v>5.9</v>
      </c>
      <c r="AU206" s="104">
        <v>1.53</v>
      </c>
      <c r="AV206" s="104">
        <v>0.32</v>
      </c>
      <c r="AW206" s="104">
        <v>0.6</v>
      </c>
      <c r="AX206" s="104">
        <v>5.01</v>
      </c>
      <c r="AY206" s="104">
        <v>4.99</v>
      </c>
      <c r="AZ206" s="104">
        <v>0</v>
      </c>
      <c r="BA206" s="104">
        <v>0</v>
      </c>
      <c r="BB206" s="104">
        <v>0</v>
      </c>
      <c r="BC206" s="101">
        <v>0.93</v>
      </c>
      <c r="BD206" s="104">
        <v>37.581610000000005</v>
      </c>
      <c r="BE206" s="375">
        <v>15.737370000000004</v>
      </c>
      <c r="BF206" s="376">
        <v>0</v>
      </c>
      <c r="BG206" s="104">
        <v>6.6847000000000012</v>
      </c>
      <c r="BH206" s="104">
        <v>1.7334900000000002</v>
      </c>
      <c r="BI206" s="104">
        <v>0.36256000000000005</v>
      </c>
      <c r="BJ206" s="104">
        <v>0.67980000000000007</v>
      </c>
      <c r="BK206" s="104">
        <v>5.6763300000000001</v>
      </c>
      <c r="BL206" s="104">
        <v>5.65367</v>
      </c>
      <c r="BM206" s="104">
        <v>0</v>
      </c>
      <c r="BN206" s="104">
        <v>0</v>
      </c>
      <c r="BO206" s="104">
        <v>0</v>
      </c>
      <c r="BP206" s="101">
        <v>1.0536900000000002</v>
      </c>
      <c r="BQ206" s="103">
        <v>1547037.8704850003</v>
      </c>
      <c r="BR206" s="371">
        <v>647825.02324500016</v>
      </c>
      <c r="BS206" s="371">
        <v>0</v>
      </c>
      <c r="BT206" s="103">
        <v>275174.05595000001</v>
      </c>
      <c r="BU206" s="103">
        <v>71358.695865000002</v>
      </c>
      <c r="BV206" s="103">
        <v>14924.69456</v>
      </c>
      <c r="BW206" s="103">
        <v>27983.802300000003</v>
      </c>
      <c r="BX206" s="103">
        <v>233664.74920499997</v>
      </c>
      <c r="BY206" s="103">
        <v>232731.95579499999</v>
      </c>
      <c r="BZ206" s="103">
        <v>0</v>
      </c>
      <c r="CA206" s="103">
        <v>0</v>
      </c>
      <c r="CB206" s="103">
        <v>0</v>
      </c>
      <c r="CC206" s="103">
        <v>43374.893565000006</v>
      </c>
      <c r="CD206" s="1">
        <v>1</v>
      </c>
      <c r="CF206" s="277">
        <f>SUMIF(Оборот!$A:$A,$B:$B,Оборот!H:H)</f>
        <v>1294047.71</v>
      </c>
      <c r="CG206" s="277">
        <f>SUMIF(Оборот!$A:$A,$B:$B,Оборот!I:I)</f>
        <v>1355995.94</v>
      </c>
      <c r="CH206" s="277">
        <f t="shared" si="38"/>
        <v>1384131.6892572653</v>
      </c>
      <c r="CI206" s="239">
        <f t="shared" si="42"/>
        <v>197384.209369666</v>
      </c>
      <c r="CJ206" s="276">
        <f>SUMIF('20Ф'!$H:$H,$B:$B,'20Ф'!M:M)*1.2</f>
        <v>0</v>
      </c>
      <c r="CK206" s="276">
        <f>SUMIF('20Ф'!$H:$H,$B:$B,'20Ф'!O:O)*1.2</f>
        <v>0</v>
      </c>
      <c r="CL206" s="276">
        <f>SUMIF('20Ф'!$H:$H,$B:$B,'20Ф'!Q:Q)*1.2</f>
        <v>0</v>
      </c>
      <c r="CM206" s="276">
        <f>SUMIF('20Ф'!$H:$H,$B:$B,'20Ф'!R:R)*1.2</f>
        <v>0</v>
      </c>
      <c r="CN206" s="276">
        <f>SUMIF('20Ф'!$H:$H,$B:$B,'20Ф'!S:S)*1.2</f>
        <v>0</v>
      </c>
      <c r="CO206" s="276">
        <f>SUMIF('20Ф'!$H:$H,$B:$B,'20Ф'!W:W)*1.2</f>
        <v>0</v>
      </c>
      <c r="CP206" s="276">
        <f>SUMIF('20Ф'!$H:$H,$B:$B,'20Ф'!P:P)*1.2</f>
        <v>0</v>
      </c>
      <c r="CQ206" s="276">
        <f>SUMIF('20Ф'!$H:$H,$B:$B,'20Ф'!Y:Y)*1.2</f>
        <v>0</v>
      </c>
      <c r="CR206" s="276">
        <f>SUMIF('20Ф'!$H:$H,$B:$B,'20Ф'!Z:Z)*1.2</f>
        <v>0</v>
      </c>
      <c r="CS206" s="276">
        <f>SUMIF('20Ф'!$H:$H,$B:$B,'20Ф'!AB:AB)*1.2</f>
        <v>0</v>
      </c>
      <c r="CT206" s="276">
        <f>SUMIF('20Ф'!$H:$H,$B:$B,'20Ф'!AC:AC)*1.2</f>
        <v>0</v>
      </c>
      <c r="CU206" s="276">
        <f>SUMIF('20Ф'!$H:$H,$B:$B,'20Ф'!AD:AD)*1.2</f>
        <v>0</v>
      </c>
      <c r="CV206" s="276">
        <f>SUMIF('20Ф'!$H:$H,$B:$B,'20Ф'!AE:AE)*1.2</f>
        <v>0</v>
      </c>
      <c r="CW206" s="276">
        <f>SUMIF('20Ф'!$H:$H,$B:$B,'20Ф'!AF:AF)*1.2</f>
        <v>0</v>
      </c>
      <c r="CX206" s="276">
        <f>SUMIF('20Ф'!$H:$H,$B:$B,'20Ф'!AG:AG)*1.2</f>
        <v>0</v>
      </c>
      <c r="CY206" s="276">
        <f>SUMIF('20Ф'!$H:$H,$B:$B,'20Ф'!AH:AH)*1.2</f>
        <v>0</v>
      </c>
      <c r="CZ206" s="276">
        <f>SUMIF('20Ф'!$H:$H,$B:$B,'20Ф'!AI:AI)*1.2</f>
        <v>0</v>
      </c>
      <c r="DA206" s="276">
        <f>SUMIF('20Ф'!$H:$H,$B:$B,'20Ф'!AJ:AJ)*1.2</f>
        <v>145491.01199999999</v>
      </c>
      <c r="DB206" s="276">
        <f>SUMIF('20Ф'!$H:$H,$B:$B,'20Ф'!AK:AK)*1.2</f>
        <v>0</v>
      </c>
      <c r="DC206" s="276">
        <f>SUMIF('20Ф'!$H:$H,$B:$B,'20Ф'!AL:AL)*1.2</f>
        <v>0</v>
      </c>
      <c r="DD206" s="276">
        <f>SUMIF('20Ф'!$H:$H,$B:$B,'20Ф'!AM:AM)*1.2</f>
        <v>0</v>
      </c>
      <c r="DE206" s="276">
        <f>SUMIF('20Ф'!$H:$H,$B:$B,'20Ф'!AN:AN)*1.2</f>
        <v>17130.696</v>
      </c>
      <c r="DF206" s="276">
        <f>SUMIF('20Ф'!$H:$H,$B:$B,'20Ф'!AO:AO)*1.2</f>
        <v>0</v>
      </c>
      <c r="DG206" s="276">
        <f>SUMIF('20Ф'!$H:$H,$B:$B,'20Ф'!AP:AP)*1.2</f>
        <v>0</v>
      </c>
      <c r="DH206" s="276">
        <f>SUMIF('20Ф'!$H:$H,$B:$B,'20Ф'!AQ:AQ)*1.2</f>
        <v>3988.9439999999995</v>
      </c>
      <c r="DI206" s="276">
        <f>SUMIF('20Ф'!$H:$H,$B:$B,'20Ф'!BA:BA)*1.2</f>
        <v>0</v>
      </c>
      <c r="DJ206" s="276">
        <f>SUMIF('20Ф'!$H:$H,$B:$B,'20Ф'!BB:BB)*1.2</f>
        <v>0</v>
      </c>
      <c r="DK206" s="276">
        <f>SUMIF('20Ф'!$H:$H,$B:$B,'20Ф'!BC:BC)*1.2</f>
        <v>0</v>
      </c>
      <c r="DL206" s="276">
        <f>$D206/$D$281*'20Ф'!$H$218</f>
        <v>30773.557369666014</v>
      </c>
      <c r="DM206" s="240">
        <f t="shared" si="39"/>
        <v>414066.69859332853</v>
      </c>
      <c r="DN206" s="276">
        <f>SUMIF('20Ф'!$H:$H,$B:$B,'20Ф'!AV:AV)*1.2</f>
        <v>0</v>
      </c>
      <c r="DO206" s="276">
        <f>SUMIF('20Ф'!$H:$H,$B:$B,'20Ф'!AW:AW)*1.2+$D206/$D$281*'26Ф'!$D$42</f>
        <v>16376.094265787982</v>
      </c>
      <c r="DP206" s="276">
        <f>SUMIF('20Ф'!$H:$H,$B:$B,'20Ф'!AX:AX)*1.2</f>
        <v>0</v>
      </c>
      <c r="DQ206" s="276">
        <f>SUMIF('20Ф'!$H:$H,$B:$B,'20Ф'!AY:AY)*1.2</f>
        <v>0</v>
      </c>
      <c r="DR206" s="276">
        <f>SUMIF('20Ф'!$H:$H,$B:$B,'20Ф'!AU:AU)*1.2</f>
        <v>0</v>
      </c>
      <c r="DS206" s="276">
        <f>SUMIF('20Ф'!$H:$H,$B:$B,'20Ф'!AS:AS)*1.2</f>
        <v>22484.327999999998</v>
      </c>
      <c r="DT206" s="276">
        <f>SUMIF('20Ф'!$H:$H,$B:$B,'20Ф'!AR:AR)*1.2</f>
        <v>0</v>
      </c>
      <c r="DU206" s="276">
        <f>SUMIF('20Ф'!$H:$H,$B:$B,'20Ф'!X:X)*1.2</f>
        <v>86334.611999999994</v>
      </c>
      <c r="DV206" s="276">
        <f>SUMIF('20Ф'!$H:$H,$B:$B,'20Ф'!AA:AA)*1.2</f>
        <v>0</v>
      </c>
      <c r="DW206" s="276">
        <f>SUMIF('20Ф'!$H:$H,$B:$B,'20Ф'!N:N)*1.2</f>
        <v>0</v>
      </c>
      <c r="DX206" s="276">
        <f>$D206/$D$281*('25Ф'!$D$37)</f>
        <v>275261.65773022256</v>
      </c>
      <c r="DY206" s="276">
        <f>$D206/$D$281*'25Ф'!$D$30</f>
        <v>8785.4880191237462</v>
      </c>
      <c r="DZ206" s="276">
        <f>$D206/$D$281*'25Ф'!$D$31</f>
        <v>4824.5185781942309</v>
      </c>
      <c r="EA206" s="276"/>
      <c r="EB206" s="276">
        <f t="shared" si="40"/>
        <v>173419.1646179262</v>
      </c>
      <c r="EC206" s="276">
        <f>$D206/$D$281*'26Ф'!$D$36</f>
        <v>90270.26010643976</v>
      </c>
      <c r="ED206" s="276">
        <f>$D206/$D$281*'26Ф'!$D$37</f>
        <v>10845.875341271456</v>
      </c>
      <c r="EE206" s="276">
        <f>$D206/$D$281*'26Ф'!$D$38</f>
        <v>10957.110465386102</v>
      </c>
      <c r="EF206" s="276">
        <f>$D206/$D$281*'26Ф'!$D$39</f>
        <v>7686.4029911723155</v>
      </c>
      <c r="EG206" s="276">
        <f>$D206/$D$281*'91Ф'!$D$10</f>
        <v>2371.2521260445114</v>
      </c>
      <c r="EH206" s="276">
        <f>$D206/$D$281*('20Ф'!$I$509+'26Ф'!$D$41+'20Ф'!$I$507)</f>
        <v>16775.827975399861</v>
      </c>
      <c r="EI206" s="276">
        <f>$D206/$D$281*'91Ф'!$D$31</f>
        <v>30752.556707501026</v>
      </c>
      <c r="EJ206" s="276">
        <f>$D206/$D$281*'20Ф'!$I$1316</f>
        <v>3759.8789047111641</v>
      </c>
      <c r="EK206" s="276">
        <f>$D206/$D$281*('20Ф'!$I$1105+'20Ф'!$I$1282+'91Ф'!$D$17+'91Ф'!$D$41)</f>
        <v>123478.61211235909</v>
      </c>
      <c r="EL206" s="276">
        <f>$D206/$D$281*отчёт!BX$294</f>
        <v>206418.58141430464</v>
      </c>
      <c r="EM206" s="276">
        <f>$D206/$D$281*отчёт!BY$294</f>
        <v>181534.06220904927</v>
      </c>
      <c r="EN206" s="276">
        <f>SUMIF(отчёт!$B:$B,$B:$B,отчёт!BZ:BZ)/отчёт!BZ$281*('60Ф'!$O$151+'60Ф'!$P$151)*отчёт!BZ$293</f>
        <v>0</v>
      </c>
      <c r="EO206" s="240">
        <f t="shared" si="45"/>
        <v>0</v>
      </c>
      <c r="EP206" s="276">
        <f>SUMIF('20Ф'!$H:$H,$B:$B,'20Ф'!T:T)*1.2</f>
        <v>0</v>
      </c>
      <c r="EQ206" s="276">
        <f>SUMIF('20Ф'!$H:$H,$B:$B,'20Ф'!U:U)*1.2</f>
        <v>0</v>
      </c>
      <c r="ER206" s="236"/>
      <c r="ES206" s="239">
        <f t="shared" si="43"/>
        <v>69088.377817232598</v>
      </c>
      <c r="ET206" s="276">
        <f>$D206/$D$282*'20Ф'!$I$381</f>
        <v>5280.4909117232428</v>
      </c>
      <c r="EU206" s="276">
        <f>$D206/$D$282*('20Ф'!$I$75+'20Ф'!$I$1098)*1.2</f>
        <v>60992.014185043365</v>
      </c>
      <c r="EV206" s="276">
        <f>$D206/$D$282*('20Ф'!$I$1286)</f>
        <v>2815.8727204660013</v>
      </c>
      <c r="EW206" s="276">
        <f>SUMIF('91.1Ф'!$N:$N,$B:$B,'91.1Ф'!$F:$F)+$D206/$D$281*('91Ф'!$D$12+'91Ф'!$D$11+'91Ф'!$D$19+'91Ф'!$D$20)</f>
        <v>16273.877536907003</v>
      </c>
      <c r="EX206" s="276">
        <f t="shared" si="41"/>
        <v>2468.1055864917976</v>
      </c>
      <c r="EY206" s="276">
        <f>SUMIF('20Ф'!$H:$H,$B:$B,'20Ф'!$AY:$AY)*1.2</f>
        <v>0</v>
      </c>
      <c r="EZ206" s="295">
        <f>D206/$D$286*'20Ф'!$I$1163</f>
        <v>2468.1055864917976</v>
      </c>
      <c r="FA206" s="277">
        <f>SUMIF(отчёт!$B:$B,$B:$B,отчёт!$CU:$CU)/отчёт!$CU$281*'20Ф'!$I$1341</f>
        <v>3683.8554216867401</v>
      </c>
      <c r="FB206" s="276">
        <f>SUMIF(Сальдо!$A:$A,$B:$B,Сальдо!$H:$H)-SUMIF(Сальдо!$A:$A,$B:$B,Сальдо!$I:$I)</f>
        <v>398592.62</v>
      </c>
    </row>
    <row r="207" spans="1:158" ht="12" customHeight="1" x14ac:dyDescent="0.25">
      <c r="A207" s="3">
        <f t="shared" si="44"/>
        <v>203</v>
      </c>
      <c r="B207" s="4" t="s">
        <v>252</v>
      </c>
      <c r="C207" s="4" t="s">
        <v>252</v>
      </c>
      <c r="D207" s="5">
        <v>3501.4</v>
      </c>
      <c r="E207" s="6">
        <v>3501.4</v>
      </c>
      <c r="F207" s="6">
        <v>0</v>
      </c>
      <c r="G207" s="6">
        <v>300</v>
      </c>
      <c r="H207" s="5">
        <f>SUMIF(отчёт!$B:$B,$B:$B,отчёт!I:I)</f>
        <v>0</v>
      </c>
      <c r="I207" s="5">
        <f>SUMIF(отчёт!$B:$B,$B:$B,отчёт!J:J)</f>
        <v>0</v>
      </c>
      <c r="J207" s="3" t="s">
        <v>111</v>
      </c>
      <c r="K207" s="105">
        <v>7</v>
      </c>
      <c r="L207" s="105" t="s">
        <v>52</v>
      </c>
      <c r="M207" s="7">
        <v>31</v>
      </c>
      <c r="N207" s="8">
        <v>5.0999999999999996</v>
      </c>
      <c r="O207" s="8">
        <v>6.59</v>
      </c>
      <c r="P207" s="8">
        <v>8.98</v>
      </c>
      <c r="Q207" s="8">
        <v>6.92</v>
      </c>
      <c r="R207" s="8">
        <v>3.15</v>
      </c>
      <c r="S207" s="8">
        <v>0</v>
      </c>
      <c r="T207" s="8">
        <v>0</v>
      </c>
      <c r="U207" s="8">
        <v>0.26</v>
      </c>
      <c r="V207" s="9">
        <v>40</v>
      </c>
      <c r="W207" s="9">
        <v>40</v>
      </c>
      <c r="X207" s="9">
        <v>2604.04</v>
      </c>
      <c r="Y207" s="8">
        <v>195.98199600000001</v>
      </c>
      <c r="Z207" s="9">
        <v>42.3</v>
      </c>
      <c r="AA207" s="9">
        <v>2604.04</v>
      </c>
      <c r="AB207" s="8">
        <v>7.85</v>
      </c>
      <c r="AC207" s="10">
        <v>0</v>
      </c>
      <c r="AD207" s="8">
        <v>6.73</v>
      </c>
      <c r="AE207" s="8">
        <v>10.67</v>
      </c>
      <c r="AF207" s="8">
        <v>14</v>
      </c>
      <c r="AG207" s="7">
        <v>651260.4</v>
      </c>
      <c r="AH207" s="8">
        <v>107142.84</v>
      </c>
      <c r="AI207" s="8">
        <v>138445.356</v>
      </c>
      <c r="AJ207" s="8">
        <v>188655.43200000003</v>
      </c>
      <c r="AK207" s="8">
        <v>145378.12800000003</v>
      </c>
      <c r="AL207" s="8">
        <v>66176.459999999992</v>
      </c>
      <c r="AM207" s="8">
        <v>0</v>
      </c>
      <c r="AN207" s="8">
        <v>0</v>
      </c>
      <c r="AO207" s="8">
        <v>5462.1840000000002</v>
      </c>
      <c r="AQ207" s="104">
        <v>33.17</v>
      </c>
      <c r="AR207" s="375">
        <v>13.89</v>
      </c>
      <c r="AS207" s="376"/>
      <c r="AT207" s="104">
        <v>5.9</v>
      </c>
      <c r="AU207" s="104">
        <v>1.53</v>
      </c>
      <c r="AV207" s="104">
        <v>0.32</v>
      </c>
      <c r="AW207" s="104">
        <v>0.6</v>
      </c>
      <c r="AX207" s="104">
        <v>5.01</v>
      </c>
      <c r="AY207" s="104">
        <v>4.99</v>
      </c>
      <c r="AZ207" s="104">
        <v>0</v>
      </c>
      <c r="BA207" s="104">
        <v>0</v>
      </c>
      <c r="BB207" s="104">
        <v>0</v>
      </c>
      <c r="BC207" s="101">
        <v>0.93</v>
      </c>
      <c r="BD207" s="104">
        <v>37.581610000000005</v>
      </c>
      <c r="BE207" s="375">
        <v>15.737370000000004</v>
      </c>
      <c r="BF207" s="376">
        <v>0</v>
      </c>
      <c r="BG207" s="104">
        <v>6.6847000000000012</v>
      </c>
      <c r="BH207" s="104">
        <v>1.7334900000000002</v>
      </c>
      <c r="BI207" s="104">
        <v>0.36256000000000005</v>
      </c>
      <c r="BJ207" s="104">
        <v>0.67980000000000007</v>
      </c>
      <c r="BK207" s="104">
        <v>5.6763300000000001</v>
      </c>
      <c r="BL207" s="104">
        <v>5.65367</v>
      </c>
      <c r="BM207" s="104">
        <v>0</v>
      </c>
      <c r="BN207" s="104">
        <v>0</v>
      </c>
      <c r="BO207" s="104">
        <v>0</v>
      </c>
      <c r="BP207" s="101">
        <v>1.0536900000000002</v>
      </c>
      <c r="BQ207" s="103">
        <v>1548165.3685400002</v>
      </c>
      <c r="BR207" s="371">
        <v>648297.16518000013</v>
      </c>
      <c r="BS207" s="371">
        <v>0</v>
      </c>
      <c r="BT207" s="103">
        <v>275374.60580000002</v>
      </c>
      <c r="BU207" s="103">
        <v>71410.702860000005</v>
      </c>
      <c r="BV207" s="103">
        <v>14935.571840000001</v>
      </c>
      <c r="BW207" s="103">
        <v>28004.197200000006</v>
      </c>
      <c r="BX207" s="103">
        <v>233835.04662000001</v>
      </c>
      <c r="BY207" s="103">
        <v>232901.57338000002</v>
      </c>
      <c r="BZ207" s="103">
        <v>0</v>
      </c>
      <c r="CA207" s="103">
        <v>0</v>
      </c>
      <c r="CB207" s="103">
        <v>0</v>
      </c>
      <c r="CC207" s="103">
        <v>43406.50566000001</v>
      </c>
      <c r="CD207" s="1">
        <v>1</v>
      </c>
      <c r="CF207" s="277">
        <f>SUMIF(Оборот!$A:$A,$B:$B,Оборот!H:H)</f>
        <v>1332913.08</v>
      </c>
      <c r="CG207" s="277">
        <f>SUMIF(Оборот!$A:$A,$B:$B,Оборот!I:I)</f>
        <v>1313644.92</v>
      </c>
      <c r="CH207" s="277">
        <f t="shared" si="38"/>
        <v>1525017.3074250652</v>
      </c>
      <c r="CI207" s="239">
        <f t="shared" si="42"/>
        <v>275659.71747355518</v>
      </c>
      <c r="CJ207" s="276">
        <f>SUMIF('20Ф'!$H:$H,$B:$B,'20Ф'!M:M)*1.2</f>
        <v>0</v>
      </c>
      <c r="CK207" s="276">
        <f>SUMIF('20Ф'!$H:$H,$B:$B,'20Ф'!O:O)*1.2</f>
        <v>0</v>
      </c>
      <c r="CL207" s="276">
        <f>SUMIF('20Ф'!$H:$H,$B:$B,'20Ф'!Q:Q)*1.2</f>
        <v>0</v>
      </c>
      <c r="CM207" s="276">
        <f>SUMIF('20Ф'!$H:$H,$B:$B,'20Ф'!R:R)*1.2</f>
        <v>0</v>
      </c>
      <c r="CN207" s="276">
        <f>SUMIF('20Ф'!$H:$H,$B:$B,'20Ф'!S:S)*1.2</f>
        <v>0</v>
      </c>
      <c r="CO207" s="276">
        <f>SUMIF('20Ф'!$H:$H,$B:$B,'20Ф'!W:W)*1.2</f>
        <v>0</v>
      </c>
      <c r="CP207" s="276">
        <f>SUMIF('20Ф'!$H:$H,$B:$B,'20Ф'!P:P)*1.2</f>
        <v>0</v>
      </c>
      <c r="CQ207" s="276">
        <f>SUMIF('20Ф'!$H:$H,$B:$B,'20Ф'!Y:Y)*1.2</f>
        <v>0</v>
      </c>
      <c r="CR207" s="276">
        <f>SUMIF('20Ф'!$H:$H,$B:$B,'20Ф'!Z:Z)*1.2</f>
        <v>0</v>
      </c>
      <c r="CS207" s="276">
        <f>SUMIF('20Ф'!$H:$H,$B:$B,'20Ф'!AB:AB)*1.2</f>
        <v>0</v>
      </c>
      <c r="CT207" s="276">
        <f>SUMIF('20Ф'!$H:$H,$B:$B,'20Ф'!AC:AC)*1.2</f>
        <v>0</v>
      </c>
      <c r="CU207" s="276">
        <f>SUMIF('20Ф'!$H:$H,$B:$B,'20Ф'!AD:AD)*1.2</f>
        <v>0</v>
      </c>
      <c r="CV207" s="276">
        <f>SUMIF('20Ф'!$H:$H,$B:$B,'20Ф'!AE:AE)*1.2</f>
        <v>0</v>
      </c>
      <c r="CW207" s="276">
        <f>SUMIF('20Ф'!$H:$H,$B:$B,'20Ф'!AF:AF)*1.2</f>
        <v>0</v>
      </c>
      <c r="CX207" s="276">
        <f>SUMIF('20Ф'!$H:$H,$B:$B,'20Ф'!AG:AG)*1.2</f>
        <v>5148</v>
      </c>
      <c r="CY207" s="276">
        <f>SUMIF('20Ф'!$H:$H,$B:$B,'20Ф'!AH:AH)*1.2</f>
        <v>0</v>
      </c>
      <c r="CZ207" s="276">
        <f>SUMIF('20Ф'!$H:$H,$B:$B,'20Ф'!AI:AI)*1.2</f>
        <v>0</v>
      </c>
      <c r="DA207" s="276">
        <f>SUMIF('20Ф'!$H:$H,$B:$B,'20Ф'!AJ:AJ)*1.2</f>
        <v>239715.73199999996</v>
      </c>
      <c r="DB207" s="276">
        <f>SUMIF('20Ф'!$H:$H,$B:$B,'20Ф'!AK:AK)*1.2</f>
        <v>0</v>
      </c>
      <c r="DC207" s="276">
        <f>SUMIF('20Ф'!$H:$H,$B:$B,'20Ф'!AL:AL)*1.2</f>
        <v>0</v>
      </c>
      <c r="DD207" s="276">
        <f>SUMIF('20Ф'!$H:$H,$B:$B,'20Ф'!AM:AM)*1.2</f>
        <v>0</v>
      </c>
      <c r="DE207" s="276">
        <f>SUMIF('20Ф'!$H:$H,$B:$B,'20Ф'!AN:AN)*1.2</f>
        <v>0</v>
      </c>
      <c r="DF207" s="276">
        <f>SUMIF('20Ф'!$H:$H,$B:$B,'20Ф'!AO:AO)*1.2</f>
        <v>0</v>
      </c>
      <c r="DG207" s="276">
        <f>SUMIF('20Ф'!$H:$H,$B:$B,'20Ф'!AP:AP)*1.2</f>
        <v>0</v>
      </c>
      <c r="DH207" s="276">
        <f>SUMIF('20Ф'!$H:$H,$B:$B,'20Ф'!AQ:AQ)*1.2</f>
        <v>0</v>
      </c>
      <c r="DI207" s="276">
        <f>SUMIF('20Ф'!$H:$H,$B:$B,'20Ф'!BA:BA)*1.2</f>
        <v>0</v>
      </c>
      <c r="DJ207" s="276">
        <f>SUMIF('20Ф'!$H:$H,$B:$B,'20Ф'!BB:BB)*1.2</f>
        <v>0</v>
      </c>
      <c r="DK207" s="276">
        <f>SUMIF('20Ф'!$H:$H,$B:$B,'20Ф'!BC:BC)*1.2</f>
        <v>0</v>
      </c>
      <c r="DL207" s="276">
        <f>$D207/$D$281*'20Ф'!$H$218</f>
        <v>30795.985473555196</v>
      </c>
      <c r="DM207" s="240">
        <f t="shared" si="39"/>
        <v>476113.67048546823</v>
      </c>
      <c r="DN207" s="276">
        <f>SUMIF('20Ф'!$H:$H,$B:$B,'20Ф'!AV:AV)*1.2</f>
        <v>0</v>
      </c>
      <c r="DO207" s="276">
        <f>SUMIF('20Ф'!$H:$H,$B:$B,'20Ф'!AW:AW)*1.2+$D207/$D$281*'26Ф'!$D$42</f>
        <v>16388.029341706573</v>
      </c>
      <c r="DP207" s="276">
        <f>SUMIF('20Ф'!$H:$H,$B:$B,'20Ф'!AX:AX)*1.2</f>
        <v>0</v>
      </c>
      <c r="DQ207" s="276">
        <f>SUMIF('20Ф'!$H:$H,$B:$B,'20Ф'!AY:AY)*1.2</f>
        <v>0</v>
      </c>
      <c r="DR207" s="276">
        <f>SUMIF('20Ф'!$H:$H,$B:$B,'20Ф'!AU:AU)*1.2</f>
        <v>0</v>
      </c>
      <c r="DS207" s="276">
        <f>SUMIF('20Ф'!$H:$H,$B:$B,'20Ф'!AS:AS)*1.2</f>
        <v>151774.01999999999</v>
      </c>
      <c r="DT207" s="276">
        <f>SUMIF('20Ф'!$H:$H,$B:$B,'20Ф'!AR:AR)*1.2</f>
        <v>0</v>
      </c>
      <c r="DU207" s="276">
        <f>SUMIF('20Ф'!$H:$H,$B:$B,'20Ф'!X:X)*1.2</f>
        <v>18869.423999999999</v>
      </c>
      <c r="DV207" s="276">
        <f>SUMIF('20Ф'!$H:$H,$B:$B,'20Ф'!AA:AA)*1.2</f>
        <v>0</v>
      </c>
      <c r="DW207" s="276">
        <f>SUMIF('20Ф'!$H:$H,$B:$B,'20Ф'!N:N)*1.2</f>
        <v>0</v>
      </c>
      <c r="DX207" s="276">
        <f>$D207/$D$281*('25Ф'!$D$37)</f>
        <v>275462.27142535447</v>
      </c>
      <c r="DY207" s="276">
        <f>$D207/$D$281*'25Ф'!$D$30</f>
        <v>8791.8909785100495</v>
      </c>
      <c r="DZ207" s="276">
        <f>$D207/$D$281*'25Ф'!$D$31</f>
        <v>4828.0347398971899</v>
      </c>
      <c r="EA207" s="276"/>
      <c r="EB207" s="276">
        <f t="shared" si="40"/>
        <v>173545.55439450298</v>
      </c>
      <c r="EC207" s="276">
        <f>$D207/$D$281*'26Ф'!$D$36</f>
        <v>90336.050055500586</v>
      </c>
      <c r="ED207" s="276">
        <f>$D207/$D$281*'26Ф'!$D$37</f>
        <v>10853.779933386078</v>
      </c>
      <c r="EE207" s="276">
        <f>$D207/$D$281*'26Ф'!$D$38</f>
        <v>10965.096126871087</v>
      </c>
      <c r="EF207" s="276">
        <f>$D207/$D$281*'26Ф'!$D$39</f>
        <v>7692.0049254157075</v>
      </c>
      <c r="EG207" s="276">
        <f>$D207/$D$281*'91Ф'!$D$10</f>
        <v>2372.9803204287846</v>
      </c>
      <c r="EH207" s="276">
        <f>$D207/$D$281*('20Ф'!$I$509+'26Ф'!$D$41+'20Ф'!$I$507)</f>
        <v>16788.05438160112</v>
      </c>
      <c r="EI207" s="276">
        <f>$D207/$D$281*'91Ф'!$D$31</f>
        <v>30774.969505878817</v>
      </c>
      <c r="EJ207" s="276">
        <f>$D207/$D$281*'20Ф'!$I$1316</f>
        <v>3762.6191454208301</v>
      </c>
      <c r="EK207" s="276">
        <f>$D207/$D$281*('20Ф'!$I$1105+'20Ф'!$I$1282+'91Ф'!$D$17+'91Ф'!$D$41)</f>
        <v>123568.60467016709</v>
      </c>
      <c r="EL207" s="276">
        <f>$D207/$D$281*отчёт!BX$294</f>
        <v>206569.02152537159</v>
      </c>
      <c r="EM207" s="276">
        <f>$D207/$D$281*отчёт!BY$294</f>
        <v>181666.36621140235</v>
      </c>
      <c r="EN207" s="276">
        <f>SUMIF(отчёт!$B:$B,$B:$B,отчёт!BZ:BZ)/отчёт!BZ$281*('60Ф'!$O$151+'60Ф'!$P$151)*отчёт!BZ$293</f>
        <v>0</v>
      </c>
      <c r="EO207" s="240">
        <f t="shared" si="45"/>
        <v>0</v>
      </c>
      <c r="EP207" s="276">
        <f>SUMIF('20Ф'!$H:$H,$B:$B,'20Ф'!T:T)*1.2</f>
        <v>0</v>
      </c>
      <c r="EQ207" s="276">
        <f>SUMIF('20Ф'!$H:$H,$B:$B,'20Ф'!U:U)*1.2</f>
        <v>0</v>
      </c>
      <c r="ER207" s="236"/>
      <c r="ES207" s="239">
        <f t="shared" si="43"/>
        <v>69138.730179704289</v>
      </c>
      <c r="ET207" s="276">
        <f>$D207/$D$282*'20Ф'!$I$381</f>
        <v>5284.3393910307004</v>
      </c>
      <c r="EU207" s="276">
        <f>$D207/$D$282*('20Ф'!$I$75+'20Ф'!$I$1098)*1.2</f>
        <v>61036.465829489942</v>
      </c>
      <c r="EV207" s="276">
        <f>$D207/$D$282*('20Ф'!$I$1286)</f>
        <v>2817.9249591836347</v>
      </c>
      <c r="EW207" s="276">
        <f>SUMIF('91.1Ф'!$N:$N,$B:$B,'91.1Ф'!$F:$F)+$D207/$D$281*('91Ф'!$D$12+'91Ф'!$D$11+'91Ф'!$D$19+'91Ф'!$D$20)</f>
        <v>16285.738116159933</v>
      </c>
      <c r="EX207" s="276">
        <f t="shared" si="41"/>
        <v>2469.9043687332637</v>
      </c>
      <c r="EY207" s="276">
        <f>SUMIF('20Ф'!$H:$H,$B:$B,'20Ф'!$AY:$AY)*1.2</f>
        <v>0</v>
      </c>
      <c r="EZ207" s="295">
        <f>D207/$D$286*'20Ф'!$I$1163</f>
        <v>2469.9043687332637</v>
      </c>
      <c r="FA207" s="277">
        <f>SUMIF(отчёт!$B:$B,$B:$B,отчёт!$CU:$CU)/отчёт!$CU$281*'20Ф'!$I$1341</f>
        <v>3683.8554216867401</v>
      </c>
      <c r="FB207" s="276">
        <f>SUMIF(Сальдо!$A:$A,$B:$B,Сальдо!$H:$H)-SUMIF(Сальдо!$A:$A,$B:$B,Сальдо!$I:$I)</f>
        <v>334331.86</v>
      </c>
    </row>
    <row r="208" spans="1:158" ht="12" customHeight="1" x14ac:dyDescent="0.25">
      <c r="A208" s="3">
        <f t="shared" si="44"/>
        <v>204</v>
      </c>
      <c r="B208" s="4" t="s">
        <v>253</v>
      </c>
      <c r="C208" s="4" t="s">
        <v>253</v>
      </c>
      <c r="D208" s="5">
        <v>3514.1</v>
      </c>
      <c r="E208" s="6">
        <v>3514.1</v>
      </c>
      <c r="F208" s="6">
        <v>0</v>
      </c>
      <c r="G208" s="6">
        <v>299.7</v>
      </c>
      <c r="H208" s="5">
        <f>SUMIF(отчёт!$B:$B,$B:$B,отчёт!I:I)</f>
        <v>0</v>
      </c>
      <c r="I208" s="5">
        <f>SUMIF(отчёт!$B:$B,$B:$B,отчёт!J:J)</f>
        <v>0</v>
      </c>
      <c r="J208" s="3" t="s">
        <v>111</v>
      </c>
      <c r="K208" s="105">
        <v>7</v>
      </c>
      <c r="L208" s="105" t="s">
        <v>52</v>
      </c>
      <c r="M208" s="7">
        <v>31</v>
      </c>
      <c r="N208" s="8">
        <v>5.0999999999999996</v>
      </c>
      <c r="O208" s="8">
        <v>6.59</v>
      </c>
      <c r="P208" s="8">
        <v>8.98</v>
      </c>
      <c r="Q208" s="8">
        <v>6.92</v>
      </c>
      <c r="R208" s="8">
        <v>3.15</v>
      </c>
      <c r="S208" s="8">
        <v>0</v>
      </c>
      <c r="T208" s="8">
        <v>0</v>
      </c>
      <c r="U208" s="8">
        <v>0.26</v>
      </c>
      <c r="V208" s="9">
        <v>40</v>
      </c>
      <c r="W208" s="9">
        <v>40</v>
      </c>
      <c r="X208" s="9">
        <v>2604.04</v>
      </c>
      <c r="Y208" s="8">
        <v>195.98199600000001</v>
      </c>
      <c r="Z208" s="9">
        <v>42.3</v>
      </c>
      <c r="AA208" s="9">
        <v>2604.04</v>
      </c>
      <c r="AB208" s="8">
        <v>7.85</v>
      </c>
      <c r="AC208" s="10">
        <v>0</v>
      </c>
      <c r="AD208" s="8">
        <v>6.73</v>
      </c>
      <c r="AE208" s="8">
        <v>10.67</v>
      </c>
      <c r="AF208" s="8">
        <v>14</v>
      </c>
      <c r="AG208" s="7">
        <v>653622.6</v>
      </c>
      <c r="AH208" s="8">
        <v>107531.45999999999</v>
      </c>
      <c r="AI208" s="8">
        <v>138947.514</v>
      </c>
      <c r="AJ208" s="8">
        <v>189339.70800000001</v>
      </c>
      <c r="AK208" s="8">
        <v>145905.432</v>
      </c>
      <c r="AL208" s="8">
        <v>66416.489999999991</v>
      </c>
      <c r="AM208" s="8">
        <v>0</v>
      </c>
      <c r="AN208" s="8">
        <v>0</v>
      </c>
      <c r="AO208" s="8">
        <v>5481.9960000000001</v>
      </c>
      <c r="AQ208" s="104">
        <v>33.17</v>
      </c>
      <c r="AR208" s="375">
        <v>13.89</v>
      </c>
      <c r="AS208" s="376"/>
      <c r="AT208" s="104">
        <v>5.9</v>
      </c>
      <c r="AU208" s="104">
        <v>1.53</v>
      </c>
      <c r="AV208" s="104">
        <v>0.32</v>
      </c>
      <c r="AW208" s="104">
        <v>0.6</v>
      </c>
      <c r="AX208" s="104">
        <v>5.01</v>
      </c>
      <c r="AY208" s="104">
        <v>4.99</v>
      </c>
      <c r="AZ208" s="104">
        <v>0</v>
      </c>
      <c r="BA208" s="104">
        <v>0</v>
      </c>
      <c r="BB208" s="104">
        <v>0</v>
      </c>
      <c r="BC208" s="101">
        <v>0.93</v>
      </c>
      <c r="BD208" s="104">
        <v>37.581610000000005</v>
      </c>
      <c r="BE208" s="375">
        <v>15.737370000000004</v>
      </c>
      <c r="BF208" s="376">
        <v>0</v>
      </c>
      <c r="BG208" s="104">
        <v>6.6847000000000012</v>
      </c>
      <c r="BH208" s="104">
        <v>1.7334900000000002</v>
      </c>
      <c r="BI208" s="104">
        <v>0.36256000000000005</v>
      </c>
      <c r="BJ208" s="104">
        <v>0.67980000000000007</v>
      </c>
      <c r="BK208" s="104">
        <v>5.6763300000000001</v>
      </c>
      <c r="BL208" s="104">
        <v>5.65367</v>
      </c>
      <c r="BM208" s="104">
        <v>0</v>
      </c>
      <c r="BN208" s="104">
        <v>0</v>
      </c>
      <c r="BO208" s="104">
        <v>0</v>
      </c>
      <c r="BP208" s="101">
        <v>1.0536900000000002</v>
      </c>
      <c r="BQ208" s="103">
        <v>1553780.7510100002</v>
      </c>
      <c r="BR208" s="371">
        <v>650648.6171700001</v>
      </c>
      <c r="BS208" s="371">
        <v>0</v>
      </c>
      <c r="BT208" s="103">
        <v>276373.4227</v>
      </c>
      <c r="BU208" s="103">
        <v>71669.718089999995</v>
      </c>
      <c r="BV208" s="103">
        <v>14989.74496</v>
      </c>
      <c r="BW208" s="103">
        <v>28105.771800000002</v>
      </c>
      <c r="BX208" s="103">
        <v>234683.19452999998</v>
      </c>
      <c r="BY208" s="103">
        <v>233746.33546999999</v>
      </c>
      <c r="BZ208" s="103">
        <v>0</v>
      </c>
      <c r="CA208" s="103">
        <v>0</v>
      </c>
      <c r="CB208" s="103">
        <v>0</v>
      </c>
      <c r="CC208" s="103">
        <v>43563.946290000007</v>
      </c>
      <c r="CD208" s="1">
        <v>1</v>
      </c>
      <c r="CF208" s="277">
        <f>SUMIF(Оборот!$A:$A,$B:$B,Оборот!H:H)</f>
        <v>1337519.4000000001</v>
      </c>
      <c r="CG208" s="277">
        <f>SUMIF(Оборот!$A:$A,$B:$B,Оборот!I:I)</f>
        <v>1335203.53</v>
      </c>
      <c r="CH208" s="277">
        <f t="shared" si="38"/>
        <v>1200518.0064568517</v>
      </c>
      <c r="CI208" s="239">
        <f t="shared" si="42"/>
        <v>66438.94222625815</v>
      </c>
      <c r="CJ208" s="276">
        <f>SUMIF('20Ф'!$H:$H,$B:$B,'20Ф'!M:M)*1.2</f>
        <v>0</v>
      </c>
      <c r="CK208" s="276">
        <f>SUMIF('20Ф'!$H:$H,$B:$B,'20Ф'!O:O)*1.2</f>
        <v>35531.256000000001</v>
      </c>
      <c r="CL208" s="276">
        <f>SUMIF('20Ф'!$H:$H,$B:$B,'20Ф'!Q:Q)*1.2</f>
        <v>0</v>
      </c>
      <c r="CM208" s="276">
        <f>SUMIF('20Ф'!$H:$H,$B:$B,'20Ф'!R:R)*1.2</f>
        <v>0</v>
      </c>
      <c r="CN208" s="276">
        <f>SUMIF('20Ф'!$H:$H,$B:$B,'20Ф'!S:S)*1.2</f>
        <v>0</v>
      </c>
      <c r="CO208" s="276">
        <f>SUMIF('20Ф'!$H:$H,$B:$B,'20Ф'!W:W)*1.2</f>
        <v>0</v>
      </c>
      <c r="CP208" s="276">
        <f>SUMIF('20Ф'!$H:$H,$B:$B,'20Ф'!P:P)*1.2</f>
        <v>0</v>
      </c>
      <c r="CQ208" s="276">
        <f>SUMIF('20Ф'!$H:$H,$B:$B,'20Ф'!Y:Y)*1.2</f>
        <v>0</v>
      </c>
      <c r="CR208" s="276">
        <f>SUMIF('20Ф'!$H:$H,$B:$B,'20Ф'!Z:Z)*1.2</f>
        <v>0</v>
      </c>
      <c r="CS208" s="276">
        <f>SUMIF('20Ф'!$H:$H,$B:$B,'20Ф'!AB:AB)*1.2</f>
        <v>0</v>
      </c>
      <c r="CT208" s="276">
        <f>SUMIF('20Ф'!$H:$H,$B:$B,'20Ф'!AC:AC)*1.2</f>
        <v>0</v>
      </c>
      <c r="CU208" s="276">
        <f>SUMIF('20Ф'!$H:$H,$B:$B,'20Ф'!AD:AD)*1.2</f>
        <v>0</v>
      </c>
      <c r="CV208" s="276">
        <f>SUMIF('20Ф'!$H:$H,$B:$B,'20Ф'!AE:AE)*1.2</f>
        <v>0</v>
      </c>
      <c r="CW208" s="276">
        <f>SUMIF('20Ф'!$H:$H,$B:$B,'20Ф'!AF:AF)*1.2</f>
        <v>0</v>
      </c>
      <c r="CX208" s="276">
        <f>SUMIF('20Ф'!$H:$H,$B:$B,'20Ф'!AG:AG)*1.2</f>
        <v>0</v>
      </c>
      <c r="CY208" s="276">
        <f>SUMIF('20Ф'!$H:$H,$B:$B,'20Ф'!AH:AH)*1.2</f>
        <v>0</v>
      </c>
      <c r="CZ208" s="276">
        <f>SUMIF('20Ф'!$H:$H,$B:$B,'20Ф'!AI:AI)*1.2</f>
        <v>0</v>
      </c>
      <c r="DA208" s="276">
        <f>SUMIF('20Ф'!$H:$H,$B:$B,'20Ф'!AJ:AJ)*1.2</f>
        <v>0</v>
      </c>
      <c r="DB208" s="276">
        <f>SUMIF('20Ф'!$H:$H,$B:$B,'20Ф'!AK:AK)*1.2</f>
        <v>0</v>
      </c>
      <c r="DC208" s="276">
        <f>SUMIF('20Ф'!$H:$H,$B:$B,'20Ф'!AL:AL)*1.2</f>
        <v>0</v>
      </c>
      <c r="DD208" s="276">
        <f>SUMIF('20Ф'!$H:$H,$B:$B,'20Ф'!AM:AM)*1.2</f>
        <v>0</v>
      </c>
      <c r="DE208" s="276">
        <f>SUMIF('20Ф'!$H:$H,$B:$B,'20Ф'!AN:AN)*1.2</f>
        <v>0</v>
      </c>
      <c r="DF208" s="276">
        <f>SUMIF('20Ф'!$H:$H,$B:$B,'20Ф'!AO:AO)*1.2</f>
        <v>0</v>
      </c>
      <c r="DG208" s="276">
        <f>SUMIF('20Ф'!$H:$H,$B:$B,'20Ф'!AP:AP)*1.2</f>
        <v>0</v>
      </c>
      <c r="DH208" s="276">
        <f>SUMIF('20Ф'!$H:$H,$B:$B,'20Ф'!AQ:AQ)*1.2</f>
        <v>0</v>
      </c>
      <c r="DI208" s="276">
        <f>SUMIF('20Ф'!$H:$H,$B:$B,'20Ф'!BA:BA)*1.2</f>
        <v>0</v>
      </c>
      <c r="DJ208" s="276">
        <f>SUMIF('20Ф'!$H:$H,$B:$B,'20Ф'!BB:BB)*1.2</f>
        <v>0</v>
      </c>
      <c r="DK208" s="276">
        <f>SUMIF('20Ф'!$H:$H,$B:$B,'20Ф'!BC:BC)*1.2</f>
        <v>0</v>
      </c>
      <c r="DL208" s="276">
        <f>$D208/$D$281*'20Ф'!$H$218</f>
        <v>30907.686226258153</v>
      </c>
      <c r="DM208" s="240">
        <f t="shared" si="39"/>
        <v>358030.49583063461</v>
      </c>
      <c r="DN208" s="276">
        <f>SUMIF('20Ф'!$H:$H,$B:$B,'20Ф'!AV:AV)*1.2</f>
        <v>0</v>
      </c>
      <c r="DO208" s="276">
        <f>SUMIF('20Ф'!$H:$H,$B:$B,'20Ф'!AW:AW)*1.2+$D208/$D$281*'26Ф'!$D$42</f>
        <v>16447.470700203081</v>
      </c>
      <c r="DP208" s="276">
        <f>SUMIF('20Ф'!$H:$H,$B:$B,'20Ф'!AX:AX)*1.2</f>
        <v>0</v>
      </c>
      <c r="DQ208" s="276">
        <f>SUMIF('20Ф'!$H:$H,$B:$B,'20Ф'!AY:AY)*1.2</f>
        <v>0</v>
      </c>
      <c r="DR208" s="276">
        <f>SUMIF('20Ф'!$H:$H,$B:$B,'20Ф'!AU:AU)*1.2</f>
        <v>0</v>
      </c>
      <c r="DS208" s="276">
        <f>SUMIF('20Ф'!$H:$H,$B:$B,'20Ф'!AS:AS)*1.2</f>
        <v>28061.303999999996</v>
      </c>
      <c r="DT208" s="276">
        <f>SUMIF('20Ф'!$H:$H,$B:$B,'20Ф'!AR:AR)*1.2</f>
        <v>0</v>
      </c>
      <c r="DU208" s="276">
        <f>SUMIF('20Ф'!$H:$H,$B:$B,'20Ф'!X:X)*1.2</f>
        <v>23390.988000000001</v>
      </c>
      <c r="DV208" s="276">
        <f>SUMIF('20Ф'!$H:$H,$B:$B,'20Ф'!AA:AA)*1.2</f>
        <v>0</v>
      </c>
      <c r="DW208" s="276">
        <f>SUMIF('20Ф'!$H:$H,$B:$B,'20Ф'!N:N)*1.2</f>
        <v>0</v>
      </c>
      <c r="DX208" s="276">
        <f>$D208/$D$281*('25Ф'!$D$37)</f>
        <v>276461.40629914834</v>
      </c>
      <c r="DY208" s="276">
        <f>$D208/$D$281*'25Ф'!$D$30</f>
        <v>8823.7802272183017</v>
      </c>
      <c r="DZ208" s="276">
        <f>$D208/$D$281*'25Ф'!$D$31</f>
        <v>4845.5466040648635</v>
      </c>
      <c r="EA208" s="276"/>
      <c r="EB208" s="276">
        <f t="shared" si="40"/>
        <v>174175.02504647369</v>
      </c>
      <c r="EC208" s="276">
        <f>$D208/$D$281*'26Ф'!$D$36</f>
        <v>90663.709801803445</v>
      </c>
      <c r="ED208" s="276">
        <f>$D208/$D$281*'26Ф'!$D$37</f>
        <v>10893.147901956936</v>
      </c>
      <c r="EE208" s="276">
        <f>$D208/$D$281*'26Ф'!$D$38</f>
        <v>11004.867852698259</v>
      </c>
      <c r="EF208" s="276">
        <f>$D208/$D$281*'26Ф'!$D$39</f>
        <v>7719.9047547847531</v>
      </c>
      <c r="EG208" s="276">
        <f>$D208/$D$281*'91Ф'!$D$10</f>
        <v>2381.5874061857521</v>
      </c>
      <c r="EH208" s="276">
        <f>$D208/$D$281*('20Ф'!$I$509+'26Ф'!$D$41+'20Ф'!$I$507)</f>
        <v>16848.946679152479</v>
      </c>
      <c r="EI208" s="276">
        <f>$D208/$D$281*'91Ф'!$D$31</f>
        <v>30886.594031132903</v>
      </c>
      <c r="EJ208" s="276">
        <f>$D208/$D$281*'20Ф'!$I$1316</f>
        <v>3776.2666187591644</v>
      </c>
      <c r="EK208" s="276">
        <f>$D208/$D$281*('20Ф'!$I$1105+'20Ф'!$I$1282+'91Ф'!$D$17+'91Ф'!$D$41)</f>
        <v>124016.80289925005</v>
      </c>
      <c r="EL208" s="276">
        <f>$D208/$D$281*отчёт!BX$294</f>
        <v>207318.2722746068</v>
      </c>
      <c r="EM208" s="276">
        <f>$D208/$D$281*отчёт!BY$294</f>
        <v>182325.29202704318</v>
      </c>
      <c r="EN208" s="276">
        <f>SUMIF(отчёт!$B:$B,$B:$B,отчёт!BZ:BZ)/отчёт!BZ$281*('60Ф'!$O$151+'60Ф'!$P$151)*отчёт!BZ$293</f>
        <v>0</v>
      </c>
      <c r="EO208" s="240">
        <f t="shared" si="45"/>
        <v>0</v>
      </c>
      <c r="EP208" s="276">
        <f>SUMIF('20Ф'!$H:$H,$B:$B,'20Ф'!T:T)*1.2</f>
        <v>0</v>
      </c>
      <c r="EQ208" s="276">
        <f>SUMIF('20Ф'!$H:$H,$B:$B,'20Ф'!U:U)*1.2</f>
        <v>0</v>
      </c>
      <c r="ER208" s="236"/>
      <c r="ES208" s="239">
        <f t="shared" si="43"/>
        <v>69389.504690837595</v>
      </c>
      <c r="ET208" s="276">
        <f>$D208/$D$282*'20Ф'!$I$381</f>
        <v>5303.5063271894041</v>
      </c>
      <c r="EU208" s="276">
        <f>$D208/$D$282*('20Ф'!$I$75+'20Ф'!$I$1098)*1.2</f>
        <v>61257.852450851249</v>
      </c>
      <c r="EV208" s="276">
        <f>$D208/$D$282*('20Ф'!$I$1286)</f>
        <v>2828.1459127969406</v>
      </c>
      <c r="EW208" s="276">
        <f>SUMIF('91.1Ф'!$N:$N,$B:$B,'91.1Ф'!$F:$F)+$D208/$D$281*('91Ф'!$D$12+'91Ф'!$D$11+'91Ф'!$D$19+'91Ф'!$D$20)</f>
        <v>16344.808452047071</v>
      </c>
      <c r="EX208" s="276">
        <f t="shared" si="41"/>
        <v>2478.8630097005662</v>
      </c>
      <c r="EY208" s="276">
        <f>SUMIF('20Ф'!$H:$H,$B:$B,'20Ф'!$AY:$AY)*1.2</f>
        <v>0</v>
      </c>
      <c r="EZ208" s="295">
        <f>D208/$D$286*'20Ф'!$I$1163</f>
        <v>2478.8630097005662</v>
      </c>
      <c r="FA208" s="277">
        <f>SUMIF(отчёт!$B:$B,$B:$B,отчёт!$CU:$CU)/отчёт!$CU$281*'20Ф'!$I$1341</f>
        <v>3683.8554216867401</v>
      </c>
      <c r="FB208" s="276">
        <f>SUMIF(Сальдо!$A:$A,$B:$B,Сальдо!$H:$H)-SUMIF(Сальдо!$A:$A,$B:$B,Сальдо!$I:$I)</f>
        <v>431395.11000000004</v>
      </c>
    </row>
    <row r="209" spans="1:158" ht="12" customHeight="1" x14ac:dyDescent="0.25">
      <c r="A209" s="3">
        <f t="shared" si="44"/>
        <v>205</v>
      </c>
      <c r="B209" s="4" t="s">
        <v>254</v>
      </c>
      <c r="C209" s="4" t="s">
        <v>254</v>
      </c>
      <c r="D209" s="5">
        <v>3480.8300000000008</v>
      </c>
      <c r="E209" s="6">
        <v>3480.8300000000008</v>
      </c>
      <c r="F209" s="6">
        <v>0</v>
      </c>
      <c r="G209" s="6">
        <v>304.2</v>
      </c>
      <c r="H209" s="5">
        <f>SUMIF(отчёт!$B:$B,$B:$B,отчёт!I:I)</f>
        <v>0</v>
      </c>
      <c r="I209" s="5">
        <f>SUMIF(отчёт!$B:$B,$B:$B,отчёт!J:J)</f>
        <v>0</v>
      </c>
      <c r="J209" s="3" t="s">
        <v>111</v>
      </c>
      <c r="K209" s="105">
        <v>7</v>
      </c>
      <c r="L209" s="105" t="s">
        <v>52</v>
      </c>
      <c r="M209" s="7">
        <v>31</v>
      </c>
      <c r="N209" s="8">
        <v>5.0999999999999996</v>
      </c>
      <c r="O209" s="8">
        <v>6.59</v>
      </c>
      <c r="P209" s="8">
        <v>8.98</v>
      </c>
      <c r="Q209" s="8">
        <v>6.92</v>
      </c>
      <c r="R209" s="8">
        <v>3.15</v>
      </c>
      <c r="S209" s="8">
        <v>0</v>
      </c>
      <c r="T209" s="8">
        <v>0</v>
      </c>
      <c r="U209" s="8">
        <v>0.26</v>
      </c>
      <c r="V209" s="9">
        <v>40</v>
      </c>
      <c r="W209" s="9">
        <v>40</v>
      </c>
      <c r="X209" s="9">
        <v>2604.04</v>
      </c>
      <c r="Y209" s="8">
        <v>195.98199600000001</v>
      </c>
      <c r="Z209" s="9">
        <v>42.3</v>
      </c>
      <c r="AA209" s="9">
        <v>2604.04</v>
      </c>
      <c r="AB209" s="8">
        <v>7.85</v>
      </c>
      <c r="AC209" s="10">
        <v>0</v>
      </c>
      <c r="AD209" s="8">
        <v>6.73</v>
      </c>
      <c r="AE209" s="8">
        <v>10.67</v>
      </c>
      <c r="AF209" s="8">
        <v>14</v>
      </c>
      <c r="AG209" s="7">
        <v>647434.38000000012</v>
      </c>
      <c r="AH209" s="8">
        <v>106513.39800000002</v>
      </c>
      <c r="AI209" s="8">
        <v>137632.01820000005</v>
      </c>
      <c r="AJ209" s="8">
        <v>187547.12040000004</v>
      </c>
      <c r="AK209" s="8">
        <v>144524.06160000002</v>
      </c>
      <c r="AL209" s="8">
        <v>65787.687000000005</v>
      </c>
      <c r="AM209" s="8">
        <v>0</v>
      </c>
      <c r="AN209" s="8">
        <v>0</v>
      </c>
      <c r="AO209" s="8">
        <v>5430.0948000000017</v>
      </c>
      <c r="AQ209" s="104">
        <v>33.17</v>
      </c>
      <c r="AR209" s="375">
        <v>13.89</v>
      </c>
      <c r="AS209" s="376"/>
      <c r="AT209" s="104">
        <v>5.9</v>
      </c>
      <c r="AU209" s="104">
        <v>1.53</v>
      </c>
      <c r="AV209" s="104">
        <v>0.32</v>
      </c>
      <c r="AW209" s="104">
        <v>0.6</v>
      </c>
      <c r="AX209" s="104">
        <v>5.01</v>
      </c>
      <c r="AY209" s="104">
        <v>4.99</v>
      </c>
      <c r="AZ209" s="104">
        <v>0</v>
      </c>
      <c r="BA209" s="104">
        <v>0</v>
      </c>
      <c r="BB209" s="104">
        <v>0</v>
      </c>
      <c r="BC209" s="101">
        <v>0.93</v>
      </c>
      <c r="BD209" s="104">
        <v>37.581610000000005</v>
      </c>
      <c r="BE209" s="375">
        <v>15.737370000000004</v>
      </c>
      <c r="BF209" s="376">
        <v>0</v>
      </c>
      <c r="BG209" s="104">
        <v>6.6847000000000012</v>
      </c>
      <c r="BH209" s="104">
        <v>1.7334900000000002</v>
      </c>
      <c r="BI209" s="104">
        <v>0.36256000000000005</v>
      </c>
      <c r="BJ209" s="104">
        <v>0.67980000000000007</v>
      </c>
      <c r="BK209" s="104">
        <v>5.6763300000000001</v>
      </c>
      <c r="BL209" s="104">
        <v>5.65367</v>
      </c>
      <c r="BM209" s="104">
        <v>0</v>
      </c>
      <c r="BN209" s="104">
        <v>0</v>
      </c>
      <c r="BO209" s="104">
        <v>0</v>
      </c>
      <c r="BP209" s="101">
        <v>1.0536900000000002</v>
      </c>
      <c r="BQ209" s="103">
        <v>1539070.2175630005</v>
      </c>
      <c r="BR209" s="371">
        <v>644488.55357100035</v>
      </c>
      <c r="BS209" s="371">
        <v>0</v>
      </c>
      <c r="BT209" s="103">
        <v>273756.83701000008</v>
      </c>
      <c r="BU209" s="103">
        <v>70991.179767000023</v>
      </c>
      <c r="BV209" s="103">
        <v>14847.828448000004</v>
      </c>
      <c r="BW209" s="103">
        <v>27839.678340000009</v>
      </c>
      <c r="BX209" s="103">
        <v>232461.31413900005</v>
      </c>
      <c r="BY209" s="103">
        <v>231533.32486100006</v>
      </c>
      <c r="BZ209" s="103">
        <v>0</v>
      </c>
      <c r="CA209" s="103">
        <v>0</v>
      </c>
      <c r="CB209" s="103">
        <v>0</v>
      </c>
      <c r="CC209" s="103">
        <v>43151.501427000017</v>
      </c>
      <c r="CD209" s="1">
        <v>1</v>
      </c>
      <c r="CF209" s="277">
        <f>SUMIF(Оборот!$A:$A,$B:$B,Оборот!H:H)</f>
        <v>1322822.0499999998</v>
      </c>
      <c r="CG209" s="277">
        <f>SUMIF(Оборот!$A:$A,$B:$B,Оборот!I:I)</f>
        <v>1344154.1700000002</v>
      </c>
      <c r="CH209" s="277">
        <f t="shared" si="38"/>
        <v>1262242.0811381473</v>
      </c>
      <c r="CI209" s="239">
        <f t="shared" si="42"/>
        <v>112444.90143551583</v>
      </c>
      <c r="CJ209" s="276">
        <f>SUMIF('20Ф'!$H:$H,$B:$B,'20Ф'!M:M)*1.2</f>
        <v>0</v>
      </c>
      <c r="CK209" s="276">
        <f>SUMIF('20Ф'!$H:$H,$B:$B,'20Ф'!O:O)*1.2</f>
        <v>0</v>
      </c>
      <c r="CL209" s="276">
        <f>SUMIF('20Ф'!$H:$H,$B:$B,'20Ф'!Q:Q)*1.2</f>
        <v>0</v>
      </c>
      <c r="CM209" s="276">
        <f>SUMIF('20Ф'!$H:$H,$B:$B,'20Ф'!R:R)*1.2</f>
        <v>0</v>
      </c>
      <c r="CN209" s="276">
        <f>SUMIF('20Ф'!$H:$H,$B:$B,'20Ф'!S:S)*1.2</f>
        <v>0</v>
      </c>
      <c r="CO209" s="276">
        <f>SUMIF('20Ф'!$H:$H,$B:$B,'20Ф'!W:W)*1.2</f>
        <v>0</v>
      </c>
      <c r="CP209" s="276">
        <f>SUMIF('20Ф'!$H:$H,$B:$B,'20Ф'!P:P)*1.2</f>
        <v>0</v>
      </c>
      <c r="CQ209" s="276">
        <f>SUMIF('20Ф'!$H:$H,$B:$B,'20Ф'!Y:Y)*1.2</f>
        <v>0</v>
      </c>
      <c r="CR209" s="276">
        <f>SUMIF('20Ф'!$H:$H,$B:$B,'20Ф'!Z:Z)*1.2</f>
        <v>0</v>
      </c>
      <c r="CS209" s="276">
        <f>SUMIF('20Ф'!$H:$H,$B:$B,'20Ф'!AB:AB)*1.2</f>
        <v>0</v>
      </c>
      <c r="CT209" s="276">
        <f>SUMIF('20Ф'!$H:$H,$B:$B,'20Ф'!AC:AC)*1.2</f>
        <v>0</v>
      </c>
      <c r="CU209" s="276">
        <f>SUMIF('20Ф'!$H:$H,$B:$B,'20Ф'!AD:AD)*1.2</f>
        <v>0</v>
      </c>
      <c r="CV209" s="276">
        <f>SUMIF('20Ф'!$H:$H,$B:$B,'20Ф'!AE:AE)*1.2</f>
        <v>0</v>
      </c>
      <c r="CW209" s="276">
        <f>SUMIF('20Ф'!$H:$H,$B:$B,'20Ф'!AF:AF)*1.2</f>
        <v>0</v>
      </c>
      <c r="CX209" s="276">
        <f>SUMIF('20Ф'!$H:$H,$B:$B,'20Ф'!AG:AG)*1.2</f>
        <v>0</v>
      </c>
      <c r="CY209" s="276">
        <f>SUMIF('20Ф'!$H:$H,$B:$B,'20Ф'!AH:AH)*1.2</f>
        <v>68028.491999999998</v>
      </c>
      <c r="CZ209" s="276">
        <f>SUMIF('20Ф'!$H:$H,$B:$B,'20Ф'!AI:AI)*1.2</f>
        <v>0</v>
      </c>
      <c r="DA209" s="276">
        <f>SUMIF('20Ф'!$H:$H,$B:$B,'20Ф'!AJ:AJ)*1.2</f>
        <v>0</v>
      </c>
      <c r="DB209" s="276">
        <f>SUMIF('20Ф'!$H:$H,$B:$B,'20Ф'!AK:AK)*1.2</f>
        <v>0</v>
      </c>
      <c r="DC209" s="276">
        <f>SUMIF('20Ф'!$H:$H,$B:$B,'20Ф'!AL:AL)*1.2</f>
        <v>0</v>
      </c>
      <c r="DD209" s="276">
        <f>SUMIF('20Ф'!$H:$H,$B:$B,'20Ф'!AM:AM)*1.2</f>
        <v>0</v>
      </c>
      <c r="DE209" s="276">
        <f>SUMIF('20Ф'!$H:$H,$B:$B,'20Ф'!AN:AN)*1.2</f>
        <v>13801.344000000001</v>
      </c>
      <c r="DF209" s="276">
        <f>SUMIF('20Ф'!$H:$H,$B:$B,'20Ф'!AO:AO)*1.2</f>
        <v>0</v>
      </c>
      <c r="DG209" s="276">
        <f>SUMIF('20Ф'!$H:$H,$B:$B,'20Ф'!AP:AP)*1.2</f>
        <v>0</v>
      </c>
      <c r="DH209" s="276">
        <f>SUMIF('20Ф'!$H:$H,$B:$B,'20Ф'!AQ:AQ)*1.2</f>
        <v>0</v>
      </c>
      <c r="DI209" s="276">
        <f>SUMIF('20Ф'!$H:$H,$B:$B,'20Ф'!BA:BA)*1.2</f>
        <v>0</v>
      </c>
      <c r="DJ209" s="276">
        <f>SUMIF('20Ф'!$H:$H,$B:$B,'20Ф'!BB:BB)*1.2</f>
        <v>0</v>
      </c>
      <c r="DK209" s="276">
        <f>SUMIF('20Ф'!$H:$H,$B:$B,'20Ф'!BC:BC)*1.2</f>
        <v>0</v>
      </c>
      <c r="DL209" s="276">
        <f>$D209/$D$281*'20Ф'!$H$218</f>
        <v>30615.065435515833</v>
      </c>
      <c r="DM209" s="240">
        <f t="shared" si="39"/>
        <v>381095.9081555414</v>
      </c>
      <c r="DN209" s="276">
        <f>SUMIF('20Ф'!$H:$H,$B:$B,'20Ф'!AV:AV)*1.2</f>
        <v>0</v>
      </c>
      <c r="DO209" s="276">
        <f>SUMIF('20Ф'!$H:$H,$B:$B,'20Ф'!AW:AW)*1.2+$D209/$D$281*'26Ф'!$D$42</f>
        <v>16291.753062629949</v>
      </c>
      <c r="DP209" s="276">
        <f>SUMIF('20Ф'!$H:$H,$B:$B,'20Ф'!AX:AX)*1.2</f>
        <v>0</v>
      </c>
      <c r="DQ209" s="276">
        <f>SUMIF('20Ф'!$H:$H,$B:$B,'20Ф'!AY:AY)*1.2</f>
        <v>0</v>
      </c>
      <c r="DR209" s="276">
        <f>SUMIF('20Ф'!$H:$H,$B:$B,'20Ф'!AU:AU)*1.2</f>
        <v>0</v>
      </c>
      <c r="DS209" s="276">
        <f>SUMIF('20Ф'!$H:$H,$B:$B,'20Ф'!AS:AS)*1.2</f>
        <v>65725.871999999988</v>
      </c>
      <c r="DT209" s="276">
        <f>SUMIF('20Ф'!$H:$H,$B:$B,'20Ф'!AR:AR)*1.2</f>
        <v>0</v>
      </c>
      <c r="DU209" s="276">
        <f>SUMIF('20Ф'!$H:$H,$B:$B,'20Ф'!X:X)*1.2</f>
        <v>11694.384</v>
      </c>
      <c r="DV209" s="276">
        <f>SUMIF('20Ф'!$H:$H,$B:$B,'20Ф'!AA:AA)*1.2</f>
        <v>0</v>
      </c>
      <c r="DW209" s="276">
        <f>SUMIF('20Ф'!$H:$H,$B:$B,'20Ф'!N:N)*1.2</f>
        <v>0</v>
      </c>
      <c r="DX209" s="276">
        <f>$D209/$D$281*('25Ф'!$D$37)</f>
        <v>273843.98761795758</v>
      </c>
      <c r="DY209" s="276">
        <f>$D209/$D$281*'25Ф'!$D$30</f>
        <v>8740.2404394605419</v>
      </c>
      <c r="DZ209" s="276">
        <f>$D209/$D$281*'25Ф'!$D$31</f>
        <v>4799.6710354933275</v>
      </c>
      <c r="EA209" s="276"/>
      <c r="EB209" s="276">
        <f t="shared" si="40"/>
        <v>172526.01019678355</v>
      </c>
      <c r="EC209" s="276">
        <f>$D209/$D$281*'26Ф'!$D$36</f>
        <v>89805.344466410039</v>
      </c>
      <c r="ED209" s="276">
        <f>$D209/$D$281*'26Ф'!$D$37</f>
        <v>10790.016223661469</v>
      </c>
      <c r="EE209" s="276">
        <f>$D209/$D$281*'26Ф'!$D$38</f>
        <v>10900.678457558888</v>
      </c>
      <c r="EF209" s="276">
        <f>$D209/$D$281*'26Ф'!$D$39</f>
        <v>7646.8159891856858</v>
      </c>
      <c r="EG209" s="276">
        <f>$D209/$D$281*'91Ф'!$D$10</f>
        <v>2359.0395523956499</v>
      </c>
      <c r="EH209" s="276">
        <f>$D209/$D$281*('20Ф'!$I$509+'26Ф'!$D$41+'20Ф'!$I$507)</f>
        <v>16689.428038244314</v>
      </c>
      <c r="EI209" s="276">
        <f>$D209/$D$281*'91Ф'!$D$31</f>
        <v>30594.172932297988</v>
      </c>
      <c r="EJ209" s="276">
        <f>$D209/$D$281*'20Ф'!$I$1316</f>
        <v>3740.5145370295281</v>
      </c>
      <c r="EK209" s="276">
        <f>$D209/$D$281*('20Ф'!$I$1105+'20Ф'!$I$1282+'91Ф'!$D$17+'91Ф'!$D$41)</f>
        <v>122842.66470384925</v>
      </c>
      <c r="EL209" s="276">
        <f>$D209/$D$281*отчёт!BX$294</f>
        <v>205355.47129609849</v>
      </c>
      <c r="EM209" s="276">
        <f>$D209/$D$281*отчёт!BY$294</f>
        <v>180599.11392575418</v>
      </c>
      <c r="EN209" s="276">
        <f>SUMIF(отчёт!$B:$B,$B:$B,отчёт!BZ:BZ)/отчёт!BZ$281*('60Ф'!$O$151+'60Ф'!$P$151)*отчёт!BZ$293</f>
        <v>0</v>
      </c>
      <c r="EO209" s="240">
        <f t="shared" si="45"/>
        <v>0</v>
      </c>
      <c r="EP209" s="276">
        <f>SUMIF('20Ф'!$H:$H,$B:$B,'20Ф'!T:T)*1.2</f>
        <v>0</v>
      </c>
      <c r="EQ209" s="276">
        <f>SUMIF('20Ф'!$H:$H,$B:$B,'20Ф'!U:U)*1.2</f>
        <v>0</v>
      </c>
      <c r="ER209" s="236"/>
      <c r="ES209" s="239">
        <f t="shared" si="43"/>
        <v>68732.554455766294</v>
      </c>
      <c r="ET209" s="276">
        <f>$D209/$D$282*'20Ф'!$I$381</f>
        <v>5253.2949912838858</v>
      </c>
      <c r="EU209" s="276">
        <f>$D209/$D$282*('20Ф'!$I$75+'20Ф'!$I$1098)*1.2</f>
        <v>60677.889230954337</v>
      </c>
      <c r="EV209" s="276">
        <f>$D209/$D$282*('20Ф'!$I$1286)</f>
        <v>2801.3702335280668</v>
      </c>
      <c r="EW209" s="276">
        <f>SUMIF('91.1Ф'!$N:$N,$B:$B,'91.1Ф'!$F:$F)+$D209/$D$281*('91Ф'!$D$12+'91Ф'!$D$11+'91Ф'!$D$19+'91Ф'!$D$20)</f>
        <v>16190.06277685297</v>
      </c>
      <c r="EX209" s="276">
        <f t="shared" si="41"/>
        <v>2455.3941919854369</v>
      </c>
      <c r="EY209" s="276">
        <f>SUMIF('20Ф'!$H:$H,$B:$B,'20Ф'!$AY:$AY)*1.2</f>
        <v>0</v>
      </c>
      <c r="EZ209" s="295">
        <f>D209/$D$286*'20Ф'!$I$1163</f>
        <v>2455.3941919854369</v>
      </c>
      <c r="FA209" s="277">
        <f>SUMIF(отчёт!$B:$B,$B:$B,отчёт!$CU:$CU)/отчёт!$CU$281*'20Ф'!$I$1341</f>
        <v>3683.8554216867401</v>
      </c>
      <c r="FB209" s="276">
        <f>SUMIF(Сальдо!$A:$A,$B:$B,Сальдо!$H:$H)-SUMIF(Сальдо!$A:$A,$B:$B,Сальдо!$I:$I)</f>
        <v>116845.79</v>
      </c>
    </row>
    <row r="210" spans="1:158" ht="12" customHeight="1" x14ac:dyDescent="0.25">
      <c r="A210" s="3">
        <f t="shared" si="44"/>
        <v>206</v>
      </c>
      <c r="B210" s="4" t="s">
        <v>255</v>
      </c>
      <c r="C210" s="4" t="s">
        <v>255</v>
      </c>
      <c r="D210" s="5">
        <v>6969.63</v>
      </c>
      <c r="E210" s="6">
        <v>6969.63</v>
      </c>
      <c r="F210" s="6">
        <v>0</v>
      </c>
      <c r="G210" s="6">
        <v>608.5</v>
      </c>
      <c r="H210" s="5">
        <f>SUMIF(отчёт!$B:$B,$B:$B,отчёт!I:I)</f>
        <v>0</v>
      </c>
      <c r="I210" s="5">
        <f>SUMIF(отчёт!$B:$B,$B:$B,отчёт!J:J)</f>
        <v>0</v>
      </c>
      <c r="J210" s="3" t="s">
        <v>111</v>
      </c>
      <c r="K210" s="105">
        <v>7</v>
      </c>
      <c r="L210" s="105" t="s">
        <v>52</v>
      </c>
      <c r="M210" s="7">
        <v>31</v>
      </c>
      <c r="N210" s="8">
        <v>5.0999999999999996</v>
      </c>
      <c r="O210" s="8">
        <v>6.59</v>
      </c>
      <c r="P210" s="8">
        <v>8.98</v>
      </c>
      <c r="Q210" s="8">
        <v>6.92</v>
      </c>
      <c r="R210" s="8">
        <v>3.15</v>
      </c>
      <c r="S210" s="8">
        <v>0</v>
      </c>
      <c r="T210" s="8">
        <v>0</v>
      </c>
      <c r="U210" s="8">
        <v>0.26</v>
      </c>
      <c r="V210" s="9">
        <v>40</v>
      </c>
      <c r="W210" s="9">
        <v>40</v>
      </c>
      <c r="X210" s="9">
        <v>2604.04</v>
      </c>
      <c r="Y210" s="8">
        <v>195.98199600000001</v>
      </c>
      <c r="Z210" s="9">
        <v>42.3</v>
      </c>
      <c r="AA210" s="9">
        <v>2604.04</v>
      </c>
      <c r="AB210" s="8">
        <v>7.85</v>
      </c>
      <c r="AC210" s="10">
        <v>0</v>
      </c>
      <c r="AD210" s="8">
        <v>6.73</v>
      </c>
      <c r="AE210" s="8">
        <v>10.67</v>
      </c>
      <c r="AF210" s="8">
        <v>14</v>
      </c>
      <c r="AG210" s="7">
        <v>1296351.18</v>
      </c>
      <c r="AH210" s="8">
        <v>213270.67799999999</v>
      </c>
      <c r="AI210" s="8">
        <v>275579.17019999999</v>
      </c>
      <c r="AJ210" s="8">
        <v>375523.66440000001</v>
      </c>
      <c r="AK210" s="8">
        <v>289379.03759999998</v>
      </c>
      <c r="AL210" s="8">
        <v>131726.00700000001</v>
      </c>
      <c r="AM210" s="8">
        <v>0</v>
      </c>
      <c r="AN210" s="8">
        <v>0</v>
      </c>
      <c r="AO210" s="8">
        <v>10872.622800000001</v>
      </c>
      <c r="AQ210" s="104">
        <v>33.17</v>
      </c>
      <c r="AR210" s="375">
        <v>13.89</v>
      </c>
      <c r="AS210" s="376"/>
      <c r="AT210" s="104">
        <v>5.9</v>
      </c>
      <c r="AU210" s="104">
        <v>1.53</v>
      </c>
      <c r="AV210" s="104">
        <v>0.32</v>
      </c>
      <c r="AW210" s="104">
        <v>0.6</v>
      </c>
      <c r="AX210" s="104">
        <v>5.01</v>
      </c>
      <c r="AY210" s="104">
        <v>4.99</v>
      </c>
      <c r="AZ210" s="104">
        <v>0</v>
      </c>
      <c r="BA210" s="104">
        <v>0</v>
      </c>
      <c r="BB210" s="104">
        <v>0</v>
      </c>
      <c r="BC210" s="101">
        <v>0.93</v>
      </c>
      <c r="BD210" s="104">
        <v>37.581610000000005</v>
      </c>
      <c r="BE210" s="375">
        <v>15.737370000000004</v>
      </c>
      <c r="BF210" s="376">
        <v>0</v>
      </c>
      <c r="BG210" s="104">
        <v>6.6847000000000012</v>
      </c>
      <c r="BH210" s="104">
        <v>1.7334900000000002</v>
      </c>
      <c r="BI210" s="104">
        <v>0.36256000000000005</v>
      </c>
      <c r="BJ210" s="104">
        <v>0.67980000000000007</v>
      </c>
      <c r="BK210" s="104">
        <v>5.6763300000000001</v>
      </c>
      <c r="BL210" s="104">
        <v>5.65367</v>
      </c>
      <c r="BM210" s="104">
        <v>0</v>
      </c>
      <c r="BN210" s="104">
        <v>0</v>
      </c>
      <c r="BO210" s="104">
        <v>0</v>
      </c>
      <c r="BP210" s="101">
        <v>1.0536900000000002</v>
      </c>
      <c r="BQ210" s="103">
        <v>3081664.419243</v>
      </c>
      <c r="BR210" s="371">
        <v>1290452.7821310004</v>
      </c>
      <c r="BS210" s="371">
        <v>0</v>
      </c>
      <c r="BT210" s="103">
        <v>548140.4906100001</v>
      </c>
      <c r="BU210" s="103">
        <v>142144.90688699999</v>
      </c>
      <c r="BV210" s="103">
        <v>29729.653728000001</v>
      </c>
      <c r="BW210" s="103">
        <v>55743.100740000009</v>
      </c>
      <c r="BX210" s="103">
        <v>465454.89117899997</v>
      </c>
      <c r="BY210" s="103">
        <v>463596.78782100003</v>
      </c>
      <c r="BZ210" s="103">
        <v>0</v>
      </c>
      <c r="CA210" s="103">
        <v>0</v>
      </c>
      <c r="CB210" s="103">
        <v>0</v>
      </c>
      <c r="CC210" s="103">
        <v>86401.80614700001</v>
      </c>
      <c r="CD210" s="1">
        <v>1</v>
      </c>
      <c r="CF210" s="277">
        <f>SUMIF(Оборот!$A:$A,$B:$B,Оборот!H:H)</f>
        <v>2641480.2599999998</v>
      </c>
      <c r="CG210" s="277">
        <f>SUMIF(Оборот!$A:$A,$B:$B,Оборот!I:I)</f>
        <v>2567108.2300000004</v>
      </c>
      <c r="CH210" s="277">
        <f t="shared" si="38"/>
        <v>2682560.4091458488</v>
      </c>
      <c r="CI210" s="239">
        <f t="shared" si="42"/>
        <v>268520.02168985392</v>
      </c>
      <c r="CJ210" s="276">
        <f>SUMIF('20Ф'!$H:$H,$B:$B,'20Ф'!M:M)*1.2</f>
        <v>0</v>
      </c>
      <c r="CK210" s="276">
        <f>SUMIF('20Ф'!$H:$H,$B:$B,'20Ф'!O:O)*1.2</f>
        <v>0</v>
      </c>
      <c r="CL210" s="276">
        <f>SUMIF('20Ф'!$H:$H,$B:$B,'20Ф'!Q:Q)*1.2</f>
        <v>0</v>
      </c>
      <c r="CM210" s="276">
        <f>SUMIF('20Ф'!$H:$H,$B:$B,'20Ф'!R:R)*1.2</f>
        <v>0</v>
      </c>
      <c r="CN210" s="276">
        <f>SUMIF('20Ф'!$H:$H,$B:$B,'20Ф'!S:S)*1.2</f>
        <v>0</v>
      </c>
      <c r="CO210" s="276">
        <f>SUMIF('20Ф'!$H:$H,$B:$B,'20Ф'!W:W)*1.2</f>
        <v>0</v>
      </c>
      <c r="CP210" s="276">
        <f>SUMIF('20Ф'!$H:$H,$B:$B,'20Ф'!P:P)*1.2</f>
        <v>0</v>
      </c>
      <c r="CQ210" s="276">
        <f>SUMIF('20Ф'!$H:$H,$B:$B,'20Ф'!Y:Y)*1.2</f>
        <v>0</v>
      </c>
      <c r="CR210" s="276">
        <f>SUMIF('20Ф'!$H:$H,$B:$B,'20Ф'!Z:Z)*1.2</f>
        <v>0</v>
      </c>
      <c r="CS210" s="276">
        <f>SUMIF('20Ф'!$H:$H,$B:$B,'20Ф'!AB:AB)*1.2</f>
        <v>0</v>
      </c>
      <c r="CT210" s="276">
        <f>SUMIF('20Ф'!$H:$H,$B:$B,'20Ф'!AC:AC)*1.2</f>
        <v>0</v>
      </c>
      <c r="CU210" s="276">
        <f>SUMIF('20Ф'!$H:$H,$B:$B,'20Ф'!AD:AD)*1.2</f>
        <v>0</v>
      </c>
      <c r="CV210" s="276">
        <f>SUMIF('20Ф'!$H:$H,$B:$B,'20Ф'!AE:AE)*1.2</f>
        <v>0</v>
      </c>
      <c r="CW210" s="276">
        <f>SUMIF('20Ф'!$H:$H,$B:$B,'20Ф'!AF:AF)*1.2</f>
        <v>0</v>
      </c>
      <c r="CX210" s="276">
        <f>SUMIF('20Ф'!$H:$H,$B:$B,'20Ф'!AG:AG)*1.2</f>
        <v>5208</v>
      </c>
      <c r="CY210" s="276">
        <f>SUMIF('20Ф'!$H:$H,$B:$B,'20Ф'!AH:AH)*1.2</f>
        <v>0</v>
      </c>
      <c r="CZ210" s="276">
        <f>SUMIF('20Ф'!$H:$H,$B:$B,'20Ф'!AI:AI)*1.2</f>
        <v>0</v>
      </c>
      <c r="DA210" s="276">
        <f>SUMIF('20Ф'!$H:$H,$B:$B,'20Ф'!AJ:AJ)*1.2</f>
        <v>0</v>
      </c>
      <c r="DB210" s="276">
        <f>SUMIF('20Ф'!$H:$H,$B:$B,'20Ф'!AK:AK)*1.2</f>
        <v>0</v>
      </c>
      <c r="DC210" s="276">
        <f>SUMIF('20Ф'!$H:$H,$B:$B,'20Ф'!AL:AL)*1.2</f>
        <v>110265.588</v>
      </c>
      <c r="DD210" s="276">
        <f>SUMIF('20Ф'!$H:$H,$B:$B,'20Ф'!AM:AM)*1.2</f>
        <v>0</v>
      </c>
      <c r="DE210" s="276">
        <f>SUMIF('20Ф'!$H:$H,$B:$B,'20Ф'!AN:AN)*1.2</f>
        <v>0</v>
      </c>
      <c r="DF210" s="276">
        <f>SUMIF('20Ф'!$H:$H,$B:$B,'20Ф'!AO:AO)*1.2</f>
        <v>0</v>
      </c>
      <c r="DG210" s="276">
        <f>SUMIF('20Ф'!$H:$H,$B:$B,'20Ф'!AP:AP)*1.2</f>
        <v>91746.203999999998</v>
      </c>
      <c r="DH210" s="276">
        <f>SUMIF('20Ф'!$H:$H,$B:$B,'20Ф'!AQ:AQ)*1.2</f>
        <v>0</v>
      </c>
      <c r="DI210" s="276">
        <f>SUMIF('20Ф'!$H:$H,$B:$B,'20Ф'!BA:BA)*1.2</f>
        <v>0</v>
      </c>
      <c r="DJ210" s="276">
        <f>SUMIF('20Ф'!$H:$H,$B:$B,'20Ф'!BB:BB)*1.2</f>
        <v>0</v>
      </c>
      <c r="DK210" s="276">
        <f>SUMIF('20Ф'!$H:$H,$B:$B,'20Ф'!BC:BC)*1.2</f>
        <v>0</v>
      </c>
      <c r="DL210" s="276">
        <f>$D210/$D$281*'20Ф'!$H$218</f>
        <v>61300.229689853913</v>
      </c>
      <c r="DM210" s="240">
        <f t="shared" si="39"/>
        <v>874877.76152690768</v>
      </c>
      <c r="DN210" s="276">
        <f>SUMIF('20Ф'!$H:$H,$B:$B,'20Ф'!AV:AV)*1.2</f>
        <v>0</v>
      </c>
      <c r="DO210" s="276">
        <f>SUMIF('20Ф'!$H:$H,$B:$B,'20Ф'!AW:AW)*1.2+$D210/$D$281*'26Ф'!$D$42</f>
        <v>32620.809088032896</v>
      </c>
      <c r="DP210" s="276">
        <f>SUMIF('20Ф'!$H:$H,$B:$B,'20Ф'!AX:AX)*1.2</f>
        <v>0</v>
      </c>
      <c r="DQ210" s="276">
        <f>SUMIF('20Ф'!$H:$H,$B:$B,'20Ф'!AY:AY)*1.2</f>
        <v>0</v>
      </c>
      <c r="DR210" s="276">
        <f>SUMIF('20Ф'!$H:$H,$B:$B,'20Ф'!AU:AU)*1.2</f>
        <v>0</v>
      </c>
      <c r="DS210" s="276">
        <f>SUMIF('20Ф'!$H:$H,$B:$B,'20Ф'!AS:AS)*1.2</f>
        <v>117686.952</v>
      </c>
      <c r="DT210" s="276">
        <f>SUMIF('20Ф'!$H:$H,$B:$B,'20Ф'!AR:AR)*1.2</f>
        <v>0</v>
      </c>
      <c r="DU210" s="276">
        <f>SUMIF('20Ф'!$H:$H,$B:$B,'20Ф'!X:X)*1.2</f>
        <v>149144.18400000001</v>
      </c>
      <c r="DV210" s="276">
        <f>SUMIF('20Ф'!$H:$H,$B:$B,'20Ф'!AA:AA)*1.2</f>
        <v>0</v>
      </c>
      <c r="DW210" s="276">
        <f>SUMIF('20Ф'!$H:$H,$B:$B,'20Ф'!N:N)*1.2</f>
        <v>0</v>
      </c>
      <c r="DX210" s="276">
        <f>$D210/$D$281*('25Ф'!$D$37)</f>
        <v>548314.99137324875</v>
      </c>
      <c r="DY210" s="276">
        <f>$D210/$D$281*'25Ф'!$D$30</f>
        <v>17500.493265708858</v>
      </c>
      <c r="DZ210" s="276">
        <f>$D210/$D$281*'25Ф'!$D$31</f>
        <v>9610.3317999170758</v>
      </c>
      <c r="EA210" s="276"/>
      <c r="EB210" s="276">
        <f t="shared" si="40"/>
        <v>345447.05040114233</v>
      </c>
      <c r="EC210" s="276">
        <f>$D210/$D$281*'26Ф'!$D$36</f>
        <v>179816.31477361012</v>
      </c>
      <c r="ED210" s="276">
        <f>$D210/$D$281*'26Ф'!$D$37</f>
        <v>21604.738172481182</v>
      </c>
      <c r="EE210" s="276">
        <f>$D210/$D$281*'26Ф'!$D$38</f>
        <v>21826.316021798291</v>
      </c>
      <c r="EF210" s="276">
        <f>$D210/$D$281*'26Ф'!$D$39</f>
        <v>15311.140768928166</v>
      </c>
      <c r="EG210" s="276">
        <f>$D210/$D$281*'91Ф'!$D$10</f>
        <v>4723.4805593962619</v>
      </c>
      <c r="EH210" s="276">
        <f>$D210/$D$281*('20Ф'!$I$509+'26Ф'!$D$41+'20Ф'!$I$507)</f>
        <v>33417.069589203922</v>
      </c>
      <c r="EI210" s="276">
        <f>$D210/$D$281*'91Ф'!$D$31</f>
        <v>61258.396846192431</v>
      </c>
      <c r="EJ210" s="276">
        <f>$D210/$D$281*'20Ф'!$I$1316</f>
        <v>7489.5936695320097</v>
      </c>
      <c r="EK210" s="276">
        <f>$D210/$D$281*('20Ф'!$I$1105+'20Ф'!$I$1282+'91Ф'!$D$17+'91Ф'!$D$41)</f>
        <v>245966.6002648474</v>
      </c>
      <c r="EL210" s="276">
        <f>$D210/$D$281*отчёт!BX$294</f>
        <v>411181.1416844335</v>
      </c>
      <c r="EM210" s="276">
        <f>$D210/$D$281*отчёт!BY$294</f>
        <v>361611.74271376483</v>
      </c>
      <c r="EN210" s="276">
        <f>SUMIF(отчёт!$B:$B,$B:$B,отчёт!BZ:BZ)/отчёт!BZ$281*('60Ф'!$O$151+'60Ф'!$P$151)*отчёт!BZ$293</f>
        <v>0</v>
      </c>
      <c r="EO210" s="240">
        <f t="shared" si="45"/>
        <v>0</v>
      </c>
      <c r="EP210" s="276">
        <f>SUMIF('20Ф'!$H:$H,$B:$B,'20Ф'!T:T)*1.2</f>
        <v>0</v>
      </c>
      <c r="EQ210" s="276">
        <f>SUMIF('20Ф'!$H:$H,$B:$B,'20Ф'!U:U)*1.2</f>
        <v>0</v>
      </c>
      <c r="ER210" s="236"/>
      <c r="ES210" s="239">
        <f t="shared" si="43"/>
        <v>137622.48472678708</v>
      </c>
      <c r="ET210" s="276">
        <f>$D210/$D$282*'20Ф'!$I$381</f>
        <v>10518.618366913035</v>
      </c>
      <c r="EU210" s="276">
        <f>$D210/$D$282*('20Ф'!$I$75+'20Ф'!$I$1098)*1.2</f>
        <v>121494.71164082595</v>
      </c>
      <c r="EV210" s="276">
        <f>$D210/$D$282*('20Ф'!$I$1286)</f>
        <v>5609.1547190481051</v>
      </c>
      <c r="EW210" s="276">
        <f>SUMIF('91.1Ф'!$N:$N,$B:$B,'91.1Ф'!$F:$F)+$D210/$D$281*('91Ф'!$D$12+'91Ф'!$D$11+'91Ф'!$D$19+'91Ф'!$D$20)</f>
        <v>32417.195677880776</v>
      </c>
      <c r="EX210" s="276">
        <f t="shared" si="41"/>
        <v>4916.4104602314555</v>
      </c>
      <c r="EY210" s="276">
        <f>SUMIF('20Ф'!$H:$H,$B:$B,'20Ф'!$AY:$AY)*1.2</f>
        <v>0</v>
      </c>
      <c r="EZ210" s="295">
        <f>D210/$D$286*'20Ф'!$I$1163</f>
        <v>4916.4104602314555</v>
      </c>
      <c r="FA210" s="277">
        <f>SUMIF(отчёт!$B:$B,$B:$B,отчёт!$CU:$CU)/отчёт!$CU$281*'20Ф'!$I$1341</f>
        <v>7367.7108433734802</v>
      </c>
      <c r="FB210" s="276">
        <f>SUMIF(Сальдо!$A:$A,$B:$B,Сальдо!$H:$H)-SUMIF(Сальдо!$A:$A,$B:$B,Сальдо!$I:$I)</f>
        <v>671827.07</v>
      </c>
    </row>
    <row r="211" spans="1:158" ht="12" customHeight="1" x14ac:dyDescent="0.25">
      <c r="A211" s="3">
        <f t="shared" si="44"/>
        <v>207</v>
      </c>
      <c r="B211" s="4" t="s">
        <v>256</v>
      </c>
      <c r="C211" s="4" t="s">
        <v>256</v>
      </c>
      <c r="D211" s="5">
        <v>3030.3</v>
      </c>
      <c r="E211" s="6">
        <v>3030.3</v>
      </c>
      <c r="F211" s="6">
        <v>0</v>
      </c>
      <c r="G211" s="6">
        <v>352.32</v>
      </c>
      <c r="H211" s="5">
        <f>SUMIF(отчёт!$B:$B,$B:$B,отчёт!I:I)</f>
        <v>1</v>
      </c>
      <c r="I211" s="5">
        <f>SUMIF(отчёт!$B:$B,$B:$B,отчёт!J:J)</f>
        <v>0</v>
      </c>
      <c r="J211" s="3" t="s">
        <v>111</v>
      </c>
      <c r="K211" s="105">
        <v>3</v>
      </c>
      <c r="L211" s="105" t="s">
        <v>52</v>
      </c>
      <c r="M211" s="7">
        <v>45.06</v>
      </c>
      <c r="N211" s="8">
        <v>5.0999999999999996</v>
      </c>
      <c r="O211" s="8">
        <v>8.6300000000000008</v>
      </c>
      <c r="P211" s="8">
        <v>13.43</v>
      </c>
      <c r="Q211" s="8">
        <v>6.91</v>
      </c>
      <c r="R211" s="8">
        <v>3.15</v>
      </c>
      <c r="S211" s="8">
        <v>1.81</v>
      </c>
      <c r="T211" s="8">
        <v>5.77</v>
      </c>
      <c r="U211" s="8">
        <v>0.26</v>
      </c>
      <c r="V211" s="9">
        <v>40</v>
      </c>
      <c r="W211" s="9">
        <v>40</v>
      </c>
      <c r="X211" s="9">
        <v>2604.04</v>
      </c>
      <c r="Y211" s="8">
        <v>195.98199600000001</v>
      </c>
      <c r="Z211" s="9">
        <v>42.3</v>
      </c>
      <c r="AA211" s="9">
        <v>2604.04</v>
      </c>
      <c r="AB211" s="8">
        <v>7.85</v>
      </c>
      <c r="AC211" s="10">
        <v>0</v>
      </c>
      <c r="AD211" s="8">
        <v>6.73</v>
      </c>
      <c r="AE211" s="8">
        <v>10.67</v>
      </c>
      <c r="AF211" s="8">
        <v>14</v>
      </c>
      <c r="AG211" s="7">
        <v>819271.90800000017</v>
      </c>
      <c r="AH211" s="8">
        <v>92727.180000000008</v>
      </c>
      <c r="AI211" s="8">
        <v>156908.93400000004</v>
      </c>
      <c r="AJ211" s="8">
        <v>244181.57400000002</v>
      </c>
      <c r="AK211" s="8">
        <v>125636.23800000001</v>
      </c>
      <c r="AL211" s="8">
        <v>57272.67</v>
      </c>
      <c r="AM211" s="8">
        <v>32909.058000000005</v>
      </c>
      <c r="AN211" s="8">
        <v>104908.98599999999</v>
      </c>
      <c r="AO211" s="8">
        <v>4727.268</v>
      </c>
      <c r="AQ211" s="104">
        <v>48.44</v>
      </c>
      <c r="AR211" s="375">
        <v>18.489999999999998</v>
      </c>
      <c r="AS211" s="376"/>
      <c r="AT211" s="104">
        <v>6.67</v>
      </c>
      <c r="AU211" s="104">
        <v>1.53</v>
      </c>
      <c r="AV211" s="104">
        <v>0.32</v>
      </c>
      <c r="AW211" s="104">
        <v>0.87</v>
      </c>
      <c r="AX211" s="104">
        <v>5.01</v>
      </c>
      <c r="AY211" s="104">
        <v>4.99</v>
      </c>
      <c r="AZ211" s="104">
        <v>2.7</v>
      </c>
      <c r="BA211" s="104">
        <v>6.46</v>
      </c>
      <c r="BB211" s="104">
        <v>0.47</v>
      </c>
      <c r="BC211" s="101">
        <v>0.93</v>
      </c>
      <c r="BD211" s="104">
        <v>54.88252</v>
      </c>
      <c r="BE211" s="375">
        <v>20.949169999999999</v>
      </c>
      <c r="BF211" s="376">
        <v>0</v>
      </c>
      <c r="BG211" s="104">
        <v>7.5571100000000007</v>
      </c>
      <c r="BH211" s="104">
        <v>1.7334900000000002</v>
      </c>
      <c r="BI211" s="104">
        <v>0.36256000000000005</v>
      </c>
      <c r="BJ211" s="104">
        <v>0.98571000000000009</v>
      </c>
      <c r="BK211" s="104">
        <v>5.6763300000000001</v>
      </c>
      <c r="BL211" s="104">
        <v>5.65367</v>
      </c>
      <c r="BM211" s="104">
        <v>3.0591000000000004</v>
      </c>
      <c r="BN211" s="104">
        <v>7.3191800000000002</v>
      </c>
      <c r="BO211" s="104">
        <v>0.53250999999999993</v>
      </c>
      <c r="BP211" s="101">
        <v>1.05369</v>
      </c>
      <c r="BQ211" s="103">
        <v>1956680.46756</v>
      </c>
      <c r="BR211" s="371">
        <v>746883.19250999996</v>
      </c>
      <c r="BS211" s="371">
        <v>0</v>
      </c>
      <c r="BT211" s="103">
        <v>269427.30633000005</v>
      </c>
      <c r="BU211" s="103">
        <v>61802.66547</v>
      </c>
      <c r="BV211" s="103">
        <v>12926.047680000001</v>
      </c>
      <c r="BW211" s="103">
        <v>35142.692130000003</v>
      </c>
      <c r="BX211" s="103">
        <v>202373.43398999999</v>
      </c>
      <c r="BY211" s="103">
        <v>201565.55601</v>
      </c>
      <c r="BZ211" s="103">
        <v>109063.52730000003</v>
      </c>
      <c r="CA211" s="103">
        <v>260944.58754000004</v>
      </c>
      <c r="CB211" s="103">
        <v>18985.132529999995</v>
      </c>
      <c r="CC211" s="103">
        <v>37566.326069999996</v>
      </c>
      <c r="CD211" s="1">
        <v>1</v>
      </c>
      <c r="CF211" s="277">
        <f>SUMIF(Оборот!$A:$A,$B:$B,Оборот!H:H)</f>
        <v>1679471.2300000004</v>
      </c>
      <c r="CG211" s="277">
        <f>SUMIF(Оборот!$A:$A,$B:$B,Оборот!I:I)</f>
        <v>1638828.0499999996</v>
      </c>
      <c r="CH211" s="277">
        <f t="shared" si="38"/>
        <v>1427229.8510351845</v>
      </c>
      <c r="CI211" s="239">
        <f t="shared" si="42"/>
        <v>97446.983221715403</v>
      </c>
      <c r="CJ211" s="276">
        <f>SUMIF('20Ф'!$H:$H,$B:$B,'20Ф'!M:M)*1.2</f>
        <v>0</v>
      </c>
      <c r="CK211" s="276">
        <f>SUMIF('20Ф'!$H:$H,$B:$B,'20Ф'!O:O)*1.2</f>
        <v>0</v>
      </c>
      <c r="CL211" s="276">
        <f>SUMIF('20Ф'!$H:$H,$B:$B,'20Ф'!Q:Q)*1.2</f>
        <v>0</v>
      </c>
      <c r="CM211" s="276">
        <f>SUMIF('20Ф'!$H:$H,$B:$B,'20Ф'!R:R)*1.2</f>
        <v>0</v>
      </c>
      <c r="CN211" s="276">
        <f>SUMIF('20Ф'!$H:$H,$B:$B,'20Ф'!S:S)*1.2</f>
        <v>0</v>
      </c>
      <c r="CO211" s="276">
        <f>SUMIF('20Ф'!$H:$H,$B:$B,'20Ф'!W:W)*1.2</f>
        <v>0</v>
      </c>
      <c r="CP211" s="276">
        <f>SUMIF('20Ф'!$H:$H,$B:$B,'20Ф'!P:P)*1.2</f>
        <v>0</v>
      </c>
      <c r="CQ211" s="276">
        <f>SUMIF('20Ф'!$H:$H,$B:$B,'20Ф'!Y:Y)*1.2</f>
        <v>0</v>
      </c>
      <c r="CR211" s="276">
        <f>SUMIF('20Ф'!$H:$H,$B:$B,'20Ф'!Z:Z)*1.2</f>
        <v>0</v>
      </c>
      <c r="CS211" s="276">
        <f>SUMIF('20Ф'!$H:$H,$B:$B,'20Ф'!AB:AB)*1.2</f>
        <v>0</v>
      </c>
      <c r="CT211" s="276">
        <f>SUMIF('20Ф'!$H:$H,$B:$B,'20Ф'!AC:AC)*1.2</f>
        <v>0</v>
      </c>
      <c r="CU211" s="276">
        <f>SUMIF('20Ф'!$H:$H,$B:$B,'20Ф'!AD:AD)*1.2</f>
        <v>0</v>
      </c>
      <c r="CV211" s="276">
        <f>SUMIF('20Ф'!$H:$H,$B:$B,'20Ф'!AE:AE)*1.2</f>
        <v>0</v>
      </c>
      <c r="CW211" s="276">
        <f>SUMIF('20Ф'!$H:$H,$B:$B,'20Ф'!AF:AF)*1.2</f>
        <v>0</v>
      </c>
      <c r="CX211" s="276">
        <f>SUMIF('20Ф'!$H:$H,$B:$B,'20Ф'!AG:AG)*1.2</f>
        <v>0</v>
      </c>
      <c r="CY211" s="276">
        <f>SUMIF('20Ф'!$H:$H,$B:$B,'20Ф'!AH:AH)*1.2</f>
        <v>0</v>
      </c>
      <c r="CZ211" s="276">
        <f>SUMIF('20Ф'!$H:$H,$B:$B,'20Ф'!AI:AI)*1.2</f>
        <v>0</v>
      </c>
      <c r="DA211" s="276">
        <f>SUMIF('20Ф'!$H:$H,$B:$B,'20Ф'!AJ:AJ)*1.2</f>
        <v>0</v>
      </c>
      <c r="DB211" s="276">
        <f>SUMIF('20Ф'!$H:$H,$B:$B,'20Ф'!AK:AK)*1.2</f>
        <v>0</v>
      </c>
      <c r="DC211" s="276">
        <f>SUMIF('20Ф'!$H:$H,$B:$B,'20Ф'!AL:AL)*1.2</f>
        <v>0</v>
      </c>
      <c r="DD211" s="276">
        <f>SUMIF('20Ф'!$H:$H,$B:$B,'20Ф'!AM:AM)*1.2</f>
        <v>0</v>
      </c>
      <c r="DE211" s="276">
        <f>SUMIF('20Ф'!$H:$H,$B:$B,'20Ф'!AN:AN)*1.2</f>
        <v>0</v>
      </c>
      <c r="DF211" s="276">
        <f>SUMIF('20Ф'!$H:$H,$B:$B,'20Ф'!AO:AO)*1.2</f>
        <v>0</v>
      </c>
      <c r="DG211" s="276">
        <f>SUMIF('20Ф'!$H:$H,$B:$B,'20Ф'!AP:AP)*1.2</f>
        <v>70794.48</v>
      </c>
      <c r="DH211" s="276">
        <f>SUMIF('20Ф'!$H:$H,$B:$B,'20Ф'!AQ:AQ)*1.2</f>
        <v>0</v>
      </c>
      <c r="DI211" s="276">
        <f>SUMIF('20Ф'!$H:$H,$B:$B,'20Ф'!BA:BA)*1.2</f>
        <v>0</v>
      </c>
      <c r="DJ211" s="276">
        <f>SUMIF('20Ф'!$H:$H,$B:$B,'20Ф'!BB:BB)*1.2</f>
        <v>0</v>
      </c>
      <c r="DK211" s="276">
        <f>SUMIF('20Ф'!$H:$H,$B:$B,'20Ф'!BC:BC)*1.2</f>
        <v>0</v>
      </c>
      <c r="DL211" s="276">
        <f>$D211/$D$281*'20Ф'!$H$218</f>
        <v>26652.5032217154</v>
      </c>
      <c r="DM211" s="240">
        <f t="shared" si="39"/>
        <v>495704.64594154182</v>
      </c>
      <c r="DN211" s="276">
        <f>SUMIF('20Ф'!$H:$H,$B:$B,'20Ф'!AV:AV)*1.2</f>
        <v>0</v>
      </c>
      <c r="DO211" s="276">
        <f>SUMIF('20Ф'!$H:$H,$B:$B,'20Ф'!AW:AW)*1.2+$D211/$D$281*'26Ф'!$D$42</f>
        <v>14183.082571021143</v>
      </c>
      <c r="DP211" s="276">
        <f>SUMIF('20Ф'!$H:$H,$B:$B,'20Ф'!AX:AX)*1.2</f>
        <v>0</v>
      </c>
      <c r="DQ211" s="276">
        <f>SUMIF('20Ф'!$H:$H,$B:$B,'20Ф'!AY:AY)*1.2</f>
        <v>42804</v>
      </c>
      <c r="DR211" s="276">
        <f>SUMIF('20Ф'!$H:$H,$B:$B,'20Ф'!AU:AU)*1.2</f>
        <v>0</v>
      </c>
      <c r="DS211" s="276">
        <f>SUMIF('20Ф'!$H:$H,$B:$B,'20Ф'!AS:AS)*1.2</f>
        <v>188530.272</v>
      </c>
      <c r="DT211" s="276">
        <f>SUMIF('20Ф'!$H:$H,$B:$B,'20Ф'!AR:AR)*1.2</f>
        <v>0</v>
      </c>
      <c r="DU211" s="276">
        <f>SUMIF('20Ф'!$H:$H,$B:$B,'20Ф'!X:X)*1.2</f>
        <v>0</v>
      </c>
      <c r="DV211" s="276">
        <f>SUMIF('20Ф'!$H:$H,$B:$B,'20Ф'!AA:AA)*1.2</f>
        <v>0</v>
      </c>
      <c r="DW211" s="276">
        <f>SUMIF('20Ф'!$H:$H,$B:$B,'20Ф'!N:N)*1.2</f>
        <v>0</v>
      </c>
      <c r="DX211" s="276">
        <f>$D211/$D$281*('25Ф'!$D$37)</f>
        <v>238399.8746502118</v>
      </c>
      <c r="DY211" s="276">
        <f>$D211/$D$281*'25Ф'!$D$30</f>
        <v>7608.9756189464224</v>
      </c>
      <c r="DZ211" s="276">
        <f>$D211/$D$281*'25Ф'!$D$31</f>
        <v>4178.4411013624422</v>
      </c>
      <c r="EA211" s="276"/>
      <c r="EB211" s="276">
        <f t="shared" si="40"/>
        <v>150195.66272966884</v>
      </c>
      <c r="EC211" s="276">
        <f>$D211/$D$281*'26Ф'!$D$36</f>
        <v>78181.679466265894</v>
      </c>
      <c r="ED211" s="276">
        <f>$D211/$D$281*'26Ф'!$D$37</f>
        <v>9393.4452882103833</v>
      </c>
      <c r="EE211" s="276">
        <f>$D211/$D$281*'26Ф'!$D$38</f>
        <v>9489.7843129198191</v>
      </c>
      <c r="EF211" s="276">
        <f>$D211/$D$281*'26Ф'!$D$39</f>
        <v>6657.0750344111548</v>
      </c>
      <c r="EG211" s="276">
        <f>$D211/$D$281*'91Ф'!$D$10</f>
        <v>2053.7048794754519</v>
      </c>
      <c r="EH211" s="276">
        <f>$D211/$D$281*('20Ф'!$I$509+'26Ф'!$D$41+'20Ф'!$I$507)</f>
        <v>14529.285769282538</v>
      </c>
      <c r="EI211" s="276">
        <f>$D211/$D$281*'91Ф'!$D$31</f>
        <v>26634.314872240986</v>
      </c>
      <c r="EJ211" s="276">
        <f>$D211/$D$281*'20Ф'!$I$1316</f>
        <v>3256.3731068626098</v>
      </c>
      <c r="EK211" s="276">
        <f>$D211/$D$281*('20Ф'!$I$1105+'20Ф'!$I$1282+'91Ф'!$D$17+'91Ф'!$D$41)</f>
        <v>106942.92075512862</v>
      </c>
      <c r="EL211" s="276">
        <f>$D211/$D$281*отчёт!BX$294</f>
        <v>178775.94845728381</v>
      </c>
      <c r="EM211" s="276">
        <f>$D211/$D$281*отчёт!BY$294</f>
        <v>157223.85032570187</v>
      </c>
      <c r="EN211" s="276">
        <f>$D211/$D$283*отчёт!BZ$294</f>
        <v>28216.766408814536</v>
      </c>
      <c r="EO211" s="240">
        <f t="shared" ref="EO211:EO212" si="46">SUBTOTAL(9,EP211:ER211)</f>
        <v>93850.552750498988</v>
      </c>
      <c r="EP211" s="276">
        <f>SUMIF('20Ф'!$H:$H,$B:$B,'20Ф'!T:T)*1.2</f>
        <v>4918.848</v>
      </c>
      <c r="EQ211" s="276">
        <f>SUM(H211:I211)/SUM($H$284:$I$284)*SUM('60Ф'!$O$155:$P$155)</f>
        <v>86255.130878243508</v>
      </c>
      <c r="ER211" s="276">
        <f>SUM($H211:$I211)/SUM($H$284:$I$284)*SUM('60Ф'!$P$227)</f>
        <v>2676.5738722554888</v>
      </c>
      <c r="ES211" s="239">
        <f t="shared" si="43"/>
        <v>59836.378038372619</v>
      </c>
      <c r="ET211" s="276">
        <f>$D211/$D$282*'20Ф'!$I$381</f>
        <v>4573.3517040727511</v>
      </c>
      <c r="EU211" s="276">
        <f>$D211/$D$282*('20Ф'!$I$75+'20Ф'!$I$1098)*1.2</f>
        <v>52824.242418205111</v>
      </c>
      <c r="EV211" s="276">
        <f>$D211/$D$282*('20Ф'!$I$1286)</f>
        <v>2438.7839160947528</v>
      </c>
      <c r="EW211" s="276">
        <f>SUMIF('91.1Ф'!$N:$N,$B:$B,'91.1Ф'!$F:$F)+$D211/$D$281*('91Ф'!$D$12+'91Ф'!$D$11+'91Ф'!$D$19+'91Ф'!$D$20)</f>
        <v>14094.55423927556</v>
      </c>
      <c r="EX211" s="276">
        <f t="shared" si="41"/>
        <v>44941.588167182388</v>
      </c>
      <c r="EY211" s="276">
        <f>SUMIF('20Ф'!$H:$H,$B:$B,'20Ф'!$AY:$AY)*1.2</f>
        <v>42804</v>
      </c>
      <c r="EZ211" s="295">
        <f>D211/$D$286*'20Ф'!$I$1163</f>
        <v>2137.5881671823868</v>
      </c>
      <c r="FA211" s="277">
        <f>SUMIF(отчёт!$B:$B,$B:$B,отчёт!$CU:$CU)/отчёт!$CU$281*'20Ф'!$I$1341</f>
        <v>920.96385542168503</v>
      </c>
      <c r="FB211" s="276">
        <f>SUMIF(Сальдо!$A:$A,$B:$B,Сальдо!$H:$H)-SUMIF(Сальдо!$A:$A,$B:$B,Сальдо!$I:$I)</f>
        <v>405683.13</v>
      </c>
    </row>
    <row r="212" spans="1:158" ht="12" customHeight="1" x14ac:dyDescent="0.25">
      <c r="A212" s="3">
        <f t="shared" si="44"/>
        <v>208</v>
      </c>
      <c r="B212" s="4" t="s">
        <v>257</v>
      </c>
      <c r="C212" s="4" t="s">
        <v>257</v>
      </c>
      <c r="D212" s="5">
        <v>3059.3</v>
      </c>
      <c r="E212" s="6">
        <v>3059.3</v>
      </c>
      <c r="F212" s="6">
        <v>0</v>
      </c>
      <c r="G212" s="6">
        <v>361.28</v>
      </c>
      <c r="H212" s="5">
        <f>SUMIF(отчёт!$B:$B,$B:$B,отчёт!I:I)</f>
        <v>1</v>
      </c>
      <c r="I212" s="5">
        <f>SUMIF(отчёт!$B:$B,$B:$B,отчёт!J:J)</f>
        <v>0</v>
      </c>
      <c r="J212" s="3" t="s">
        <v>111</v>
      </c>
      <c r="K212" s="105">
        <v>3</v>
      </c>
      <c r="L212" s="105" t="s">
        <v>52</v>
      </c>
      <c r="M212" s="7">
        <v>45.06</v>
      </c>
      <c r="N212" s="8">
        <v>5.0999999999999996</v>
      </c>
      <c r="O212" s="8">
        <v>8.6300000000000008</v>
      </c>
      <c r="P212" s="8">
        <v>13.43</v>
      </c>
      <c r="Q212" s="8">
        <v>6.91</v>
      </c>
      <c r="R212" s="8">
        <v>3.15</v>
      </c>
      <c r="S212" s="8">
        <v>1.81</v>
      </c>
      <c r="T212" s="8">
        <v>5.77</v>
      </c>
      <c r="U212" s="8">
        <v>0.26</v>
      </c>
      <c r="V212" s="9">
        <v>40</v>
      </c>
      <c r="W212" s="9">
        <v>40</v>
      </c>
      <c r="X212" s="9">
        <v>2604.04</v>
      </c>
      <c r="Y212" s="8">
        <v>195.98199600000001</v>
      </c>
      <c r="Z212" s="9">
        <v>42.3</v>
      </c>
      <c r="AA212" s="9">
        <v>2604.04</v>
      </c>
      <c r="AB212" s="8">
        <v>7.85</v>
      </c>
      <c r="AC212" s="10">
        <v>0</v>
      </c>
      <c r="AD212" s="8">
        <v>6.73</v>
      </c>
      <c r="AE212" s="8">
        <v>10.67</v>
      </c>
      <c r="AF212" s="8">
        <v>14</v>
      </c>
      <c r="AG212" s="7">
        <v>827112.34800000011</v>
      </c>
      <c r="AH212" s="8">
        <v>93614.58</v>
      </c>
      <c r="AI212" s="8">
        <v>158410.55400000003</v>
      </c>
      <c r="AJ212" s="8">
        <v>246518.39400000003</v>
      </c>
      <c r="AK212" s="8">
        <v>126838.57800000001</v>
      </c>
      <c r="AL212" s="8">
        <v>57820.770000000004</v>
      </c>
      <c r="AM212" s="8">
        <v>33223.998000000007</v>
      </c>
      <c r="AN212" s="8">
        <v>105912.966</v>
      </c>
      <c r="AO212" s="8">
        <v>4772.5080000000007</v>
      </c>
      <c r="AQ212" s="104">
        <v>48.44</v>
      </c>
      <c r="AR212" s="375">
        <v>18.489999999999998</v>
      </c>
      <c r="AS212" s="376"/>
      <c r="AT212" s="104">
        <v>6.67</v>
      </c>
      <c r="AU212" s="104">
        <v>1.53</v>
      </c>
      <c r="AV212" s="104">
        <v>0.32</v>
      </c>
      <c r="AW212" s="104">
        <v>0.87</v>
      </c>
      <c r="AX212" s="104">
        <v>5.01</v>
      </c>
      <c r="AY212" s="104">
        <v>4.99</v>
      </c>
      <c r="AZ212" s="104">
        <v>2.7</v>
      </c>
      <c r="BA212" s="104">
        <v>6.46</v>
      </c>
      <c r="BB212" s="104">
        <v>0.47</v>
      </c>
      <c r="BC212" s="101">
        <v>0.93</v>
      </c>
      <c r="BD212" s="104">
        <v>54.88252</v>
      </c>
      <c r="BE212" s="375">
        <v>20.949169999999999</v>
      </c>
      <c r="BF212" s="376">
        <v>0</v>
      </c>
      <c r="BG212" s="104">
        <v>7.5571100000000007</v>
      </c>
      <c r="BH212" s="104">
        <v>1.7334900000000002</v>
      </c>
      <c r="BI212" s="104">
        <v>0.36256000000000005</v>
      </c>
      <c r="BJ212" s="104">
        <v>0.98571000000000009</v>
      </c>
      <c r="BK212" s="104">
        <v>5.6763300000000001</v>
      </c>
      <c r="BL212" s="104">
        <v>5.65367</v>
      </c>
      <c r="BM212" s="104">
        <v>3.0591000000000004</v>
      </c>
      <c r="BN212" s="104">
        <v>7.3191800000000002</v>
      </c>
      <c r="BO212" s="104">
        <v>0.53250999999999993</v>
      </c>
      <c r="BP212" s="101">
        <v>1.05369</v>
      </c>
      <c r="BQ212" s="103">
        <v>1975405.91836</v>
      </c>
      <c r="BR212" s="371">
        <v>754030.87180999992</v>
      </c>
      <c r="BS212" s="371">
        <v>0</v>
      </c>
      <c r="BT212" s="103">
        <v>272005.72823000001</v>
      </c>
      <c r="BU212" s="103">
        <v>62394.117570000002</v>
      </c>
      <c r="BV212" s="103">
        <v>13049.750080000002</v>
      </c>
      <c r="BW212" s="103">
        <v>35479.008030000005</v>
      </c>
      <c r="BX212" s="103">
        <v>204310.14968999999</v>
      </c>
      <c r="BY212" s="103">
        <v>203494.54031000001</v>
      </c>
      <c r="BZ212" s="103">
        <v>110107.26630000003</v>
      </c>
      <c r="CA212" s="103">
        <v>263441.82974000002</v>
      </c>
      <c r="CB212" s="103">
        <v>19166.820429999996</v>
      </c>
      <c r="CC212" s="103">
        <v>37925.836169999995</v>
      </c>
      <c r="CD212" s="1">
        <v>1</v>
      </c>
      <c r="CF212" s="277">
        <f>SUMIF(Оборот!$A:$A,$B:$B,Оборот!H:H)</f>
        <v>1695586.52</v>
      </c>
      <c r="CG212" s="277">
        <f>SUMIF(Оборот!$A:$A,$B:$B,Оборот!I:I)</f>
        <v>1724044.2799999998</v>
      </c>
      <c r="CH212" s="277">
        <f t="shared" si="38"/>
        <v>1086837.6939425715</v>
      </c>
      <c r="CI212" s="239">
        <f t="shared" si="42"/>
        <v>26907.567932611928</v>
      </c>
      <c r="CJ212" s="276">
        <f>SUMIF('20Ф'!$H:$H,$B:$B,'20Ф'!M:M)*1.2</f>
        <v>0</v>
      </c>
      <c r="CK212" s="276">
        <f>SUMIF('20Ф'!$H:$H,$B:$B,'20Ф'!O:O)*1.2</f>
        <v>0</v>
      </c>
      <c r="CL212" s="276">
        <f>SUMIF('20Ф'!$H:$H,$B:$B,'20Ф'!Q:Q)*1.2</f>
        <v>0</v>
      </c>
      <c r="CM212" s="276">
        <f>SUMIF('20Ф'!$H:$H,$B:$B,'20Ф'!R:R)*1.2</f>
        <v>0</v>
      </c>
      <c r="CN212" s="276">
        <f>SUMIF('20Ф'!$H:$H,$B:$B,'20Ф'!S:S)*1.2</f>
        <v>0</v>
      </c>
      <c r="CO212" s="276">
        <f>SUMIF('20Ф'!$H:$H,$B:$B,'20Ф'!W:W)*1.2</f>
        <v>0</v>
      </c>
      <c r="CP212" s="276">
        <f>SUMIF('20Ф'!$H:$H,$B:$B,'20Ф'!P:P)*1.2</f>
        <v>0</v>
      </c>
      <c r="CQ212" s="276">
        <f>SUMIF('20Ф'!$H:$H,$B:$B,'20Ф'!Y:Y)*1.2</f>
        <v>0</v>
      </c>
      <c r="CR212" s="276">
        <f>SUMIF('20Ф'!$H:$H,$B:$B,'20Ф'!Z:Z)*1.2</f>
        <v>0</v>
      </c>
      <c r="CS212" s="276">
        <f>SUMIF('20Ф'!$H:$H,$B:$B,'20Ф'!AB:AB)*1.2</f>
        <v>0</v>
      </c>
      <c r="CT212" s="276">
        <f>SUMIF('20Ф'!$H:$H,$B:$B,'20Ф'!AC:AC)*1.2</f>
        <v>0</v>
      </c>
      <c r="CU212" s="276">
        <f>SUMIF('20Ф'!$H:$H,$B:$B,'20Ф'!AD:AD)*1.2</f>
        <v>0</v>
      </c>
      <c r="CV212" s="276">
        <f>SUMIF('20Ф'!$H:$H,$B:$B,'20Ф'!AE:AE)*1.2</f>
        <v>0</v>
      </c>
      <c r="CW212" s="276">
        <f>SUMIF('20Ф'!$H:$H,$B:$B,'20Ф'!AF:AF)*1.2</f>
        <v>0</v>
      </c>
      <c r="CX212" s="276">
        <f>SUMIF('20Ф'!$H:$H,$B:$B,'20Ф'!AG:AG)*1.2</f>
        <v>0</v>
      </c>
      <c r="CY212" s="276">
        <f>SUMIF('20Ф'!$H:$H,$B:$B,'20Ф'!AH:AH)*1.2</f>
        <v>0</v>
      </c>
      <c r="CZ212" s="276">
        <f>SUMIF('20Ф'!$H:$H,$B:$B,'20Ф'!AI:AI)*1.2</f>
        <v>0</v>
      </c>
      <c r="DA212" s="276">
        <f>SUMIF('20Ф'!$H:$H,$B:$B,'20Ф'!AJ:AJ)*1.2</f>
        <v>0</v>
      </c>
      <c r="DB212" s="276">
        <f>SUMIF('20Ф'!$H:$H,$B:$B,'20Ф'!AK:AK)*1.2</f>
        <v>0</v>
      </c>
      <c r="DC212" s="276">
        <f>SUMIF('20Ф'!$H:$H,$B:$B,'20Ф'!AL:AL)*1.2</f>
        <v>0</v>
      </c>
      <c r="DD212" s="276">
        <f>SUMIF('20Ф'!$H:$H,$B:$B,'20Ф'!AM:AM)*1.2</f>
        <v>0</v>
      </c>
      <c r="DE212" s="276">
        <f>SUMIF('20Ф'!$H:$H,$B:$B,'20Ф'!AN:AN)*1.2</f>
        <v>0</v>
      </c>
      <c r="DF212" s="276">
        <f>SUMIF('20Ф'!$H:$H,$B:$B,'20Ф'!AO:AO)*1.2</f>
        <v>0</v>
      </c>
      <c r="DG212" s="276">
        <f>SUMIF('20Ф'!$H:$H,$B:$B,'20Ф'!AP:AP)*1.2</f>
        <v>0</v>
      </c>
      <c r="DH212" s="276">
        <f>SUMIF('20Ф'!$H:$H,$B:$B,'20Ф'!AQ:AQ)*1.2</f>
        <v>0</v>
      </c>
      <c r="DI212" s="276">
        <f>SUMIF('20Ф'!$H:$H,$B:$B,'20Ф'!BA:BA)*1.2</f>
        <v>0</v>
      </c>
      <c r="DJ212" s="276">
        <f>SUMIF('20Ф'!$H:$H,$B:$B,'20Ф'!BB:BB)*1.2</f>
        <v>0</v>
      </c>
      <c r="DK212" s="276">
        <f>SUMIF('20Ф'!$H:$H,$B:$B,'20Ф'!BC:BC)*1.2</f>
        <v>0</v>
      </c>
      <c r="DL212" s="276">
        <f>$D212/$D$281*'20Ф'!$H$218</f>
        <v>26907.567932611928</v>
      </c>
      <c r="DM212" s="240">
        <f t="shared" si="39"/>
        <v>266900.40095018939</v>
      </c>
      <c r="DN212" s="276">
        <f>SUMIF('20Ф'!$H:$H,$B:$B,'20Ф'!AV:AV)*1.2</f>
        <v>0</v>
      </c>
      <c r="DO212" s="276">
        <f>SUMIF('20Ф'!$H:$H,$B:$B,'20Ф'!AW:AW)*1.2+$D212/$D$281*'26Ф'!$D$42</f>
        <v>14318.814806958051</v>
      </c>
      <c r="DP212" s="276">
        <f>SUMIF('20Ф'!$H:$H,$B:$B,'20Ф'!AX:AX)*1.2</f>
        <v>0</v>
      </c>
      <c r="DQ212" s="276">
        <f>SUMIF('20Ф'!$H:$H,$B:$B,'20Ф'!AY:AY)*1.2</f>
        <v>0</v>
      </c>
      <c r="DR212" s="276">
        <f>SUMIF('20Ф'!$H:$H,$B:$B,'20Ф'!AU:AU)*1.2</f>
        <v>0</v>
      </c>
      <c r="DS212" s="276">
        <f>SUMIF('20Ф'!$H:$H,$B:$B,'20Ф'!AS:AS)*1.2</f>
        <v>0</v>
      </c>
      <c r="DT212" s="276">
        <f>SUMIF('20Ф'!$H:$H,$B:$B,'20Ф'!AR:AR)*1.2</f>
        <v>0</v>
      </c>
      <c r="DU212" s="276">
        <f>SUMIF('20Ф'!$H:$H,$B:$B,'20Ф'!X:X)*1.2</f>
        <v>0</v>
      </c>
      <c r="DV212" s="276">
        <f>SUMIF('20Ф'!$H:$H,$B:$B,'20Ф'!AA:AA)*1.2</f>
        <v>0</v>
      </c>
      <c r="DW212" s="276">
        <f>SUMIF('20Ф'!$H:$H,$B:$B,'20Ф'!N:N)*1.2</f>
        <v>0</v>
      </c>
      <c r="DX212" s="276">
        <f>$D212/$D$281*('25Ф'!$D$37)</f>
        <v>240681.36373210343</v>
      </c>
      <c r="DY212" s="276">
        <f>$D212/$D$281*'25Ф'!$D$30</f>
        <v>7681.7935884377093</v>
      </c>
      <c r="DZ212" s="276">
        <f>$D212/$D$281*'25Ф'!$D$31</f>
        <v>4218.4288226902017</v>
      </c>
      <c r="EA212" s="276"/>
      <c r="EB212" s="276">
        <f t="shared" si="40"/>
        <v>151633.03665936569</v>
      </c>
      <c r="EC212" s="276">
        <f>$D212/$D$281*'26Ф'!$D$36</f>
        <v>78929.878886957478</v>
      </c>
      <c r="ED212" s="276">
        <f>$D212/$D$281*'26Ф'!$D$37</f>
        <v>9483.340649513917</v>
      </c>
      <c r="EE212" s="276">
        <f>$D212/$D$281*'26Ф'!$D$38</f>
        <v>9580.6016396117884</v>
      </c>
      <c r="EF212" s="276">
        <f>$D212/$D$281*'26Ф'!$D$39</f>
        <v>6720.7833061987421</v>
      </c>
      <c r="EG212" s="276">
        <f>$D212/$D$281*'91Ф'!$D$10</f>
        <v>2073.3588548260072</v>
      </c>
      <c r="EH212" s="276">
        <f>$D212/$D$281*('20Ф'!$I$509+'26Ф'!$D$41+'20Ф'!$I$507)</f>
        <v>14668.331173139975</v>
      </c>
      <c r="EI212" s="276">
        <f>$D212/$D$281*'91Ф'!$D$31</f>
        <v>26889.205520458981</v>
      </c>
      <c r="EJ212" s="276">
        <f>$D212/$D$281*'20Ф'!$I$1316</f>
        <v>3287.5366286588069</v>
      </c>
      <c r="EK212" s="276">
        <f>$D212/$D$281*('20Ф'!$I$1105+'20Ф'!$I$1282+'91Ф'!$D$17+'91Ф'!$D$41)</f>
        <v>107966.36553019998</v>
      </c>
      <c r="EL212" s="276">
        <f>$D212/$D$281*отчёт!BX$294</f>
        <v>180486.83599490757</v>
      </c>
      <c r="EM212" s="276">
        <f>$D212/$D$281*отчёт!BY$294</f>
        <v>158728.4840779526</v>
      </c>
      <c r="EN212" s="276">
        <f>$D212/$D$283*отчёт!BZ$294</f>
        <v>28486.801133381621</v>
      </c>
      <c r="EO212" s="240">
        <f t="shared" si="46"/>
        <v>88931.70475049899</v>
      </c>
      <c r="EP212" s="276">
        <f>SUMIF('20Ф'!$H:$H,$B:$B,'20Ф'!T:T)*1.2</f>
        <v>0</v>
      </c>
      <c r="EQ212" s="276">
        <f>SUM(H212:I212)/SUM($H$284:$I$284)*SUM('60Ф'!$O$155:$P$155)</f>
        <v>86255.130878243508</v>
      </c>
      <c r="ER212" s="276">
        <f>SUM($H212:$I212)/SUM($H$284:$I$284)*SUM('60Ф'!$P$227)</f>
        <v>2676.5738722554888</v>
      </c>
      <c r="ES212" s="239">
        <f t="shared" si="43"/>
        <v>60409.012748834546</v>
      </c>
      <c r="ET212" s="276">
        <f>$D212/$D$282*'20Ф'!$I$381</f>
        <v>4617.1187236477472</v>
      </c>
      <c r="EU212" s="276">
        <f>$D212/$D$282*('20Ф'!$I$75+'20Ф'!$I$1098)*1.2</f>
        <v>53329.770923675831</v>
      </c>
      <c r="EV212" s="276">
        <f>$D212/$D$282*('20Ф'!$I$1286)</f>
        <v>2462.1231015109652</v>
      </c>
      <c r="EW212" s="276">
        <f>SUMIF('91.1Ф'!$N:$N,$B:$B,'91.1Ф'!$F:$F)+$D212/$D$281*('91Ф'!$D$12+'91Ф'!$D$11+'91Ф'!$D$19+'91Ф'!$D$20)</f>
        <v>14229.439258230446</v>
      </c>
      <c r="EX212" s="276">
        <f t="shared" si="41"/>
        <v>2158.0449063990618</v>
      </c>
      <c r="EY212" s="276">
        <f>SUMIF('20Ф'!$H:$H,$B:$B,'20Ф'!$AY:$AY)*1.2</f>
        <v>0</v>
      </c>
      <c r="EZ212" s="295">
        <f>D212/$D$286*'20Ф'!$I$1163</f>
        <v>2158.0449063990618</v>
      </c>
      <c r="FA212" s="277">
        <f>SUMIF(отчёт!$B:$B,$B:$B,отчёт!$CU:$CU)/отчёт!$CU$281*'20Ф'!$I$1341</f>
        <v>920.96385542168503</v>
      </c>
      <c r="FB212" s="276">
        <f>SUMIF(Сальдо!$A:$A,$B:$B,Сальдо!$H:$H)-SUMIF(Сальдо!$A:$A,$B:$B,Сальдо!$I:$I)</f>
        <v>255053.93</v>
      </c>
    </row>
    <row r="213" spans="1:158" ht="12" customHeight="1" x14ac:dyDescent="0.25">
      <c r="A213" s="3">
        <f t="shared" si="44"/>
        <v>209</v>
      </c>
      <c r="B213" s="4" t="s">
        <v>258</v>
      </c>
      <c r="C213" s="4" t="s">
        <v>258</v>
      </c>
      <c r="D213" s="5">
        <v>6991.3</v>
      </c>
      <c r="E213" s="6">
        <v>6991.3</v>
      </c>
      <c r="F213" s="6">
        <v>0</v>
      </c>
      <c r="G213" s="6">
        <v>619.5</v>
      </c>
      <c r="H213" s="5">
        <f>SUMIF(отчёт!$B:$B,$B:$B,отчёт!I:I)</f>
        <v>0</v>
      </c>
      <c r="I213" s="5">
        <f>SUMIF(отчёт!$B:$B,$B:$B,отчёт!J:J)</f>
        <v>0</v>
      </c>
      <c r="J213" s="3" t="s">
        <v>111</v>
      </c>
      <c r="K213" s="105">
        <v>7</v>
      </c>
      <c r="L213" s="105" t="s">
        <v>52</v>
      </c>
      <c r="M213" s="7">
        <v>31</v>
      </c>
      <c r="N213" s="8">
        <v>5.0999999999999996</v>
      </c>
      <c r="O213" s="8">
        <v>6.59</v>
      </c>
      <c r="P213" s="8">
        <v>8.98</v>
      </c>
      <c r="Q213" s="8">
        <v>6.92</v>
      </c>
      <c r="R213" s="8">
        <v>3.15</v>
      </c>
      <c r="S213" s="8">
        <v>0</v>
      </c>
      <c r="T213" s="8">
        <v>0</v>
      </c>
      <c r="U213" s="8">
        <v>0.26</v>
      </c>
      <c r="V213" s="9">
        <v>40</v>
      </c>
      <c r="W213" s="9">
        <v>40</v>
      </c>
      <c r="X213" s="9">
        <v>2604.04</v>
      </c>
      <c r="Y213" s="8">
        <v>195.98199600000001</v>
      </c>
      <c r="Z213" s="9">
        <v>42.3</v>
      </c>
      <c r="AA213" s="9">
        <v>2604.04</v>
      </c>
      <c r="AB213" s="8">
        <v>7.85</v>
      </c>
      <c r="AC213" s="10">
        <v>0</v>
      </c>
      <c r="AD213" s="8">
        <v>6.73</v>
      </c>
      <c r="AE213" s="8">
        <v>10.67</v>
      </c>
      <c r="AF213" s="8">
        <v>14</v>
      </c>
      <c r="AG213" s="7">
        <v>1300381.8</v>
      </c>
      <c r="AH213" s="8">
        <v>213933.77999999997</v>
      </c>
      <c r="AI213" s="8">
        <v>276436.00199999998</v>
      </c>
      <c r="AJ213" s="8">
        <v>376691.24400000001</v>
      </c>
      <c r="AK213" s="8">
        <v>290278.77600000001</v>
      </c>
      <c r="AL213" s="8">
        <v>132135.57</v>
      </c>
      <c r="AM213" s="8">
        <v>0</v>
      </c>
      <c r="AN213" s="8">
        <v>0</v>
      </c>
      <c r="AO213" s="8">
        <v>10906.428</v>
      </c>
      <c r="AQ213" s="104">
        <v>33.17</v>
      </c>
      <c r="AR213" s="375">
        <v>13.89</v>
      </c>
      <c r="AS213" s="376"/>
      <c r="AT213" s="104">
        <v>5.9</v>
      </c>
      <c r="AU213" s="104">
        <v>1.53</v>
      </c>
      <c r="AV213" s="104">
        <v>0.32</v>
      </c>
      <c r="AW213" s="104">
        <v>0.6</v>
      </c>
      <c r="AX213" s="104">
        <v>5.01</v>
      </c>
      <c r="AY213" s="104">
        <v>4.99</v>
      </c>
      <c r="AZ213" s="104">
        <v>0</v>
      </c>
      <c r="BA213" s="104">
        <v>0</v>
      </c>
      <c r="BB213" s="104">
        <v>0</v>
      </c>
      <c r="BC213" s="101">
        <v>0.93</v>
      </c>
      <c r="BD213" s="104">
        <v>37.581610000000005</v>
      </c>
      <c r="BE213" s="375">
        <v>15.737370000000004</v>
      </c>
      <c r="BF213" s="376">
        <v>0</v>
      </c>
      <c r="BG213" s="104">
        <v>6.6847000000000012</v>
      </c>
      <c r="BH213" s="104">
        <v>1.7334900000000002</v>
      </c>
      <c r="BI213" s="104">
        <v>0.36256000000000005</v>
      </c>
      <c r="BJ213" s="104">
        <v>0.67980000000000007</v>
      </c>
      <c r="BK213" s="104">
        <v>5.6763300000000001</v>
      </c>
      <c r="BL213" s="104">
        <v>5.65367</v>
      </c>
      <c r="BM213" s="104">
        <v>0</v>
      </c>
      <c r="BN213" s="104">
        <v>0</v>
      </c>
      <c r="BO213" s="104">
        <v>0</v>
      </c>
      <c r="BP213" s="101">
        <v>1.0536900000000002</v>
      </c>
      <c r="BQ213" s="103">
        <v>3091245.9419300002</v>
      </c>
      <c r="BR213" s="371">
        <v>1294465.0628100003</v>
      </c>
      <c r="BS213" s="371">
        <v>0</v>
      </c>
      <c r="BT213" s="103">
        <v>549844.77110000001</v>
      </c>
      <c r="BU213" s="103">
        <v>142586.86437</v>
      </c>
      <c r="BV213" s="103">
        <v>29822.08928</v>
      </c>
      <c r="BW213" s="103">
        <v>55916.417400000006</v>
      </c>
      <c r="BX213" s="103">
        <v>466902.08529000002</v>
      </c>
      <c r="BY213" s="103">
        <v>465038.20471000002</v>
      </c>
      <c r="BZ213" s="103">
        <v>0</v>
      </c>
      <c r="CA213" s="103">
        <v>0</v>
      </c>
      <c r="CB213" s="103">
        <v>0</v>
      </c>
      <c r="CC213" s="103">
        <v>86670.446970000019</v>
      </c>
      <c r="CD213" s="1">
        <v>1</v>
      </c>
      <c r="CF213" s="277">
        <f>SUMIF(Оборот!$A:$A,$B:$B,Оборот!H:H)</f>
        <v>2661486.3199999994</v>
      </c>
      <c r="CG213" s="277">
        <f>SUMIF(Оборот!$A:$A,$B:$B,Оборот!I:I)</f>
        <v>2670390.9899999998</v>
      </c>
      <c r="CH213" s="277">
        <f t="shared" si="38"/>
        <v>2980855.9111914253</v>
      </c>
      <c r="CI213" s="239">
        <f t="shared" si="42"/>
        <v>544861.38459623756</v>
      </c>
      <c r="CJ213" s="276">
        <f>SUMIF('20Ф'!$H:$H,$B:$B,'20Ф'!M:M)*1.2</f>
        <v>0</v>
      </c>
      <c r="CK213" s="276">
        <f>SUMIF('20Ф'!$H:$H,$B:$B,'20Ф'!O:O)*1.2</f>
        <v>0</v>
      </c>
      <c r="CL213" s="276">
        <f>SUMIF('20Ф'!$H:$H,$B:$B,'20Ф'!Q:Q)*1.2</f>
        <v>0</v>
      </c>
      <c r="CM213" s="276">
        <f>SUMIF('20Ф'!$H:$H,$B:$B,'20Ф'!R:R)*1.2</f>
        <v>0</v>
      </c>
      <c r="CN213" s="276">
        <f>SUMIF('20Ф'!$H:$H,$B:$B,'20Ф'!S:S)*1.2</f>
        <v>0</v>
      </c>
      <c r="CO213" s="276">
        <f>SUMIF('20Ф'!$H:$H,$B:$B,'20Ф'!W:W)*1.2</f>
        <v>0</v>
      </c>
      <c r="CP213" s="276">
        <f>SUMIF('20Ф'!$H:$H,$B:$B,'20Ф'!P:P)*1.2</f>
        <v>0</v>
      </c>
      <c r="CQ213" s="276">
        <f>SUMIF('20Ф'!$H:$H,$B:$B,'20Ф'!Y:Y)*1.2</f>
        <v>0</v>
      </c>
      <c r="CR213" s="276">
        <f>SUMIF('20Ф'!$H:$H,$B:$B,'20Ф'!Z:Z)*1.2</f>
        <v>0</v>
      </c>
      <c r="CS213" s="276">
        <f>SUMIF('20Ф'!$H:$H,$B:$B,'20Ф'!AB:AB)*1.2</f>
        <v>0</v>
      </c>
      <c r="CT213" s="276">
        <f>SUMIF('20Ф'!$H:$H,$B:$B,'20Ф'!AC:AC)*1.2</f>
        <v>0</v>
      </c>
      <c r="CU213" s="276">
        <f>SUMIF('20Ф'!$H:$H,$B:$B,'20Ф'!AD:AD)*1.2</f>
        <v>0</v>
      </c>
      <c r="CV213" s="276">
        <f>SUMIF('20Ф'!$H:$H,$B:$B,'20Ф'!AE:AE)*1.2</f>
        <v>0</v>
      </c>
      <c r="CW213" s="276">
        <f>SUMIF('20Ф'!$H:$H,$B:$B,'20Ф'!AF:AF)*1.2</f>
        <v>0</v>
      </c>
      <c r="CX213" s="276">
        <f>SUMIF('20Ф'!$H:$H,$B:$B,'20Ф'!AG:AG)*1.2</f>
        <v>5208</v>
      </c>
      <c r="CY213" s="276">
        <f>SUMIF('20Ф'!$H:$H,$B:$B,'20Ф'!AH:AH)*1.2</f>
        <v>0</v>
      </c>
      <c r="CZ213" s="276">
        <f>SUMIF('20Ф'!$H:$H,$B:$B,'20Ф'!AI:AI)*1.2</f>
        <v>0</v>
      </c>
      <c r="DA213" s="276">
        <f>SUMIF('20Ф'!$H:$H,$B:$B,'20Ф'!AJ:AJ)*1.2</f>
        <v>201789.84</v>
      </c>
      <c r="DB213" s="276">
        <f>SUMIF('20Ф'!$H:$H,$B:$B,'20Ф'!AK:AK)*1.2</f>
        <v>0</v>
      </c>
      <c r="DC213" s="276">
        <f>SUMIF('20Ф'!$H:$H,$B:$B,'20Ф'!AL:AL)*1.2</f>
        <v>63627.119999999995</v>
      </c>
      <c r="DD213" s="276">
        <f>SUMIF('20Ф'!$H:$H,$B:$B,'20Ф'!AM:AM)*1.2</f>
        <v>0</v>
      </c>
      <c r="DE213" s="276">
        <f>SUMIF('20Ф'!$H:$H,$B:$B,'20Ф'!AN:AN)*1.2</f>
        <v>0</v>
      </c>
      <c r="DF213" s="276">
        <f>SUMIF('20Ф'!$H:$H,$B:$B,'20Ф'!AO:AO)*1.2</f>
        <v>0</v>
      </c>
      <c r="DG213" s="276">
        <f>SUMIF('20Ф'!$H:$H,$B:$B,'20Ф'!AP:AP)*1.2</f>
        <v>0</v>
      </c>
      <c r="DH213" s="276">
        <f>SUMIF('20Ф'!$H:$H,$B:$B,'20Ф'!AQ:AQ)*1.2</f>
        <v>0</v>
      </c>
      <c r="DI213" s="276">
        <f>SUMIF('20Ф'!$H:$H,$B:$B,'20Ф'!BA:BA)*1.2</f>
        <v>212745.60000000001</v>
      </c>
      <c r="DJ213" s="276">
        <f>SUMIF('20Ф'!$H:$H,$B:$B,'20Ф'!BB:BB)*1.2</f>
        <v>0</v>
      </c>
      <c r="DK213" s="276">
        <f>SUMIF('20Ф'!$H:$H,$B:$B,'20Ф'!BC:BC)*1.2</f>
        <v>0</v>
      </c>
      <c r="DL213" s="276">
        <f>$D213/$D$281*'20Ф'!$H$218</f>
        <v>61490.824596237631</v>
      </c>
      <c r="DM213" s="240">
        <f t="shared" si="39"/>
        <v>784124.31839854177</v>
      </c>
      <c r="DN213" s="276">
        <f>SUMIF('20Ф'!$H:$H,$B:$B,'20Ф'!AV:AV)*1.2</f>
        <v>0</v>
      </c>
      <c r="DO213" s="276">
        <f>SUMIF('20Ф'!$H:$H,$B:$B,'20Ф'!AW:AW)*1.2+$D213/$D$281*'26Ф'!$D$42</f>
        <v>32722.233831231271</v>
      </c>
      <c r="DP213" s="276">
        <f>SUMIF('20Ф'!$H:$H,$B:$B,'20Ф'!AX:AX)*1.2</f>
        <v>0</v>
      </c>
      <c r="DQ213" s="276">
        <f>SUMIF('20Ф'!$H:$H,$B:$B,'20Ф'!AY:AY)*1.2</f>
        <v>92922.011999999988</v>
      </c>
      <c r="DR213" s="276">
        <f>SUMIF('20Ф'!$H:$H,$B:$B,'20Ф'!AU:AU)*1.2</f>
        <v>0</v>
      </c>
      <c r="DS213" s="276">
        <f>SUMIF('20Ф'!$H:$H,$B:$B,'20Ф'!AS:AS)*1.2</f>
        <v>75604.56</v>
      </c>
      <c r="DT213" s="276">
        <f>SUMIF('20Ф'!$H:$H,$B:$B,'20Ф'!AR:AR)*1.2</f>
        <v>0</v>
      </c>
      <c r="DU213" s="276">
        <f>SUMIF('20Ф'!$H:$H,$B:$B,'20Ф'!X:X)*1.2</f>
        <v>5660.579999999999</v>
      </c>
      <c r="DV213" s="276">
        <f>SUMIF('20Ф'!$H:$H,$B:$B,'20Ф'!AA:AA)*1.2</f>
        <v>0</v>
      </c>
      <c r="DW213" s="276">
        <f>SUMIF('20Ф'!$H:$H,$B:$B,'20Ф'!N:N)*1.2</f>
        <v>0</v>
      </c>
      <c r="DX213" s="276">
        <f>$D213/$D$281*('25Ф'!$D$37)</f>
        <v>550019.81442168297</v>
      </c>
      <c r="DY213" s="276">
        <f>$D213/$D$281*'25Ф'!$D$30</f>
        <v>17554.905865670109</v>
      </c>
      <c r="DZ213" s="276">
        <f>$D213/$D$281*'25Ф'!$D$31</f>
        <v>9640.21227995751</v>
      </c>
      <c r="EA213" s="276"/>
      <c r="EB213" s="276">
        <f t="shared" si="40"/>
        <v>346521.11567895388</v>
      </c>
      <c r="EC213" s="276">
        <f>$D213/$D$281*'26Ф'!$D$36</f>
        <v>180375.40034072692</v>
      </c>
      <c r="ED213" s="276">
        <f>$D213/$D$281*'26Ф'!$D$37</f>
        <v>21671.91170625524</v>
      </c>
      <c r="EE213" s="276">
        <f>$D213/$D$281*'26Ф'!$D$38</f>
        <v>21894.178486260877</v>
      </c>
      <c r="EF213" s="276">
        <f>$D213/$D$281*'26Ф'!$D$39</f>
        <v>15358.746225812201</v>
      </c>
      <c r="EG213" s="276">
        <f>$D213/$D$281*'91Ф'!$D$10</f>
        <v>4738.1668230461428</v>
      </c>
      <c r="EH213" s="276">
        <f>$D213/$D$281*('20Ф'!$I$509+'26Ф'!$D$41+'20Ф'!$I$507)</f>
        <v>33520.97006856912</v>
      </c>
      <c r="EI213" s="276">
        <f>$D213/$D$281*'91Ф'!$D$31</f>
        <v>61448.861685740158</v>
      </c>
      <c r="EJ213" s="276">
        <f>$D213/$D$281*'20Ф'!$I$1316</f>
        <v>7512.8803425431688</v>
      </c>
      <c r="EK213" s="276">
        <f>$D213/$D$281*('20Ф'!$I$1105+'20Ф'!$I$1282+'91Ф'!$D$17+'91Ф'!$D$41)</f>
        <v>246731.36055021969</v>
      </c>
      <c r="EL213" s="276">
        <f>$D213/$D$281*отчёт!BX$294</f>
        <v>412459.58764789242</v>
      </c>
      <c r="EM213" s="276">
        <f>$D213/$D$281*отчёт!BY$294</f>
        <v>362736.0673141536</v>
      </c>
      <c r="EN213" s="276">
        <f>SUMIF(отчёт!$B:$B,$B:$B,отчёт!BZ:BZ)/отчёт!BZ$281*('60Ф'!$O$151+'60Ф'!$P$151)*отчёт!BZ$293</f>
        <v>0</v>
      </c>
      <c r="EO213" s="240">
        <f t="shared" si="45"/>
        <v>0</v>
      </c>
      <c r="EP213" s="276">
        <f>SUMIF('20Ф'!$H:$H,$B:$B,'20Ф'!T:T)*1.2</f>
        <v>0</v>
      </c>
      <c r="EQ213" s="276">
        <f>SUMIF('20Ф'!$H:$H,$B:$B,'20Ф'!U:U)*1.2</f>
        <v>0</v>
      </c>
      <c r="ER213" s="236"/>
      <c r="ES213" s="239">
        <f t="shared" si="43"/>
        <v>138050.38107767364</v>
      </c>
      <c r="ET213" s="276">
        <f>$D213/$D$282*'20Ф'!$I$381</f>
        <v>10551.322894988558</v>
      </c>
      <c r="EU213" s="276">
        <f>$D213/$D$282*('20Ф'!$I$75+'20Ф'!$I$1098)*1.2</f>
        <v>121872.46345853459</v>
      </c>
      <c r="EV213" s="276">
        <f>$D213/$D$282*('20Ф'!$I$1286)</f>
        <v>5626.5947241504955</v>
      </c>
      <c r="EW213" s="276">
        <f>SUMIF('91.1Ф'!$N:$N,$B:$B,'91.1Ф'!$F:$F)+$D213/$D$281*('91Ф'!$D$12+'91Ф'!$D$11+'91Ф'!$D$19+'91Ф'!$D$20)</f>
        <v>47517.987345492933</v>
      </c>
      <c r="EX213" s="276">
        <f t="shared" si="41"/>
        <v>97853.708582259904</v>
      </c>
      <c r="EY213" s="276">
        <f>SUMIF('20Ф'!$H:$H,$B:$B,'20Ф'!$AY:$AY)*1.2</f>
        <v>92922.011999999988</v>
      </c>
      <c r="EZ213" s="295">
        <f>D213/$D$286*'20Ф'!$I$1163</f>
        <v>4931.696582259915</v>
      </c>
      <c r="FA213" s="277">
        <f>SUMIF(отчёт!$B:$B,$B:$B,отчёт!$CU:$CU)/отчёт!$CU$281*'20Ф'!$I$1341</f>
        <v>5525.7831325301113</v>
      </c>
      <c r="FB213" s="276">
        <f>SUMIF(Сальдо!$A:$A,$B:$B,Сальдо!$H:$H)-SUMIF(Сальдо!$A:$A,$B:$B,Сальдо!$I:$I)</f>
        <v>573391.26</v>
      </c>
    </row>
    <row r="214" spans="1:158" ht="12" customHeight="1" x14ac:dyDescent="0.25">
      <c r="A214" s="3">
        <f t="shared" si="44"/>
        <v>210</v>
      </c>
      <c r="B214" s="4" t="s">
        <v>259</v>
      </c>
      <c r="C214" s="4" t="s">
        <v>259</v>
      </c>
      <c r="D214" s="5">
        <v>8371.2500000000018</v>
      </c>
      <c r="E214" s="6">
        <v>7665.5500000000011</v>
      </c>
      <c r="F214" s="6">
        <v>705.7</v>
      </c>
      <c r="G214" s="6">
        <v>5042</v>
      </c>
      <c r="H214" s="5">
        <f>SUMIF(отчёт!$B:$B,$B:$B,отчёт!I:I)</f>
        <v>0</v>
      </c>
      <c r="I214" s="5">
        <f>SUMIF(отчёт!$B:$B,$B:$B,отчёт!J:J)</f>
        <v>4</v>
      </c>
      <c r="J214" s="3" t="s">
        <v>51</v>
      </c>
      <c r="K214" s="105">
        <v>1</v>
      </c>
      <c r="L214" s="105" t="s">
        <v>52</v>
      </c>
      <c r="M214" s="7">
        <v>44.8</v>
      </c>
      <c r="N214" s="8">
        <v>5.0999999999999996</v>
      </c>
      <c r="O214" s="8">
        <v>8.6300000000000008</v>
      </c>
      <c r="P214" s="8">
        <v>13.43</v>
      </c>
      <c r="Q214" s="8">
        <v>6.91</v>
      </c>
      <c r="R214" s="8">
        <v>3.15</v>
      </c>
      <c r="S214" s="8">
        <v>1.81</v>
      </c>
      <c r="T214" s="8">
        <v>5.77</v>
      </c>
      <c r="U214" s="8">
        <v>0</v>
      </c>
      <c r="V214" s="9">
        <v>40</v>
      </c>
      <c r="W214" s="9">
        <v>40</v>
      </c>
      <c r="X214" s="9">
        <v>2604.04</v>
      </c>
      <c r="Y214" s="8">
        <v>195.98199600000001</v>
      </c>
      <c r="Z214" s="9">
        <v>42.3</v>
      </c>
      <c r="AA214" s="9">
        <v>2604.04</v>
      </c>
      <c r="AB214" s="8">
        <v>0</v>
      </c>
      <c r="AC214" s="10">
        <v>0</v>
      </c>
      <c r="AD214" s="8">
        <v>5.05</v>
      </c>
      <c r="AE214" s="8">
        <v>10.67</v>
      </c>
      <c r="AF214" s="8">
        <v>14</v>
      </c>
      <c r="AG214" s="7">
        <v>2250192.0000000005</v>
      </c>
      <c r="AH214" s="8">
        <v>256160.25000000006</v>
      </c>
      <c r="AI214" s="8">
        <v>433463.32500000019</v>
      </c>
      <c r="AJ214" s="8">
        <v>674555.32500000019</v>
      </c>
      <c r="AK214" s="8">
        <v>347072.02500000008</v>
      </c>
      <c r="AL214" s="8">
        <v>158216.62500000003</v>
      </c>
      <c r="AM214" s="8">
        <v>90911.775000000023</v>
      </c>
      <c r="AN214" s="8">
        <v>289812.67500000005</v>
      </c>
      <c r="AO214" s="8">
        <v>0</v>
      </c>
      <c r="AQ214" s="104">
        <v>48.16</v>
      </c>
      <c r="AR214" s="375">
        <v>18.649999999999999</v>
      </c>
      <c r="AS214" s="376"/>
      <c r="AT214" s="104">
        <v>7.16</v>
      </c>
      <c r="AU214" s="104">
        <v>1.53</v>
      </c>
      <c r="AV214" s="104">
        <v>0.32</v>
      </c>
      <c r="AW214" s="104">
        <v>0.87</v>
      </c>
      <c r="AX214" s="104">
        <v>5.01</v>
      </c>
      <c r="AY214" s="104">
        <v>4.99</v>
      </c>
      <c r="AZ214" s="104">
        <v>2.7</v>
      </c>
      <c r="BA214" s="104">
        <v>6.46</v>
      </c>
      <c r="BB214" s="104">
        <v>0.47</v>
      </c>
      <c r="BC214" s="101">
        <v>0</v>
      </c>
      <c r="BD214" s="104">
        <v>54.565279999999994</v>
      </c>
      <c r="BE214" s="375">
        <v>21.130449999999996</v>
      </c>
      <c r="BF214" s="376">
        <v>0</v>
      </c>
      <c r="BG214" s="104">
        <v>8.1122800000000002</v>
      </c>
      <c r="BH214" s="104">
        <v>1.7334900000000002</v>
      </c>
      <c r="BI214" s="104">
        <v>0.36255999999999999</v>
      </c>
      <c r="BJ214" s="104">
        <v>0.98570999999999998</v>
      </c>
      <c r="BK214" s="104">
        <v>5.6763299999999992</v>
      </c>
      <c r="BL214" s="104">
        <v>5.6536700000000009</v>
      </c>
      <c r="BM214" s="104">
        <v>3.0591000000000004</v>
      </c>
      <c r="BN214" s="104">
        <v>7.3191800000000002</v>
      </c>
      <c r="BO214" s="104">
        <v>0.53250999999999993</v>
      </c>
      <c r="BP214" s="101">
        <v>0</v>
      </c>
      <c r="BQ214" s="103">
        <v>5374114.8020000011</v>
      </c>
      <c r="BR214" s="371">
        <v>2081130.4206250003</v>
      </c>
      <c r="BS214" s="371">
        <v>0</v>
      </c>
      <c r="BT214" s="103">
        <v>798975.53950000019</v>
      </c>
      <c r="BU214" s="103">
        <v>170730.80662500003</v>
      </c>
      <c r="BV214" s="103">
        <v>35708.40400000001</v>
      </c>
      <c r="BW214" s="103">
        <v>97082.223375000016</v>
      </c>
      <c r="BX214" s="103">
        <v>559059.70012500009</v>
      </c>
      <c r="BY214" s="103">
        <v>556827.92487500026</v>
      </c>
      <c r="BZ214" s="103">
        <v>301289.65875000012</v>
      </c>
      <c r="CA214" s="103">
        <v>720863.40575000015</v>
      </c>
      <c r="CB214" s="103">
        <v>52446.718374999997</v>
      </c>
      <c r="CC214" s="103">
        <v>0</v>
      </c>
      <c r="CD214" s="1">
        <v>1</v>
      </c>
      <c r="CF214" s="277">
        <f>SUMIF(Оборот!$A:$A,$B:$B,Оборот!H:H)</f>
        <v>4173683.4799999995</v>
      </c>
      <c r="CG214" s="277">
        <f>SUMIF(Оборот!$A:$A,$B:$B,Оборот!I:I)</f>
        <v>4165291.44</v>
      </c>
      <c r="CH214" s="277">
        <f t="shared" si="38"/>
        <v>3192190.5173571254</v>
      </c>
      <c r="CI214" s="239">
        <f t="shared" si="42"/>
        <v>106028.05493422601</v>
      </c>
      <c r="CJ214" s="276">
        <f>SUMIF('20Ф'!$H:$H,$B:$B,'20Ф'!M:M)*1.2</f>
        <v>0</v>
      </c>
      <c r="CK214" s="276">
        <f>SUMIF('20Ф'!$H:$H,$B:$B,'20Ф'!O:O)*1.2</f>
        <v>32400.108</v>
      </c>
      <c r="CL214" s="276">
        <f>SUMIF('20Ф'!$H:$H,$B:$B,'20Ф'!Q:Q)*1.2</f>
        <v>0</v>
      </c>
      <c r="CM214" s="276">
        <f>SUMIF('20Ф'!$H:$H,$B:$B,'20Ф'!R:R)*1.2</f>
        <v>0</v>
      </c>
      <c r="CN214" s="276">
        <f>SUMIF('20Ф'!$H:$H,$B:$B,'20Ф'!S:S)*1.2</f>
        <v>0</v>
      </c>
      <c r="CO214" s="276">
        <f>SUMIF('20Ф'!$H:$H,$B:$B,'20Ф'!W:W)*1.2</f>
        <v>0</v>
      </c>
      <c r="CP214" s="276">
        <f>SUMIF('20Ф'!$H:$H,$B:$B,'20Ф'!P:P)*1.2</f>
        <v>0</v>
      </c>
      <c r="CQ214" s="276">
        <f>SUMIF('20Ф'!$H:$H,$B:$B,'20Ф'!Y:Y)*1.2</f>
        <v>0</v>
      </c>
      <c r="CR214" s="276">
        <f>SUMIF('20Ф'!$H:$H,$B:$B,'20Ф'!Z:Z)*1.2</f>
        <v>0</v>
      </c>
      <c r="CS214" s="276">
        <f>SUMIF('20Ф'!$H:$H,$B:$B,'20Ф'!AB:AB)*1.2</f>
        <v>0</v>
      </c>
      <c r="CT214" s="276">
        <f>SUMIF('20Ф'!$H:$H,$B:$B,'20Ф'!AC:AC)*1.2</f>
        <v>0</v>
      </c>
      <c r="CU214" s="276">
        <f>SUMIF('20Ф'!$H:$H,$B:$B,'20Ф'!AD:AD)*1.2</f>
        <v>0</v>
      </c>
      <c r="CV214" s="276">
        <f>SUMIF('20Ф'!$H:$H,$B:$B,'20Ф'!AE:AE)*1.2</f>
        <v>0</v>
      </c>
      <c r="CW214" s="276">
        <f>SUMIF('20Ф'!$H:$H,$B:$B,'20Ф'!AF:AF)*1.2</f>
        <v>0</v>
      </c>
      <c r="CX214" s="276">
        <f>SUMIF('20Ф'!$H:$H,$B:$B,'20Ф'!AG:AG)*1.2</f>
        <v>0</v>
      </c>
      <c r="CY214" s="276">
        <f>SUMIF('20Ф'!$H:$H,$B:$B,'20Ф'!AH:AH)*1.2</f>
        <v>0</v>
      </c>
      <c r="CZ214" s="276">
        <f>SUMIF('20Ф'!$H:$H,$B:$B,'20Ф'!AI:AI)*1.2</f>
        <v>0</v>
      </c>
      <c r="DA214" s="276">
        <f>SUMIF('20Ф'!$H:$H,$B:$B,'20Ф'!AJ:AJ)*1.2</f>
        <v>0</v>
      </c>
      <c r="DB214" s="276">
        <f>SUMIF('20Ф'!$H:$H,$B:$B,'20Ф'!AK:AK)*1.2</f>
        <v>0</v>
      </c>
      <c r="DC214" s="276">
        <f>SUMIF('20Ф'!$H:$H,$B:$B,'20Ф'!AL:AL)*1.2</f>
        <v>0</v>
      </c>
      <c r="DD214" s="276">
        <f>SUMIF('20Ф'!$H:$H,$B:$B,'20Ф'!AM:AM)*1.2</f>
        <v>0</v>
      </c>
      <c r="DE214" s="276">
        <f>SUMIF('20Ф'!$H:$H,$B:$B,'20Ф'!AN:AN)*1.2</f>
        <v>0</v>
      </c>
      <c r="DF214" s="276">
        <f>SUMIF('20Ф'!$H:$H,$B:$B,'20Ф'!AO:AO)*1.2</f>
        <v>0</v>
      </c>
      <c r="DG214" s="276">
        <f>SUMIF('20Ф'!$H:$H,$B:$B,'20Ф'!AP:AP)*1.2</f>
        <v>0</v>
      </c>
      <c r="DH214" s="276">
        <f>SUMIF('20Ф'!$H:$H,$B:$B,'20Ф'!AQ:AQ)*1.2</f>
        <v>0</v>
      </c>
      <c r="DI214" s="276">
        <f>SUMIF('20Ф'!$H:$H,$B:$B,'20Ф'!BA:BA)*1.2</f>
        <v>0</v>
      </c>
      <c r="DJ214" s="276">
        <f>SUMIF('20Ф'!$H:$H,$B:$B,'20Ф'!BB:BB)*1.2</f>
        <v>0</v>
      </c>
      <c r="DK214" s="276">
        <f>SUMIF('20Ф'!$H:$H,$B:$B,'20Ф'!BC:BC)*1.2</f>
        <v>0</v>
      </c>
      <c r="DL214" s="276">
        <f>$D214/$D$281*'20Ф'!$H$218</f>
        <v>73627.946934226013</v>
      </c>
      <c r="DM214" s="240">
        <f t="shared" si="39"/>
        <v>795484.48097037675</v>
      </c>
      <c r="DN214" s="276">
        <f>SUMIF('20Ф'!$H:$H,$B:$B,'20Ф'!AV:AV)*1.2</f>
        <v>0</v>
      </c>
      <c r="DO214" s="276">
        <f>SUMIF('20Ф'!$H:$H,$B:$B,'20Ф'!AW:AW)*1.2+$D214/$D$281*'26Ф'!$D$42</f>
        <v>39180.982071960127</v>
      </c>
      <c r="DP214" s="276">
        <f>SUMIF('20Ф'!$H:$H,$B:$B,'20Ф'!AX:AX)*1.2</f>
        <v>0</v>
      </c>
      <c r="DQ214" s="276">
        <f>SUMIF('20Ф'!$H:$H,$B:$B,'20Ф'!AY:AY)*1.2</f>
        <v>0</v>
      </c>
      <c r="DR214" s="276">
        <f>SUMIF('20Ф'!$H:$H,$B:$B,'20Ф'!AU:AU)*1.2</f>
        <v>0</v>
      </c>
      <c r="DS214" s="276">
        <f>SUMIF('20Ф'!$H:$H,$B:$B,'20Ф'!AS:AS)*1.2</f>
        <v>65157.287999999993</v>
      </c>
      <c r="DT214" s="276">
        <f>SUMIF('20Ф'!$H:$H,$B:$B,'20Ф'!AR:AR)*1.2</f>
        <v>0</v>
      </c>
      <c r="DU214" s="276">
        <f>SUMIF('20Ф'!$H:$H,$B:$B,'20Ф'!X:X)*1.2</f>
        <v>0</v>
      </c>
      <c r="DV214" s="276">
        <f>SUMIF('20Ф'!$H:$H,$B:$B,'20Ф'!AA:AA)*1.2</f>
        <v>0</v>
      </c>
      <c r="DW214" s="276">
        <f>SUMIF('20Ф'!$H:$H,$B:$B,'20Ф'!N:N)*1.2</f>
        <v>0</v>
      </c>
      <c r="DX214" s="276">
        <f>$D214/$D$281*('25Ф'!$D$37)</f>
        <v>658583.29230293573</v>
      </c>
      <c r="DY214" s="276">
        <f>$D214/$D$281*'25Ф'!$D$30</f>
        <v>21019.911279446012</v>
      </c>
      <c r="DZ214" s="276">
        <f>$D214/$D$281*'25Ф'!$D$31</f>
        <v>11543.007316034831</v>
      </c>
      <c r="EA214" s="276"/>
      <c r="EB214" s="276">
        <f t="shared" si="40"/>
        <v>414917.81065430498</v>
      </c>
      <c r="EC214" s="276">
        <f>$D214/$D$281*'26Ф'!$D$36</f>
        <v>215978.0827746357</v>
      </c>
      <c r="ED214" s="276">
        <f>$D214/$D$281*'26Ф'!$D$37</f>
        <v>25949.535976283267</v>
      </c>
      <c r="EE214" s="276">
        <f>$D214/$D$281*'26Ф'!$D$38</f>
        <v>26215.67400241892</v>
      </c>
      <c r="EF214" s="276">
        <f>$D214/$D$281*'26Ф'!$D$39</f>
        <v>18390.271386270135</v>
      </c>
      <c r="EG214" s="276">
        <f>$D214/$D$281*'91Ф'!$D$10</f>
        <v>5673.3910742530043</v>
      </c>
      <c r="EH214" s="276">
        <f>$D214/$D$281*('20Ф'!$I$509+'26Ф'!$D$41+'20Ф'!$I$507)</f>
        <v>40137.373691088826</v>
      </c>
      <c r="EI214" s="276">
        <f>$D214/$D$281*'91Ф'!$D$31</f>
        <v>73577.701341202977</v>
      </c>
      <c r="EJ214" s="276">
        <f>$D214/$D$281*'20Ф'!$I$1316</f>
        <v>8995.7804081522045</v>
      </c>
      <c r="EK214" s="276">
        <f>$D214/$D$281*('20Ф'!$I$1105+'20Ф'!$I$1282+'91Ф'!$D$17+'91Ф'!$D$41)</f>
        <v>295431.45080400311</v>
      </c>
      <c r="EL214" s="276">
        <f>$D214/$D$281*отчёт!BX$294</f>
        <v>493871.2861838885</v>
      </c>
      <c r="EM214" s="276">
        <f>$D214/$D$281*отчёт!BY$294</f>
        <v>434333.28615616675</v>
      </c>
      <c r="EN214" s="276">
        <f>$D214/$D$283*отчёт!BZ$294</f>
        <v>77949.247863178156</v>
      </c>
      <c r="EO214" s="240">
        <f>SUBTOTAL(9,EP214:ER214)</f>
        <v>369939.57100199594</v>
      </c>
      <c r="EP214" s="276">
        <f>SUMIF('20Ф'!$H:$H,$B:$B,'20Ф'!T:T)*1.2</f>
        <v>14212.751999999999</v>
      </c>
      <c r="EQ214" s="276">
        <f>SUM(H214:I214)/SUM($H$284:$I$284)*SUM('60Ф'!$O$155:$P$155)</f>
        <v>345020.52351297403</v>
      </c>
      <c r="ER214" s="276">
        <f>SUM($H214:$I214)/SUM($H$284:$I$284)*SUM('60Ф'!$P$227)</f>
        <v>10706.295489021955</v>
      </c>
      <c r="ES214" s="239">
        <f t="shared" si="43"/>
        <v>165298.9075846374</v>
      </c>
      <c r="ET214" s="276">
        <f>$D214/$D$282*'20Ф'!$I$381</f>
        <v>12633.95388335116</v>
      </c>
      <c r="EU214" s="276">
        <f>$D214/$D$282*('20Ф'!$I$75+'20Ф'!$I$1098)*1.2</f>
        <v>145927.77591109776</v>
      </c>
      <c r="EV214" s="276">
        <f>$D214/$D$282*('20Ф'!$I$1286)</f>
        <v>6737.1777901884961</v>
      </c>
      <c r="EW214" s="276">
        <f>SUMIF('91.1Ф'!$N:$N,$B:$B,'91.1Ф'!$F:$F)+$D214/$D$281*('91Ф'!$D$12+'91Ф'!$D$11+'91Ф'!$D$19+'91Ф'!$D$20)</f>
        <v>38936.421204347935</v>
      </c>
      <c r="EX214" s="276">
        <f t="shared" si="41"/>
        <v>0</v>
      </c>
      <c r="EY214" s="276">
        <f>SUMIF('20Ф'!$H:$H,$B:$B,'20Ф'!$AY:$AY)*1.2</f>
        <v>0</v>
      </c>
      <c r="EZ214" s="236"/>
      <c r="FA214" s="277">
        <f>SUMIF(отчёт!$B:$B,$B:$B,отчёт!$CU:$CU)/отчёт!$CU$281*'20Ф'!$I$1341</f>
        <v>0</v>
      </c>
      <c r="FB214" s="276">
        <f>SUMIF(Сальдо!$A:$A,$B:$B,Сальдо!$H:$H)-SUMIF(Сальдо!$A:$A,$B:$B,Сальдо!$I:$I)</f>
        <v>1351874.5600000001</v>
      </c>
    </row>
    <row r="215" spans="1:158" ht="12" customHeight="1" x14ac:dyDescent="0.25">
      <c r="A215" s="3">
        <f t="shared" si="44"/>
        <v>211</v>
      </c>
      <c r="B215" s="4" t="s">
        <v>260</v>
      </c>
      <c r="C215" s="4" t="s">
        <v>260</v>
      </c>
      <c r="D215" s="5">
        <v>635.79999999999995</v>
      </c>
      <c r="E215" s="6">
        <v>635.79999999999995</v>
      </c>
      <c r="F215" s="6">
        <v>0</v>
      </c>
      <c r="G215" s="6">
        <v>74.2</v>
      </c>
      <c r="H215" s="5">
        <f>SUMIF(отчёт!$B:$B,$B:$B,отчёт!I:I)</f>
        <v>0</v>
      </c>
      <c r="I215" s="5">
        <f>SUMIF(отчёт!$B:$B,$B:$B,отчёт!J:J)</f>
        <v>0</v>
      </c>
      <c r="J215" s="3" t="s">
        <v>74</v>
      </c>
      <c r="K215" s="105">
        <v>7</v>
      </c>
      <c r="L215" s="105" t="s">
        <v>75</v>
      </c>
      <c r="M215" s="12">
        <v>25.29</v>
      </c>
      <c r="N215" s="8">
        <v>4.32</v>
      </c>
      <c r="O215" s="8">
        <v>5.61</v>
      </c>
      <c r="P215" s="8">
        <v>7.16</v>
      </c>
      <c r="Q215" s="8">
        <v>5.31</v>
      </c>
      <c r="R215" s="8">
        <v>2.67</v>
      </c>
      <c r="S215" s="8">
        <v>0</v>
      </c>
      <c r="T215" s="8">
        <v>0</v>
      </c>
      <c r="U215" s="8">
        <v>0.22</v>
      </c>
      <c r="V215" s="9">
        <v>40</v>
      </c>
      <c r="W215" s="9">
        <v>40</v>
      </c>
      <c r="X215" s="9">
        <v>2604.04</v>
      </c>
      <c r="Y215" s="8">
        <v>195.98199600000001</v>
      </c>
      <c r="Z215" s="9">
        <v>42.3</v>
      </c>
      <c r="AA215" s="9">
        <v>2604.04</v>
      </c>
      <c r="AB215" s="8">
        <v>7.85</v>
      </c>
      <c r="AC215" s="10">
        <v>0</v>
      </c>
      <c r="AD215" s="8">
        <v>6.73</v>
      </c>
      <c r="AE215" s="8">
        <v>10.67</v>
      </c>
      <c r="AF215" s="8">
        <v>14</v>
      </c>
      <c r="AG215" s="7">
        <v>96476.291999999987</v>
      </c>
      <c r="AH215" s="8">
        <v>16479.936000000002</v>
      </c>
      <c r="AI215" s="8">
        <v>21401.027999999998</v>
      </c>
      <c r="AJ215" s="8">
        <v>27313.967999999997</v>
      </c>
      <c r="AK215" s="8">
        <v>20256.587999999996</v>
      </c>
      <c r="AL215" s="8">
        <v>10185.516</v>
      </c>
      <c r="AM215" s="8">
        <v>0</v>
      </c>
      <c r="AN215" s="8">
        <v>0</v>
      </c>
      <c r="AO215" s="8">
        <v>839.25600000000009</v>
      </c>
      <c r="AQ215" s="104">
        <v>33.17</v>
      </c>
      <c r="AR215" s="375">
        <v>13.89</v>
      </c>
      <c r="AS215" s="376"/>
      <c r="AT215" s="104">
        <v>5.9</v>
      </c>
      <c r="AU215" s="104">
        <v>1.53</v>
      </c>
      <c r="AV215" s="104">
        <v>0.32</v>
      </c>
      <c r="AW215" s="104">
        <v>0.6</v>
      </c>
      <c r="AX215" s="104">
        <v>5.01</v>
      </c>
      <c r="AY215" s="104">
        <v>4.99</v>
      </c>
      <c r="AZ215" s="104">
        <v>0</v>
      </c>
      <c r="BA215" s="104">
        <v>0</v>
      </c>
      <c r="BB215" s="104">
        <v>0</v>
      </c>
      <c r="BC215" s="101">
        <v>0.93</v>
      </c>
      <c r="BD215" s="104">
        <v>37.581610000000005</v>
      </c>
      <c r="BE215" s="375">
        <v>15.737370000000004</v>
      </c>
      <c r="BF215" s="376">
        <v>0</v>
      </c>
      <c r="BG215" s="104">
        <v>6.6847000000000012</v>
      </c>
      <c r="BH215" s="104">
        <v>1.7334900000000002</v>
      </c>
      <c r="BI215" s="104">
        <v>0.36256000000000005</v>
      </c>
      <c r="BJ215" s="104">
        <v>0.67980000000000007</v>
      </c>
      <c r="BK215" s="104">
        <v>5.6763300000000001</v>
      </c>
      <c r="BL215" s="104">
        <v>5.65367</v>
      </c>
      <c r="BM215" s="104">
        <v>0</v>
      </c>
      <c r="BN215" s="104">
        <v>0</v>
      </c>
      <c r="BO215" s="104">
        <v>0</v>
      </c>
      <c r="BP215" s="101">
        <v>1.0536900000000002</v>
      </c>
      <c r="BQ215" s="103">
        <v>281122.84837999998</v>
      </c>
      <c r="BR215" s="371">
        <v>117720.72246000002</v>
      </c>
      <c r="BS215" s="371">
        <v>0</v>
      </c>
      <c r="BT215" s="103">
        <v>50003.762600000002</v>
      </c>
      <c r="BU215" s="103">
        <v>12967.07742</v>
      </c>
      <c r="BV215" s="103">
        <v>2712.0684799999999</v>
      </c>
      <c r="BW215" s="103">
        <v>5085.1284000000005</v>
      </c>
      <c r="BX215" s="103">
        <v>42460.822139999997</v>
      </c>
      <c r="BY215" s="103">
        <v>42291.317859999996</v>
      </c>
      <c r="BZ215" s="103">
        <v>0</v>
      </c>
      <c r="CA215" s="103">
        <v>0</v>
      </c>
      <c r="CB215" s="103">
        <v>0</v>
      </c>
      <c r="CC215" s="103">
        <v>7881.9490200000009</v>
      </c>
      <c r="CD215" s="1">
        <v>1</v>
      </c>
      <c r="CF215" s="277">
        <f>SUMIF(Оборот!$A:$A,$B:$B,Оборот!H:H)</f>
        <v>212993.04</v>
      </c>
      <c r="CG215" s="277">
        <f>SUMIF(Оборот!$A:$A,$B:$B,Оборот!I:I)</f>
        <v>176132.32</v>
      </c>
      <c r="CH215" s="277">
        <f t="shared" si="38"/>
        <v>267382.67250472849</v>
      </c>
      <c r="CI215" s="239">
        <f t="shared" si="42"/>
        <v>46539.193903034895</v>
      </c>
      <c r="CJ215" s="276">
        <f>SUMIF('20Ф'!$H:$H,$B:$B,'20Ф'!M:M)*1.2</f>
        <v>0</v>
      </c>
      <c r="CK215" s="276">
        <f>SUMIF('20Ф'!$H:$H,$B:$B,'20Ф'!O:O)*1.2</f>
        <v>0</v>
      </c>
      <c r="CL215" s="276">
        <f>SUMIF('20Ф'!$H:$H,$B:$B,'20Ф'!Q:Q)*1.2</f>
        <v>0</v>
      </c>
      <c r="CM215" s="276">
        <f>SUMIF('20Ф'!$H:$H,$B:$B,'20Ф'!R:R)*1.2</f>
        <v>0</v>
      </c>
      <c r="CN215" s="276">
        <f>SUMIF('20Ф'!$H:$H,$B:$B,'20Ф'!S:S)*1.2</f>
        <v>0</v>
      </c>
      <c r="CO215" s="276">
        <f>SUMIF('20Ф'!$H:$H,$B:$B,'20Ф'!W:W)*1.2</f>
        <v>0</v>
      </c>
      <c r="CP215" s="276">
        <f>SUMIF('20Ф'!$H:$H,$B:$B,'20Ф'!P:P)*1.2</f>
        <v>0</v>
      </c>
      <c r="CQ215" s="276">
        <f>SUMIF('20Ф'!$H:$H,$B:$B,'20Ф'!Y:Y)*1.2</f>
        <v>0</v>
      </c>
      <c r="CR215" s="276">
        <f>SUMIF('20Ф'!$H:$H,$B:$B,'20Ф'!Z:Z)*1.2</f>
        <v>0</v>
      </c>
      <c r="CS215" s="276">
        <f>SUMIF('20Ф'!$H:$H,$B:$B,'20Ф'!AB:AB)*1.2</f>
        <v>0</v>
      </c>
      <c r="CT215" s="276">
        <f>SUMIF('20Ф'!$H:$H,$B:$B,'20Ф'!AC:AC)*1.2</f>
        <v>0</v>
      </c>
      <c r="CU215" s="276">
        <f>SUMIF('20Ф'!$H:$H,$B:$B,'20Ф'!AD:AD)*1.2</f>
        <v>40947.119999999995</v>
      </c>
      <c r="CV215" s="276">
        <f>SUMIF('20Ф'!$H:$H,$B:$B,'20Ф'!AE:AE)*1.2</f>
        <v>0</v>
      </c>
      <c r="CW215" s="276">
        <f>SUMIF('20Ф'!$H:$H,$B:$B,'20Ф'!AF:AF)*1.2</f>
        <v>0</v>
      </c>
      <c r="CX215" s="276">
        <f>SUMIF('20Ф'!$H:$H,$B:$B,'20Ф'!AG:AG)*1.2</f>
        <v>0</v>
      </c>
      <c r="CY215" s="276">
        <f>SUMIF('20Ф'!$H:$H,$B:$B,'20Ф'!AH:AH)*1.2</f>
        <v>0</v>
      </c>
      <c r="CZ215" s="276">
        <f>SUMIF('20Ф'!$H:$H,$B:$B,'20Ф'!AI:AI)*1.2</f>
        <v>0</v>
      </c>
      <c r="DA215" s="276">
        <f>SUMIF('20Ф'!$H:$H,$B:$B,'20Ф'!AJ:AJ)*1.2</f>
        <v>0</v>
      </c>
      <c r="DB215" s="276">
        <f>SUMIF('20Ф'!$H:$H,$B:$B,'20Ф'!AK:AK)*1.2</f>
        <v>0</v>
      </c>
      <c r="DC215" s="276">
        <f>SUMIF('20Ф'!$H:$H,$B:$B,'20Ф'!AL:AL)*1.2</f>
        <v>0</v>
      </c>
      <c r="DD215" s="276">
        <f>SUMIF('20Ф'!$H:$H,$B:$B,'20Ф'!AM:AM)*1.2</f>
        <v>0</v>
      </c>
      <c r="DE215" s="276">
        <f>SUMIF('20Ф'!$H:$H,$B:$B,'20Ф'!AN:AN)*1.2</f>
        <v>0</v>
      </c>
      <c r="DF215" s="276">
        <f>SUMIF('20Ф'!$H:$H,$B:$B,'20Ф'!AO:AO)*1.2</f>
        <v>0</v>
      </c>
      <c r="DG215" s="276">
        <f>SUMIF('20Ф'!$H:$H,$B:$B,'20Ф'!AP:AP)*1.2</f>
        <v>0</v>
      </c>
      <c r="DH215" s="276">
        <f>SUMIF('20Ф'!$H:$H,$B:$B,'20Ф'!AQ:AQ)*1.2</f>
        <v>0</v>
      </c>
      <c r="DI215" s="276">
        <f>SUMIF('20Ф'!$H:$H,$B:$B,'20Ф'!BA:BA)*1.2</f>
        <v>0</v>
      </c>
      <c r="DJ215" s="276">
        <f>SUMIF('20Ф'!$H:$H,$B:$B,'20Ф'!BB:BB)*1.2</f>
        <v>0</v>
      </c>
      <c r="DK215" s="276">
        <f>SUMIF('20Ф'!$H:$H,$B:$B,'20Ф'!BC:BC)*1.2</f>
        <v>0</v>
      </c>
      <c r="DL215" s="276">
        <f>$D215/$D$281*'20Ф'!$H$218</f>
        <v>5592.0739030348977</v>
      </c>
      <c r="DM215" s="240">
        <f t="shared" si="39"/>
        <v>80434.361106831755</v>
      </c>
      <c r="DN215" s="276">
        <f>SUMIF('20Ф'!$H:$H,$B:$B,'20Ф'!AV:AV)*1.2</f>
        <v>0</v>
      </c>
      <c r="DO215" s="276">
        <f>SUMIF('20Ф'!$H:$H,$B:$B,'20Ф'!AW:AW)*1.2+$D215/$D$281*'26Ф'!$D$42</f>
        <v>2975.8122623684922</v>
      </c>
      <c r="DP215" s="276">
        <f>SUMIF('20Ф'!$H:$H,$B:$B,'20Ф'!AX:AX)*1.2</f>
        <v>0</v>
      </c>
      <c r="DQ215" s="276">
        <f>SUMIF('20Ф'!$H:$H,$B:$B,'20Ф'!AY:AY)*1.2</f>
        <v>0</v>
      </c>
      <c r="DR215" s="276">
        <f>SUMIF('20Ф'!$H:$H,$B:$B,'20Ф'!AU:AU)*1.2</f>
        <v>0</v>
      </c>
      <c r="DS215" s="276">
        <f>SUMIF('20Ф'!$H:$H,$B:$B,'20Ф'!AS:AS)*1.2</f>
        <v>0</v>
      </c>
      <c r="DT215" s="276">
        <f>SUMIF('20Ф'!$H:$H,$B:$B,'20Ф'!AR:AR)*1.2</f>
        <v>16585.007999999998</v>
      </c>
      <c r="DU215" s="276">
        <f>SUMIF('20Ф'!$H:$H,$B:$B,'20Ф'!X:X)*1.2</f>
        <v>8380.6919999999991</v>
      </c>
      <c r="DV215" s="276">
        <f>SUMIF('20Ф'!$H:$H,$B:$B,'20Ф'!AA:AA)*1.2</f>
        <v>0</v>
      </c>
      <c r="DW215" s="276">
        <f>SUMIF('20Ф'!$H:$H,$B:$B,'20Ф'!N:N)*1.2</f>
        <v>0</v>
      </c>
      <c r="DX215" s="276">
        <f>$D215/$D$281*('25Ф'!$D$37)</f>
        <v>50019.681319540854</v>
      </c>
      <c r="DY215" s="276">
        <f>$D215/$D$281*'25Ф'!$D$30</f>
        <v>1596.4712069848317</v>
      </c>
      <c r="DZ215" s="276">
        <f>$D215/$D$281*'25Ф'!$D$31</f>
        <v>876.69631793757731</v>
      </c>
      <c r="EA215" s="276"/>
      <c r="EB215" s="276">
        <f t="shared" si="40"/>
        <v>31513.184293147035</v>
      </c>
      <c r="EC215" s="276">
        <f>$D215/$D$281*'26Ф'!$D$36</f>
        <v>16403.62729916241</v>
      </c>
      <c r="ED215" s="276">
        <f>$D215/$D$281*'26Ф'!$D$37</f>
        <v>1970.8783005788737</v>
      </c>
      <c r="EE215" s="276">
        <f>$D215/$D$281*'26Ф'!$D$38</f>
        <v>1991.0915969225557</v>
      </c>
      <c r="EF215" s="276">
        <f>$D215/$D$281*'26Ф'!$D$39</f>
        <v>1396.7489380188799</v>
      </c>
      <c r="EG215" s="276">
        <f>$D215/$D$281*'91Ф'!$D$10</f>
        <v>430.89646647872888</v>
      </c>
      <c r="EH215" s="276">
        <f>$D215/$D$281*('20Ф'!$I$509+'26Ф'!$D$41+'20Ф'!$I$507)</f>
        <v>3048.4506128468593</v>
      </c>
      <c r="EI215" s="276">
        <f>$D215/$D$281*'91Ф'!$D$31</f>
        <v>5588.2577288620987</v>
      </c>
      <c r="EJ215" s="276">
        <f>$D215/$D$281*'20Ф'!$I$1316</f>
        <v>683.23335027662176</v>
      </c>
      <c r="EK215" s="276">
        <f>$D215/$D$281*('20Ф'!$I$1105+'20Ф'!$I$1282+'91Ф'!$D$17+'91Ф'!$D$41)</f>
        <v>22438.144413460966</v>
      </c>
      <c r="EL215" s="276">
        <f>$D215/$D$281*отчёт!BX$294</f>
        <v>37509.734359350899</v>
      </c>
      <c r="EM215" s="276">
        <f>$D215/$D$281*отчёт!BY$294</f>
        <v>32987.797920034733</v>
      </c>
      <c r="EN215" s="276">
        <f>SUMIF(отчёт!$B:$B,$B:$B,отчёт!BZ:BZ)/отчёт!BZ$281*('60Ф'!$O$151+'60Ф'!$P$151)*отчёт!BZ$293</f>
        <v>0</v>
      </c>
      <c r="EO215" s="240">
        <f t="shared" si="45"/>
        <v>0</v>
      </c>
      <c r="EP215" s="276">
        <f>SUMIF('20Ф'!$H:$H,$B:$B,'20Ф'!T:T)*1.2</f>
        <v>0</v>
      </c>
      <c r="EQ215" s="276">
        <f>SUMIF('20Ф'!$H:$H,$B:$B,'20Ф'!U:U)*1.2</f>
        <v>0</v>
      </c>
      <c r="ER215" s="236"/>
      <c r="ES215" s="239">
        <f t="shared" si="43"/>
        <v>12554.522376265484</v>
      </c>
      <c r="ET215" s="276">
        <f>$D215/$D$282*'20Ф'!$I$381</f>
        <v>959.55417399249404</v>
      </c>
      <c r="EU215" s="276">
        <f>$D215/$D$282*('20Ф'!$I$75+'20Ф'!$I$1098)*1.2</f>
        <v>11083.276682009966</v>
      </c>
      <c r="EV215" s="276">
        <f>$D215/$D$282*('20Ф'!$I$1286)</f>
        <v>511.69152026302464</v>
      </c>
      <c r="EW215" s="276">
        <f>SUMIF('91.1Ф'!$N:$N,$B:$B,'91.1Ф'!$F:$F)+$D215/$D$281*('91Ф'!$D$12+'91Ф'!$D$11+'91Ф'!$D$19+'91Ф'!$D$20)</f>
        <v>2957.2377603971227</v>
      </c>
      <c r="EX215" s="276">
        <f t="shared" si="41"/>
        <v>448.49637220557753</v>
      </c>
      <c r="EY215" s="276">
        <f>SUMIF('20Ф'!$H:$H,$B:$B,'20Ф'!$AY:$AY)*1.2</f>
        <v>0</v>
      </c>
      <c r="EZ215" s="295">
        <f>D215/$D$286*'20Ф'!$I$1163</f>
        <v>448.49637220557753</v>
      </c>
      <c r="FA215" s="277">
        <f>SUMIF(отчёт!$B:$B,$B:$B,отчёт!$CU:$CU)/отчёт!$CU$281*'20Ф'!$I$1341</f>
        <v>0</v>
      </c>
      <c r="FB215" s="276">
        <f>SUMIF(Сальдо!$A:$A,$B:$B,Сальдо!$H:$H)-SUMIF(Сальдо!$A:$A,$B:$B,Сальдо!$I:$I)</f>
        <v>140297.96</v>
      </c>
    </row>
    <row r="216" spans="1:158" ht="12" customHeight="1" x14ac:dyDescent="0.25">
      <c r="A216" s="3">
        <f t="shared" si="44"/>
        <v>212</v>
      </c>
      <c r="B216" s="4" t="s">
        <v>261</v>
      </c>
      <c r="C216" s="4" t="s">
        <v>261</v>
      </c>
      <c r="D216" s="5">
        <v>2472.5</v>
      </c>
      <c r="E216" s="6">
        <v>2472.5</v>
      </c>
      <c r="F216" s="6">
        <v>0</v>
      </c>
      <c r="G216" s="6">
        <v>220.8</v>
      </c>
      <c r="H216" s="5">
        <f>SUMIF(отчёт!$B:$B,$B:$B,отчёт!I:I)</f>
        <v>0</v>
      </c>
      <c r="I216" s="5">
        <f>SUMIF(отчёт!$B:$B,$B:$B,отчёт!J:J)</f>
        <v>0</v>
      </c>
      <c r="J216" s="3" t="s">
        <v>74</v>
      </c>
      <c r="K216" s="105">
        <v>7</v>
      </c>
      <c r="L216" s="105" t="s">
        <v>75</v>
      </c>
      <c r="M216" s="12">
        <v>25.29</v>
      </c>
      <c r="N216" s="8">
        <v>4.32</v>
      </c>
      <c r="O216" s="8">
        <v>5.61</v>
      </c>
      <c r="P216" s="8">
        <v>7.16</v>
      </c>
      <c r="Q216" s="8">
        <v>5.31</v>
      </c>
      <c r="R216" s="8">
        <v>2.67</v>
      </c>
      <c r="S216" s="8">
        <v>0</v>
      </c>
      <c r="T216" s="8">
        <v>0</v>
      </c>
      <c r="U216" s="8">
        <v>0.22</v>
      </c>
      <c r="V216" s="9">
        <v>40</v>
      </c>
      <c r="W216" s="9">
        <v>40</v>
      </c>
      <c r="X216" s="9">
        <v>2604.04</v>
      </c>
      <c r="Y216" s="8">
        <v>195.98199600000001</v>
      </c>
      <c r="Z216" s="9">
        <v>42.3</v>
      </c>
      <c r="AA216" s="9">
        <v>2604.04</v>
      </c>
      <c r="AB216" s="8">
        <v>7.85</v>
      </c>
      <c r="AC216" s="10">
        <v>0</v>
      </c>
      <c r="AD216" s="8">
        <v>6.73</v>
      </c>
      <c r="AE216" s="8">
        <v>10.67</v>
      </c>
      <c r="AF216" s="8">
        <v>14</v>
      </c>
      <c r="AG216" s="7">
        <v>375177.15</v>
      </c>
      <c r="AH216" s="8">
        <v>64087.200000000004</v>
      </c>
      <c r="AI216" s="8">
        <v>83224.350000000006</v>
      </c>
      <c r="AJ216" s="8">
        <v>106218.59999999999</v>
      </c>
      <c r="AK216" s="8">
        <v>78773.849999999991</v>
      </c>
      <c r="AL216" s="8">
        <v>39609.449999999997</v>
      </c>
      <c r="AM216" s="8">
        <v>0</v>
      </c>
      <c r="AN216" s="8">
        <v>0</v>
      </c>
      <c r="AO216" s="8">
        <v>3263.7000000000003</v>
      </c>
      <c r="AP216" s="1" t="s">
        <v>75</v>
      </c>
      <c r="AQ216" s="104">
        <v>27.19</v>
      </c>
      <c r="AR216" s="104">
        <v>4.6445551601423487</v>
      </c>
      <c r="AS216" s="104">
        <v>6.0314709371293009</v>
      </c>
      <c r="AT216" s="104">
        <v>7.6979201265322263</v>
      </c>
      <c r="AU216" s="104"/>
      <c r="AV216" s="104"/>
      <c r="AW216" s="104"/>
      <c r="AX216" s="104">
        <v>5.7089323843416366</v>
      </c>
      <c r="AY216" s="104">
        <v>2.8705931198102022</v>
      </c>
      <c r="AZ216" s="104">
        <v>0</v>
      </c>
      <c r="BA216" s="104">
        <v>0</v>
      </c>
      <c r="BB216" s="104"/>
      <c r="BC216" s="101">
        <v>0.23652827204428631</v>
      </c>
      <c r="BD216" s="104">
        <v>27.19</v>
      </c>
      <c r="BE216" s="104">
        <v>4.6445551601423487</v>
      </c>
      <c r="BF216" s="104">
        <v>6.0314709371293009</v>
      </c>
      <c r="BG216" s="104">
        <v>7.6979201265322263</v>
      </c>
      <c r="BH216" s="104">
        <v>0</v>
      </c>
      <c r="BI216" s="104">
        <v>0</v>
      </c>
      <c r="BJ216" s="104">
        <v>0</v>
      </c>
      <c r="BK216" s="104">
        <v>5.7089323843416357</v>
      </c>
      <c r="BL216" s="104">
        <v>2.8705931198102022</v>
      </c>
      <c r="BM216" s="104">
        <v>0</v>
      </c>
      <c r="BN216" s="104">
        <v>0</v>
      </c>
      <c r="BO216" s="104">
        <v>0</v>
      </c>
      <c r="BP216" s="101">
        <v>0.23652827204428631</v>
      </c>
      <c r="BQ216" s="103">
        <v>806727.3</v>
      </c>
      <c r="BR216" s="103">
        <v>137803.9516014235</v>
      </c>
      <c r="BS216" s="103">
        <v>178953.74270462635</v>
      </c>
      <c r="BT216" s="103">
        <v>228397.29015421114</v>
      </c>
      <c r="BU216" s="103">
        <v>0</v>
      </c>
      <c r="BV216" s="103">
        <v>0</v>
      </c>
      <c r="BW216" s="103">
        <v>0</v>
      </c>
      <c r="BX216" s="103">
        <v>169384.02384341636</v>
      </c>
      <c r="BY216" s="103">
        <v>85170.497864768695</v>
      </c>
      <c r="BZ216" s="103">
        <v>0</v>
      </c>
      <c r="CA216" s="103">
        <v>0</v>
      </c>
      <c r="CB216" s="103">
        <v>0</v>
      </c>
      <c r="CC216" s="103">
        <v>7017.793831553975</v>
      </c>
      <c r="CD216" s="13">
        <v>2</v>
      </c>
      <c r="CF216" s="277">
        <f>SUMIF(Оборот!$A:$A,$B:$B,Оборот!H:H)</f>
        <v>756822.16</v>
      </c>
      <c r="CG216" s="277">
        <f>SUMIF(Оборот!$A:$A,$B:$B,Оборот!I:I)</f>
        <v>721867.19000000006</v>
      </c>
      <c r="CH216" s="277">
        <f t="shared" si="38"/>
        <v>928629.29862148676</v>
      </c>
      <c r="CI216" s="239">
        <f t="shared" si="42"/>
        <v>94170.617437643581</v>
      </c>
      <c r="CJ216" s="276">
        <f>SUMIF('20Ф'!$H:$H,$B:$B,'20Ф'!M:M)*1.2</f>
        <v>0</v>
      </c>
      <c r="CK216" s="276">
        <f>SUMIF('20Ф'!$H:$H,$B:$B,'20Ф'!O:O)*1.2</f>
        <v>0</v>
      </c>
      <c r="CL216" s="276">
        <f>SUMIF('20Ф'!$H:$H,$B:$B,'20Ф'!Q:Q)*1.2</f>
        <v>0</v>
      </c>
      <c r="CM216" s="276">
        <f>SUMIF('20Ф'!$H:$H,$B:$B,'20Ф'!R:R)*1.2</f>
        <v>0</v>
      </c>
      <c r="CN216" s="276">
        <f>SUMIF('20Ф'!$H:$H,$B:$B,'20Ф'!S:S)*1.2</f>
        <v>0</v>
      </c>
      <c r="CO216" s="276">
        <f>SUMIF('20Ф'!$H:$H,$B:$B,'20Ф'!W:W)*1.2</f>
        <v>0</v>
      </c>
      <c r="CP216" s="276">
        <f>SUMIF('20Ф'!$H:$H,$B:$B,'20Ф'!P:P)*1.2</f>
        <v>0</v>
      </c>
      <c r="CQ216" s="276">
        <f>SUMIF('20Ф'!$H:$H,$B:$B,'20Ф'!Y:Y)*1.2</f>
        <v>0</v>
      </c>
      <c r="CR216" s="276">
        <f>SUMIF('20Ф'!$H:$H,$B:$B,'20Ф'!Z:Z)*1.2</f>
        <v>0</v>
      </c>
      <c r="CS216" s="276">
        <f>SUMIF('20Ф'!$H:$H,$B:$B,'20Ф'!AB:AB)*1.2</f>
        <v>0</v>
      </c>
      <c r="CT216" s="276">
        <f>SUMIF('20Ф'!$H:$H,$B:$B,'20Ф'!AC:AC)*1.2</f>
        <v>0</v>
      </c>
      <c r="CU216" s="276">
        <f>SUMIF('20Ф'!$H:$H,$B:$B,'20Ф'!AD:AD)*1.2</f>
        <v>0</v>
      </c>
      <c r="CV216" s="276">
        <f>SUMIF('20Ф'!$H:$H,$B:$B,'20Ф'!AE:AE)*1.2</f>
        <v>0</v>
      </c>
      <c r="CW216" s="276">
        <f>SUMIF('20Ф'!$H:$H,$B:$B,'20Ф'!AF:AF)*1.2</f>
        <v>0</v>
      </c>
      <c r="CX216" s="276">
        <f>SUMIF('20Ф'!$H:$H,$B:$B,'20Ф'!AG:AG)*1.2</f>
        <v>0</v>
      </c>
      <c r="CY216" s="276">
        <f>SUMIF('20Ф'!$H:$H,$B:$B,'20Ф'!AH:AH)*1.2</f>
        <v>0</v>
      </c>
      <c r="CZ216" s="276">
        <f>SUMIF('20Ф'!$H:$H,$B:$B,'20Ф'!AI:AI)*1.2</f>
        <v>0</v>
      </c>
      <c r="DA216" s="276">
        <f>SUMIF('20Ф'!$H:$H,$B:$B,'20Ф'!AJ:AJ)*1.2</f>
        <v>72424.152000000002</v>
      </c>
      <c r="DB216" s="276">
        <f>SUMIF('20Ф'!$H:$H,$B:$B,'20Ф'!AK:AK)*1.2</f>
        <v>0</v>
      </c>
      <c r="DC216" s="276">
        <f>SUMIF('20Ф'!$H:$H,$B:$B,'20Ф'!AL:AL)*1.2</f>
        <v>0</v>
      </c>
      <c r="DD216" s="276">
        <f>SUMIF('20Ф'!$H:$H,$B:$B,'20Ф'!AM:AM)*1.2</f>
        <v>0</v>
      </c>
      <c r="DE216" s="276">
        <f>SUMIF('20Ф'!$H:$H,$B:$B,'20Ф'!AN:AN)*1.2</f>
        <v>0</v>
      </c>
      <c r="DF216" s="276">
        <f>SUMIF('20Ф'!$H:$H,$B:$B,'20Ф'!AO:AO)*1.2</f>
        <v>0</v>
      </c>
      <c r="DG216" s="276">
        <f>SUMIF('20Ф'!$H:$H,$B:$B,'20Ф'!AP:AP)*1.2</f>
        <v>0</v>
      </c>
      <c r="DH216" s="276">
        <f>SUMIF('20Ф'!$H:$H,$B:$B,'20Ф'!AQ:AQ)*1.2</f>
        <v>0</v>
      </c>
      <c r="DI216" s="276">
        <f>SUMIF('20Ф'!$H:$H,$B:$B,'20Ф'!BA:BA)*1.2</f>
        <v>0</v>
      </c>
      <c r="DJ216" s="276">
        <f>SUMIF('20Ф'!$H:$H,$B:$B,'20Ф'!BB:BB)*1.2</f>
        <v>0</v>
      </c>
      <c r="DK216" s="276">
        <f>SUMIF('20Ф'!$H:$H,$B:$B,'20Ф'!BC:BC)*1.2</f>
        <v>0</v>
      </c>
      <c r="DL216" s="276">
        <f>$D216/$D$281*'20Ф'!$H$218</f>
        <v>21746.465437643576</v>
      </c>
      <c r="DM216" s="240">
        <f t="shared" si="39"/>
        <v>288435.49306486559</v>
      </c>
      <c r="DN216" s="276">
        <f>SUMIF('20Ф'!$H:$H,$B:$B,'20Ф'!AV:AV)*1.2</f>
        <v>0</v>
      </c>
      <c r="DO216" s="276">
        <f>SUMIF('20Ф'!$H:$H,$B:$B,'20Ф'!AW:AW)*1.2+$D216/$D$281*'26Ф'!$D$42</f>
        <v>11572.343219103645</v>
      </c>
      <c r="DP216" s="276">
        <f>SUMIF('20Ф'!$H:$H,$B:$B,'20Ф'!AX:AX)*1.2</f>
        <v>0</v>
      </c>
      <c r="DQ216" s="276">
        <f>SUMIF('20Ф'!$H:$H,$B:$B,'20Ф'!AY:AY)*1.2</f>
        <v>0</v>
      </c>
      <c r="DR216" s="276">
        <f>SUMIF('20Ф'!$H:$H,$B:$B,'20Ф'!AU:AU)*1.2</f>
        <v>0</v>
      </c>
      <c r="DS216" s="276">
        <f>SUMIF('20Ф'!$H:$H,$B:$B,'20Ф'!AS:AS)*1.2</f>
        <v>0</v>
      </c>
      <c r="DT216" s="276">
        <f>SUMIF('20Ф'!$H:$H,$B:$B,'20Ф'!AR:AR)*1.2</f>
        <v>56756.951999999997</v>
      </c>
      <c r="DU216" s="276">
        <f>SUMIF('20Ф'!$H:$H,$B:$B,'20Ф'!X:X)*1.2</f>
        <v>15971.928</v>
      </c>
      <c r="DV216" s="276">
        <f>SUMIF('20Ф'!$H:$H,$B:$B,'20Ф'!AA:AA)*1.2</f>
        <v>0</v>
      </c>
      <c r="DW216" s="276">
        <f>SUMIF('20Ф'!$H:$H,$B:$B,'20Ф'!N:N)*1.2</f>
        <v>0</v>
      </c>
      <c r="DX216" s="276">
        <f>$D216/$D$281*('25Ф'!$D$37)</f>
        <v>194516.61224058631</v>
      </c>
      <c r="DY216" s="276">
        <f>$D216/$D$281*'25Ф'!$D$30</f>
        <v>6208.3596402485</v>
      </c>
      <c r="DZ216" s="276">
        <f>$D216/$D$281*'25Ф'!$D$31</f>
        <v>3409.2979649271156</v>
      </c>
      <c r="EA216" s="276"/>
      <c r="EB216" s="276">
        <f t="shared" si="40"/>
        <v>122548.51866122373</v>
      </c>
      <c r="EC216" s="276">
        <f>$D216/$D$281*'26Ф'!$D$36</f>
        <v>63790.450608963612</v>
      </c>
      <c r="ED216" s="276">
        <f>$D216/$D$281*'26Ф'!$D$37</f>
        <v>7664.3545111375679</v>
      </c>
      <c r="EE216" s="276">
        <f>$D216/$D$281*'26Ф'!$D$38</f>
        <v>7742.9600084791118</v>
      </c>
      <c r="EF216" s="276">
        <f>$D216/$D$281*'26Ф'!$D$39</f>
        <v>5431.6793791313012</v>
      </c>
      <c r="EG216" s="276">
        <f>$D216/$D$281*'91Ф'!$D$10</f>
        <v>1675.6708294568373</v>
      </c>
      <c r="EH216" s="276">
        <f>$D216/$D$281*('20Ф'!$I$509+'26Ф'!$D$41+'20Ф'!$I$507)</f>
        <v>11854.819346121201</v>
      </c>
      <c r="EI216" s="276">
        <f>$D216/$D$281*'91Ф'!$D$31</f>
        <v>21731.625093758321</v>
      </c>
      <c r="EJ216" s="276">
        <f>$D216/$D$281*'20Ф'!$I$1316</f>
        <v>2656.9588841757591</v>
      </c>
      <c r="EK216" s="276">
        <f>$D216/$D$281*('20Ф'!$I$1105+'20Ф'!$I$1282+'91Ф'!$D$17+'91Ф'!$D$41)</f>
        <v>87257.489874618186</v>
      </c>
      <c r="EL216" s="276">
        <f>$D216/$D$281*отчёт!BX$294</f>
        <v>145867.9116129209</v>
      </c>
      <c r="EM216" s="276">
        <f>$D216/$D$281*отчёт!BY$294</f>
        <v>128282.99835999667</v>
      </c>
      <c r="EN216" s="276">
        <f>SUMIF(отчёт!$B:$B,$B:$B,отчёт!BZ:BZ)/отчёт!BZ$281*('60Ф'!$O$151+'60Ф'!$P$151)*отчёт!BZ$293</f>
        <v>0</v>
      </c>
      <c r="EO216" s="240">
        <f t="shared" si="45"/>
        <v>0</v>
      </c>
      <c r="EP216" s="276">
        <f>SUMIF('20Ф'!$H:$H,$B:$B,'20Ф'!T:T)*1.2</f>
        <v>0</v>
      </c>
      <c r="EQ216" s="276">
        <f>SUMIF('20Ф'!$H:$H,$B:$B,'20Ф'!U:U)*1.2</f>
        <v>0</v>
      </c>
      <c r="ER216" s="236"/>
      <c r="ES216" s="239">
        <f t="shared" si="43"/>
        <v>48822.04557300474</v>
      </c>
      <c r="ET216" s="276">
        <f>$D216/$D$282*'20Ф'!$I$381</f>
        <v>3731.5157206612798</v>
      </c>
      <c r="EU216" s="276">
        <f>$D216/$D$282*('20Ф'!$I$75+'20Ф'!$I$1098)*1.2</f>
        <v>43100.663095737094</v>
      </c>
      <c r="EV216" s="276">
        <f>$D216/$D$282*('20Ф'!$I$1286)</f>
        <v>1989.8667566063677</v>
      </c>
      <c r="EW216" s="276">
        <f>SUMIF('91.1Ф'!$N:$N,$B:$B,'91.1Ф'!$F:$F)+$D216/$D$281*('91Ф'!$D$12+'91Ф'!$D$11+'91Ф'!$D$19+'91Ф'!$D$20)</f>
        <v>11500.11066779158</v>
      </c>
      <c r="EX216" s="276">
        <f t="shared" si="41"/>
        <v>1744.1133694216583</v>
      </c>
      <c r="EY216" s="276">
        <f>SUMIF('20Ф'!$H:$H,$B:$B,'20Ф'!$AY:$AY)*1.2</f>
        <v>0</v>
      </c>
      <c r="EZ216" s="295">
        <f>D216/$D$286*'20Ф'!$I$1163</f>
        <v>1744.1133694216583</v>
      </c>
      <c r="FA216" s="277">
        <f>SUMIF(отчёт!$B:$B,$B:$B,отчёт!$CU:$CU)/отчёт!$CU$281*'20Ф'!$I$1341</f>
        <v>0</v>
      </c>
      <c r="FB216" s="276">
        <f>SUMIF(Сальдо!$A:$A,$B:$B,Сальдо!$H:$H)-SUMIF(Сальдо!$A:$A,$B:$B,Сальдо!$I:$I)</f>
        <v>150171.70000000001</v>
      </c>
    </row>
    <row r="217" spans="1:158" ht="12" customHeight="1" x14ac:dyDescent="0.25">
      <c r="A217" s="3">
        <f t="shared" si="44"/>
        <v>213</v>
      </c>
      <c r="B217" s="4" t="s">
        <v>262</v>
      </c>
      <c r="C217" s="4" t="s">
        <v>262</v>
      </c>
      <c r="D217" s="5">
        <v>632.29999999999995</v>
      </c>
      <c r="E217" s="6">
        <v>632.29999999999995</v>
      </c>
      <c r="F217" s="6">
        <v>0</v>
      </c>
      <c r="G217" s="6">
        <v>41.3</v>
      </c>
      <c r="H217" s="5">
        <f>SUMIF(отчёт!$B:$B,$B:$B,отчёт!I:I)</f>
        <v>0</v>
      </c>
      <c r="I217" s="5">
        <f>SUMIF(отчёт!$B:$B,$B:$B,отчёт!J:J)</f>
        <v>0</v>
      </c>
      <c r="J217" s="3" t="s">
        <v>74</v>
      </c>
      <c r="K217" s="105">
        <v>7</v>
      </c>
      <c r="L217" s="105" t="s">
        <v>75</v>
      </c>
      <c r="M217" s="12">
        <v>25.29</v>
      </c>
      <c r="N217" s="8">
        <v>4.32</v>
      </c>
      <c r="O217" s="8">
        <v>5.61</v>
      </c>
      <c r="P217" s="8">
        <v>7.16</v>
      </c>
      <c r="Q217" s="8">
        <v>5.31</v>
      </c>
      <c r="R217" s="8">
        <v>2.67</v>
      </c>
      <c r="S217" s="8">
        <v>0</v>
      </c>
      <c r="T217" s="8">
        <v>0</v>
      </c>
      <c r="U217" s="8">
        <v>0.22</v>
      </c>
      <c r="V217" s="9">
        <v>40</v>
      </c>
      <c r="W217" s="9">
        <v>40</v>
      </c>
      <c r="X217" s="9">
        <v>2604.04</v>
      </c>
      <c r="Y217" s="8">
        <v>195.98199600000001</v>
      </c>
      <c r="Z217" s="9">
        <v>42.3</v>
      </c>
      <c r="AA217" s="9">
        <v>2604.04</v>
      </c>
      <c r="AB217" s="8">
        <v>7.85</v>
      </c>
      <c r="AC217" s="10">
        <v>0</v>
      </c>
      <c r="AD217" s="8">
        <v>6.73</v>
      </c>
      <c r="AE217" s="8">
        <v>10.67</v>
      </c>
      <c r="AF217" s="8">
        <v>14</v>
      </c>
      <c r="AG217" s="7">
        <v>95945.20199999999</v>
      </c>
      <c r="AH217" s="8">
        <v>16389.216</v>
      </c>
      <c r="AI217" s="8">
        <v>21283.218000000001</v>
      </c>
      <c r="AJ217" s="8">
        <v>27163.608</v>
      </c>
      <c r="AK217" s="8">
        <v>20145.077999999998</v>
      </c>
      <c r="AL217" s="8">
        <v>10129.445999999998</v>
      </c>
      <c r="AM217" s="8">
        <v>0</v>
      </c>
      <c r="AN217" s="8">
        <v>0</v>
      </c>
      <c r="AO217" s="8">
        <v>834.63599999999997</v>
      </c>
      <c r="AQ217" s="104">
        <v>33.17</v>
      </c>
      <c r="AR217" s="375">
        <v>13.89</v>
      </c>
      <c r="AS217" s="376"/>
      <c r="AT217" s="14">
        <v>5.9</v>
      </c>
      <c r="AU217" s="14">
        <v>1.53</v>
      </c>
      <c r="AV217" s="14">
        <v>0.32</v>
      </c>
      <c r="AW217" s="14">
        <v>0.6</v>
      </c>
      <c r="AX217" s="14">
        <v>5.01</v>
      </c>
      <c r="AY217" s="14">
        <v>4.99</v>
      </c>
      <c r="AZ217" s="14">
        <v>0</v>
      </c>
      <c r="BA217" s="14">
        <v>0</v>
      </c>
      <c r="BB217" s="14">
        <v>0</v>
      </c>
      <c r="BC217" s="15">
        <v>0.93</v>
      </c>
      <c r="BD217" s="104">
        <v>37.581610000000005</v>
      </c>
      <c r="BE217" s="375">
        <v>15.737370000000004</v>
      </c>
      <c r="BF217" s="376">
        <v>0</v>
      </c>
      <c r="BG217" s="14">
        <v>6.6847000000000012</v>
      </c>
      <c r="BH217" s="14">
        <v>1.7334900000000002</v>
      </c>
      <c r="BI217" s="14">
        <v>0.36256000000000005</v>
      </c>
      <c r="BJ217" s="14">
        <v>0.67980000000000007</v>
      </c>
      <c r="BK217" s="14">
        <v>5.6763300000000001</v>
      </c>
      <c r="BL217" s="14">
        <v>5.65367</v>
      </c>
      <c r="BM217" s="14">
        <v>0</v>
      </c>
      <c r="BN217" s="14">
        <v>0</v>
      </c>
      <c r="BO217" s="14">
        <v>0</v>
      </c>
      <c r="BP217" s="15">
        <v>1.0536900000000002</v>
      </c>
      <c r="BQ217" s="103">
        <v>279575.30203000002</v>
      </c>
      <c r="BR217" s="371">
        <v>117072.68451000002</v>
      </c>
      <c r="BS217" s="371">
        <v>0</v>
      </c>
      <c r="BT217" s="103">
        <v>49728.498099999997</v>
      </c>
      <c r="BU217" s="103">
        <v>12895.695269999998</v>
      </c>
      <c r="BV217" s="103">
        <v>2697.13888</v>
      </c>
      <c r="BW217" s="103">
        <v>5057.1354000000001</v>
      </c>
      <c r="BX217" s="103">
        <v>42227.080589999998</v>
      </c>
      <c r="BY217" s="103">
        <v>42058.509409999999</v>
      </c>
      <c r="BZ217" s="103">
        <v>0</v>
      </c>
      <c r="CA217" s="103">
        <v>0</v>
      </c>
      <c r="CB217" s="103">
        <v>0</v>
      </c>
      <c r="CC217" s="103">
        <v>7838.559870000001</v>
      </c>
      <c r="CD217" s="1">
        <v>1</v>
      </c>
      <c r="CF217" s="277">
        <f>SUMIF(Оборот!$A:$A,$B:$B,Оборот!H:H)</f>
        <v>211820.56</v>
      </c>
      <c r="CG217" s="277">
        <f>SUMIF(Оборот!$A:$A,$B:$B,Оборот!I:I)</f>
        <v>202780.65</v>
      </c>
      <c r="CH217" s="277">
        <f t="shared" si="38"/>
        <v>208650.13399990532</v>
      </c>
      <c r="CI217" s="239">
        <f t="shared" si="42"/>
        <v>5561.2902310301442</v>
      </c>
      <c r="CJ217" s="276">
        <f>SUMIF('20Ф'!$H:$H,$B:$B,'20Ф'!M:M)*1.2</f>
        <v>0</v>
      </c>
      <c r="CK217" s="276">
        <f>SUMIF('20Ф'!$H:$H,$B:$B,'20Ф'!O:O)*1.2</f>
        <v>0</v>
      </c>
      <c r="CL217" s="276">
        <f>SUMIF('20Ф'!$H:$H,$B:$B,'20Ф'!Q:Q)*1.2</f>
        <v>0</v>
      </c>
      <c r="CM217" s="276">
        <f>SUMIF('20Ф'!$H:$H,$B:$B,'20Ф'!R:R)*1.2</f>
        <v>0</v>
      </c>
      <c r="CN217" s="276">
        <f>SUMIF('20Ф'!$H:$H,$B:$B,'20Ф'!S:S)*1.2</f>
        <v>0</v>
      </c>
      <c r="CO217" s="276">
        <f>SUMIF('20Ф'!$H:$H,$B:$B,'20Ф'!W:W)*1.2</f>
        <v>0</v>
      </c>
      <c r="CP217" s="276">
        <f>SUMIF('20Ф'!$H:$H,$B:$B,'20Ф'!P:P)*1.2</f>
        <v>0</v>
      </c>
      <c r="CQ217" s="276">
        <f>SUMIF('20Ф'!$H:$H,$B:$B,'20Ф'!Y:Y)*1.2</f>
        <v>0</v>
      </c>
      <c r="CR217" s="276">
        <f>SUMIF('20Ф'!$H:$H,$B:$B,'20Ф'!Z:Z)*1.2</f>
        <v>0</v>
      </c>
      <c r="CS217" s="276">
        <f>SUMIF('20Ф'!$H:$H,$B:$B,'20Ф'!AB:AB)*1.2</f>
        <v>0</v>
      </c>
      <c r="CT217" s="276">
        <f>SUMIF('20Ф'!$H:$H,$B:$B,'20Ф'!AC:AC)*1.2</f>
        <v>0</v>
      </c>
      <c r="CU217" s="276">
        <f>SUMIF('20Ф'!$H:$H,$B:$B,'20Ф'!AD:AD)*1.2</f>
        <v>0</v>
      </c>
      <c r="CV217" s="276">
        <f>SUMIF('20Ф'!$H:$H,$B:$B,'20Ф'!AE:AE)*1.2</f>
        <v>0</v>
      </c>
      <c r="CW217" s="276">
        <f>SUMIF('20Ф'!$H:$H,$B:$B,'20Ф'!AF:AF)*1.2</f>
        <v>0</v>
      </c>
      <c r="CX217" s="276">
        <f>SUMIF('20Ф'!$H:$H,$B:$B,'20Ф'!AG:AG)*1.2</f>
        <v>0</v>
      </c>
      <c r="CY217" s="276">
        <f>SUMIF('20Ф'!$H:$H,$B:$B,'20Ф'!AH:AH)*1.2</f>
        <v>0</v>
      </c>
      <c r="CZ217" s="276">
        <f>SUMIF('20Ф'!$H:$H,$B:$B,'20Ф'!AI:AI)*1.2</f>
        <v>0</v>
      </c>
      <c r="DA217" s="276">
        <f>SUMIF('20Ф'!$H:$H,$B:$B,'20Ф'!AJ:AJ)*1.2</f>
        <v>0</v>
      </c>
      <c r="DB217" s="276">
        <f>SUMIF('20Ф'!$H:$H,$B:$B,'20Ф'!AK:AK)*1.2</f>
        <v>0</v>
      </c>
      <c r="DC217" s="276">
        <f>SUMIF('20Ф'!$H:$H,$B:$B,'20Ф'!AL:AL)*1.2</f>
        <v>0</v>
      </c>
      <c r="DD217" s="276">
        <f>SUMIF('20Ф'!$H:$H,$B:$B,'20Ф'!AM:AM)*1.2</f>
        <v>0</v>
      </c>
      <c r="DE217" s="276">
        <f>SUMIF('20Ф'!$H:$H,$B:$B,'20Ф'!AN:AN)*1.2</f>
        <v>0</v>
      </c>
      <c r="DF217" s="276">
        <f>SUMIF('20Ф'!$H:$H,$B:$B,'20Ф'!AO:AO)*1.2</f>
        <v>0</v>
      </c>
      <c r="DG217" s="276">
        <f>SUMIF('20Ф'!$H:$H,$B:$B,'20Ф'!AP:AP)*1.2</f>
        <v>0</v>
      </c>
      <c r="DH217" s="276">
        <f>SUMIF('20Ф'!$H:$H,$B:$B,'20Ф'!AQ:AQ)*1.2</f>
        <v>0</v>
      </c>
      <c r="DI217" s="276">
        <f>SUMIF('20Ф'!$H:$H,$B:$B,'20Ф'!BA:BA)*1.2</f>
        <v>0</v>
      </c>
      <c r="DJ217" s="276">
        <f>SUMIF('20Ф'!$H:$H,$B:$B,'20Ф'!BB:BB)*1.2</f>
        <v>0</v>
      </c>
      <c r="DK217" s="276">
        <f>SUMIF('20Ф'!$H:$H,$B:$B,'20Ф'!BC:BC)*1.2</f>
        <v>0</v>
      </c>
      <c r="DL217" s="276">
        <f>$D217/$D$281*'20Ф'!$H$218</f>
        <v>5561.2902310301442</v>
      </c>
      <c r="DM217" s="240">
        <f t="shared" si="39"/>
        <v>63452.661019581181</v>
      </c>
      <c r="DN217" s="276">
        <f>SUMIF('20Ф'!$H:$H,$B:$B,'20Ф'!AV:AV)*1.2</f>
        <v>0</v>
      </c>
      <c r="DO217" s="276">
        <f>SUMIF('20Ф'!$H:$H,$B:$B,'20Ф'!AW:AW)*1.2+$D217/$D$281*'26Ф'!$D$42</f>
        <v>2959.430785617486</v>
      </c>
      <c r="DP217" s="276">
        <f>SUMIF('20Ф'!$H:$H,$B:$B,'20Ф'!AX:AX)*1.2</f>
        <v>0</v>
      </c>
      <c r="DQ217" s="276">
        <f>SUMIF('20Ф'!$H:$H,$B:$B,'20Ф'!AY:AY)*1.2</f>
        <v>0</v>
      </c>
      <c r="DR217" s="276">
        <f>SUMIF('20Ф'!$H:$H,$B:$B,'20Ф'!AU:AU)*1.2</f>
        <v>0</v>
      </c>
      <c r="DS217" s="276">
        <f>SUMIF('20Ф'!$H:$H,$B:$B,'20Ф'!AS:AS)*1.2</f>
        <v>0</v>
      </c>
      <c r="DT217" s="276">
        <f>SUMIF('20Ф'!$H:$H,$B:$B,'20Ф'!AR:AR)*1.2</f>
        <v>8289.348</v>
      </c>
      <c r="DU217" s="276">
        <f>SUMIF('20Ф'!$H:$H,$B:$B,'20Ф'!X:X)*1.2</f>
        <v>0</v>
      </c>
      <c r="DV217" s="276">
        <f>SUMIF('20Ф'!$H:$H,$B:$B,'20Ф'!AA:AA)*1.2</f>
        <v>0</v>
      </c>
      <c r="DW217" s="276">
        <f>SUMIF('20Ф'!$H:$H,$B:$B,'20Ф'!N:N)*1.2</f>
        <v>0</v>
      </c>
      <c r="DX217" s="276">
        <f>$D217/$D$281*('25Ф'!$D$37)</f>
        <v>49744.329188967728</v>
      </c>
      <c r="DY217" s="276">
        <f>$D217/$D$281*'25Ф'!$D$30</f>
        <v>1587.6828313565729</v>
      </c>
      <c r="DZ217" s="276">
        <f>$D217/$D$281*'25Ф'!$D$31</f>
        <v>871.87021363939937</v>
      </c>
      <c r="EA217" s="276"/>
      <c r="EB217" s="276">
        <f t="shared" si="40"/>
        <v>31339.708129218088</v>
      </c>
      <c r="EC217" s="276">
        <f>$D217/$D$281*'26Ф'!$D$36</f>
        <v>16313.327369078943</v>
      </c>
      <c r="ED217" s="276">
        <f>$D217/$D$281*'26Ф'!$D$37</f>
        <v>1960.0288604215505</v>
      </c>
      <c r="EE217" s="276">
        <f>$D217/$D$281*'26Ф'!$D$38</f>
        <v>1980.1308850804214</v>
      </c>
      <c r="EF217" s="276">
        <f>$D217/$D$281*'26Ф'!$D$39</f>
        <v>1389.0600086652057</v>
      </c>
      <c r="EG217" s="276">
        <f>$D217/$D$281*'91Ф'!$D$10</f>
        <v>428.5244349709032</v>
      </c>
      <c r="EH217" s="276">
        <f>$D217/$D$281*('20Ф'!$I$509+'26Ф'!$D$41+'20Ф'!$I$507)</f>
        <v>3031.6692710019956</v>
      </c>
      <c r="EI217" s="276">
        <f>$D217/$D$281*'91Ф'!$D$31</f>
        <v>5557.4950644219953</v>
      </c>
      <c r="EJ217" s="276">
        <f>$D217/$D$281*'20Ф'!$I$1316</f>
        <v>679.47223557708082</v>
      </c>
      <c r="EK217" s="276">
        <f>$D217/$D$281*('20Ф'!$I$1105+'20Ф'!$I$1282+'91Ф'!$D$17+'91Ф'!$D$41)</f>
        <v>22314.625216469598</v>
      </c>
      <c r="EL217" s="276">
        <f>$D217/$D$281*отчёт!BX$294</f>
        <v>37303.247932396313</v>
      </c>
      <c r="EM217" s="276">
        <f>$D217/$D$281*отчёт!BY$294</f>
        <v>32806.204191314813</v>
      </c>
      <c r="EN217" s="276">
        <f>SUMIF(отчёт!$B:$B,$B:$B,отчёт!BZ:BZ)/отчёт!BZ$281*('60Ф'!$O$151+'60Ф'!$P$151)*отчёт!BZ$293</f>
        <v>0</v>
      </c>
      <c r="EO217" s="240">
        <f t="shared" si="45"/>
        <v>0</v>
      </c>
      <c r="EP217" s="276">
        <f>SUMIF('20Ф'!$H:$H,$B:$B,'20Ф'!T:T)*1.2</f>
        <v>0</v>
      </c>
      <c r="EQ217" s="276">
        <f>SUMIF('20Ф'!$H:$H,$B:$B,'20Ф'!U:U)*1.2</f>
        <v>0</v>
      </c>
      <c r="ER217" s="236"/>
      <c r="ES217" s="239">
        <f t="shared" si="43"/>
        <v>12485.411290520078</v>
      </c>
      <c r="ET217" s="276">
        <f>$D217/$D$282*'20Ф'!$I$381</f>
        <v>954.27194749206342</v>
      </c>
      <c r="EU217" s="276">
        <f>$D217/$D$282*('20Ф'!$I$75+'20Ф'!$I$1098)*1.2</f>
        <v>11022.264621004879</v>
      </c>
      <c r="EV217" s="276">
        <f>$D217/$D$282*('20Ф'!$I$1286)</f>
        <v>508.87472202313694</v>
      </c>
      <c r="EW217" s="276">
        <f>SUMIF('91.1Ф'!$N:$N,$B:$B,'91.1Ф'!$F:$F)+$D217/$D$281*('91Ф'!$D$12+'91Ф'!$D$11+'91Ф'!$D$19+'91Ф'!$D$20)</f>
        <v>2940.9585339715327</v>
      </c>
      <c r="EX217" s="276">
        <f t="shared" si="41"/>
        <v>446.027455403565</v>
      </c>
      <c r="EY217" s="276">
        <f>SUMIF('20Ф'!$H:$H,$B:$B,'20Ф'!$AY:$AY)*1.2</f>
        <v>0</v>
      </c>
      <c r="EZ217" s="295">
        <f>D217/$D$286*'20Ф'!$I$1163</f>
        <v>446.027455403565</v>
      </c>
      <c r="FA217" s="277">
        <f>SUMIF(отчёт!$B:$B,$B:$B,отчёт!$CU:$CU)/отчёт!$CU$281*'20Ф'!$I$1341</f>
        <v>0</v>
      </c>
      <c r="FB217" s="276">
        <f>SUMIF(Сальдо!$A:$A,$B:$B,Сальдо!$H:$H)-SUMIF(Сальдо!$A:$A,$B:$B,Сальдо!$I:$I)</f>
        <v>22443.75</v>
      </c>
    </row>
    <row r="218" spans="1:158" ht="12" customHeight="1" x14ac:dyDescent="0.25">
      <c r="A218" s="3">
        <f t="shared" si="44"/>
        <v>214</v>
      </c>
      <c r="B218" s="4" t="s">
        <v>263</v>
      </c>
      <c r="C218" s="4" t="s">
        <v>263</v>
      </c>
      <c r="D218" s="5">
        <v>651.9</v>
      </c>
      <c r="E218" s="6">
        <v>651.9</v>
      </c>
      <c r="F218" s="6">
        <v>0</v>
      </c>
      <c r="G218" s="6">
        <v>53.7</v>
      </c>
      <c r="H218" s="5">
        <f>SUMIF(отчёт!$B:$B,$B:$B,отчёт!I:I)</f>
        <v>0</v>
      </c>
      <c r="I218" s="5">
        <f>SUMIF(отчёт!$B:$B,$B:$B,отчёт!J:J)</f>
        <v>0</v>
      </c>
      <c r="J218" s="3" t="s">
        <v>74</v>
      </c>
      <c r="K218" s="105">
        <v>7</v>
      </c>
      <c r="L218" s="105" t="s">
        <v>75</v>
      </c>
      <c r="M218" s="12">
        <v>25.29</v>
      </c>
      <c r="N218" s="8">
        <v>4.32</v>
      </c>
      <c r="O218" s="8">
        <v>5.61</v>
      </c>
      <c r="P218" s="8">
        <v>7.16</v>
      </c>
      <c r="Q218" s="8">
        <v>5.31</v>
      </c>
      <c r="R218" s="8">
        <v>2.67</v>
      </c>
      <c r="S218" s="8">
        <v>0</v>
      </c>
      <c r="T218" s="8">
        <v>0</v>
      </c>
      <c r="U218" s="8">
        <v>0.22</v>
      </c>
      <c r="V218" s="9">
        <v>40</v>
      </c>
      <c r="W218" s="9">
        <v>40</v>
      </c>
      <c r="X218" s="9">
        <v>2604.04</v>
      </c>
      <c r="Y218" s="8">
        <v>195.98199600000001</v>
      </c>
      <c r="Z218" s="9">
        <v>42.3</v>
      </c>
      <c r="AA218" s="9">
        <v>2604.04</v>
      </c>
      <c r="AB218" s="8">
        <v>7.85</v>
      </c>
      <c r="AC218" s="10">
        <v>0</v>
      </c>
      <c r="AD218" s="8">
        <v>6.73</v>
      </c>
      <c r="AE218" s="8">
        <v>10.67</v>
      </c>
      <c r="AF218" s="8">
        <v>14</v>
      </c>
      <c r="AG218" s="7">
        <v>98919.305999999997</v>
      </c>
      <c r="AH218" s="8">
        <v>16897.248</v>
      </c>
      <c r="AI218" s="8">
        <v>21942.954000000002</v>
      </c>
      <c r="AJ218" s="8">
        <v>28005.624000000003</v>
      </c>
      <c r="AK218" s="8">
        <v>20769.533999999996</v>
      </c>
      <c r="AL218" s="8">
        <v>10443.437999999998</v>
      </c>
      <c r="AM218" s="8">
        <v>0</v>
      </c>
      <c r="AN218" s="8">
        <v>0</v>
      </c>
      <c r="AO218" s="8">
        <v>860.50800000000004</v>
      </c>
      <c r="AQ218" s="104">
        <v>33.17</v>
      </c>
      <c r="AR218" s="375">
        <v>13.89</v>
      </c>
      <c r="AS218" s="376"/>
      <c r="AT218" s="104">
        <v>5.9</v>
      </c>
      <c r="AU218" s="104">
        <v>1.53</v>
      </c>
      <c r="AV218" s="104">
        <v>0.32</v>
      </c>
      <c r="AW218" s="104">
        <v>0.6</v>
      </c>
      <c r="AX218" s="104">
        <v>5.01</v>
      </c>
      <c r="AY218" s="104">
        <v>4.99</v>
      </c>
      <c r="AZ218" s="104">
        <v>0</v>
      </c>
      <c r="BA218" s="104">
        <v>0</v>
      </c>
      <c r="BB218" s="104">
        <v>0</v>
      </c>
      <c r="BC218" s="101">
        <v>0.93</v>
      </c>
      <c r="BD218" s="104">
        <v>37.581610000000005</v>
      </c>
      <c r="BE218" s="375">
        <v>15.737370000000004</v>
      </c>
      <c r="BF218" s="376">
        <v>0</v>
      </c>
      <c r="BG218" s="104">
        <v>6.6847000000000012</v>
      </c>
      <c r="BH218" s="104">
        <v>1.7334900000000002</v>
      </c>
      <c r="BI218" s="104">
        <v>0.36256000000000005</v>
      </c>
      <c r="BJ218" s="104">
        <v>0.67980000000000007</v>
      </c>
      <c r="BK218" s="104">
        <v>5.6763300000000001</v>
      </c>
      <c r="BL218" s="104">
        <v>5.65367</v>
      </c>
      <c r="BM218" s="104">
        <v>0</v>
      </c>
      <c r="BN218" s="104">
        <v>0</v>
      </c>
      <c r="BO218" s="104">
        <v>0</v>
      </c>
      <c r="BP218" s="101">
        <v>1.0536900000000002</v>
      </c>
      <c r="BQ218" s="103">
        <v>288241.56159</v>
      </c>
      <c r="BR218" s="371">
        <v>120701.69703000002</v>
      </c>
      <c r="BS218" s="371">
        <v>0</v>
      </c>
      <c r="BT218" s="103">
        <v>51269.979299999999</v>
      </c>
      <c r="BU218" s="103">
        <v>13295.435309999999</v>
      </c>
      <c r="BV218" s="103">
        <v>2780.7446399999999</v>
      </c>
      <c r="BW218" s="103">
        <v>5213.8962000000001</v>
      </c>
      <c r="BX218" s="103">
        <v>43536.03327</v>
      </c>
      <c r="BY218" s="103">
        <v>43362.236729999997</v>
      </c>
      <c r="BZ218" s="103">
        <v>0</v>
      </c>
      <c r="CA218" s="103">
        <v>0</v>
      </c>
      <c r="CB218" s="103">
        <v>0</v>
      </c>
      <c r="CC218" s="103">
        <v>8081.5391100000015</v>
      </c>
      <c r="CD218" s="1">
        <v>1</v>
      </c>
      <c r="CF218" s="277">
        <f>SUMIF(Оборот!$A:$A,$B:$B,Оборот!H:H)</f>
        <v>218386.72000000003</v>
      </c>
      <c r="CG218" s="277">
        <f>SUMIF(Оборот!$A:$A,$B:$B,Оборот!I:I)</f>
        <v>194287.93</v>
      </c>
      <c r="CH218" s="277">
        <f t="shared" si="38"/>
        <v>226207.2064269149</v>
      </c>
      <c r="CI218" s="239">
        <f t="shared" si="42"/>
        <v>5733.6787942567635</v>
      </c>
      <c r="CJ218" s="276">
        <f>SUMIF('20Ф'!$H:$H,$B:$B,'20Ф'!M:M)*1.2</f>
        <v>0</v>
      </c>
      <c r="CK218" s="276">
        <f>SUMIF('20Ф'!$H:$H,$B:$B,'20Ф'!O:O)*1.2</f>
        <v>0</v>
      </c>
      <c r="CL218" s="276">
        <f>SUMIF('20Ф'!$H:$H,$B:$B,'20Ф'!Q:Q)*1.2</f>
        <v>0</v>
      </c>
      <c r="CM218" s="276">
        <f>SUMIF('20Ф'!$H:$H,$B:$B,'20Ф'!R:R)*1.2</f>
        <v>0</v>
      </c>
      <c r="CN218" s="276">
        <f>SUMIF('20Ф'!$H:$H,$B:$B,'20Ф'!S:S)*1.2</f>
        <v>0</v>
      </c>
      <c r="CO218" s="276">
        <f>SUMIF('20Ф'!$H:$H,$B:$B,'20Ф'!W:W)*1.2</f>
        <v>0</v>
      </c>
      <c r="CP218" s="276">
        <f>SUMIF('20Ф'!$H:$H,$B:$B,'20Ф'!P:P)*1.2</f>
        <v>0</v>
      </c>
      <c r="CQ218" s="276">
        <f>SUMIF('20Ф'!$H:$H,$B:$B,'20Ф'!Y:Y)*1.2</f>
        <v>0</v>
      </c>
      <c r="CR218" s="276">
        <f>SUMIF('20Ф'!$H:$H,$B:$B,'20Ф'!Z:Z)*1.2</f>
        <v>0</v>
      </c>
      <c r="CS218" s="276">
        <f>SUMIF('20Ф'!$H:$H,$B:$B,'20Ф'!AB:AB)*1.2</f>
        <v>0</v>
      </c>
      <c r="CT218" s="276">
        <f>SUMIF('20Ф'!$H:$H,$B:$B,'20Ф'!AC:AC)*1.2</f>
        <v>0</v>
      </c>
      <c r="CU218" s="276">
        <f>SUMIF('20Ф'!$H:$H,$B:$B,'20Ф'!AD:AD)*1.2</f>
        <v>0</v>
      </c>
      <c r="CV218" s="276">
        <f>SUMIF('20Ф'!$H:$H,$B:$B,'20Ф'!AE:AE)*1.2</f>
        <v>0</v>
      </c>
      <c r="CW218" s="276">
        <f>SUMIF('20Ф'!$H:$H,$B:$B,'20Ф'!AF:AF)*1.2</f>
        <v>0</v>
      </c>
      <c r="CX218" s="276">
        <f>SUMIF('20Ф'!$H:$H,$B:$B,'20Ф'!AG:AG)*1.2</f>
        <v>0</v>
      </c>
      <c r="CY218" s="276">
        <f>SUMIF('20Ф'!$H:$H,$B:$B,'20Ф'!AH:AH)*1.2</f>
        <v>0</v>
      </c>
      <c r="CZ218" s="276">
        <f>SUMIF('20Ф'!$H:$H,$B:$B,'20Ф'!AI:AI)*1.2</f>
        <v>0</v>
      </c>
      <c r="DA218" s="276">
        <f>SUMIF('20Ф'!$H:$H,$B:$B,'20Ф'!AJ:AJ)*1.2</f>
        <v>0</v>
      </c>
      <c r="DB218" s="276">
        <f>SUMIF('20Ф'!$H:$H,$B:$B,'20Ф'!AK:AK)*1.2</f>
        <v>0</v>
      </c>
      <c r="DC218" s="276">
        <f>SUMIF('20Ф'!$H:$H,$B:$B,'20Ф'!AL:AL)*1.2</f>
        <v>0</v>
      </c>
      <c r="DD218" s="276">
        <f>SUMIF('20Ф'!$H:$H,$B:$B,'20Ф'!AM:AM)*1.2</f>
        <v>0</v>
      </c>
      <c r="DE218" s="276">
        <f>SUMIF('20Ф'!$H:$H,$B:$B,'20Ф'!AN:AN)*1.2</f>
        <v>0</v>
      </c>
      <c r="DF218" s="276">
        <f>SUMIF('20Ф'!$H:$H,$B:$B,'20Ф'!AO:AO)*1.2</f>
        <v>0</v>
      </c>
      <c r="DG218" s="276">
        <f>SUMIF('20Ф'!$H:$H,$B:$B,'20Ф'!AP:AP)*1.2</f>
        <v>0</v>
      </c>
      <c r="DH218" s="276">
        <f>SUMIF('20Ф'!$H:$H,$B:$B,'20Ф'!AQ:AQ)*1.2</f>
        <v>0</v>
      </c>
      <c r="DI218" s="276">
        <f>SUMIF('20Ф'!$H:$H,$B:$B,'20Ф'!BA:BA)*1.2</f>
        <v>0</v>
      </c>
      <c r="DJ218" s="276">
        <f>SUMIF('20Ф'!$H:$H,$B:$B,'20Ф'!BB:BB)*1.2</f>
        <v>0</v>
      </c>
      <c r="DK218" s="276">
        <f>SUMIF('20Ф'!$H:$H,$B:$B,'20Ф'!BC:BC)*1.2</f>
        <v>0</v>
      </c>
      <c r="DL218" s="276">
        <f>$D218/$D$281*'20Ф'!$H$218</f>
        <v>5733.6787942567635</v>
      </c>
      <c r="DM218" s="240">
        <f t="shared" si="39"/>
        <v>76508.910308184364</v>
      </c>
      <c r="DN218" s="276">
        <f>SUMIF('20Ф'!$H:$H,$B:$B,'20Ф'!AV:AV)*1.2</f>
        <v>0</v>
      </c>
      <c r="DO218" s="276">
        <f>SUMIF('20Ф'!$H:$H,$B:$B,'20Ф'!AW:AW)*1.2+$D218/$D$281*'26Ф'!$D$42</f>
        <v>3051.1670554231205</v>
      </c>
      <c r="DP218" s="276">
        <f>SUMIF('20Ф'!$H:$H,$B:$B,'20Ф'!AX:AX)*1.2</f>
        <v>0</v>
      </c>
      <c r="DQ218" s="276">
        <f>SUMIF('20Ф'!$H:$H,$B:$B,'20Ф'!AY:AY)*1.2</f>
        <v>0</v>
      </c>
      <c r="DR218" s="276">
        <f>SUMIF('20Ф'!$H:$H,$B:$B,'20Ф'!AU:AU)*1.2</f>
        <v>0</v>
      </c>
      <c r="DS218" s="276">
        <f>SUMIF('20Ф'!$H:$H,$B:$B,'20Ф'!AS:AS)*1.2</f>
        <v>0</v>
      </c>
      <c r="DT218" s="276">
        <f>SUMIF('20Ф'!$H:$H,$B:$B,'20Ф'!AR:AR)*1.2</f>
        <v>19635.648000000001</v>
      </c>
      <c r="DU218" s="276">
        <f>SUMIF('20Ф'!$H:$H,$B:$B,'20Ф'!X:X)*1.2</f>
        <v>0</v>
      </c>
      <c r="DV218" s="276">
        <f>SUMIF('20Ф'!$H:$H,$B:$B,'20Ф'!AA:AA)*1.2</f>
        <v>0</v>
      </c>
      <c r="DW218" s="276">
        <f>SUMIF('20Ф'!$H:$H,$B:$B,'20Ф'!N:N)*1.2</f>
        <v>0</v>
      </c>
      <c r="DX218" s="276">
        <f>$D218/$D$281*('25Ф'!$D$37)</f>
        <v>51286.301120177231</v>
      </c>
      <c r="DY218" s="276">
        <f>$D218/$D$281*'25Ф'!$D$30</f>
        <v>1636.8977348748219</v>
      </c>
      <c r="DZ218" s="276">
        <f>$D218/$D$281*'25Ф'!$D$31</f>
        <v>898.89639770919575</v>
      </c>
      <c r="EA218" s="276"/>
      <c r="EB218" s="276">
        <f t="shared" si="40"/>
        <v>32311.174647220116</v>
      </c>
      <c r="EC218" s="276">
        <f>$D218/$D$281*'26Ф'!$D$36</f>
        <v>16819.00697754636</v>
      </c>
      <c r="ED218" s="276">
        <f>$D218/$D$281*'26Ф'!$D$37</f>
        <v>2020.7857253025602</v>
      </c>
      <c r="EE218" s="276">
        <f>$D218/$D$281*'26Ф'!$D$38</f>
        <v>2041.5108713963732</v>
      </c>
      <c r="EF218" s="276">
        <f>$D218/$D$281*'26Ф'!$D$39</f>
        <v>1432.1180130457815</v>
      </c>
      <c r="EG218" s="276">
        <f>$D218/$D$281*'91Ф'!$D$10</f>
        <v>441.80781141472687</v>
      </c>
      <c r="EH218" s="276">
        <f>$D218/$D$281*('20Ф'!$I$509+'26Ф'!$D$41+'20Ф'!$I$507)</f>
        <v>3125.6447853332297</v>
      </c>
      <c r="EI218" s="276">
        <f>$D218/$D$281*'91Ф'!$D$31</f>
        <v>5729.7659852865709</v>
      </c>
      <c r="EJ218" s="276">
        <f>$D218/$D$281*'20Ф'!$I$1316</f>
        <v>700.53447789451047</v>
      </c>
      <c r="EK218" s="276">
        <f>$D218/$D$281*('20Ф'!$I$1105+'20Ф'!$I$1282+'91Ф'!$D$17+'91Ф'!$D$41)</f>
        <v>23006.33271962127</v>
      </c>
      <c r="EL218" s="276">
        <f>$D218/$D$281*отчёт!BX$294</f>
        <v>38459.571923342017</v>
      </c>
      <c r="EM218" s="276">
        <f>$D218/$D$281*отчёт!BY$294</f>
        <v>33823.129072146337</v>
      </c>
      <c r="EN218" s="276">
        <f>SUMIF(отчёт!$B:$B,$B:$B,отчёт!BZ:BZ)/отчёт!BZ$281*('60Ф'!$O$151+'60Ф'!$P$151)*отчёт!BZ$293</f>
        <v>0</v>
      </c>
      <c r="EO218" s="240">
        <f t="shared" si="45"/>
        <v>0</v>
      </c>
      <c r="EP218" s="276">
        <f>SUMIF('20Ф'!$H:$H,$B:$B,'20Ф'!T:T)*1.2</f>
        <v>0</v>
      </c>
      <c r="EQ218" s="276">
        <f>SUMIF('20Ф'!$H:$H,$B:$B,'20Ф'!U:U)*1.2</f>
        <v>0</v>
      </c>
      <c r="ER218" s="236"/>
      <c r="ES218" s="239">
        <f t="shared" si="43"/>
        <v>12872.433370694354</v>
      </c>
      <c r="ET218" s="276">
        <f>$D218/$D$282*'20Ф'!$I$381</f>
        <v>983.85241589447446</v>
      </c>
      <c r="EU218" s="276">
        <f>$D218/$D$282*('20Ф'!$I$75+'20Ф'!$I$1098)*1.2</f>
        <v>11363.932162633371</v>
      </c>
      <c r="EV218" s="276">
        <f>$D218/$D$282*('20Ф'!$I$1286)</f>
        <v>524.64879216650797</v>
      </c>
      <c r="EW218" s="276">
        <f>SUMIF('91.1Ф'!$N:$N,$B:$B,'91.1Ф'!$F:$F)+$D218/$D$281*('91Ф'!$D$12+'91Ф'!$D$11+'91Ф'!$D$19+'91Ф'!$D$20)</f>
        <v>3032.122201954835</v>
      </c>
      <c r="EX218" s="276">
        <f t="shared" si="41"/>
        <v>459.8533894948348</v>
      </c>
      <c r="EY218" s="276">
        <f>SUMIF('20Ф'!$H:$H,$B:$B,'20Ф'!$AY:$AY)*1.2</f>
        <v>0</v>
      </c>
      <c r="EZ218" s="295">
        <f>D218/$D$286*'20Ф'!$I$1163</f>
        <v>459.8533894948348</v>
      </c>
      <c r="FA218" s="277">
        <f>SUMIF(отчёт!$B:$B,$B:$B,отчёт!$CU:$CU)/отчёт!$CU$281*'20Ф'!$I$1341</f>
        <v>0</v>
      </c>
      <c r="FB218" s="276">
        <f>SUMIF(Сальдо!$A:$A,$B:$B,Сальдо!$H:$H)-SUMIF(Сальдо!$A:$A,$B:$B,Сальдо!$I:$I)</f>
        <v>149696.18</v>
      </c>
    </row>
    <row r="219" spans="1:158" ht="12" customHeight="1" x14ac:dyDescent="0.25">
      <c r="A219" s="3">
        <f t="shared" si="44"/>
        <v>215</v>
      </c>
      <c r="B219" s="4" t="s">
        <v>264</v>
      </c>
      <c r="C219" s="4" t="s">
        <v>264</v>
      </c>
      <c r="D219" s="5">
        <v>639.5</v>
      </c>
      <c r="E219" s="6">
        <v>639.5</v>
      </c>
      <c r="F219" s="6">
        <v>0</v>
      </c>
      <c r="G219" s="6">
        <v>53.7</v>
      </c>
      <c r="H219" s="5">
        <f>SUMIF(отчёт!$B:$B,$B:$B,отчёт!I:I)</f>
        <v>0</v>
      </c>
      <c r="I219" s="5">
        <f>SUMIF(отчёт!$B:$B,$B:$B,отчёт!J:J)</f>
        <v>0</v>
      </c>
      <c r="J219" s="3" t="s">
        <v>74</v>
      </c>
      <c r="K219" s="105">
        <v>7</v>
      </c>
      <c r="L219" s="105" t="s">
        <v>75</v>
      </c>
      <c r="M219" s="12">
        <v>25.29</v>
      </c>
      <c r="N219" s="8">
        <v>4.32</v>
      </c>
      <c r="O219" s="8">
        <v>5.61</v>
      </c>
      <c r="P219" s="8">
        <v>7.16</v>
      </c>
      <c r="Q219" s="8">
        <v>5.31</v>
      </c>
      <c r="R219" s="8">
        <v>2.67</v>
      </c>
      <c r="S219" s="8">
        <v>0</v>
      </c>
      <c r="T219" s="8">
        <v>0</v>
      </c>
      <c r="U219" s="8">
        <v>0.22</v>
      </c>
      <c r="V219" s="9">
        <v>40</v>
      </c>
      <c r="W219" s="9">
        <v>40</v>
      </c>
      <c r="X219" s="9">
        <v>2604.04</v>
      </c>
      <c r="Y219" s="8">
        <v>195.98199600000001</v>
      </c>
      <c r="Z219" s="9">
        <v>42.3</v>
      </c>
      <c r="AA219" s="9">
        <v>2604.04</v>
      </c>
      <c r="AB219" s="8">
        <v>7.85</v>
      </c>
      <c r="AC219" s="10">
        <v>0</v>
      </c>
      <c r="AD219" s="8">
        <v>6.73</v>
      </c>
      <c r="AE219" s="8">
        <v>10.67</v>
      </c>
      <c r="AF219" s="8">
        <v>14</v>
      </c>
      <c r="AG219" s="7">
        <v>97037.73</v>
      </c>
      <c r="AH219" s="8">
        <v>16575.840000000004</v>
      </c>
      <c r="AI219" s="8">
        <v>21525.57</v>
      </c>
      <c r="AJ219" s="8">
        <v>27472.92</v>
      </c>
      <c r="AK219" s="8">
        <v>20374.47</v>
      </c>
      <c r="AL219" s="8">
        <v>10244.789999999999</v>
      </c>
      <c r="AM219" s="8">
        <v>0</v>
      </c>
      <c r="AN219" s="8">
        <v>0</v>
      </c>
      <c r="AO219" s="8">
        <v>844.14</v>
      </c>
      <c r="AQ219" s="104">
        <v>33.17</v>
      </c>
      <c r="AR219" s="375">
        <v>13.89</v>
      </c>
      <c r="AS219" s="376"/>
      <c r="AT219" s="104">
        <v>5.9</v>
      </c>
      <c r="AU219" s="104">
        <v>1.53</v>
      </c>
      <c r="AV219" s="104">
        <v>0.32</v>
      </c>
      <c r="AW219" s="104">
        <v>0.6</v>
      </c>
      <c r="AX219" s="104">
        <v>5.01</v>
      </c>
      <c r="AY219" s="104">
        <v>4.99</v>
      </c>
      <c r="AZ219" s="104">
        <v>0</v>
      </c>
      <c r="BA219" s="104">
        <v>0</v>
      </c>
      <c r="BB219" s="104">
        <v>0</v>
      </c>
      <c r="BC219" s="101">
        <v>0.93</v>
      </c>
      <c r="BD219" s="104">
        <v>37.581610000000005</v>
      </c>
      <c r="BE219" s="375">
        <v>15.737370000000004</v>
      </c>
      <c r="BF219" s="376">
        <v>0</v>
      </c>
      <c r="BG219" s="104">
        <v>6.6847000000000012</v>
      </c>
      <c r="BH219" s="104">
        <v>1.7334900000000002</v>
      </c>
      <c r="BI219" s="104">
        <v>0.36256000000000005</v>
      </c>
      <c r="BJ219" s="104">
        <v>0.67980000000000007</v>
      </c>
      <c r="BK219" s="104">
        <v>5.6763300000000001</v>
      </c>
      <c r="BL219" s="104">
        <v>5.65367</v>
      </c>
      <c r="BM219" s="104">
        <v>0</v>
      </c>
      <c r="BN219" s="104">
        <v>0</v>
      </c>
      <c r="BO219" s="104">
        <v>0</v>
      </c>
      <c r="BP219" s="101">
        <v>1.0536900000000002</v>
      </c>
      <c r="BQ219" s="103">
        <v>282758.82594999997</v>
      </c>
      <c r="BR219" s="371">
        <v>118405.79115000003</v>
      </c>
      <c r="BS219" s="371">
        <v>0</v>
      </c>
      <c r="BT219" s="103">
        <v>50294.756500000003</v>
      </c>
      <c r="BU219" s="103">
        <v>13042.538549999999</v>
      </c>
      <c r="BV219" s="103">
        <v>2727.8512000000001</v>
      </c>
      <c r="BW219" s="103">
        <v>5114.7210000000005</v>
      </c>
      <c r="BX219" s="103">
        <v>42707.92035</v>
      </c>
      <c r="BY219" s="103">
        <v>42537.429649999998</v>
      </c>
      <c r="BZ219" s="103">
        <v>0</v>
      </c>
      <c r="CA219" s="103">
        <v>0</v>
      </c>
      <c r="CB219" s="103">
        <v>0</v>
      </c>
      <c r="CC219" s="103">
        <v>7927.8175500000016</v>
      </c>
      <c r="CD219" s="1">
        <v>1</v>
      </c>
      <c r="CF219" s="277">
        <f>SUMIF(Оборот!$A:$A,$B:$B,Оборот!H:H)</f>
        <v>215077.19999999995</v>
      </c>
      <c r="CG219" s="277">
        <f>SUMIF(Оборот!$A:$A,$B:$B,Оборот!I:I)</f>
        <v>223314.93</v>
      </c>
      <c r="CH219" s="277">
        <f t="shared" si="38"/>
        <v>217217.39823839866</v>
      </c>
      <c r="CI219" s="239">
        <f t="shared" si="42"/>
        <v>5624.6166420113514</v>
      </c>
      <c r="CJ219" s="276">
        <f>SUMIF('20Ф'!$H:$H,$B:$B,'20Ф'!M:M)*1.2</f>
        <v>0</v>
      </c>
      <c r="CK219" s="276">
        <f>SUMIF('20Ф'!$H:$H,$B:$B,'20Ф'!O:O)*1.2</f>
        <v>0</v>
      </c>
      <c r="CL219" s="276">
        <f>SUMIF('20Ф'!$H:$H,$B:$B,'20Ф'!Q:Q)*1.2</f>
        <v>0</v>
      </c>
      <c r="CM219" s="276">
        <f>SUMIF('20Ф'!$H:$H,$B:$B,'20Ф'!R:R)*1.2</f>
        <v>0</v>
      </c>
      <c r="CN219" s="276">
        <f>SUMIF('20Ф'!$H:$H,$B:$B,'20Ф'!S:S)*1.2</f>
        <v>0</v>
      </c>
      <c r="CO219" s="276">
        <f>SUMIF('20Ф'!$H:$H,$B:$B,'20Ф'!W:W)*1.2</f>
        <v>0</v>
      </c>
      <c r="CP219" s="276">
        <f>SUMIF('20Ф'!$H:$H,$B:$B,'20Ф'!P:P)*1.2</f>
        <v>0</v>
      </c>
      <c r="CQ219" s="276">
        <f>SUMIF('20Ф'!$H:$H,$B:$B,'20Ф'!Y:Y)*1.2</f>
        <v>0</v>
      </c>
      <c r="CR219" s="276">
        <f>SUMIF('20Ф'!$H:$H,$B:$B,'20Ф'!Z:Z)*1.2</f>
        <v>0</v>
      </c>
      <c r="CS219" s="276">
        <f>SUMIF('20Ф'!$H:$H,$B:$B,'20Ф'!AB:AB)*1.2</f>
        <v>0</v>
      </c>
      <c r="CT219" s="276">
        <f>SUMIF('20Ф'!$H:$H,$B:$B,'20Ф'!AC:AC)*1.2</f>
        <v>0</v>
      </c>
      <c r="CU219" s="276">
        <f>SUMIF('20Ф'!$H:$H,$B:$B,'20Ф'!AD:AD)*1.2</f>
        <v>0</v>
      </c>
      <c r="CV219" s="276">
        <f>SUMIF('20Ф'!$H:$H,$B:$B,'20Ф'!AE:AE)*1.2</f>
        <v>0</v>
      </c>
      <c r="CW219" s="276">
        <f>SUMIF('20Ф'!$H:$H,$B:$B,'20Ф'!AF:AF)*1.2</f>
        <v>0</v>
      </c>
      <c r="CX219" s="276">
        <f>SUMIF('20Ф'!$H:$H,$B:$B,'20Ф'!AG:AG)*1.2</f>
        <v>0</v>
      </c>
      <c r="CY219" s="276">
        <f>SUMIF('20Ф'!$H:$H,$B:$B,'20Ф'!AH:AH)*1.2</f>
        <v>0</v>
      </c>
      <c r="CZ219" s="276">
        <f>SUMIF('20Ф'!$H:$H,$B:$B,'20Ф'!AI:AI)*1.2</f>
        <v>0</v>
      </c>
      <c r="DA219" s="276">
        <f>SUMIF('20Ф'!$H:$H,$B:$B,'20Ф'!AJ:AJ)*1.2</f>
        <v>0</v>
      </c>
      <c r="DB219" s="276">
        <f>SUMIF('20Ф'!$H:$H,$B:$B,'20Ф'!AK:AK)*1.2</f>
        <v>0</v>
      </c>
      <c r="DC219" s="276">
        <f>SUMIF('20Ф'!$H:$H,$B:$B,'20Ф'!AL:AL)*1.2</f>
        <v>0</v>
      </c>
      <c r="DD219" s="276">
        <f>SUMIF('20Ф'!$H:$H,$B:$B,'20Ф'!AM:AM)*1.2</f>
        <v>0</v>
      </c>
      <c r="DE219" s="276">
        <f>SUMIF('20Ф'!$H:$H,$B:$B,'20Ф'!AN:AN)*1.2</f>
        <v>0</v>
      </c>
      <c r="DF219" s="276">
        <f>SUMIF('20Ф'!$H:$H,$B:$B,'20Ф'!AO:AO)*1.2</f>
        <v>0</v>
      </c>
      <c r="DG219" s="276">
        <f>SUMIF('20Ф'!$H:$H,$B:$B,'20Ф'!AP:AP)*1.2</f>
        <v>0</v>
      </c>
      <c r="DH219" s="276">
        <f>SUMIF('20Ф'!$H:$H,$B:$B,'20Ф'!AQ:AQ)*1.2</f>
        <v>0</v>
      </c>
      <c r="DI219" s="276">
        <f>SUMIF('20Ф'!$H:$H,$B:$B,'20Ф'!BA:BA)*1.2</f>
        <v>0</v>
      </c>
      <c r="DJ219" s="276">
        <f>SUMIF('20Ф'!$H:$H,$B:$B,'20Ф'!BB:BB)*1.2</f>
        <v>0</v>
      </c>
      <c r="DK219" s="276">
        <f>SUMIF('20Ф'!$H:$H,$B:$B,'20Ф'!BC:BC)*1.2</f>
        <v>0</v>
      </c>
      <c r="DL219" s="276">
        <f>$D219/$D$281*'20Ф'!$H$218</f>
        <v>5624.6166420113514</v>
      </c>
      <c r="DM219" s="240">
        <f t="shared" si="39"/>
        <v>70366.561656210921</v>
      </c>
      <c r="DN219" s="276">
        <f>SUMIF('20Ф'!$H:$H,$B:$B,'20Ф'!AV:AV)*1.2</f>
        <v>0</v>
      </c>
      <c r="DO219" s="276">
        <f>SUMIF('20Ф'!$H:$H,$B:$B,'20Ф'!AW:AW)*1.2+$D219/$D$281*'26Ф'!$D$42</f>
        <v>2993.12982350527</v>
      </c>
      <c r="DP219" s="276">
        <f>SUMIF('20Ф'!$H:$H,$B:$B,'20Ф'!AX:AX)*1.2</f>
        <v>0</v>
      </c>
      <c r="DQ219" s="276">
        <f>SUMIF('20Ф'!$H:$H,$B:$B,'20Ф'!AY:AY)*1.2</f>
        <v>0</v>
      </c>
      <c r="DR219" s="276">
        <f>SUMIF('20Ф'!$H:$H,$B:$B,'20Ф'!AU:AU)*1.2</f>
        <v>0</v>
      </c>
      <c r="DS219" s="276">
        <f>SUMIF('20Ф'!$H:$H,$B:$B,'20Ф'!AS:AS)*1.2</f>
        <v>0</v>
      </c>
      <c r="DT219" s="276">
        <f>SUMIF('20Ф'!$H:$H,$B:$B,'20Ф'!AR:AR)*1.2</f>
        <v>9990.06</v>
      </c>
      <c r="DU219" s="276">
        <f>SUMIF('20Ф'!$H:$H,$B:$B,'20Ф'!X:X)*1.2</f>
        <v>4585.0439999999999</v>
      </c>
      <c r="DV219" s="276">
        <f>SUMIF('20Ф'!$H:$H,$B:$B,'20Ф'!AA:AA)*1.2</f>
        <v>0</v>
      </c>
      <c r="DW219" s="276">
        <f>SUMIF('20Ф'!$H:$H,$B:$B,'20Ф'!N:N)*1.2</f>
        <v>0</v>
      </c>
      <c r="DX219" s="276">
        <f>$D219/$D$281*('25Ф'!$D$37)</f>
        <v>50310.767857575302</v>
      </c>
      <c r="DY219" s="276">
        <f>$D219/$D$281*'25Ф'!$D$30</f>
        <v>1605.7617755061337</v>
      </c>
      <c r="DZ219" s="276">
        <f>$D219/$D$281*'25Ф'!$D$31</f>
        <v>881.79819962422255</v>
      </c>
      <c r="EA219" s="276"/>
      <c r="EB219" s="276">
        <f t="shared" si="40"/>
        <v>31696.573380729042</v>
      </c>
      <c r="EC219" s="276">
        <f>$D219/$D$281*'26Ф'!$D$36</f>
        <v>16499.087225250649</v>
      </c>
      <c r="ED219" s="276">
        <f>$D219/$D$281*'26Ф'!$D$37</f>
        <v>1982.3477087451868</v>
      </c>
      <c r="EE219" s="276">
        <f>$D219/$D$281*'26Ф'!$D$38</f>
        <v>2002.6786351556691</v>
      </c>
      <c r="EF219" s="276">
        <f>$D219/$D$281*'26Ф'!$D$39</f>
        <v>1404.8772347641927</v>
      </c>
      <c r="EG219" s="276">
        <f>$D219/$D$281*'91Ф'!$D$10</f>
        <v>433.40404264414457</v>
      </c>
      <c r="EH219" s="276">
        <f>$D219/$D$281*('20Ф'!$I$509+'26Ф'!$D$41+'20Ф'!$I$507)</f>
        <v>3066.1908885114285</v>
      </c>
      <c r="EI219" s="276">
        <f>$D219/$D$281*'91Ф'!$D$31</f>
        <v>5620.7782598416352</v>
      </c>
      <c r="EJ219" s="276">
        <f>$D219/$D$281*'20Ф'!$I$1316</f>
        <v>687.20938581613655</v>
      </c>
      <c r="EK219" s="276">
        <f>$D219/$D$281*('20Ф'!$I$1105+'20Ф'!$I$1282+'91Ф'!$D$17+'91Ф'!$D$41)</f>
        <v>22568.721850280417</v>
      </c>
      <c r="EL219" s="276">
        <f>$D219/$D$281*отчёт!BX$294</f>
        <v>37728.020010702894</v>
      </c>
      <c r="EM219" s="276">
        <f>$D219/$D$281*отчёт!BY$294</f>
        <v>33179.768433252924</v>
      </c>
      <c r="EN219" s="276">
        <f>SUMIF(отчёт!$B:$B,$B:$B,отчёт!BZ:BZ)/отчёт!BZ$281*('60Ф'!$O$151+'60Ф'!$P$151)*отчёт!BZ$293</f>
        <v>0</v>
      </c>
      <c r="EO219" s="240">
        <f t="shared" si="45"/>
        <v>0</v>
      </c>
      <c r="EP219" s="276">
        <f>SUMIF('20Ф'!$H:$H,$B:$B,'20Ф'!T:T)*1.2</f>
        <v>0</v>
      </c>
      <c r="EQ219" s="276">
        <f>SUMIF('20Ф'!$H:$H,$B:$B,'20Ф'!U:U)*1.2</f>
        <v>0</v>
      </c>
      <c r="ER219" s="236"/>
      <c r="ES219" s="239">
        <f t="shared" si="43"/>
        <v>12627.58266691063</v>
      </c>
      <c r="ET219" s="276">
        <f>$D219/$D$282*'20Ф'!$I$381</f>
        <v>965.13824200723491</v>
      </c>
      <c r="EU219" s="276">
        <f>$D219/$D$282*('20Ф'!$I$75+'20Ф'!$I$1098)*1.2</f>
        <v>11147.775146501061</v>
      </c>
      <c r="EV219" s="276">
        <f>$D219/$D$282*('20Ф'!$I$1286)</f>
        <v>514.6692784023345</v>
      </c>
      <c r="EW219" s="276">
        <f>SUMIF('91.1Ф'!$N:$N,$B:$B,'91.1Ф'!$F:$F)+$D219/$D$281*('91Ф'!$D$12+'91Ф'!$D$11+'91Ф'!$D$19+'91Ф'!$D$20)</f>
        <v>2974.4472283327459</v>
      </c>
      <c r="EX219" s="276">
        <f t="shared" si="41"/>
        <v>451.10636996770501</v>
      </c>
      <c r="EY219" s="276">
        <f>SUMIF('20Ф'!$H:$H,$B:$B,'20Ф'!$AY:$AY)*1.2</f>
        <v>0</v>
      </c>
      <c r="EZ219" s="295">
        <f>D219/$D$286*'20Ф'!$I$1163</f>
        <v>451.10636996770501</v>
      </c>
      <c r="FA219" s="277">
        <f>SUMIF(отчёт!$B:$B,$B:$B,отчёт!$CU:$CU)/отчёт!$CU$281*'20Ф'!$I$1341</f>
        <v>0</v>
      </c>
      <c r="FB219" s="276">
        <f>SUMIF(Сальдо!$A:$A,$B:$B,Сальдо!$H:$H)-SUMIF(Сальдо!$A:$A,$B:$B,Сальдо!$I:$I)</f>
        <v>16420.95</v>
      </c>
    </row>
    <row r="220" spans="1:158" ht="12" customHeight="1" x14ac:dyDescent="0.25">
      <c r="A220" s="3">
        <f t="shared" si="44"/>
        <v>216</v>
      </c>
      <c r="B220" s="4" t="s">
        <v>265</v>
      </c>
      <c r="C220" s="4" t="s">
        <v>265</v>
      </c>
      <c r="D220" s="5">
        <v>4849.7999999999993</v>
      </c>
      <c r="E220" s="6">
        <v>4090.5999999999995</v>
      </c>
      <c r="F220" s="6">
        <v>759.2</v>
      </c>
      <c r="G220" s="6">
        <v>370.5</v>
      </c>
      <c r="H220" s="5">
        <f>SUMIF(отчёт!$B:$B,$B:$B,отчёт!I:I)</f>
        <v>0</v>
      </c>
      <c r="I220" s="5">
        <f>SUMIF(отчёт!$B:$B,$B:$B,отчёт!J:J)</f>
        <v>0</v>
      </c>
      <c r="J220" s="3" t="s">
        <v>74</v>
      </c>
      <c r="K220" s="105">
        <v>7</v>
      </c>
      <c r="L220" s="105" t="s">
        <v>75</v>
      </c>
      <c r="M220" s="12">
        <v>25.29</v>
      </c>
      <c r="N220" s="8">
        <v>4.32</v>
      </c>
      <c r="O220" s="8">
        <v>5.61</v>
      </c>
      <c r="P220" s="8">
        <v>7.16</v>
      </c>
      <c r="Q220" s="8">
        <v>5.31</v>
      </c>
      <c r="R220" s="8">
        <v>2.67</v>
      </c>
      <c r="S220" s="8">
        <v>0</v>
      </c>
      <c r="T220" s="8">
        <v>0</v>
      </c>
      <c r="U220" s="8">
        <v>0.22</v>
      </c>
      <c r="V220" s="9">
        <v>40</v>
      </c>
      <c r="W220" s="9">
        <v>40</v>
      </c>
      <c r="X220" s="9">
        <v>2604.04</v>
      </c>
      <c r="Y220" s="8">
        <v>195.98199600000001</v>
      </c>
      <c r="Z220" s="9">
        <v>42.3</v>
      </c>
      <c r="AA220" s="9">
        <v>2604.04</v>
      </c>
      <c r="AB220" s="8">
        <v>7.85</v>
      </c>
      <c r="AC220" s="10">
        <v>0</v>
      </c>
      <c r="AD220" s="8">
        <v>6.73</v>
      </c>
      <c r="AE220" s="8">
        <v>10.67</v>
      </c>
      <c r="AF220" s="8">
        <v>14</v>
      </c>
      <c r="AG220" s="7">
        <v>735908.65199999989</v>
      </c>
      <c r="AH220" s="8">
        <v>125706.81599999999</v>
      </c>
      <c r="AI220" s="8">
        <v>163244.26799999998</v>
      </c>
      <c r="AJ220" s="8">
        <v>208347.40799999994</v>
      </c>
      <c r="AK220" s="8">
        <v>154514.62799999997</v>
      </c>
      <c r="AL220" s="8">
        <v>77693.795999999988</v>
      </c>
      <c r="AM220" s="8">
        <v>0</v>
      </c>
      <c r="AN220" s="8">
        <v>0</v>
      </c>
      <c r="AO220" s="8">
        <v>6401.735999999999</v>
      </c>
      <c r="AQ220" s="104">
        <v>27.19</v>
      </c>
      <c r="AR220" s="104">
        <v>4.6445551601423487</v>
      </c>
      <c r="AS220" s="104">
        <v>6.0314709371293009</v>
      </c>
      <c r="AT220" s="104">
        <v>7.6979201265322263</v>
      </c>
      <c r="AU220" s="104"/>
      <c r="AV220" s="104"/>
      <c r="AW220" s="104"/>
      <c r="AX220" s="104">
        <v>5.7089323843416366</v>
      </c>
      <c r="AY220" s="104">
        <v>2.8705931198102022</v>
      </c>
      <c r="AZ220" s="104">
        <v>0</v>
      </c>
      <c r="BA220" s="104">
        <v>0</v>
      </c>
      <c r="BB220" s="104"/>
      <c r="BC220" s="101">
        <v>0.23652827204428631</v>
      </c>
      <c r="BD220" s="104">
        <v>30.806270000000001</v>
      </c>
      <c r="BE220" s="104">
        <v>5.2622809964412811</v>
      </c>
      <c r="BF220" s="104">
        <v>6.8336565717674977</v>
      </c>
      <c r="BG220" s="104">
        <v>8.7217435033610133</v>
      </c>
      <c r="BH220" s="104">
        <v>0</v>
      </c>
      <c r="BI220" s="104">
        <v>0</v>
      </c>
      <c r="BJ220" s="104">
        <v>0</v>
      </c>
      <c r="BK220" s="104">
        <v>6.4682203914590737</v>
      </c>
      <c r="BL220" s="104">
        <v>3.252382004744959</v>
      </c>
      <c r="BM220" s="104">
        <v>0</v>
      </c>
      <c r="BN220" s="104">
        <v>0</v>
      </c>
      <c r="BO220" s="104">
        <v>0</v>
      </c>
      <c r="BP220" s="101">
        <v>0.26798653222617641</v>
      </c>
      <c r="BQ220" s="103">
        <v>1757774.6064599997</v>
      </c>
      <c r="BR220" s="103">
        <v>300260.43099672592</v>
      </c>
      <c r="BS220" s="103">
        <v>389921.53191935935</v>
      </c>
      <c r="BT220" s="103">
        <v>497653.86248531431</v>
      </c>
      <c r="BU220" s="103">
        <v>0</v>
      </c>
      <c r="BV220" s="103">
        <v>0</v>
      </c>
      <c r="BW220" s="103">
        <v>0</v>
      </c>
      <c r="BX220" s="103">
        <v>369070.11310014222</v>
      </c>
      <c r="BY220" s="103">
        <v>185577.62749103204</v>
      </c>
      <c r="BZ220" s="103">
        <v>0</v>
      </c>
      <c r="CA220" s="103">
        <v>0</v>
      </c>
      <c r="CB220" s="103">
        <v>0</v>
      </c>
      <c r="CC220" s="103">
        <v>15291.040467425861</v>
      </c>
      <c r="CD220" s="13">
        <v>2</v>
      </c>
      <c r="CF220" s="277">
        <f>SUMIF(Оборот!$A:$A,$B:$B,Оборот!H:H)</f>
        <v>1254109.79</v>
      </c>
      <c r="CG220" s="277">
        <f>SUMIF(Оборот!$A:$A,$B:$B,Оборот!I:I)</f>
        <v>1249320.73</v>
      </c>
      <c r="CH220" s="277">
        <f t="shared" si="38"/>
        <v>1834719.8963117835</v>
      </c>
      <c r="CI220" s="239">
        <f t="shared" si="42"/>
        <v>111426.31899675785</v>
      </c>
      <c r="CJ220" s="276">
        <f>SUMIF('20Ф'!$H:$H,$B:$B,'20Ф'!M:M)*1.2</f>
        <v>0</v>
      </c>
      <c r="CK220" s="276">
        <f>SUMIF('20Ф'!$H:$H,$B:$B,'20Ф'!O:O)*1.2</f>
        <v>0</v>
      </c>
      <c r="CL220" s="276">
        <f>SUMIF('20Ф'!$H:$H,$B:$B,'20Ф'!Q:Q)*1.2</f>
        <v>0</v>
      </c>
      <c r="CM220" s="276">
        <f>SUMIF('20Ф'!$H:$H,$B:$B,'20Ф'!R:R)*1.2</f>
        <v>0</v>
      </c>
      <c r="CN220" s="276">
        <f>SUMIF('20Ф'!$H:$H,$B:$B,'20Ф'!S:S)*1.2</f>
        <v>0</v>
      </c>
      <c r="CO220" s="276">
        <f>SUMIF('20Ф'!$H:$H,$B:$B,'20Ф'!W:W)*1.2</f>
        <v>0</v>
      </c>
      <c r="CP220" s="276">
        <f>SUMIF('20Ф'!$H:$H,$B:$B,'20Ф'!P:P)*1.2</f>
        <v>0</v>
      </c>
      <c r="CQ220" s="276">
        <f>SUMIF('20Ф'!$H:$H,$B:$B,'20Ф'!Y:Y)*1.2</f>
        <v>0</v>
      </c>
      <c r="CR220" s="276">
        <f>SUMIF('20Ф'!$H:$H,$B:$B,'20Ф'!Z:Z)*1.2</f>
        <v>0</v>
      </c>
      <c r="CS220" s="276">
        <f>SUMIF('20Ф'!$H:$H,$B:$B,'20Ф'!AB:AB)*1.2</f>
        <v>0</v>
      </c>
      <c r="CT220" s="276">
        <f>SUMIF('20Ф'!$H:$H,$B:$B,'20Ф'!AC:AC)*1.2</f>
        <v>0</v>
      </c>
      <c r="CU220" s="276">
        <f>SUMIF('20Ф'!$H:$H,$B:$B,'20Ф'!AD:AD)*1.2</f>
        <v>0</v>
      </c>
      <c r="CV220" s="276">
        <f>SUMIF('20Ф'!$H:$H,$B:$B,'20Ф'!AE:AE)*1.2</f>
        <v>0</v>
      </c>
      <c r="CW220" s="276">
        <f>SUMIF('20Ф'!$H:$H,$B:$B,'20Ф'!AF:AF)*1.2</f>
        <v>0</v>
      </c>
      <c r="CX220" s="276">
        <f>SUMIF('20Ф'!$H:$H,$B:$B,'20Ф'!AG:AG)*1.2</f>
        <v>0</v>
      </c>
      <c r="CY220" s="276">
        <f>SUMIF('20Ф'!$H:$H,$B:$B,'20Ф'!AH:AH)*1.2</f>
        <v>68770.703999999998</v>
      </c>
      <c r="CZ220" s="276">
        <f>SUMIF('20Ф'!$H:$H,$B:$B,'20Ф'!AI:AI)*1.2</f>
        <v>0</v>
      </c>
      <c r="DA220" s="276">
        <f>SUMIF('20Ф'!$H:$H,$B:$B,'20Ф'!AJ:AJ)*1.2</f>
        <v>0</v>
      </c>
      <c r="DB220" s="276">
        <f>SUMIF('20Ф'!$H:$H,$B:$B,'20Ф'!AK:AK)*1.2</f>
        <v>0</v>
      </c>
      <c r="DC220" s="276">
        <f>SUMIF('20Ф'!$H:$H,$B:$B,'20Ф'!AL:AL)*1.2</f>
        <v>0</v>
      </c>
      <c r="DD220" s="276">
        <f>SUMIF('20Ф'!$H:$H,$B:$B,'20Ф'!AM:AM)*1.2</f>
        <v>0</v>
      </c>
      <c r="DE220" s="276">
        <f>SUMIF('20Ф'!$H:$H,$B:$B,'20Ф'!AN:AN)*1.2</f>
        <v>0</v>
      </c>
      <c r="DF220" s="276">
        <f>SUMIF('20Ф'!$H:$H,$B:$B,'20Ф'!AO:AO)*1.2</f>
        <v>0</v>
      </c>
      <c r="DG220" s="276">
        <f>SUMIF('20Ф'!$H:$H,$B:$B,'20Ф'!AP:AP)*1.2</f>
        <v>0</v>
      </c>
      <c r="DH220" s="276">
        <f>SUMIF('20Ф'!$H:$H,$B:$B,'20Ф'!AQ:AQ)*1.2</f>
        <v>0</v>
      </c>
      <c r="DI220" s="276">
        <f>SUMIF('20Ф'!$H:$H,$B:$B,'20Ф'!BA:BA)*1.2</f>
        <v>0</v>
      </c>
      <c r="DJ220" s="276">
        <f>SUMIF('20Ф'!$H:$H,$B:$B,'20Ф'!BB:BB)*1.2</f>
        <v>0</v>
      </c>
      <c r="DK220" s="276">
        <f>SUMIF('20Ф'!$H:$H,$B:$B,'20Ф'!BC:BC)*1.2</f>
        <v>0</v>
      </c>
      <c r="DL220" s="276">
        <f>$D220/$D$281*'20Ф'!$H$218</f>
        <v>42655.614996757853</v>
      </c>
      <c r="DM220" s="240">
        <f t="shared" si="39"/>
        <v>652271.02615651558</v>
      </c>
      <c r="DN220" s="276">
        <f>SUMIF('20Ф'!$H:$H,$B:$B,'20Ф'!AV:AV)*1.2</f>
        <v>0</v>
      </c>
      <c r="DO220" s="276">
        <f>SUMIF('20Ф'!$H:$H,$B:$B,'20Ф'!AW:AW)*1.2+$D220/$D$281*'26Ф'!$D$42</f>
        <v>22699.110270579917</v>
      </c>
      <c r="DP220" s="276">
        <f>SUMIF('20Ф'!$H:$H,$B:$B,'20Ф'!AX:AX)*1.2</f>
        <v>0</v>
      </c>
      <c r="DQ220" s="276">
        <f>SUMIF('20Ф'!$H:$H,$B:$B,'20Ф'!AY:AY)*1.2</f>
        <v>0</v>
      </c>
      <c r="DR220" s="276">
        <f>SUMIF('20Ф'!$H:$H,$B:$B,'20Ф'!AU:AU)*1.2</f>
        <v>0</v>
      </c>
      <c r="DS220" s="276">
        <f>SUMIF('20Ф'!$H:$H,$B:$B,'20Ф'!AS:AS)*1.2</f>
        <v>0</v>
      </c>
      <c r="DT220" s="276">
        <f>SUMIF('20Ф'!$H:$H,$B:$B,'20Ф'!AR:AR)*1.2</f>
        <v>224239.16399999999</v>
      </c>
      <c r="DU220" s="276">
        <f>SUMIF('20Ф'!$H:$H,$B:$B,'20Ф'!X:X)*1.2</f>
        <v>4924.1040000000003</v>
      </c>
      <c r="DV220" s="276">
        <f>SUMIF('20Ф'!$H:$H,$B:$B,'20Ф'!AA:AA)*1.2</f>
        <v>0</v>
      </c>
      <c r="DW220" s="276">
        <f>SUMIF('20Ф'!$H:$H,$B:$B,'20Ф'!N:N)*1.2</f>
        <v>0</v>
      </c>
      <c r="DX220" s="276">
        <f>$D220/$D$281*('25Ф'!$D$37)</f>
        <v>381543.64652958355</v>
      </c>
      <c r="DY220" s="276">
        <f>$D220/$D$281*'25Ф'!$D$30</f>
        <v>12177.675463408361</v>
      </c>
      <c r="DZ220" s="276">
        <f>$D220/$D$281*'25Ф'!$D$31</f>
        <v>6687.3258929437898</v>
      </c>
      <c r="EA220" s="276"/>
      <c r="EB220" s="276">
        <f t="shared" si="40"/>
        <v>240378.48566358042</v>
      </c>
      <c r="EC220" s="276">
        <f>$D220/$D$281*'26Ф'!$D$36</f>
        <v>125124.74311965689</v>
      </c>
      <c r="ED220" s="276">
        <f>$D220/$D$281*'26Ф'!$D$37</f>
        <v>15033.604249995942</v>
      </c>
      <c r="EE220" s="276">
        <f>$D220/$D$281*'26Ф'!$D$38</f>
        <v>15187.788654852169</v>
      </c>
      <c r="EF220" s="276">
        <f>$D220/$D$281*'26Ф'!$D$39</f>
        <v>10654.21987984266</v>
      </c>
      <c r="EG220" s="276">
        <f>$D220/$D$281*'91Ф'!$D$10</f>
        <v>3286.8224019008162</v>
      </c>
      <c r="EH220" s="276">
        <f>$D220/$D$281*('20Ф'!$I$509+'26Ф'!$D$41+'20Ф'!$I$507)</f>
        <v>23253.186194062117</v>
      </c>
      <c r="EI220" s="276">
        <f>$D220/$D$281*'91Ф'!$D$31</f>
        <v>42626.505714745836</v>
      </c>
      <c r="EJ220" s="276">
        <f>$D220/$D$281*'20Ф'!$I$1316</f>
        <v>5211.6154485240013</v>
      </c>
      <c r="EK220" s="276">
        <f>$D220/$D$281*('20Ф'!$I$1105+'20Ф'!$I$1282+'91Ф'!$D$17+'91Ф'!$D$41)</f>
        <v>171155.25759107107</v>
      </c>
      <c r="EL220" s="276">
        <f>$D220/$D$281*отчёт!BX$294</f>
        <v>286119.39241267688</v>
      </c>
      <c r="EM220" s="276">
        <f>$D220/$D$281*отчёт!BY$294</f>
        <v>251626.64729881161</v>
      </c>
      <c r="EN220" s="276">
        <f>SUMIF(отчёт!$B:$B,$B:$B,отчёт!BZ:BZ)/отчёт!BZ$281*('60Ф'!$O$151+'60Ф'!$P$151)*отчёт!BZ$293</f>
        <v>0</v>
      </c>
      <c r="EO220" s="240">
        <f t="shared" si="45"/>
        <v>0</v>
      </c>
      <c r="EP220" s="276">
        <f>SUMIF('20Ф'!$H:$H,$B:$B,'20Ф'!T:T)*1.2</f>
        <v>0</v>
      </c>
      <c r="EQ220" s="276">
        <f>SUMIF('20Ф'!$H:$H,$B:$B,'20Ф'!U:U)*1.2</f>
        <v>0</v>
      </c>
      <c r="ER220" s="236"/>
      <c r="ES220" s="239">
        <f t="shared" si="43"/>
        <v>95764.269613734417</v>
      </c>
      <c r="ET220" s="276">
        <f>$D220/$D$282*'20Ф'!$I$381</f>
        <v>7319.3548805108485</v>
      </c>
      <c r="EU220" s="276">
        <f>$D220/$D$282*('20Ф'!$I$75+'20Ф'!$I$1098)*1.2</f>
        <v>84541.79813213578</v>
      </c>
      <c r="EV220" s="276">
        <f>$D220/$D$282*('20Ф'!$I$1286)</f>
        <v>3903.1166010877901</v>
      </c>
      <c r="EW220" s="276">
        <f>SUMIF('91.1Ф'!$N:$N,$B:$B,'91.1Ф'!$F:$F)+$D220/$D$281*('91Ф'!$D$12+'91Ф'!$D$11+'91Ф'!$D$19+'91Ф'!$D$20)</f>
        <v>22557.426376807114</v>
      </c>
      <c r="EX220" s="276">
        <f t="shared" si="41"/>
        <v>3421.0722018285774</v>
      </c>
      <c r="EY220" s="276">
        <f>SUMIF('20Ф'!$H:$H,$B:$B,'20Ф'!$AY:$AY)*1.2</f>
        <v>0</v>
      </c>
      <c r="EZ220" s="295">
        <f>D220/$D$286*'20Ф'!$I$1163</f>
        <v>3421.0722018285774</v>
      </c>
      <c r="FA220" s="277">
        <f>SUMIF(отчёт!$B:$B,$B:$B,отчёт!$CU:$CU)/отчёт!$CU$281*'20Ф'!$I$1341</f>
        <v>0</v>
      </c>
      <c r="FB220" s="276">
        <f>SUMIF(Сальдо!$A:$A,$B:$B,Сальдо!$H:$H)-SUMIF(Сальдо!$A:$A,$B:$B,Сальдо!$I:$I)</f>
        <v>190049.35</v>
      </c>
    </row>
    <row r="221" spans="1:158" ht="12" customHeight="1" x14ac:dyDescent="0.25">
      <c r="A221" s="3">
        <f t="shared" si="44"/>
        <v>217</v>
      </c>
      <c r="B221" s="4" t="s">
        <v>266</v>
      </c>
      <c r="C221" s="4" t="s">
        <v>266</v>
      </c>
      <c r="D221" s="5">
        <v>637.70000000000005</v>
      </c>
      <c r="E221" s="6">
        <v>637.70000000000005</v>
      </c>
      <c r="F221" s="6">
        <v>0</v>
      </c>
      <c r="G221" s="6">
        <v>56</v>
      </c>
      <c r="H221" s="5">
        <f>SUMIF(отчёт!$B:$B,$B:$B,отчёт!I:I)</f>
        <v>0</v>
      </c>
      <c r="I221" s="5">
        <f>SUMIF(отчёт!$B:$B,$B:$B,отчёт!J:J)</f>
        <v>0</v>
      </c>
      <c r="J221" s="3" t="s">
        <v>74</v>
      </c>
      <c r="K221" s="105">
        <v>7</v>
      </c>
      <c r="L221" s="105" t="s">
        <v>75</v>
      </c>
      <c r="M221" s="12">
        <v>25.29</v>
      </c>
      <c r="N221" s="8">
        <v>4.32</v>
      </c>
      <c r="O221" s="8">
        <v>5.61</v>
      </c>
      <c r="P221" s="8">
        <v>7.16</v>
      </c>
      <c r="Q221" s="8">
        <v>5.31</v>
      </c>
      <c r="R221" s="8">
        <v>2.67</v>
      </c>
      <c r="S221" s="8">
        <v>0</v>
      </c>
      <c r="T221" s="8">
        <v>0</v>
      </c>
      <c r="U221" s="8">
        <v>0.22</v>
      </c>
      <c r="V221" s="9">
        <v>40</v>
      </c>
      <c r="W221" s="9">
        <v>40</v>
      </c>
      <c r="X221" s="9">
        <v>2604.04</v>
      </c>
      <c r="Y221" s="8">
        <v>195.98199600000001</v>
      </c>
      <c r="Z221" s="9">
        <v>42.3</v>
      </c>
      <c r="AA221" s="9">
        <v>2604.04</v>
      </c>
      <c r="AB221" s="8">
        <v>7.85</v>
      </c>
      <c r="AC221" s="10">
        <v>0</v>
      </c>
      <c r="AD221" s="8">
        <v>6.73</v>
      </c>
      <c r="AE221" s="8">
        <v>10.67</v>
      </c>
      <c r="AF221" s="8">
        <v>14</v>
      </c>
      <c r="AG221" s="7">
        <v>96764.597999999998</v>
      </c>
      <c r="AH221" s="8">
        <v>16529.184000000001</v>
      </c>
      <c r="AI221" s="8">
        <v>21464.982000000004</v>
      </c>
      <c r="AJ221" s="8">
        <v>27395.592000000004</v>
      </c>
      <c r="AK221" s="8">
        <v>20317.121999999999</v>
      </c>
      <c r="AL221" s="8">
        <v>10215.954000000002</v>
      </c>
      <c r="AM221" s="8">
        <v>0</v>
      </c>
      <c r="AN221" s="8">
        <v>0</v>
      </c>
      <c r="AO221" s="8">
        <v>841.76400000000012</v>
      </c>
      <c r="AQ221" s="104">
        <v>33.17</v>
      </c>
      <c r="AR221" s="375">
        <v>13.89</v>
      </c>
      <c r="AS221" s="376"/>
      <c r="AT221" s="14">
        <v>5.9</v>
      </c>
      <c r="AU221" s="14">
        <v>1.53</v>
      </c>
      <c r="AV221" s="14">
        <v>0.32</v>
      </c>
      <c r="AW221" s="14">
        <v>0.6</v>
      </c>
      <c r="AX221" s="14">
        <v>5.01</v>
      </c>
      <c r="AY221" s="14">
        <v>4.99</v>
      </c>
      <c r="AZ221" s="14">
        <v>0</v>
      </c>
      <c r="BA221" s="14">
        <v>0</v>
      </c>
      <c r="BB221" s="14">
        <v>0</v>
      </c>
      <c r="BC221" s="15">
        <v>0.93</v>
      </c>
      <c r="BD221" s="104">
        <v>37.581610000000005</v>
      </c>
      <c r="BE221" s="375">
        <v>15.737370000000004</v>
      </c>
      <c r="BF221" s="376">
        <v>0</v>
      </c>
      <c r="BG221" s="14">
        <v>6.6847000000000012</v>
      </c>
      <c r="BH221" s="14">
        <v>1.7334900000000002</v>
      </c>
      <c r="BI221" s="14">
        <v>0.36256000000000005</v>
      </c>
      <c r="BJ221" s="14">
        <v>0.67980000000000007</v>
      </c>
      <c r="BK221" s="14">
        <v>5.6763300000000001</v>
      </c>
      <c r="BL221" s="14">
        <v>5.65367</v>
      </c>
      <c r="BM221" s="14">
        <v>0</v>
      </c>
      <c r="BN221" s="14">
        <v>0</v>
      </c>
      <c r="BO221" s="14">
        <v>0</v>
      </c>
      <c r="BP221" s="15">
        <v>1.0536900000000002</v>
      </c>
      <c r="BQ221" s="103">
        <v>281962.94497000001</v>
      </c>
      <c r="BR221" s="371">
        <v>118072.51449000003</v>
      </c>
      <c r="BS221" s="371">
        <v>0</v>
      </c>
      <c r="BT221" s="103">
        <v>50153.191900000005</v>
      </c>
      <c r="BU221" s="103">
        <v>13005.827730000001</v>
      </c>
      <c r="BV221" s="103">
        <v>2720.1731200000004</v>
      </c>
      <c r="BW221" s="103">
        <v>5100.3246000000008</v>
      </c>
      <c r="BX221" s="103">
        <v>42587.71041</v>
      </c>
      <c r="BY221" s="103">
        <v>42417.699590000004</v>
      </c>
      <c r="BZ221" s="103">
        <v>0</v>
      </c>
      <c r="CA221" s="103">
        <v>0</v>
      </c>
      <c r="CB221" s="103">
        <v>0</v>
      </c>
      <c r="CC221" s="103">
        <v>7905.5031300000019</v>
      </c>
      <c r="CD221" s="1">
        <v>1</v>
      </c>
      <c r="CF221" s="277">
        <f>SUMIF(Оборот!$A:$A,$B:$B,Оборот!H:H)</f>
        <v>213629.52</v>
      </c>
      <c r="CG221" s="277">
        <f>SUMIF(Оборот!$A:$A,$B:$B,Оборот!I:I)</f>
        <v>190420.09</v>
      </c>
      <c r="CH221" s="277">
        <f t="shared" si="38"/>
        <v>224499.23317877535</v>
      </c>
      <c r="CI221" s="239">
        <f t="shared" si="42"/>
        <v>5608.7850392660503</v>
      </c>
      <c r="CJ221" s="276">
        <f>SUMIF('20Ф'!$H:$H,$B:$B,'20Ф'!M:M)*1.2</f>
        <v>0</v>
      </c>
      <c r="CK221" s="276">
        <f>SUMIF('20Ф'!$H:$H,$B:$B,'20Ф'!O:O)*1.2</f>
        <v>0</v>
      </c>
      <c r="CL221" s="276">
        <f>SUMIF('20Ф'!$H:$H,$B:$B,'20Ф'!Q:Q)*1.2</f>
        <v>0</v>
      </c>
      <c r="CM221" s="276">
        <f>SUMIF('20Ф'!$H:$H,$B:$B,'20Ф'!R:R)*1.2</f>
        <v>0</v>
      </c>
      <c r="CN221" s="276">
        <f>SUMIF('20Ф'!$H:$H,$B:$B,'20Ф'!S:S)*1.2</f>
        <v>0</v>
      </c>
      <c r="CO221" s="276">
        <f>SUMIF('20Ф'!$H:$H,$B:$B,'20Ф'!W:W)*1.2</f>
        <v>0</v>
      </c>
      <c r="CP221" s="276">
        <f>SUMIF('20Ф'!$H:$H,$B:$B,'20Ф'!P:P)*1.2</f>
        <v>0</v>
      </c>
      <c r="CQ221" s="276">
        <f>SUMIF('20Ф'!$H:$H,$B:$B,'20Ф'!Y:Y)*1.2</f>
        <v>0</v>
      </c>
      <c r="CR221" s="276">
        <f>SUMIF('20Ф'!$H:$H,$B:$B,'20Ф'!Z:Z)*1.2</f>
        <v>0</v>
      </c>
      <c r="CS221" s="276">
        <f>SUMIF('20Ф'!$H:$H,$B:$B,'20Ф'!AB:AB)*1.2</f>
        <v>0</v>
      </c>
      <c r="CT221" s="276">
        <f>SUMIF('20Ф'!$H:$H,$B:$B,'20Ф'!AC:AC)*1.2</f>
        <v>0</v>
      </c>
      <c r="CU221" s="276">
        <f>SUMIF('20Ф'!$H:$H,$B:$B,'20Ф'!AD:AD)*1.2</f>
        <v>0</v>
      </c>
      <c r="CV221" s="276">
        <f>SUMIF('20Ф'!$H:$H,$B:$B,'20Ф'!AE:AE)*1.2</f>
        <v>0</v>
      </c>
      <c r="CW221" s="276">
        <f>SUMIF('20Ф'!$H:$H,$B:$B,'20Ф'!AF:AF)*1.2</f>
        <v>0</v>
      </c>
      <c r="CX221" s="276">
        <f>SUMIF('20Ф'!$H:$H,$B:$B,'20Ф'!AG:AG)*1.2</f>
        <v>0</v>
      </c>
      <c r="CY221" s="276">
        <f>SUMIF('20Ф'!$H:$H,$B:$B,'20Ф'!AH:AH)*1.2</f>
        <v>0</v>
      </c>
      <c r="CZ221" s="276">
        <f>SUMIF('20Ф'!$H:$H,$B:$B,'20Ф'!AI:AI)*1.2</f>
        <v>0</v>
      </c>
      <c r="DA221" s="276">
        <f>SUMIF('20Ф'!$H:$H,$B:$B,'20Ф'!AJ:AJ)*1.2</f>
        <v>0</v>
      </c>
      <c r="DB221" s="276">
        <f>SUMIF('20Ф'!$H:$H,$B:$B,'20Ф'!AK:AK)*1.2</f>
        <v>0</v>
      </c>
      <c r="DC221" s="276">
        <f>SUMIF('20Ф'!$H:$H,$B:$B,'20Ф'!AL:AL)*1.2</f>
        <v>0</v>
      </c>
      <c r="DD221" s="276">
        <f>SUMIF('20Ф'!$H:$H,$B:$B,'20Ф'!AM:AM)*1.2</f>
        <v>0</v>
      </c>
      <c r="DE221" s="276">
        <f>SUMIF('20Ф'!$H:$H,$B:$B,'20Ф'!AN:AN)*1.2</f>
        <v>0</v>
      </c>
      <c r="DF221" s="276">
        <f>SUMIF('20Ф'!$H:$H,$B:$B,'20Ф'!AO:AO)*1.2</f>
        <v>0</v>
      </c>
      <c r="DG221" s="276">
        <f>SUMIF('20Ф'!$H:$H,$B:$B,'20Ф'!AP:AP)*1.2</f>
        <v>0</v>
      </c>
      <c r="DH221" s="276">
        <f>SUMIF('20Ф'!$H:$H,$B:$B,'20Ф'!AQ:AQ)*1.2</f>
        <v>0</v>
      </c>
      <c r="DI221" s="276">
        <f>SUMIF('20Ф'!$H:$H,$B:$B,'20Ф'!BA:BA)*1.2</f>
        <v>0</v>
      </c>
      <c r="DJ221" s="276">
        <f>SUMIF('20Ф'!$H:$H,$B:$B,'20Ф'!BB:BB)*1.2</f>
        <v>0</v>
      </c>
      <c r="DK221" s="276">
        <f>SUMIF('20Ф'!$H:$H,$B:$B,'20Ф'!BC:BC)*1.2</f>
        <v>0</v>
      </c>
      <c r="DL221" s="276">
        <f>$D221/$D$281*'20Ф'!$H$218</f>
        <v>5608.7850392660503</v>
      </c>
      <c r="DM221" s="240">
        <f t="shared" si="39"/>
        <v>78061.737497053517</v>
      </c>
      <c r="DN221" s="276">
        <f>SUMIF('20Ф'!$H:$H,$B:$B,'20Ф'!AV:AV)*1.2</f>
        <v>0</v>
      </c>
      <c r="DO221" s="276">
        <f>SUMIF('20Ф'!$H:$H,$B:$B,'20Ф'!AW:AW)*1.2+$D221/$D$281*'26Ф'!$D$42</f>
        <v>2984.7050640333246</v>
      </c>
      <c r="DP221" s="276">
        <f>SUMIF('20Ф'!$H:$H,$B:$B,'20Ф'!AX:AX)*1.2</f>
        <v>0</v>
      </c>
      <c r="DQ221" s="276">
        <f>SUMIF('20Ф'!$H:$H,$B:$B,'20Ф'!AY:AY)*1.2</f>
        <v>0</v>
      </c>
      <c r="DR221" s="276">
        <f>SUMIF('20Ф'!$H:$H,$B:$B,'20Ф'!AU:AU)*1.2</f>
        <v>0</v>
      </c>
      <c r="DS221" s="276">
        <f>SUMIF('20Ф'!$H:$H,$B:$B,'20Ф'!AS:AS)*1.2</f>
        <v>0</v>
      </c>
      <c r="DT221" s="276">
        <f>SUMIF('20Ф'!$H:$H,$B:$B,'20Ф'!AR:AR)*1.2</f>
        <v>22427.315999999999</v>
      </c>
      <c r="DU221" s="276">
        <f>SUMIF('20Ф'!$H:$H,$B:$B,'20Ф'!X:X)*1.2</f>
        <v>0</v>
      </c>
      <c r="DV221" s="276">
        <f>SUMIF('20Ф'!$H:$H,$B:$B,'20Ф'!AA:AA)*1.2</f>
        <v>0</v>
      </c>
      <c r="DW221" s="276">
        <f>SUMIF('20Ф'!$H:$H,$B:$B,'20Ф'!N:N)*1.2</f>
        <v>0</v>
      </c>
      <c r="DX221" s="276">
        <f>$D221/$D$281*('25Ф'!$D$37)</f>
        <v>50169.158190423419</v>
      </c>
      <c r="DY221" s="276">
        <f>$D221/$D$281*'25Ф'!$D$30</f>
        <v>1601.2420394687438</v>
      </c>
      <c r="DZ221" s="276">
        <f>$D221/$D$281*'25Ф'!$D$31</f>
        <v>879.31620312801681</v>
      </c>
      <c r="EA221" s="276"/>
      <c r="EB221" s="276">
        <f t="shared" si="40"/>
        <v>31607.35706785131</v>
      </c>
      <c r="EC221" s="276">
        <f>$D221/$D$281*'26Ф'!$D$36</f>
        <v>16452.647261207723</v>
      </c>
      <c r="ED221" s="276">
        <f>$D221/$D$281*'26Ф'!$D$37</f>
        <v>1976.7679966642779</v>
      </c>
      <c r="EE221" s="276">
        <f>$D221/$D$281*'26Ф'!$D$38</f>
        <v>1997.0416976368574</v>
      </c>
      <c r="EF221" s="276">
        <f>$D221/$D$281*'26Ф'!$D$39</f>
        <v>1400.9229282394463</v>
      </c>
      <c r="EG221" s="276">
        <f>$D221/$D$281*'91Ф'!$D$10</f>
        <v>432.18414072583431</v>
      </c>
      <c r="EH221" s="276">
        <f>$D221/$D$281*('20Ф'!$I$509+'26Ф'!$D$41+'20Ф'!$I$507)</f>
        <v>3057.560484134071</v>
      </c>
      <c r="EI221" s="276">
        <f>$D221/$D$281*'91Ф'!$D$31</f>
        <v>5604.9574609867268</v>
      </c>
      <c r="EJ221" s="276">
        <f>$D221/$D$281*'20Ф'!$I$1316</f>
        <v>685.27509825637276</v>
      </c>
      <c r="EK221" s="276">
        <f>$D221/$D$281*('20Ф'!$I$1105+'20Ф'!$I$1282+'91Ф'!$D$17+'91Ф'!$D$41)</f>
        <v>22505.197691827714</v>
      </c>
      <c r="EL221" s="276">
        <f>$D221/$D$281*отчёт!BX$294</f>
        <v>37621.826991126254</v>
      </c>
      <c r="EM221" s="276">
        <f>$D221/$D$281*отчёт!BY$294</f>
        <v>33086.377372768402</v>
      </c>
      <c r="EN221" s="276">
        <f>SUMIF(отчёт!$B:$B,$B:$B,отчёт!BZ:BZ)/отчёт!BZ$281*('60Ф'!$O$151+'60Ф'!$P$151)*отчёт!BZ$293</f>
        <v>0</v>
      </c>
      <c r="EO221" s="240">
        <f t="shared" si="45"/>
        <v>0</v>
      </c>
      <c r="EP221" s="276">
        <f>SUMIF('20Ф'!$H:$H,$B:$B,'20Ф'!T:T)*1.2</f>
        <v>0</v>
      </c>
      <c r="EQ221" s="276">
        <f>SUMIF('20Ф'!$H:$H,$B:$B,'20Ф'!U:U)*1.2</f>
        <v>0</v>
      </c>
      <c r="ER221" s="236"/>
      <c r="ES221" s="239">
        <f t="shared" si="43"/>
        <v>12592.039822812994</v>
      </c>
      <c r="ET221" s="276">
        <f>$D221/$D$282*'20Ф'!$I$381</f>
        <v>962.42166837844218</v>
      </c>
      <c r="EU221" s="276">
        <f>$D221/$D$282*('20Ф'!$I$75+'20Ф'!$I$1098)*1.2</f>
        <v>11116.397515127017</v>
      </c>
      <c r="EV221" s="276">
        <f>$D221/$D$282*('20Ф'!$I$1286)</f>
        <v>513.22063930753518</v>
      </c>
      <c r="EW221" s="276">
        <f>SUMIF('91.1Ф'!$N:$N,$B:$B,'91.1Ф'!$F:$F)+$D221/$D$281*('91Ф'!$D$12+'91Ф'!$D$11+'91Ф'!$D$19+'91Ф'!$D$20)</f>
        <v>2966.0750547424432</v>
      </c>
      <c r="EX221" s="276">
        <f t="shared" si="41"/>
        <v>449.83664132667002</v>
      </c>
      <c r="EY221" s="276">
        <f>SUMIF('20Ф'!$H:$H,$B:$B,'20Ф'!$AY:$AY)*1.2</f>
        <v>0</v>
      </c>
      <c r="EZ221" s="295">
        <f>D221/$D$286*'20Ф'!$I$1163</f>
        <v>449.83664132667002</v>
      </c>
      <c r="FA221" s="277">
        <f>SUMIF(отчёт!$B:$B,$B:$B,отчёт!$CU:$CU)/отчёт!$CU$281*'20Ф'!$I$1341</f>
        <v>0</v>
      </c>
      <c r="FB221" s="276">
        <f>SUMIF(Сальдо!$A:$A,$B:$B,Сальдо!$H:$H)-SUMIF(Сальдо!$A:$A,$B:$B,Сальдо!$I:$I)</f>
        <v>107333.72</v>
      </c>
    </row>
    <row r="222" spans="1:158" ht="12" customHeight="1" x14ac:dyDescent="0.25">
      <c r="A222" s="3">
        <f t="shared" si="44"/>
        <v>218</v>
      </c>
      <c r="B222" s="4" t="s">
        <v>267</v>
      </c>
      <c r="C222" s="4" t="s">
        <v>267</v>
      </c>
      <c r="D222" s="5">
        <v>655.20000000000005</v>
      </c>
      <c r="E222" s="6">
        <v>655.20000000000005</v>
      </c>
      <c r="F222" s="6">
        <v>0</v>
      </c>
      <c r="G222" s="6">
        <v>56</v>
      </c>
      <c r="H222" s="5">
        <f>SUMIF(отчёт!$B:$B,$B:$B,отчёт!I:I)</f>
        <v>0</v>
      </c>
      <c r="I222" s="5">
        <f>SUMIF(отчёт!$B:$B,$B:$B,отчёт!J:J)</f>
        <v>0</v>
      </c>
      <c r="J222" s="3" t="s">
        <v>74</v>
      </c>
      <c r="K222" s="105">
        <v>7</v>
      </c>
      <c r="L222" s="105" t="s">
        <v>75</v>
      </c>
      <c r="M222" s="12">
        <v>25.29</v>
      </c>
      <c r="N222" s="8">
        <v>4.32</v>
      </c>
      <c r="O222" s="8">
        <v>5.61</v>
      </c>
      <c r="P222" s="8">
        <v>7.16</v>
      </c>
      <c r="Q222" s="8">
        <v>5.31</v>
      </c>
      <c r="R222" s="8">
        <v>2.67</v>
      </c>
      <c r="S222" s="8">
        <v>0</v>
      </c>
      <c r="T222" s="8">
        <v>0</v>
      </c>
      <c r="U222" s="8">
        <v>0.22</v>
      </c>
      <c r="V222" s="9">
        <v>40</v>
      </c>
      <c r="W222" s="9">
        <v>40</v>
      </c>
      <c r="X222" s="9">
        <v>2604.04</v>
      </c>
      <c r="Y222" s="8">
        <v>195.98199600000001</v>
      </c>
      <c r="Z222" s="9">
        <v>42.3</v>
      </c>
      <c r="AA222" s="9">
        <v>2604.04</v>
      </c>
      <c r="AB222" s="8">
        <v>7.85</v>
      </c>
      <c r="AC222" s="10">
        <v>0</v>
      </c>
      <c r="AD222" s="8">
        <v>6.73</v>
      </c>
      <c r="AE222" s="8">
        <v>10.67</v>
      </c>
      <c r="AF222" s="8">
        <v>14</v>
      </c>
      <c r="AG222" s="7">
        <v>99420.04800000001</v>
      </c>
      <c r="AH222" s="8">
        <v>16982.784000000003</v>
      </c>
      <c r="AI222" s="8">
        <v>22054.032000000003</v>
      </c>
      <c r="AJ222" s="8">
        <v>28147.392</v>
      </c>
      <c r="AK222" s="8">
        <v>20874.671999999999</v>
      </c>
      <c r="AL222" s="8">
        <v>10496.304</v>
      </c>
      <c r="AM222" s="8">
        <v>0</v>
      </c>
      <c r="AN222" s="8">
        <v>0</v>
      </c>
      <c r="AO222" s="8">
        <v>864.86400000000003</v>
      </c>
      <c r="AQ222" s="104">
        <v>33.17</v>
      </c>
      <c r="AR222" s="375">
        <v>13.89</v>
      </c>
      <c r="AS222" s="376"/>
      <c r="AT222" s="104">
        <v>5.9</v>
      </c>
      <c r="AU222" s="104">
        <v>1.53</v>
      </c>
      <c r="AV222" s="104">
        <v>0.32</v>
      </c>
      <c r="AW222" s="104">
        <v>0.6</v>
      </c>
      <c r="AX222" s="104">
        <v>5.01</v>
      </c>
      <c r="AY222" s="104">
        <v>4.99</v>
      </c>
      <c r="AZ222" s="104">
        <v>0</v>
      </c>
      <c r="BA222" s="104">
        <v>0</v>
      </c>
      <c r="BB222" s="104">
        <v>0</v>
      </c>
      <c r="BC222" s="101">
        <v>0.93</v>
      </c>
      <c r="BD222" s="104">
        <v>37.581610000000005</v>
      </c>
      <c r="BE222" s="375">
        <v>15.737370000000004</v>
      </c>
      <c r="BF222" s="376">
        <v>0</v>
      </c>
      <c r="BG222" s="104">
        <v>6.6847000000000012</v>
      </c>
      <c r="BH222" s="104">
        <v>1.7334900000000002</v>
      </c>
      <c r="BI222" s="104">
        <v>0.36256000000000005</v>
      </c>
      <c r="BJ222" s="104">
        <v>0.67980000000000007</v>
      </c>
      <c r="BK222" s="104">
        <v>5.6763300000000001</v>
      </c>
      <c r="BL222" s="104">
        <v>5.65367</v>
      </c>
      <c r="BM222" s="104">
        <v>0</v>
      </c>
      <c r="BN222" s="104">
        <v>0</v>
      </c>
      <c r="BO222" s="104">
        <v>0</v>
      </c>
      <c r="BP222" s="101">
        <v>1.0536900000000002</v>
      </c>
      <c r="BQ222" s="103">
        <v>289700.67672000005</v>
      </c>
      <c r="BR222" s="371">
        <v>121312.70424000004</v>
      </c>
      <c r="BS222" s="371">
        <v>0</v>
      </c>
      <c r="BT222" s="103">
        <v>51529.514400000007</v>
      </c>
      <c r="BU222" s="103">
        <v>13362.73848</v>
      </c>
      <c r="BV222" s="103">
        <v>2794.8211200000001</v>
      </c>
      <c r="BW222" s="103">
        <v>5240.289600000001</v>
      </c>
      <c r="BX222" s="103">
        <v>43756.418160000001</v>
      </c>
      <c r="BY222" s="103">
        <v>43581.741840000002</v>
      </c>
      <c r="BZ222" s="103">
        <v>0</v>
      </c>
      <c r="CA222" s="103">
        <v>0</v>
      </c>
      <c r="CB222" s="103">
        <v>0</v>
      </c>
      <c r="CC222" s="103">
        <v>8122.4488800000017</v>
      </c>
      <c r="CD222" s="1">
        <v>1</v>
      </c>
      <c r="CF222" s="277">
        <f>SUMIF(Оборот!$A:$A,$B:$B,Оборот!H:H)</f>
        <v>219492.28000000003</v>
      </c>
      <c r="CG222" s="277">
        <f>SUMIF(Оборот!$A:$A,$B:$B,Оборот!I:I)</f>
        <v>215740.99000000002</v>
      </c>
      <c r="CH222" s="277">
        <f t="shared" si="38"/>
        <v>368118.02970289096</v>
      </c>
      <c r="CI222" s="239">
        <f t="shared" si="42"/>
        <v>69770.871399289812</v>
      </c>
      <c r="CJ222" s="276">
        <f>SUMIF('20Ф'!$H:$H,$B:$B,'20Ф'!M:M)*1.2</f>
        <v>0</v>
      </c>
      <c r="CK222" s="276">
        <f>SUMIF('20Ф'!$H:$H,$B:$B,'20Ф'!O:O)*1.2</f>
        <v>0</v>
      </c>
      <c r="CL222" s="276">
        <f>SUMIF('20Ф'!$H:$H,$B:$B,'20Ф'!Q:Q)*1.2</f>
        <v>0</v>
      </c>
      <c r="CM222" s="276">
        <f>SUMIF('20Ф'!$H:$H,$B:$B,'20Ф'!R:R)*1.2</f>
        <v>0</v>
      </c>
      <c r="CN222" s="276">
        <f>SUMIF('20Ф'!$H:$H,$B:$B,'20Ф'!S:S)*1.2</f>
        <v>0</v>
      </c>
      <c r="CO222" s="276">
        <f>SUMIF('20Ф'!$H:$H,$B:$B,'20Ф'!W:W)*1.2</f>
        <v>0</v>
      </c>
      <c r="CP222" s="276">
        <f>SUMIF('20Ф'!$H:$H,$B:$B,'20Ф'!P:P)*1.2</f>
        <v>0</v>
      </c>
      <c r="CQ222" s="276">
        <f>SUMIF('20Ф'!$H:$H,$B:$B,'20Ф'!Y:Y)*1.2</f>
        <v>0</v>
      </c>
      <c r="CR222" s="276">
        <f>SUMIF('20Ф'!$H:$H,$B:$B,'20Ф'!Z:Z)*1.2</f>
        <v>0</v>
      </c>
      <c r="CS222" s="276">
        <f>SUMIF('20Ф'!$H:$H,$B:$B,'20Ф'!AB:AB)*1.2</f>
        <v>0</v>
      </c>
      <c r="CT222" s="276">
        <f>SUMIF('20Ф'!$H:$H,$B:$B,'20Ф'!AC:AC)*1.2</f>
        <v>0</v>
      </c>
      <c r="CU222" s="276">
        <f>SUMIF('20Ф'!$H:$H,$B:$B,'20Ф'!AD:AD)*1.2</f>
        <v>0</v>
      </c>
      <c r="CV222" s="276">
        <f>SUMIF('20Ф'!$H:$H,$B:$B,'20Ф'!AE:AE)*1.2</f>
        <v>0</v>
      </c>
      <c r="CW222" s="276">
        <f>SUMIF('20Ф'!$H:$H,$B:$B,'20Ф'!AF:AF)*1.2</f>
        <v>0</v>
      </c>
      <c r="CX222" s="276">
        <f>SUMIF('20Ф'!$H:$H,$B:$B,'20Ф'!AG:AG)*1.2</f>
        <v>0</v>
      </c>
      <c r="CY222" s="276">
        <f>SUMIF('20Ф'!$H:$H,$B:$B,'20Ф'!AH:AH)*1.2</f>
        <v>0</v>
      </c>
      <c r="CZ222" s="276">
        <f>SUMIF('20Ф'!$H:$H,$B:$B,'20Ф'!AI:AI)*1.2</f>
        <v>64008.167999999998</v>
      </c>
      <c r="DA222" s="276">
        <f>SUMIF('20Ф'!$H:$H,$B:$B,'20Ф'!AJ:AJ)*1.2</f>
        <v>0</v>
      </c>
      <c r="DB222" s="276">
        <f>SUMIF('20Ф'!$H:$H,$B:$B,'20Ф'!AK:AK)*1.2</f>
        <v>0</v>
      </c>
      <c r="DC222" s="276">
        <f>SUMIF('20Ф'!$H:$H,$B:$B,'20Ф'!AL:AL)*1.2</f>
        <v>0</v>
      </c>
      <c r="DD222" s="276">
        <f>SUMIF('20Ф'!$H:$H,$B:$B,'20Ф'!AM:AM)*1.2</f>
        <v>0</v>
      </c>
      <c r="DE222" s="276">
        <f>SUMIF('20Ф'!$H:$H,$B:$B,'20Ф'!AN:AN)*1.2</f>
        <v>0</v>
      </c>
      <c r="DF222" s="276">
        <f>SUMIF('20Ф'!$H:$H,$B:$B,'20Ф'!AO:AO)*1.2</f>
        <v>0</v>
      </c>
      <c r="DG222" s="276">
        <f>SUMIF('20Ф'!$H:$H,$B:$B,'20Ф'!AP:AP)*1.2</f>
        <v>0</v>
      </c>
      <c r="DH222" s="276">
        <f>SUMIF('20Ф'!$H:$H,$B:$B,'20Ф'!AQ:AQ)*1.2</f>
        <v>0</v>
      </c>
      <c r="DI222" s="276">
        <f>SUMIF('20Ф'!$H:$H,$B:$B,'20Ф'!BA:BA)*1.2</f>
        <v>0</v>
      </c>
      <c r="DJ222" s="276">
        <f>SUMIF('20Ф'!$H:$H,$B:$B,'20Ф'!BB:BB)*1.2</f>
        <v>0</v>
      </c>
      <c r="DK222" s="276">
        <f>SUMIF('20Ф'!$H:$H,$B:$B,'20Ф'!BC:BC)*1.2</f>
        <v>0</v>
      </c>
      <c r="DL222" s="276">
        <f>$D222/$D$281*'20Ф'!$H$218</f>
        <v>5762.7033992898168</v>
      </c>
      <c r="DM222" s="240">
        <f t="shared" si="39"/>
        <v>153653.77393330634</v>
      </c>
      <c r="DN222" s="276">
        <f>SUMIF('20Ф'!$H:$H,$B:$B,'20Ф'!AV:AV)*1.2</f>
        <v>0</v>
      </c>
      <c r="DO222" s="276">
        <f>SUMIF('20Ф'!$H:$H,$B:$B,'20Ф'!AW:AW)*1.2+$D222/$D$281*'26Ф'!$D$42</f>
        <v>3066.6124477883554</v>
      </c>
      <c r="DP222" s="276">
        <f>SUMIF('20Ф'!$H:$H,$B:$B,'20Ф'!AX:AX)*1.2</f>
        <v>0</v>
      </c>
      <c r="DQ222" s="276">
        <f>SUMIF('20Ф'!$H:$H,$B:$B,'20Ф'!AY:AY)*1.2</f>
        <v>0</v>
      </c>
      <c r="DR222" s="276">
        <f>SUMIF('20Ф'!$H:$H,$B:$B,'20Ф'!AU:AU)*1.2</f>
        <v>0</v>
      </c>
      <c r="DS222" s="276">
        <f>SUMIF('20Ф'!$H:$H,$B:$B,'20Ф'!AS:AS)*1.2</f>
        <v>0</v>
      </c>
      <c r="DT222" s="276">
        <f>SUMIF('20Ф'!$H:$H,$B:$B,'20Ф'!AR:AR)*1.2</f>
        <v>91907.567999999999</v>
      </c>
      <c r="DU222" s="276">
        <f>SUMIF('20Ф'!$H:$H,$B:$B,'20Ф'!X:X)*1.2</f>
        <v>4585.0439999999999</v>
      </c>
      <c r="DV222" s="276">
        <f>SUMIF('20Ф'!$H:$H,$B:$B,'20Ф'!AA:AA)*1.2</f>
        <v>0</v>
      </c>
      <c r="DW222" s="276">
        <f>SUMIF('20Ф'!$H:$H,$B:$B,'20Ф'!N:N)*1.2</f>
        <v>0</v>
      </c>
      <c r="DX222" s="276">
        <f>$D222/$D$281*('25Ф'!$D$37)</f>
        <v>51545.918843289044</v>
      </c>
      <c r="DY222" s="276">
        <f>$D222/$D$281*'25Ф'!$D$30</f>
        <v>1645.1839176100373</v>
      </c>
      <c r="DZ222" s="276">
        <f>$D222/$D$281*'25Ф'!$D$31</f>
        <v>903.44672461890639</v>
      </c>
      <c r="EA222" s="276"/>
      <c r="EB222" s="276">
        <f t="shared" si="40"/>
        <v>32474.737887495961</v>
      </c>
      <c r="EC222" s="276">
        <f>$D222/$D$281*'26Ф'!$D$36</f>
        <v>16904.146911625059</v>
      </c>
      <c r="ED222" s="276">
        <f>$D222/$D$281*'26Ф'!$D$37</f>
        <v>2031.0151974508935</v>
      </c>
      <c r="EE222" s="276">
        <f>$D222/$D$281*'26Ф'!$D$38</f>
        <v>2051.8452568475286</v>
      </c>
      <c r="EF222" s="276">
        <f>$D222/$D$281*'26Ф'!$D$39</f>
        <v>1439.3675750078173</v>
      </c>
      <c r="EG222" s="276">
        <f>$D222/$D$281*'91Ф'!$D$10</f>
        <v>444.04429826496255</v>
      </c>
      <c r="EH222" s="276">
        <f>$D222/$D$281*('20Ф'!$I$509+'26Ф'!$D$41+'20Ф'!$I$507)</f>
        <v>3141.4671933583868</v>
      </c>
      <c r="EI222" s="276">
        <f>$D222/$D$281*'91Ф'!$D$31</f>
        <v>5758.7707831872403</v>
      </c>
      <c r="EJ222" s="276">
        <f>$D222/$D$281*'20Ф'!$I$1316</f>
        <v>704.0806717540778</v>
      </c>
      <c r="EK222" s="276">
        <f>$D222/$D$281*('20Ф'!$I$1105+'20Ф'!$I$1282+'91Ф'!$D$17+'91Ф'!$D$41)</f>
        <v>23122.793676784568</v>
      </c>
      <c r="EL222" s="276">
        <f>$D222/$D$281*отчёт!BX$294</f>
        <v>38654.259125899203</v>
      </c>
      <c r="EM222" s="276">
        <f>$D222/$D$281*отчёт!BY$294</f>
        <v>33994.346016367977</v>
      </c>
      <c r="EN222" s="276">
        <f>SUMIF(отчёт!$B:$B,$B:$B,отчёт!BZ:BZ)/отчёт!BZ$281*('60Ф'!$O$151+'60Ф'!$P$151)*отчёт!BZ$293</f>
        <v>0</v>
      </c>
      <c r="EO222" s="240">
        <f t="shared" si="45"/>
        <v>0</v>
      </c>
      <c r="EP222" s="276">
        <f>SUMIF('20Ф'!$H:$H,$B:$B,'20Ф'!T:T)*1.2</f>
        <v>0</v>
      </c>
      <c r="EQ222" s="276">
        <f>SUMIF('20Ф'!$H:$H,$B:$B,'20Ф'!U:U)*1.2</f>
        <v>0</v>
      </c>
      <c r="ER222" s="236"/>
      <c r="ES222" s="239">
        <f t="shared" si="43"/>
        <v>12937.595251540024</v>
      </c>
      <c r="ET222" s="276">
        <f>$D222/$D$282*'20Ф'!$I$381</f>
        <v>988.83280088059485</v>
      </c>
      <c r="EU222" s="276">
        <f>$D222/$D$282*('20Ф'!$I$75+'20Ф'!$I$1098)*1.2</f>
        <v>11421.457820152456</v>
      </c>
      <c r="EV222" s="276">
        <f>$D222/$D$282*('20Ф'!$I$1286)</f>
        <v>527.30463050697358</v>
      </c>
      <c r="EW222" s="276">
        <f>SUMIF('91.1Ф'!$N:$N,$B:$B,'91.1Ф'!$F:$F)+$D222/$D$281*('91Ф'!$D$12+'91Ф'!$D$11+'91Ф'!$D$19+'91Ф'!$D$20)</f>
        <v>3047.4711868703912</v>
      </c>
      <c r="EX222" s="276">
        <f t="shared" si="41"/>
        <v>462.18122533673227</v>
      </c>
      <c r="EY222" s="276">
        <f>SUMIF('20Ф'!$H:$H,$B:$B,'20Ф'!$AY:$AY)*1.2</f>
        <v>0</v>
      </c>
      <c r="EZ222" s="295">
        <f>D222/$D$286*'20Ф'!$I$1163</f>
        <v>462.18122533673227</v>
      </c>
      <c r="FA222" s="277">
        <f>SUMIF(отчёт!$B:$B,$B:$B,отчёт!$CU:$CU)/отчёт!$CU$281*'20Ф'!$I$1341</f>
        <v>0</v>
      </c>
      <c r="FB222" s="276">
        <f>SUMIF(Сальдо!$A:$A,$B:$B,Сальдо!$H:$H)-SUMIF(Сальдо!$A:$A,$B:$B,Сальдо!$I:$I)</f>
        <v>23804.26</v>
      </c>
    </row>
    <row r="223" spans="1:158" ht="12" customHeight="1" x14ac:dyDescent="0.25">
      <c r="A223" s="3">
        <f t="shared" si="44"/>
        <v>219</v>
      </c>
      <c r="B223" s="4" t="s">
        <v>268</v>
      </c>
      <c r="C223" s="4" t="s">
        <v>268</v>
      </c>
      <c r="D223" s="5">
        <v>228.2</v>
      </c>
      <c r="E223" s="6">
        <v>228.2</v>
      </c>
      <c r="F223" s="6">
        <v>0</v>
      </c>
      <c r="G223" s="6">
        <v>0</v>
      </c>
      <c r="H223" s="5">
        <f>SUMIF(отчёт!$B:$B,$B:$B,отчёт!I:I)</f>
        <v>0</v>
      </c>
      <c r="I223" s="5">
        <f>SUMIF(отчёт!$B:$B,$B:$B,отчёт!J:J)</f>
        <v>0</v>
      </c>
      <c r="J223" s="3" t="s">
        <v>74</v>
      </c>
      <c r="K223" s="105">
        <v>8</v>
      </c>
      <c r="L223" s="105" t="s">
        <v>81</v>
      </c>
      <c r="M223" s="12">
        <v>16.02</v>
      </c>
      <c r="N223" s="8">
        <v>0</v>
      </c>
      <c r="O223" s="8">
        <v>3.25</v>
      </c>
      <c r="P223" s="8">
        <v>6.72</v>
      </c>
      <c r="Q223" s="8">
        <v>4</v>
      </c>
      <c r="R223" s="8">
        <v>2.0499999999999998</v>
      </c>
      <c r="S223" s="8">
        <v>0</v>
      </c>
      <c r="T223" s="8">
        <v>0</v>
      </c>
      <c r="U223" s="8">
        <v>0</v>
      </c>
      <c r="V223" s="9">
        <v>40</v>
      </c>
      <c r="W223" s="9">
        <v>0</v>
      </c>
      <c r="X223" s="9">
        <v>0</v>
      </c>
      <c r="Y223" s="8">
        <v>0</v>
      </c>
      <c r="Z223" s="9">
        <v>42.3</v>
      </c>
      <c r="AA223" s="9">
        <v>2604.04</v>
      </c>
      <c r="AB223" s="8">
        <v>0</v>
      </c>
      <c r="AC223" s="10">
        <v>0</v>
      </c>
      <c r="AD223" s="8">
        <v>5.05</v>
      </c>
      <c r="AE223" s="8">
        <v>10.67</v>
      </c>
      <c r="AF223" s="8">
        <v>14</v>
      </c>
      <c r="AG223" s="7">
        <v>21934.583999999999</v>
      </c>
      <c r="AH223" s="8">
        <v>0</v>
      </c>
      <c r="AI223" s="8">
        <v>4449.8999999999996</v>
      </c>
      <c r="AJ223" s="8">
        <v>9201.0239999999994</v>
      </c>
      <c r="AK223" s="8">
        <v>5476.7999999999993</v>
      </c>
      <c r="AL223" s="8">
        <v>2806.8599999999997</v>
      </c>
      <c r="AM223" s="8">
        <v>0</v>
      </c>
      <c r="AN223" s="8">
        <v>0</v>
      </c>
      <c r="AO223" s="8">
        <v>0</v>
      </c>
      <c r="AP223" s="16" t="s">
        <v>82</v>
      </c>
      <c r="AQ223" s="104">
        <v>16.02</v>
      </c>
      <c r="AR223" s="104">
        <v>0</v>
      </c>
      <c r="AS223" s="104">
        <v>3.25</v>
      </c>
      <c r="AT223" s="104">
        <v>6.72</v>
      </c>
      <c r="AU223" s="104"/>
      <c r="AV223" s="104"/>
      <c r="AW223" s="104"/>
      <c r="AX223" s="104">
        <v>4</v>
      </c>
      <c r="AY223" s="104">
        <v>2.0499999999999998</v>
      </c>
      <c r="AZ223" s="104">
        <v>0</v>
      </c>
      <c r="BA223" s="104">
        <v>0</v>
      </c>
      <c r="BB223" s="104"/>
      <c r="BC223" s="101">
        <v>0</v>
      </c>
      <c r="BD223" s="104">
        <v>16.02</v>
      </c>
      <c r="BE223" s="104">
        <v>0</v>
      </c>
      <c r="BF223" s="104">
        <v>3.25</v>
      </c>
      <c r="BG223" s="104">
        <v>6.72</v>
      </c>
      <c r="BH223" s="104">
        <v>0</v>
      </c>
      <c r="BI223" s="104">
        <v>0</v>
      </c>
      <c r="BJ223" s="104">
        <v>0</v>
      </c>
      <c r="BK223" s="104">
        <v>4</v>
      </c>
      <c r="BL223" s="104">
        <v>2.0499999999999998</v>
      </c>
      <c r="BM223" s="104">
        <v>0</v>
      </c>
      <c r="BN223" s="104">
        <v>0</v>
      </c>
      <c r="BO223" s="104">
        <v>0</v>
      </c>
      <c r="BP223" s="101">
        <v>0</v>
      </c>
      <c r="BQ223" s="103">
        <v>43869.167999999998</v>
      </c>
      <c r="BR223" s="103">
        <v>0</v>
      </c>
      <c r="BS223" s="103">
        <v>8899.7999999999993</v>
      </c>
      <c r="BT223" s="103">
        <v>18402.047999999999</v>
      </c>
      <c r="BU223" s="103">
        <v>0</v>
      </c>
      <c r="BV223" s="103">
        <v>0</v>
      </c>
      <c r="BW223" s="103">
        <v>0</v>
      </c>
      <c r="BX223" s="103">
        <v>10953.599999999999</v>
      </c>
      <c r="BY223" s="103">
        <v>5613.72</v>
      </c>
      <c r="BZ223" s="103">
        <v>0</v>
      </c>
      <c r="CA223" s="103">
        <v>0</v>
      </c>
      <c r="CB223" s="103">
        <v>0</v>
      </c>
      <c r="CC223" s="103">
        <v>0</v>
      </c>
      <c r="CD223" s="1">
        <v>2</v>
      </c>
      <c r="CF223" s="277">
        <f>SUMIF(Оборот!$A:$A,$B:$B,Оборот!H:H)</f>
        <v>43869.120000000017</v>
      </c>
      <c r="CG223" s="277">
        <f>SUMIF(Оборот!$A:$A,$B:$B,Оборот!I:I)</f>
        <v>41352.049999999996</v>
      </c>
      <c r="CH223" s="277">
        <f t="shared" si="38"/>
        <v>76382.634738977227</v>
      </c>
      <c r="CI223" s="239">
        <f t="shared" si="42"/>
        <v>2007.0954147099144</v>
      </c>
      <c r="CJ223" s="276">
        <f>SUMIF('20Ф'!$H:$H,$B:$B,'20Ф'!M:M)*1.2</f>
        <v>0</v>
      </c>
      <c r="CK223" s="276">
        <f>SUMIF('20Ф'!$H:$H,$B:$B,'20Ф'!O:O)*1.2</f>
        <v>0</v>
      </c>
      <c r="CL223" s="276">
        <f>SUMIF('20Ф'!$H:$H,$B:$B,'20Ф'!Q:Q)*1.2</f>
        <v>0</v>
      </c>
      <c r="CM223" s="276">
        <f>SUMIF('20Ф'!$H:$H,$B:$B,'20Ф'!R:R)*1.2</f>
        <v>0</v>
      </c>
      <c r="CN223" s="276">
        <f>SUMIF('20Ф'!$H:$H,$B:$B,'20Ф'!S:S)*1.2</f>
        <v>0</v>
      </c>
      <c r="CO223" s="276">
        <f>SUMIF('20Ф'!$H:$H,$B:$B,'20Ф'!W:W)*1.2</f>
        <v>0</v>
      </c>
      <c r="CP223" s="276">
        <f>SUMIF('20Ф'!$H:$H,$B:$B,'20Ф'!P:P)*1.2</f>
        <v>0</v>
      </c>
      <c r="CQ223" s="276">
        <f>SUMIF('20Ф'!$H:$H,$B:$B,'20Ф'!Y:Y)*1.2</f>
        <v>0</v>
      </c>
      <c r="CR223" s="276">
        <f>SUMIF('20Ф'!$H:$H,$B:$B,'20Ф'!Z:Z)*1.2</f>
        <v>0</v>
      </c>
      <c r="CS223" s="276">
        <f>SUMIF('20Ф'!$H:$H,$B:$B,'20Ф'!AB:AB)*1.2</f>
        <v>0</v>
      </c>
      <c r="CT223" s="276">
        <f>SUMIF('20Ф'!$H:$H,$B:$B,'20Ф'!AC:AC)*1.2</f>
        <v>0</v>
      </c>
      <c r="CU223" s="276">
        <f>SUMIF('20Ф'!$H:$H,$B:$B,'20Ф'!AD:AD)*1.2</f>
        <v>0</v>
      </c>
      <c r="CV223" s="276">
        <f>SUMIF('20Ф'!$H:$H,$B:$B,'20Ф'!AE:AE)*1.2</f>
        <v>0</v>
      </c>
      <c r="CW223" s="276">
        <f>SUMIF('20Ф'!$H:$H,$B:$B,'20Ф'!AF:AF)*1.2</f>
        <v>0</v>
      </c>
      <c r="CX223" s="276">
        <f>SUMIF('20Ф'!$H:$H,$B:$B,'20Ф'!AG:AG)*1.2</f>
        <v>0</v>
      </c>
      <c r="CY223" s="276">
        <f>SUMIF('20Ф'!$H:$H,$B:$B,'20Ф'!AH:AH)*1.2</f>
        <v>0</v>
      </c>
      <c r="CZ223" s="276">
        <f>SUMIF('20Ф'!$H:$H,$B:$B,'20Ф'!AI:AI)*1.2</f>
        <v>0</v>
      </c>
      <c r="DA223" s="276">
        <f>SUMIF('20Ф'!$H:$H,$B:$B,'20Ф'!AJ:AJ)*1.2</f>
        <v>0</v>
      </c>
      <c r="DB223" s="276">
        <f>SUMIF('20Ф'!$H:$H,$B:$B,'20Ф'!AK:AK)*1.2</f>
        <v>0</v>
      </c>
      <c r="DC223" s="276">
        <f>SUMIF('20Ф'!$H:$H,$B:$B,'20Ф'!AL:AL)*1.2</f>
        <v>0</v>
      </c>
      <c r="DD223" s="276">
        <f>SUMIF('20Ф'!$H:$H,$B:$B,'20Ф'!AM:AM)*1.2</f>
        <v>0</v>
      </c>
      <c r="DE223" s="276">
        <f>SUMIF('20Ф'!$H:$H,$B:$B,'20Ф'!AN:AN)*1.2</f>
        <v>0</v>
      </c>
      <c r="DF223" s="276">
        <f>SUMIF('20Ф'!$H:$H,$B:$B,'20Ф'!AO:AO)*1.2</f>
        <v>0</v>
      </c>
      <c r="DG223" s="276">
        <f>SUMIF('20Ф'!$H:$H,$B:$B,'20Ф'!AP:AP)*1.2</f>
        <v>0</v>
      </c>
      <c r="DH223" s="276">
        <f>SUMIF('20Ф'!$H:$H,$B:$B,'20Ф'!AQ:AQ)*1.2</f>
        <v>0</v>
      </c>
      <c r="DI223" s="276">
        <f>SUMIF('20Ф'!$H:$H,$B:$B,'20Ф'!BA:BA)*1.2</f>
        <v>0</v>
      </c>
      <c r="DJ223" s="276">
        <f>SUMIF('20Ф'!$H:$H,$B:$B,'20Ф'!BB:BB)*1.2</f>
        <v>0</v>
      </c>
      <c r="DK223" s="276">
        <f>SUMIF('20Ф'!$H:$H,$B:$B,'20Ф'!BC:BC)*1.2</f>
        <v>0</v>
      </c>
      <c r="DL223" s="276">
        <f>$D223/$D$281*'20Ф'!$H$218</f>
        <v>2007.0954147099144</v>
      </c>
      <c r="DM223" s="240">
        <f t="shared" si="39"/>
        <v>24141.167288737033</v>
      </c>
      <c r="DN223" s="276">
        <f>SUMIF('20Ф'!$H:$H,$B:$B,'20Ф'!AV:AV)*1.2</f>
        <v>0</v>
      </c>
      <c r="DO223" s="276">
        <f>SUMIF('20Ф'!$H:$H,$B:$B,'20Ф'!AW:AW)*1.2+$D223/$D$281*'26Ф'!$D$42</f>
        <v>1068.0722841656022</v>
      </c>
      <c r="DP223" s="276">
        <f>SUMIF('20Ф'!$H:$H,$B:$B,'20Ф'!AX:AX)*1.2</f>
        <v>0</v>
      </c>
      <c r="DQ223" s="276">
        <f>SUMIF('20Ф'!$H:$H,$B:$B,'20Ф'!AY:AY)*1.2</f>
        <v>0</v>
      </c>
      <c r="DR223" s="276">
        <f>SUMIF('20Ф'!$H:$H,$B:$B,'20Ф'!AU:AU)*1.2</f>
        <v>0</v>
      </c>
      <c r="DS223" s="276">
        <f>SUMIF('20Ф'!$H:$H,$B:$B,'20Ф'!AS:AS)*1.2</f>
        <v>0</v>
      </c>
      <c r="DT223" s="276">
        <f>SUMIF('20Ф'!$H:$H,$B:$B,'20Ф'!AR:AR)*1.2</f>
        <v>4232.4719999999998</v>
      </c>
      <c r="DU223" s="276">
        <f>SUMIF('20Ф'!$H:$H,$B:$B,'20Ф'!X:X)*1.2</f>
        <v>0</v>
      </c>
      <c r="DV223" s="276">
        <f>SUMIF('20Ф'!$H:$H,$B:$B,'20Ф'!AA:AA)*1.2</f>
        <v>0</v>
      </c>
      <c r="DW223" s="276">
        <f>SUMIF('20Ф'!$H:$H,$B:$B,'20Ф'!N:N)*1.2</f>
        <v>0</v>
      </c>
      <c r="DX223" s="276">
        <f>$D223/$D$281*('25Ф'!$D$37)</f>
        <v>17952.958913367762</v>
      </c>
      <c r="DY223" s="276">
        <f>$D223/$D$281*'25Ф'!$D$30</f>
        <v>573.00209096247022</v>
      </c>
      <c r="DZ223" s="276">
        <f>$D223/$D$281*'25Ф'!$D$31</f>
        <v>314.66200024120025</v>
      </c>
      <c r="EA223" s="276"/>
      <c r="EB223" s="276">
        <f t="shared" si="40"/>
        <v>11310.645888166327</v>
      </c>
      <c r="EC223" s="276">
        <f>$D223/$D$281*'26Ф'!$D$36</f>
        <v>5887.5554414420603</v>
      </c>
      <c r="ED223" s="276">
        <f>$D223/$D$281*'26Ф'!$D$37</f>
        <v>707.38349825746923</v>
      </c>
      <c r="EE223" s="276">
        <f>$D223/$D$281*'26Ф'!$D$38</f>
        <v>714.63841210715191</v>
      </c>
      <c r="EF223" s="276">
        <f>$D223/$D$281*'26Ф'!$D$39</f>
        <v>501.31819385956027</v>
      </c>
      <c r="EG223" s="276">
        <f>$D223/$D$281*'91Ф'!$D$10</f>
        <v>154.65645431023265</v>
      </c>
      <c r="EH223" s="276">
        <f>$D223/$D$281*('20Ф'!$I$509+'26Ф'!$D$41+'20Ф'!$I$507)</f>
        <v>1094.143488285079</v>
      </c>
      <c r="EI223" s="276">
        <f>$D223/$D$281*'91Ф'!$D$31</f>
        <v>2005.7257214947008</v>
      </c>
      <c r="EJ223" s="276">
        <f>$D223/$D$281*'20Ф'!$I$1316</f>
        <v>245.22467841007406</v>
      </c>
      <c r="EK223" s="276">
        <f>$D223/$D$281*('20Ф'!$I$1105+'20Ф'!$I$1282+'91Ф'!$D$17+'91Ф'!$D$41)</f>
        <v>8053.4516438373585</v>
      </c>
      <c r="EL223" s="276">
        <f>$D223/$D$281*отчёт!BX$294</f>
        <v>13462.91503743925</v>
      </c>
      <c r="EM223" s="276">
        <f>$D223/$D$281*отчёт!BY$294</f>
        <v>11839.911112538417</v>
      </c>
      <c r="EN223" s="276">
        <f>SUMIF(отчёт!$B:$B,$B:$B,отчёт!BZ:BZ)/отчёт!BZ$281*('60Ф'!$O$151+'60Ф'!$P$151)*отчёт!BZ$293</f>
        <v>0</v>
      </c>
      <c r="EO223" s="240">
        <f t="shared" si="45"/>
        <v>0</v>
      </c>
      <c r="EP223" s="276">
        <f>SUMIF('20Ф'!$H:$H,$B:$B,'20Ф'!T:T)*1.2</f>
        <v>0</v>
      </c>
      <c r="EQ223" s="276">
        <f>SUMIF('20Ф'!$H:$H,$B:$B,'20Ф'!U:U)*1.2</f>
        <v>0</v>
      </c>
      <c r="ER223" s="236"/>
      <c r="ES223" s="239">
        <f t="shared" si="43"/>
        <v>4506.0427906004779</v>
      </c>
      <c r="ET223" s="276">
        <f>$D223/$D$282*'20Ф'!$I$381</f>
        <v>344.40116782807036</v>
      </c>
      <c r="EU223" s="276">
        <f>$D223/$D$282*('20Ф'!$I$75+'20Ф'!$I$1098)*1.2</f>
        <v>3977.9863775317308</v>
      </c>
      <c r="EV223" s="276">
        <f>$D223/$D$282*('20Ф'!$I$1286)</f>
        <v>183.65524524067666</v>
      </c>
      <c r="EW223" s="276">
        <f>SUMIF('91.1Ф'!$N:$N,$B:$B,'91.1Ф'!$F:$F)+$D223/$D$281*('91Ф'!$D$12+'91Ф'!$D$11+'91Ф'!$D$19+'91Ф'!$D$20)</f>
        <v>1061.4055629484481</v>
      </c>
      <c r="EX223" s="276">
        <f t="shared" si="41"/>
        <v>0</v>
      </c>
      <c r="EY223" s="276">
        <f>SUMIF('20Ф'!$H:$H,$B:$B,'20Ф'!$AY:$AY)*1.2</f>
        <v>0</v>
      </c>
      <c r="EZ223" s="236"/>
      <c r="FA223" s="277">
        <f>SUMIF(отчёт!$B:$B,$B:$B,отчёт!$CU:$CU)/отчёт!$CU$281*'20Ф'!$I$1341</f>
        <v>0</v>
      </c>
      <c r="FB223" s="276">
        <f>SUMIF(Сальдо!$A:$A,$B:$B,Сальдо!$H:$H)-SUMIF(Сальдо!$A:$A,$B:$B,Сальдо!$I:$I)</f>
        <v>10409.83</v>
      </c>
    </row>
    <row r="224" spans="1:158" ht="12" customHeight="1" x14ac:dyDescent="0.25">
      <c r="A224" s="3">
        <f t="shared" si="44"/>
        <v>220</v>
      </c>
      <c r="B224" s="4" t="s">
        <v>269</v>
      </c>
      <c r="C224" s="4" t="s">
        <v>269</v>
      </c>
      <c r="D224" s="5">
        <v>4601.2</v>
      </c>
      <c r="E224" s="6">
        <v>4601.2</v>
      </c>
      <c r="F224" s="6">
        <v>0</v>
      </c>
      <c r="G224" s="6">
        <v>1142.4000000000001</v>
      </c>
      <c r="H224" s="5">
        <f>SUMIF(отчёт!$B:$B,$B:$B,отчёт!I:I)</f>
        <v>2</v>
      </c>
      <c r="I224" s="5">
        <f>SUMIF(отчёт!$B:$B,$B:$B,отчёт!J:J)</f>
        <v>0</v>
      </c>
      <c r="J224" s="3" t="s">
        <v>74</v>
      </c>
      <c r="K224" s="105">
        <v>3</v>
      </c>
      <c r="L224" s="105" t="s">
        <v>75</v>
      </c>
      <c r="M224" s="12">
        <v>36.75</v>
      </c>
      <c r="N224" s="8">
        <v>4.0199999999999996</v>
      </c>
      <c r="O224" s="8">
        <v>7</v>
      </c>
      <c r="P224" s="8">
        <v>11</v>
      </c>
      <c r="Q224" s="8">
        <v>5.4</v>
      </c>
      <c r="R224" s="8">
        <v>2.67</v>
      </c>
      <c r="S224" s="8">
        <v>1.54</v>
      </c>
      <c r="T224" s="8">
        <v>4.9000000000000004</v>
      </c>
      <c r="U224" s="8">
        <v>0.22</v>
      </c>
      <c r="V224" s="9">
        <v>40</v>
      </c>
      <c r="W224" s="9">
        <v>40</v>
      </c>
      <c r="X224" s="9">
        <v>2604.04</v>
      </c>
      <c r="Y224" s="8">
        <v>195.98199600000001</v>
      </c>
      <c r="Z224" s="9">
        <v>42.3</v>
      </c>
      <c r="AA224" s="9">
        <v>2604.04</v>
      </c>
      <c r="AB224" s="8">
        <v>7.85</v>
      </c>
      <c r="AC224" s="10">
        <v>0</v>
      </c>
      <c r="AD224" s="8">
        <v>6.73</v>
      </c>
      <c r="AE224" s="8">
        <v>10.67</v>
      </c>
      <c r="AF224" s="8">
        <v>14</v>
      </c>
      <c r="AG224" s="7">
        <v>1014564.6000000001</v>
      </c>
      <c r="AH224" s="8">
        <v>110980.94399999999</v>
      </c>
      <c r="AI224" s="8">
        <v>193250.4</v>
      </c>
      <c r="AJ224" s="8">
        <v>303679.19999999995</v>
      </c>
      <c r="AK224" s="8">
        <v>149078.88</v>
      </c>
      <c r="AL224" s="8">
        <v>73711.224000000002</v>
      </c>
      <c r="AM224" s="8">
        <v>42515.088000000003</v>
      </c>
      <c r="AN224" s="8">
        <v>135275.28</v>
      </c>
      <c r="AO224" s="8">
        <v>6073.5839999999998</v>
      </c>
      <c r="AP224" s="1" t="s">
        <v>75</v>
      </c>
      <c r="AQ224" s="104">
        <v>39.51</v>
      </c>
      <c r="AR224" s="104">
        <v>4.3219102040816324</v>
      </c>
      <c r="AS224" s="104">
        <v>7.5257142857142849</v>
      </c>
      <c r="AT224" s="104">
        <v>11.826122448979591</v>
      </c>
      <c r="AU224" s="104"/>
      <c r="AV224" s="104"/>
      <c r="AW224" s="104"/>
      <c r="AX224" s="104">
        <v>5.8055510204081635</v>
      </c>
      <c r="AY224" s="104">
        <v>2.8705224489795915</v>
      </c>
      <c r="AZ224" s="104">
        <v>1.6556571428571427</v>
      </c>
      <c r="BA224" s="104">
        <v>5.2679999999999998</v>
      </c>
      <c r="BB224" s="104"/>
      <c r="BC224" s="101">
        <v>0.23652244897959185</v>
      </c>
      <c r="BD224" s="104">
        <v>39.51</v>
      </c>
      <c r="BE224" s="104">
        <v>4.3219102040816324</v>
      </c>
      <c r="BF224" s="104">
        <v>7.5257142857142849</v>
      </c>
      <c r="BG224" s="104">
        <v>11.826122448979591</v>
      </c>
      <c r="BH224" s="104">
        <v>0</v>
      </c>
      <c r="BI224" s="104">
        <v>0</v>
      </c>
      <c r="BJ224" s="104">
        <v>0</v>
      </c>
      <c r="BK224" s="104">
        <v>5.8055510204081635</v>
      </c>
      <c r="BL224" s="104">
        <v>2.8705224489795915</v>
      </c>
      <c r="BM224" s="104">
        <v>1.6556571428571427</v>
      </c>
      <c r="BN224" s="104">
        <v>5.2679999999999998</v>
      </c>
      <c r="BO224" s="104">
        <v>0</v>
      </c>
      <c r="BP224" s="101">
        <v>0.23652244897959182</v>
      </c>
      <c r="BQ224" s="103">
        <v>2181520.9440000001</v>
      </c>
      <c r="BR224" s="103">
        <v>238631.67877224486</v>
      </c>
      <c r="BS224" s="103">
        <v>415527.79885714286</v>
      </c>
      <c r="BT224" s="103">
        <v>652972.25534693873</v>
      </c>
      <c r="BU224" s="103">
        <v>0</v>
      </c>
      <c r="BV224" s="103">
        <v>0</v>
      </c>
      <c r="BW224" s="103">
        <v>0</v>
      </c>
      <c r="BX224" s="103">
        <v>320550.01626122452</v>
      </c>
      <c r="BY224" s="103">
        <v>158494.17470693876</v>
      </c>
      <c r="BZ224" s="103">
        <v>91416.115748571421</v>
      </c>
      <c r="CA224" s="103">
        <v>290869.45919999998</v>
      </c>
      <c r="CB224" s="103">
        <v>0</v>
      </c>
      <c r="CC224" s="103">
        <v>13059.445106938774</v>
      </c>
      <c r="CD224" s="13">
        <v>2</v>
      </c>
      <c r="CF224" s="277">
        <f>SUMIF(Оборот!$A:$A,$B:$B,Оборот!H:H)</f>
        <v>2052836.8400000005</v>
      </c>
      <c r="CG224" s="277">
        <f>SUMIF(Оборот!$A:$A,$B:$B,Оборот!I:I)</f>
        <v>1996676.31</v>
      </c>
      <c r="CH224" s="277">
        <f t="shared" si="38"/>
        <v>1843837.1844482622</v>
      </c>
      <c r="CI224" s="239">
        <f t="shared" si="42"/>
        <v>182702.93475093454</v>
      </c>
      <c r="CJ224" s="276">
        <f>SUMIF('20Ф'!$H:$H,$B:$B,'20Ф'!M:M)*1.2</f>
        <v>139796.92799999999</v>
      </c>
      <c r="CK224" s="276">
        <f>SUMIF('20Ф'!$H:$H,$B:$B,'20Ф'!O:O)*1.2</f>
        <v>0</v>
      </c>
      <c r="CL224" s="276">
        <f>SUMIF('20Ф'!$H:$H,$B:$B,'20Ф'!Q:Q)*1.2</f>
        <v>0</v>
      </c>
      <c r="CM224" s="276">
        <f>SUMIF('20Ф'!$H:$H,$B:$B,'20Ф'!R:R)*1.2</f>
        <v>0</v>
      </c>
      <c r="CN224" s="276">
        <f>SUMIF('20Ф'!$H:$H,$B:$B,'20Ф'!S:S)*1.2</f>
        <v>0</v>
      </c>
      <c r="CO224" s="276">
        <f>SUMIF('20Ф'!$H:$H,$B:$B,'20Ф'!W:W)*1.2</f>
        <v>0</v>
      </c>
      <c r="CP224" s="276">
        <f>SUMIF('20Ф'!$H:$H,$B:$B,'20Ф'!P:P)*1.2</f>
        <v>0</v>
      </c>
      <c r="CQ224" s="276">
        <f>SUMIF('20Ф'!$H:$H,$B:$B,'20Ф'!Y:Y)*1.2</f>
        <v>0</v>
      </c>
      <c r="CR224" s="276">
        <f>SUMIF('20Ф'!$H:$H,$B:$B,'20Ф'!Z:Z)*1.2</f>
        <v>0</v>
      </c>
      <c r="CS224" s="276">
        <f>SUMIF('20Ф'!$H:$H,$B:$B,'20Ф'!AB:AB)*1.2</f>
        <v>0</v>
      </c>
      <c r="CT224" s="276">
        <f>SUMIF('20Ф'!$H:$H,$B:$B,'20Ф'!AC:AC)*1.2</f>
        <v>0</v>
      </c>
      <c r="CU224" s="276">
        <f>SUMIF('20Ф'!$H:$H,$B:$B,'20Ф'!AD:AD)*1.2</f>
        <v>2436.9119999999998</v>
      </c>
      <c r="CV224" s="276">
        <f>SUMIF('20Ф'!$H:$H,$B:$B,'20Ф'!AE:AE)*1.2</f>
        <v>0</v>
      </c>
      <c r="CW224" s="276">
        <f>SUMIF('20Ф'!$H:$H,$B:$B,'20Ф'!AF:AF)*1.2</f>
        <v>0</v>
      </c>
      <c r="CX224" s="276">
        <f>SUMIF('20Ф'!$H:$H,$B:$B,'20Ф'!AG:AG)*1.2</f>
        <v>0</v>
      </c>
      <c r="CY224" s="276">
        <f>SUMIF('20Ф'!$H:$H,$B:$B,'20Ф'!AH:AH)*1.2</f>
        <v>0</v>
      </c>
      <c r="CZ224" s="276">
        <f>SUMIF('20Ф'!$H:$H,$B:$B,'20Ф'!AI:AI)*1.2</f>
        <v>0</v>
      </c>
      <c r="DA224" s="276">
        <f>SUMIF('20Ф'!$H:$H,$B:$B,'20Ф'!AJ:AJ)*1.2</f>
        <v>0</v>
      </c>
      <c r="DB224" s="276">
        <f>SUMIF('20Ф'!$H:$H,$B:$B,'20Ф'!AK:AK)*1.2</f>
        <v>0</v>
      </c>
      <c r="DC224" s="276">
        <f>SUMIF('20Ф'!$H:$H,$B:$B,'20Ф'!AL:AL)*1.2</f>
        <v>0</v>
      </c>
      <c r="DD224" s="276">
        <f>SUMIF('20Ф'!$H:$H,$B:$B,'20Ф'!AM:AM)*1.2</f>
        <v>0</v>
      </c>
      <c r="DE224" s="276">
        <f>SUMIF('20Ф'!$H:$H,$B:$B,'20Ф'!AN:AN)*1.2</f>
        <v>0</v>
      </c>
      <c r="DF224" s="276">
        <f>SUMIF('20Ф'!$H:$H,$B:$B,'20Ф'!AO:AO)*1.2</f>
        <v>0</v>
      </c>
      <c r="DG224" s="276">
        <f>SUMIF('20Ф'!$H:$H,$B:$B,'20Ф'!AP:AP)*1.2</f>
        <v>0</v>
      </c>
      <c r="DH224" s="276">
        <f>SUMIF('20Ф'!$H:$H,$B:$B,'20Ф'!AQ:AQ)*1.2</f>
        <v>0</v>
      </c>
      <c r="DI224" s="276">
        <f>SUMIF('20Ф'!$H:$H,$B:$B,'20Ф'!BA:BA)*1.2</f>
        <v>0</v>
      </c>
      <c r="DJ224" s="276">
        <f>SUMIF('20Ф'!$H:$H,$B:$B,'20Ф'!BB:BB)*1.2</f>
        <v>0</v>
      </c>
      <c r="DK224" s="276">
        <f>SUMIF('20Ф'!$H:$H,$B:$B,'20Ф'!BC:BC)*1.2</f>
        <v>0</v>
      </c>
      <c r="DL224" s="276">
        <f>$D224/$D$281*'20Ф'!$H$218</f>
        <v>40469.094750934528</v>
      </c>
      <c r="DM224" s="240">
        <f t="shared" si="39"/>
        <v>418291.87173066096</v>
      </c>
      <c r="DN224" s="276">
        <f>SUMIF('20Ф'!$H:$H,$B:$B,'20Ф'!AV:AV)*1.2</f>
        <v>0</v>
      </c>
      <c r="DO224" s="276">
        <f>SUMIF('20Ф'!$H:$H,$B:$B,'20Ф'!AW:AW)*1.2+$D224/$D$281*'26Ф'!$D$42</f>
        <v>21535.557379065594</v>
      </c>
      <c r="DP224" s="276">
        <f>SUMIF('20Ф'!$H:$H,$B:$B,'20Ф'!AX:AX)*1.2</f>
        <v>0</v>
      </c>
      <c r="DQ224" s="276">
        <f>SUMIF('20Ф'!$H:$H,$B:$B,'20Ф'!AY:AY)*1.2</f>
        <v>0</v>
      </c>
      <c r="DR224" s="276">
        <f>SUMIF('20Ф'!$H:$H,$B:$B,'20Ф'!AU:AU)*1.2</f>
        <v>0</v>
      </c>
      <c r="DS224" s="276">
        <f>SUMIF('20Ф'!$H:$H,$B:$B,'20Ф'!AS:AS)*1.2</f>
        <v>0</v>
      </c>
      <c r="DT224" s="276">
        <f>SUMIF('20Ф'!$H:$H,$B:$B,'20Ф'!AR:AR)*1.2</f>
        <v>16872.552</v>
      </c>
      <c r="DU224" s="276">
        <f>SUMIF('20Ф'!$H:$H,$B:$B,'20Ф'!X:X)*1.2</f>
        <v>0</v>
      </c>
      <c r="DV224" s="276">
        <f>SUMIF('20Ф'!$H:$H,$B:$B,'20Ф'!AA:AA)*1.2</f>
        <v>0</v>
      </c>
      <c r="DW224" s="276">
        <f>SUMIF('20Ф'!$H:$H,$B:$B,'20Ф'!N:N)*1.2</f>
        <v>0</v>
      </c>
      <c r="DX224" s="276">
        <f>$D224/$D$281*('25Ф'!$D$37)</f>
        <v>361985.778055161</v>
      </c>
      <c r="DY224" s="276">
        <f>$D224/$D$281*'25Ф'!$D$30</f>
        <v>11553.449697355469</v>
      </c>
      <c r="DZ224" s="276">
        <f>$D224/$D$281*'25Ф'!$D$31</f>
        <v>6344.5345990789247</v>
      </c>
      <c r="EA224" s="276"/>
      <c r="EB224" s="276">
        <f t="shared" si="40"/>
        <v>228056.72156279976</v>
      </c>
      <c r="EC224" s="276">
        <f>$D224/$D$281*'26Ф'!$D$36</f>
        <v>118710.86808572835</v>
      </c>
      <c r="ED224" s="276">
        <f>$D224/$D$281*'26Ф'!$D$37</f>
        <v>14262.984014821506</v>
      </c>
      <c r="EE224" s="276">
        <f>$D224/$D$281*'26Ф'!$D$38</f>
        <v>14409.264950865152</v>
      </c>
      <c r="EF224" s="276">
        <f>$D224/$D$281*'26Ф'!$D$39</f>
        <v>10108.086212035971</v>
      </c>
      <c r="EG224" s="276">
        <f>$D224/$D$281*'91Ф'!$D$10</f>
        <v>3118.3403925164002</v>
      </c>
      <c r="EH224" s="276">
        <f>$D224/$D$281*('20Ф'!$I$509+'26Ф'!$D$41+'20Ф'!$I$507)</f>
        <v>22061.231456166981</v>
      </c>
      <c r="EI224" s="276">
        <f>$D224/$D$281*'91Ф'!$D$31</f>
        <v>40441.477606228822</v>
      </c>
      <c r="EJ224" s="276">
        <f>$D224/$D$281*'20Ф'!$I$1316</f>
        <v>4944.4688444366029</v>
      </c>
      <c r="EK224" s="276">
        <f>$D224/$D$281*('20Ф'!$I$1105+'20Ф'!$I$1282+'91Ф'!$D$17+'91Ф'!$D$41)</f>
        <v>162381.86548476975</v>
      </c>
      <c r="EL224" s="276">
        <f>$D224/$D$281*отчёт!BX$294</f>
        <v>271452.95648670237</v>
      </c>
      <c r="EM224" s="276">
        <f>$D224/$D$281*отчёт!BY$294</f>
        <v>238728.30416744857</v>
      </c>
      <c r="EN224" s="276">
        <f>$D224/$D$283*отчёт!BZ$294</f>
        <v>42844.26809234645</v>
      </c>
      <c r="EO224" s="240">
        <f t="shared" ref="EO224:EO228" si="47">SUBTOTAL(9,EP224:ER224)</f>
        <v>183876.00950099801</v>
      </c>
      <c r="EP224" s="276">
        <f>SUMIF('20Ф'!$H:$H,$B:$B,'20Ф'!T:T)*1.2</f>
        <v>6012.5999999999995</v>
      </c>
      <c r="EQ224" s="276">
        <f>SUM(H224:I224)/SUM($H$284:$I$284)*SUM('60Ф'!$O$155:$P$155)</f>
        <v>172510.26175648702</v>
      </c>
      <c r="ER224" s="276">
        <f>SUM($H224:$I224)/SUM($H$284:$I$284)*SUM('60Ф'!$P$227)</f>
        <v>5353.1477445109776</v>
      </c>
      <c r="ES224" s="239">
        <f t="shared" si="43"/>
        <v>90855.407923360719</v>
      </c>
      <c r="ET224" s="276">
        <f>$D224/$D$282*'20Ф'!$I$381</f>
        <v>6944.1658782231261</v>
      </c>
      <c r="EU224" s="276">
        <f>$D224/$D$282*('20Ф'!$I$75+'20Ф'!$I$1098)*1.2</f>
        <v>80208.198599031544</v>
      </c>
      <c r="EV224" s="276">
        <f>$D224/$D$282*('20Ф'!$I$1286)</f>
        <v>3703.0434461060536</v>
      </c>
      <c r="EW224" s="276">
        <f>SUMIF('91.1Ф'!$N:$N,$B:$B,'91.1Ф'!$F:$F)+$D224/$D$281*('91Ф'!$D$12+'91Ф'!$D$11+'91Ф'!$D$19+'91Ф'!$D$20)</f>
        <v>21401.13617983523</v>
      </c>
      <c r="EX224" s="276">
        <f t="shared" si="41"/>
        <v>3245.7085684056356</v>
      </c>
      <c r="EY224" s="276">
        <f>SUMIF('20Ф'!$H:$H,$B:$B,'20Ф'!$AY:$AY)*1.2</f>
        <v>0</v>
      </c>
      <c r="EZ224" s="295">
        <f>D224/$D$286*'20Ф'!$I$1163</f>
        <v>3245.7085684056356</v>
      </c>
      <c r="FA224" s="277">
        <f>SUMIF(отчёт!$B:$B,$B:$B,отчёт!$CU:$CU)/отчёт!$CU$281*'20Ф'!$I$1341</f>
        <v>920.96385542168503</v>
      </c>
      <c r="FB224" s="276">
        <f>SUMIF(Сальдо!$A:$A,$B:$B,Сальдо!$H:$H)-SUMIF(Сальдо!$A:$A,$B:$B,Сальдо!$I:$I)</f>
        <v>726265.54</v>
      </c>
    </row>
    <row r="225" spans="1:158" ht="12" customHeight="1" x14ac:dyDescent="0.25">
      <c r="A225" s="3">
        <f t="shared" si="44"/>
        <v>221</v>
      </c>
      <c r="B225" s="4" t="s">
        <v>270</v>
      </c>
      <c r="C225" s="4" t="s">
        <v>270</v>
      </c>
      <c r="D225" s="5">
        <v>6918.95</v>
      </c>
      <c r="E225" s="6">
        <v>6614.75</v>
      </c>
      <c r="F225" s="6">
        <v>304.2</v>
      </c>
      <c r="G225" s="6">
        <v>962.4</v>
      </c>
      <c r="H225" s="5">
        <f>SUMIF(отчёт!$B:$B,$B:$B,отчёт!I:I)</f>
        <v>4</v>
      </c>
      <c r="I225" s="5">
        <f>SUMIF(отчёт!$B:$B,$B:$B,отчёт!J:J)</f>
        <v>0</v>
      </c>
      <c r="J225" s="3" t="s">
        <v>74</v>
      </c>
      <c r="K225" s="105">
        <v>1</v>
      </c>
      <c r="L225" s="105" t="s">
        <v>75</v>
      </c>
      <c r="M225" s="12">
        <v>36.54</v>
      </c>
      <c r="N225" s="8">
        <v>4.03</v>
      </c>
      <c r="O225" s="8">
        <v>7</v>
      </c>
      <c r="P225" s="8">
        <v>11</v>
      </c>
      <c r="Q225" s="8">
        <v>5.4</v>
      </c>
      <c r="R225" s="8">
        <v>2.67</v>
      </c>
      <c r="S225" s="8">
        <v>1.54</v>
      </c>
      <c r="T225" s="8">
        <v>4.9000000000000004</v>
      </c>
      <c r="U225" s="8">
        <v>0</v>
      </c>
      <c r="V225" s="9">
        <v>40</v>
      </c>
      <c r="W225" s="9">
        <v>40</v>
      </c>
      <c r="X225" s="9">
        <v>2604.04</v>
      </c>
      <c r="Y225" s="8">
        <v>195.98199600000001</v>
      </c>
      <c r="Z225" s="9">
        <v>42.3</v>
      </c>
      <c r="AA225" s="9">
        <v>2604.04</v>
      </c>
      <c r="AB225" s="8">
        <v>0</v>
      </c>
      <c r="AC225" s="10">
        <v>0</v>
      </c>
      <c r="AD225" s="8">
        <v>5.05</v>
      </c>
      <c r="AE225" s="8">
        <v>10.67</v>
      </c>
      <c r="AF225" s="8">
        <v>14</v>
      </c>
      <c r="AG225" s="7">
        <v>1516910.598</v>
      </c>
      <c r="AH225" s="8">
        <v>167300.21100000001</v>
      </c>
      <c r="AI225" s="8">
        <v>290595.90000000002</v>
      </c>
      <c r="AJ225" s="8">
        <v>456650.69999999995</v>
      </c>
      <c r="AK225" s="8">
        <v>224173.98</v>
      </c>
      <c r="AL225" s="8">
        <v>110841.579</v>
      </c>
      <c r="AM225" s="8">
        <v>63931.097999999998</v>
      </c>
      <c r="AN225" s="8">
        <v>203417.13</v>
      </c>
      <c r="AO225" s="8">
        <v>0</v>
      </c>
      <c r="AP225" s="1" t="s">
        <v>75</v>
      </c>
      <c r="AQ225" s="104">
        <v>39.28</v>
      </c>
      <c r="AR225" s="104">
        <v>4.3321948549534763</v>
      </c>
      <c r="AS225" s="104">
        <v>7.5249042145593874</v>
      </c>
      <c r="AT225" s="104">
        <v>11.824849480021895</v>
      </c>
      <c r="AU225" s="104"/>
      <c r="AV225" s="104"/>
      <c r="AW225" s="104"/>
      <c r="AX225" s="104">
        <v>5.8049261083743851</v>
      </c>
      <c r="AY225" s="104">
        <v>2.870213464696223</v>
      </c>
      <c r="AZ225" s="104">
        <v>1.6554789272030652</v>
      </c>
      <c r="BA225" s="104">
        <v>5.267432950191572</v>
      </c>
      <c r="BB225" s="104"/>
      <c r="BC225" s="101">
        <v>0</v>
      </c>
      <c r="BD225" s="104">
        <v>39.28</v>
      </c>
      <c r="BE225" s="104">
        <v>4.3321948549534763</v>
      </c>
      <c r="BF225" s="104">
        <v>7.5249042145593874</v>
      </c>
      <c r="BG225" s="104">
        <v>11.824849480021895</v>
      </c>
      <c r="BH225" s="104">
        <v>0</v>
      </c>
      <c r="BI225" s="104">
        <v>0</v>
      </c>
      <c r="BJ225" s="104">
        <v>0</v>
      </c>
      <c r="BK225" s="104">
        <v>5.8049261083743851</v>
      </c>
      <c r="BL225" s="104">
        <v>2.870213464696223</v>
      </c>
      <c r="BM225" s="104">
        <v>1.6554789272030652</v>
      </c>
      <c r="BN225" s="104">
        <v>5.267432950191572</v>
      </c>
      <c r="BO225" s="104">
        <v>0</v>
      </c>
      <c r="BP225" s="101">
        <v>0</v>
      </c>
      <c r="BQ225" s="103">
        <v>3261316.2720000003</v>
      </c>
      <c r="BR225" s="103">
        <v>359690.87510016432</v>
      </c>
      <c r="BS225" s="103">
        <v>624773.232183908</v>
      </c>
      <c r="BT225" s="103">
        <v>981786.50771756982</v>
      </c>
      <c r="BU225" s="103">
        <v>0</v>
      </c>
      <c r="BV225" s="103">
        <v>0</v>
      </c>
      <c r="BW225" s="103">
        <v>0</v>
      </c>
      <c r="BX225" s="103">
        <v>481967.92197044339</v>
      </c>
      <c r="BY225" s="103">
        <v>238306.3614187192</v>
      </c>
      <c r="BZ225" s="103">
        <v>137450.11108045978</v>
      </c>
      <c r="CA225" s="103">
        <v>437341.26252873574</v>
      </c>
      <c r="CB225" s="103">
        <v>0</v>
      </c>
      <c r="CC225" s="103">
        <v>0</v>
      </c>
      <c r="CD225" s="13">
        <v>2</v>
      </c>
      <c r="CF225" s="277">
        <f>SUMIF(Оборот!$A:$A,$B:$B,Оборот!H:H)</f>
        <v>2928022.0300000003</v>
      </c>
      <c r="CG225" s="277">
        <f>SUMIF(Оборот!$A:$A,$B:$B,Оборот!I:I)</f>
        <v>3023174.63</v>
      </c>
      <c r="CH225" s="277">
        <f t="shared" si="38"/>
        <v>2841232.4437007708</v>
      </c>
      <c r="CI225" s="239">
        <f t="shared" si="42"/>
        <v>254299.2821192251</v>
      </c>
      <c r="CJ225" s="276">
        <f>SUMIF('20Ф'!$H:$H,$B:$B,'20Ф'!M:M)*1.2</f>
        <v>120214.656</v>
      </c>
      <c r="CK225" s="276">
        <f>SUMIF('20Ф'!$H:$H,$B:$B,'20Ф'!O:O)*1.2</f>
        <v>12928.62</v>
      </c>
      <c r="CL225" s="276">
        <f>SUMIF('20Ф'!$H:$H,$B:$B,'20Ф'!Q:Q)*1.2</f>
        <v>43047</v>
      </c>
      <c r="CM225" s="276">
        <f>SUMIF('20Ф'!$H:$H,$B:$B,'20Ф'!R:R)*1.2</f>
        <v>0</v>
      </c>
      <c r="CN225" s="276">
        <f>SUMIF('20Ф'!$H:$H,$B:$B,'20Ф'!S:S)*1.2</f>
        <v>0</v>
      </c>
      <c r="CO225" s="276">
        <f>SUMIF('20Ф'!$H:$H,$B:$B,'20Ф'!W:W)*1.2</f>
        <v>0</v>
      </c>
      <c r="CP225" s="276">
        <f>SUMIF('20Ф'!$H:$H,$B:$B,'20Ф'!P:P)*1.2</f>
        <v>0</v>
      </c>
      <c r="CQ225" s="276">
        <f>SUMIF('20Ф'!$H:$H,$B:$B,'20Ф'!Y:Y)*1.2</f>
        <v>0</v>
      </c>
      <c r="CR225" s="276">
        <f>SUMIF('20Ф'!$H:$H,$B:$B,'20Ф'!Z:Z)*1.2</f>
        <v>0</v>
      </c>
      <c r="CS225" s="276">
        <f>SUMIF('20Ф'!$H:$H,$B:$B,'20Ф'!AB:AB)*1.2</f>
        <v>0</v>
      </c>
      <c r="CT225" s="276">
        <f>SUMIF('20Ф'!$H:$H,$B:$B,'20Ф'!AC:AC)*1.2</f>
        <v>0</v>
      </c>
      <c r="CU225" s="276">
        <f>SUMIF('20Ф'!$H:$H,$B:$B,'20Ф'!AD:AD)*1.2</f>
        <v>0</v>
      </c>
      <c r="CV225" s="276">
        <f>SUMIF('20Ф'!$H:$H,$B:$B,'20Ф'!AE:AE)*1.2</f>
        <v>0</v>
      </c>
      <c r="CW225" s="276">
        <f>SUMIF('20Ф'!$H:$H,$B:$B,'20Ф'!AF:AF)*1.2</f>
        <v>0</v>
      </c>
      <c r="CX225" s="276">
        <f>SUMIF('20Ф'!$H:$H,$B:$B,'20Ф'!AG:AG)*1.2</f>
        <v>0</v>
      </c>
      <c r="CY225" s="276">
        <f>SUMIF('20Ф'!$H:$H,$B:$B,'20Ф'!AH:AH)*1.2</f>
        <v>0</v>
      </c>
      <c r="CZ225" s="276">
        <f>SUMIF('20Ф'!$H:$H,$B:$B,'20Ф'!AI:AI)*1.2</f>
        <v>0</v>
      </c>
      <c r="DA225" s="276">
        <f>SUMIF('20Ф'!$H:$H,$B:$B,'20Ф'!AJ:AJ)*1.2</f>
        <v>17254.524000000001</v>
      </c>
      <c r="DB225" s="276">
        <f>SUMIF('20Ф'!$H:$H,$B:$B,'20Ф'!AK:AK)*1.2</f>
        <v>0</v>
      </c>
      <c r="DC225" s="276">
        <f>SUMIF('20Ф'!$H:$H,$B:$B,'20Ф'!AL:AL)*1.2</f>
        <v>0</v>
      </c>
      <c r="DD225" s="276">
        <f>SUMIF('20Ф'!$H:$H,$B:$B,'20Ф'!AM:AM)*1.2</f>
        <v>0</v>
      </c>
      <c r="DE225" s="276">
        <f>SUMIF('20Ф'!$H:$H,$B:$B,'20Ф'!AN:AN)*1.2</f>
        <v>0</v>
      </c>
      <c r="DF225" s="276">
        <f>SUMIF('20Ф'!$H:$H,$B:$B,'20Ф'!AO:AO)*1.2</f>
        <v>0</v>
      </c>
      <c r="DG225" s="276">
        <f>SUMIF('20Ф'!$H:$H,$B:$B,'20Ф'!AP:AP)*1.2</f>
        <v>0</v>
      </c>
      <c r="DH225" s="276">
        <f>SUMIF('20Ф'!$H:$H,$B:$B,'20Ф'!AQ:AQ)*1.2</f>
        <v>0</v>
      </c>
      <c r="DI225" s="276">
        <f>SUMIF('20Ф'!$H:$H,$B:$B,'20Ф'!BA:BA)*1.2</f>
        <v>0</v>
      </c>
      <c r="DJ225" s="276">
        <f>SUMIF('20Ф'!$H:$H,$B:$B,'20Ф'!BB:BB)*1.2</f>
        <v>0</v>
      </c>
      <c r="DK225" s="276">
        <f>SUMIF('20Ф'!$H:$H,$B:$B,'20Ф'!BC:BC)*1.2</f>
        <v>0</v>
      </c>
      <c r="DL225" s="276">
        <f>$D225/$D$281*'20Ф'!$H$218</f>
        <v>60854.482119225075</v>
      </c>
      <c r="DM225" s="240">
        <f t="shared" si="39"/>
        <v>630571.40122351923</v>
      </c>
      <c r="DN225" s="276">
        <f>SUMIF('20Ф'!$H:$H,$B:$B,'20Ф'!AV:AV)*1.2</f>
        <v>0</v>
      </c>
      <c r="DO225" s="276">
        <f>SUMIF('20Ф'!$H:$H,$B:$B,'20Ф'!AW:AW)*1.2+$D225/$D$281*'26Ф'!$D$42</f>
        <v>32383.605304678324</v>
      </c>
      <c r="DP225" s="276">
        <f>SUMIF('20Ф'!$H:$H,$B:$B,'20Ф'!AX:AX)*1.2</f>
        <v>0</v>
      </c>
      <c r="DQ225" s="276">
        <f>SUMIF('20Ф'!$H:$H,$B:$B,'20Ф'!AY:AY)*1.2</f>
        <v>0</v>
      </c>
      <c r="DR225" s="276">
        <f>SUMIF('20Ф'!$H:$H,$B:$B,'20Ф'!AU:AU)*1.2</f>
        <v>0</v>
      </c>
      <c r="DS225" s="276">
        <f>SUMIF('20Ф'!$H:$H,$B:$B,'20Ф'!AS:AS)*1.2</f>
        <v>0</v>
      </c>
      <c r="DT225" s="276">
        <f>SUMIF('20Ф'!$H:$H,$B:$B,'20Ф'!AR:AR)*1.2</f>
        <v>26946.216</v>
      </c>
      <c r="DU225" s="276">
        <f>SUMIF('20Ф'!$H:$H,$B:$B,'20Ф'!X:X)*1.2</f>
        <v>0</v>
      </c>
      <c r="DV225" s="276">
        <f>SUMIF('20Ф'!$H:$H,$B:$B,'20Ф'!AA:AA)*1.2</f>
        <v>0</v>
      </c>
      <c r="DW225" s="276">
        <f>SUMIF('20Ф'!$H:$H,$B:$B,'20Ф'!N:N)*1.2</f>
        <v>0</v>
      </c>
      <c r="DX225" s="276">
        <f>$D225/$D$281*('25Ф'!$D$37)</f>
        <v>544327.89252254984</v>
      </c>
      <c r="DY225" s="276">
        <f>$D225/$D$281*'25Ф'!$D$30</f>
        <v>17373.237586611671</v>
      </c>
      <c r="DZ225" s="276">
        <f>$D225/$D$281*'25Ф'!$D$31</f>
        <v>9540.4498096794596</v>
      </c>
      <c r="EA225" s="276"/>
      <c r="EB225" s="276">
        <f t="shared" si="40"/>
        <v>342935.11554745142</v>
      </c>
      <c r="EC225" s="276">
        <f>$D225/$D$281*'26Ф'!$D$36</f>
        <v>178508.77178600151</v>
      </c>
      <c r="ED225" s="276">
        <f>$D225/$D$281*'26Ф'!$D$37</f>
        <v>21447.638279003142</v>
      </c>
      <c r="EE225" s="276">
        <f>$D225/$D$281*'26Ф'!$D$38</f>
        <v>21667.604914324183</v>
      </c>
      <c r="EF225" s="276">
        <f>$D225/$D$281*'26Ф'!$D$39</f>
        <v>15199.80507188696</v>
      </c>
      <c r="EG225" s="276">
        <f>$D225/$D$281*'91Ф'!$D$10</f>
        <v>4689.1335431629459</v>
      </c>
      <c r="EH225" s="276">
        <f>$D225/$D$281*('20Ф'!$I$509+'26Ф'!$D$41+'20Ф'!$I$507)</f>
        <v>33174.075759290303</v>
      </c>
      <c r="EI225" s="276">
        <f>$D225/$D$281*'91Ф'!$D$31</f>
        <v>60812.953465099738</v>
      </c>
      <c r="EJ225" s="276">
        <f>$D225/$D$281*'20Ф'!$I$1316</f>
        <v>7435.1327286826554</v>
      </c>
      <c r="EK225" s="276">
        <f>$D225/$D$281*('20Ф'!$I$1105+'20Ф'!$I$1282+'91Ф'!$D$17+'91Ф'!$D$41)</f>
        <v>244178.04229241231</v>
      </c>
      <c r="EL225" s="276">
        <f>$D225/$D$281*отчёт!BX$294</f>
        <v>408191.21822213102</v>
      </c>
      <c r="EM225" s="276">
        <f>$D225/$D$281*отчёт!BY$294</f>
        <v>358982.26552190044</v>
      </c>
      <c r="EN225" s="276">
        <f>$D225/$D$283*отчёт!BZ$294</f>
        <v>64426.09508770331</v>
      </c>
      <c r="EO225" s="240">
        <f t="shared" si="47"/>
        <v>368845.79500199598</v>
      </c>
      <c r="EP225" s="276">
        <f>SUMIF('20Ф'!$H:$H,$B:$B,'20Ф'!T:T)*1.2</f>
        <v>13118.975999999999</v>
      </c>
      <c r="EQ225" s="276">
        <f>SUM(H225:I225)/SUM($H$284:$I$284)*SUM('60Ф'!$O$155:$P$155)</f>
        <v>345020.52351297403</v>
      </c>
      <c r="ER225" s="276">
        <f>SUM($H225:$I225)/SUM($H$284:$I$284)*SUM('60Ф'!$P$227)</f>
        <v>10706.295489021955</v>
      </c>
      <c r="ES225" s="239">
        <f t="shared" si="43"/>
        <v>136621.75620519358</v>
      </c>
      <c r="ET225" s="276">
        <f>$D225/$D$282*'20Ф'!$I$381</f>
        <v>10442.131727186799</v>
      </c>
      <c r="EU225" s="276">
        <f>$D225/$D$282*('20Ф'!$I$75+'20Ф'!$I$1098)*1.2</f>
        <v>120611.25699747226</v>
      </c>
      <c r="EV225" s="276">
        <f>$D225/$D$282*('20Ф'!$I$1286)</f>
        <v>5568.3674805345299</v>
      </c>
      <c r="EW225" s="276">
        <f>SUMIF('91.1Ф'!$N:$N,$B:$B,'91.1Ф'!$F:$F)+$D225/$D$281*('91Ф'!$D$12+'91Ф'!$D$11+'91Ф'!$D$19+'91Ф'!$D$20)</f>
        <v>32181.472479238237</v>
      </c>
      <c r="EX225" s="276">
        <f t="shared" si="41"/>
        <v>0</v>
      </c>
      <c r="EY225" s="276">
        <f>SUMIF('20Ф'!$H:$H,$B:$B,'20Ф'!$AY:$AY)*1.2</f>
        <v>0</v>
      </c>
      <c r="EZ225" s="236"/>
      <c r="FA225" s="277">
        <f>SUMIF(отчёт!$B:$B,$B:$B,отчёт!$CU:$CU)/отчёт!$CU$281*'20Ф'!$I$1341</f>
        <v>1841.9277108433701</v>
      </c>
      <c r="FB225" s="276">
        <f>SUMIF(Сальдо!$A:$A,$B:$B,Сальдо!$H:$H)-SUMIF(Сальдо!$A:$A,$B:$B,Сальдо!$I:$I)</f>
        <v>259634.49</v>
      </c>
    </row>
    <row r="226" spans="1:158" ht="12" customHeight="1" x14ac:dyDescent="0.25">
      <c r="A226" s="3">
        <f t="shared" si="44"/>
        <v>222</v>
      </c>
      <c r="B226" s="4" t="s">
        <v>271</v>
      </c>
      <c r="C226" s="4" t="s">
        <v>271</v>
      </c>
      <c r="D226" s="5">
        <v>17410.200000000004</v>
      </c>
      <c r="E226" s="6">
        <v>16699.800000000003</v>
      </c>
      <c r="F226" s="6">
        <v>710.4</v>
      </c>
      <c r="G226" s="6">
        <v>4474.6000000000004</v>
      </c>
      <c r="H226" s="5">
        <f>SUMIF(отчёт!$B:$B,$B:$B,отчёт!I:I)</f>
        <v>4</v>
      </c>
      <c r="I226" s="5">
        <f>SUMIF(отчёт!$B:$B,$B:$B,отчёт!J:J)</f>
        <v>4</v>
      </c>
      <c r="J226" s="3" t="s">
        <v>74</v>
      </c>
      <c r="K226" s="105">
        <v>1</v>
      </c>
      <c r="L226" s="105" t="s">
        <v>75</v>
      </c>
      <c r="M226" s="12">
        <v>36.54</v>
      </c>
      <c r="N226" s="8">
        <v>4.03</v>
      </c>
      <c r="O226" s="8">
        <v>7</v>
      </c>
      <c r="P226" s="8">
        <v>11</v>
      </c>
      <c r="Q226" s="8">
        <v>5.4</v>
      </c>
      <c r="R226" s="8">
        <v>2.67</v>
      </c>
      <c r="S226" s="8">
        <v>1.54</v>
      </c>
      <c r="T226" s="8">
        <v>4.9000000000000004</v>
      </c>
      <c r="U226" s="8">
        <v>0</v>
      </c>
      <c r="V226" s="9">
        <v>40</v>
      </c>
      <c r="W226" s="9">
        <v>40</v>
      </c>
      <c r="X226" s="9">
        <v>2604.04</v>
      </c>
      <c r="Y226" s="8">
        <v>195.98199600000001</v>
      </c>
      <c r="Z226" s="9">
        <v>42.3</v>
      </c>
      <c r="AA226" s="9">
        <v>2604.04</v>
      </c>
      <c r="AB226" s="8">
        <v>0</v>
      </c>
      <c r="AC226" s="10">
        <v>0</v>
      </c>
      <c r="AD226" s="8">
        <v>5.05</v>
      </c>
      <c r="AE226" s="8">
        <v>10.67</v>
      </c>
      <c r="AF226" s="8">
        <v>14</v>
      </c>
      <c r="AG226" s="7">
        <v>3817012.2480000006</v>
      </c>
      <c r="AH226" s="8">
        <v>420978.63600000017</v>
      </c>
      <c r="AI226" s="8">
        <v>731228.40000000014</v>
      </c>
      <c r="AJ226" s="8">
        <v>1149073.2000000002</v>
      </c>
      <c r="AK226" s="8">
        <v>564090.48000000021</v>
      </c>
      <c r="AL226" s="8">
        <v>278911.4040000001</v>
      </c>
      <c r="AM226" s="8">
        <v>160870.24800000002</v>
      </c>
      <c r="AN226" s="8">
        <v>511859.88000000012</v>
      </c>
      <c r="AO226" s="8">
        <v>0</v>
      </c>
      <c r="AP226" s="1" t="s">
        <v>75</v>
      </c>
      <c r="AQ226" s="104">
        <v>39.28</v>
      </c>
      <c r="AR226" s="104">
        <v>4.3321948549534763</v>
      </c>
      <c r="AS226" s="104">
        <v>7.5249042145593874</v>
      </c>
      <c r="AT226" s="104">
        <v>11.824849480021895</v>
      </c>
      <c r="AU226" s="104"/>
      <c r="AV226" s="104"/>
      <c r="AW226" s="104"/>
      <c r="AX226" s="104">
        <v>5.8049261083743851</v>
      </c>
      <c r="AY226" s="104">
        <v>2.870213464696223</v>
      </c>
      <c r="AZ226" s="104">
        <v>1.6554789272030652</v>
      </c>
      <c r="BA226" s="104">
        <v>5.267432950191572</v>
      </c>
      <c r="BB226" s="104"/>
      <c r="BC226" s="101">
        <v>0</v>
      </c>
      <c r="BD226" s="104">
        <v>39.28</v>
      </c>
      <c r="BE226" s="104">
        <v>4.3321948549534763</v>
      </c>
      <c r="BF226" s="104">
        <v>7.5249042145593874</v>
      </c>
      <c r="BG226" s="104">
        <v>11.824849480021895</v>
      </c>
      <c r="BH226" s="104">
        <v>0</v>
      </c>
      <c r="BI226" s="104">
        <v>0</v>
      </c>
      <c r="BJ226" s="104">
        <v>0</v>
      </c>
      <c r="BK226" s="104">
        <v>5.8049261083743851</v>
      </c>
      <c r="BL226" s="104">
        <v>2.870213464696223</v>
      </c>
      <c r="BM226" s="104">
        <v>1.6554789272030652</v>
      </c>
      <c r="BN226" s="104">
        <v>5.267432950191572</v>
      </c>
      <c r="BO226" s="104">
        <v>0</v>
      </c>
      <c r="BP226" s="101">
        <v>0</v>
      </c>
      <c r="BQ226" s="103">
        <v>8206471.8720000032</v>
      </c>
      <c r="BR226" s="103">
        <v>905092.54636453255</v>
      </c>
      <c r="BS226" s="103">
        <v>1572121.0482758626</v>
      </c>
      <c r="BT226" s="103">
        <v>2470475.9330049269</v>
      </c>
      <c r="BU226" s="103">
        <v>0</v>
      </c>
      <c r="BV226" s="103">
        <v>0</v>
      </c>
      <c r="BW226" s="103">
        <v>0</v>
      </c>
      <c r="BX226" s="103">
        <v>1212779.094384237</v>
      </c>
      <c r="BY226" s="103">
        <v>599651.88555665035</v>
      </c>
      <c r="BZ226" s="103">
        <v>345866.63062068977</v>
      </c>
      <c r="CA226" s="103">
        <v>1100484.7337931041</v>
      </c>
      <c r="CB226" s="103">
        <v>0</v>
      </c>
      <c r="CC226" s="103">
        <v>0</v>
      </c>
      <c r="CD226" s="13">
        <v>2</v>
      </c>
      <c r="CF226" s="277">
        <f>SUMIF(Оборот!$A:$A,$B:$B,Оборот!H:H)</f>
        <v>7349490.4299999997</v>
      </c>
      <c r="CG226" s="277">
        <f>SUMIF(Оборот!$A:$A,$B:$B,Оборот!I:I)</f>
        <v>7301232.2199999988</v>
      </c>
      <c r="CH226" s="277">
        <f t="shared" si="38"/>
        <v>8029003.9741793387</v>
      </c>
      <c r="CI226" s="239">
        <f t="shared" si="42"/>
        <v>1388807.9469534729</v>
      </c>
      <c r="CJ226" s="276">
        <f>SUMIF('20Ф'!$H:$H,$B:$B,'20Ф'!M:M)*1.2</f>
        <v>0</v>
      </c>
      <c r="CK226" s="276">
        <f>SUMIF('20Ф'!$H:$H,$B:$B,'20Ф'!O:O)*1.2</f>
        <v>44455.896000000001</v>
      </c>
      <c r="CL226" s="276">
        <f>SUMIF('20Ф'!$H:$H,$B:$B,'20Ф'!Q:Q)*1.2</f>
        <v>6668.3399999999992</v>
      </c>
      <c r="CM226" s="276">
        <f>SUMIF('20Ф'!$H:$H,$B:$B,'20Ф'!R:R)*1.2</f>
        <v>0</v>
      </c>
      <c r="CN226" s="276">
        <f>SUMIF('20Ф'!$H:$H,$B:$B,'20Ф'!S:S)*1.2</f>
        <v>0</v>
      </c>
      <c r="CO226" s="276">
        <f>SUMIF('20Ф'!$H:$H,$B:$B,'20Ф'!W:W)*1.2</f>
        <v>0</v>
      </c>
      <c r="CP226" s="276">
        <f>SUMIF('20Ф'!$H:$H,$B:$B,'20Ф'!P:P)*1.2</f>
        <v>0</v>
      </c>
      <c r="CQ226" s="276">
        <f>SUMIF('20Ф'!$H:$H,$B:$B,'20Ф'!Y:Y)*1.2</f>
        <v>0</v>
      </c>
      <c r="CR226" s="276">
        <f>SUMIF('20Ф'!$H:$H,$B:$B,'20Ф'!Z:Z)*1.2</f>
        <v>0</v>
      </c>
      <c r="CS226" s="276">
        <f>SUMIF('20Ф'!$H:$H,$B:$B,'20Ф'!AB:AB)*1.2</f>
        <v>0</v>
      </c>
      <c r="CT226" s="276">
        <f>SUMIF('20Ф'!$H:$H,$B:$B,'20Ф'!AC:AC)*1.2</f>
        <v>0</v>
      </c>
      <c r="CU226" s="276">
        <f>SUMIF('20Ф'!$H:$H,$B:$B,'20Ф'!AD:AD)*1.2</f>
        <v>468713.92800000001</v>
      </c>
      <c r="CV226" s="276">
        <f>SUMIF('20Ф'!$H:$H,$B:$B,'20Ф'!AE:AE)*1.2</f>
        <v>0</v>
      </c>
      <c r="CW226" s="276">
        <f>SUMIF('20Ф'!$H:$H,$B:$B,'20Ф'!AF:AF)*1.2</f>
        <v>0</v>
      </c>
      <c r="CX226" s="276">
        <f>SUMIF('20Ф'!$H:$H,$B:$B,'20Ф'!AG:AG)*1.2</f>
        <v>0</v>
      </c>
      <c r="CY226" s="276">
        <f>SUMIF('20Ф'!$H:$H,$B:$B,'20Ф'!AH:AH)*1.2</f>
        <v>0</v>
      </c>
      <c r="CZ226" s="276">
        <f>SUMIF('20Ф'!$H:$H,$B:$B,'20Ф'!AI:AI)*1.2</f>
        <v>0</v>
      </c>
      <c r="DA226" s="276">
        <f>SUMIF('20Ф'!$H:$H,$B:$B,'20Ф'!AJ:AJ)*1.2</f>
        <v>0</v>
      </c>
      <c r="DB226" s="276">
        <f>SUMIF('20Ф'!$H:$H,$B:$B,'20Ф'!AK:AK)*1.2</f>
        <v>81977.724000000002</v>
      </c>
      <c r="DC226" s="276">
        <f>SUMIF('20Ф'!$H:$H,$B:$B,'20Ф'!AL:AL)*1.2</f>
        <v>633863.5199999999</v>
      </c>
      <c r="DD226" s="276">
        <f>SUMIF('20Ф'!$H:$H,$B:$B,'20Ф'!AM:AM)*1.2</f>
        <v>0</v>
      </c>
      <c r="DE226" s="276">
        <f>SUMIF('20Ф'!$H:$H,$B:$B,'20Ф'!AN:AN)*1.2</f>
        <v>0</v>
      </c>
      <c r="DF226" s="276">
        <f>SUMIF('20Ф'!$H:$H,$B:$B,'20Ф'!AO:AO)*1.2</f>
        <v>0</v>
      </c>
      <c r="DG226" s="276">
        <f>SUMIF('20Ф'!$H:$H,$B:$B,'20Ф'!AP:AP)*1.2</f>
        <v>0</v>
      </c>
      <c r="DH226" s="276">
        <f>SUMIF('20Ф'!$H:$H,$B:$B,'20Ф'!AQ:AQ)*1.2</f>
        <v>0</v>
      </c>
      <c r="DI226" s="276">
        <f>SUMIF('20Ф'!$H:$H,$B:$B,'20Ф'!BA:BA)*1.2</f>
        <v>0</v>
      </c>
      <c r="DJ226" s="276">
        <f>SUMIF('20Ф'!$H:$H,$B:$B,'20Ф'!BB:BB)*1.2</f>
        <v>0</v>
      </c>
      <c r="DK226" s="276">
        <f>SUMIF('20Ф'!$H:$H,$B:$B,'20Ф'!BC:BC)*1.2</f>
        <v>0</v>
      </c>
      <c r="DL226" s="276">
        <f>$D226/$D$281*'20Ф'!$H$218</f>
        <v>153128.53895347309</v>
      </c>
      <c r="DM226" s="240">
        <f t="shared" si="39"/>
        <v>1904546.1527570975</v>
      </c>
      <c r="DN226" s="276">
        <f>SUMIF('20Ф'!$H:$H,$B:$B,'20Ф'!AV:AV)*1.2</f>
        <v>0</v>
      </c>
      <c r="DO226" s="276">
        <f>SUMIF('20Ф'!$H:$H,$B:$B,'20Ф'!AW:AW)*1.2+$D226/$D$281*'26Ф'!$D$42</f>
        <v>81487.081865819331</v>
      </c>
      <c r="DP226" s="276">
        <f>SUMIF('20Ф'!$H:$H,$B:$B,'20Ф'!AX:AX)*1.2</f>
        <v>0</v>
      </c>
      <c r="DQ226" s="276">
        <f>SUMIF('20Ф'!$H:$H,$B:$B,'20Ф'!AY:AY)*1.2</f>
        <v>0</v>
      </c>
      <c r="DR226" s="276">
        <f>SUMIF('20Ф'!$H:$H,$B:$B,'20Ф'!AU:AU)*1.2</f>
        <v>0</v>
      </c>
      <c r="DS226" s="276">
        <f>SUMIF('20Ф'!$H:$H,$B:$B,'20Ф'!AS:AS)*1.2</f>
        <v>0</v>
      </c>
      <c r="DT226" s="276">
        <f>SUMIF('20Ф'!$H:$H,$B:$B,'20Ф'!AR:AR)*1.2</f>
        <v>385640.07599999994</v>
      </c>
      <c r="DU226" s="276">
        <f>SUMIF('20Ф'!$H:$H,$B:$B,'20Ф'!X:X)*1.2</f>
        <v>0</v>
      </c>
      <c r="DV226" s="276">
        <f>SUMIF('20Ф'!$H:$H,$B:$B,'20Ф'!AA:AA)*1.2</f>
        <v>0</v>
      </c>
      <c r="DW226" s="276">
        <f>SUMIF('20Ф'!$H:$H,$B:$B,'20Ф'!N:N)*1.2</f>
        <v>0</v>
      </c>
      <c r="DX226" s="276">
        <f>$D226/$D$281*('25Ф'!$D$37)</f>
        <v>1369695.9039154931</v>
      </c>
      <c r="DY226" s="276">
        <f>$D226/$D$281*'25Ф'!$D$30</f>
        <v>43716.39353231727</v>
      </c>
      <c r="DZ226" s="276">
        <f>$D226/$D$281*'25Ф'!$D$31</f>
        <v>24006.697443467776</v>
      </c>
      <c r="EA226" s="276"/>
      <c r="EB226" s="276">
        <f t="shared" si="40"/>
        <v>862929.91692442365</v>
      </c>
      <c r="EC226" s="276">
        <f>$D226/$D$281*'26Ф'!$D$36</f>
        <v>449182.81221119454</v>
      </c>
      <c r="ED226" s="276">
        <f>$D226/$D$281*'26Ф'!$D$37</f>
        <v>53968.835150579289</v>
      </c>
      <c r="EE226" s="276">
        <f>$D226/$D$281*'26Ф'!$D$38</f>
        <v>54522.338661121561</v>
      </c>
      <c r="EF226" s="276">
        <f>$D226/$D$281*'26Ф'!$D$39</f>
        <v>38247.370809525499</v>
      </c>
      <c r="EG226" s="276">
        <f>$D226/$D$281*'91Ф'!$D$10</f>
        <v>11799.297987870348</v>
      </c>
      <c r="EH226" s="276">
        <f>$D226/$D$281*('20Ф'!$I$509+'26Ф'!$D$41+'20Ф'!$I$507)</f>
        <v>83476.147939267685</v>
      </c>
      <c r="EI226" s="276">
        <f>$D226/$D$281*'91Ф'!$D$31</f>
        <v>153024.04012430785</v>
      </c>
      <c r="EJ226" s="276">
        <f>$D226/$D$281*'20Ф'!$I$1316</f>
        <v>18709.074040556847</v>
      </c>
      <c r="EK226" s="276">
        <f>$D226/$D$281*('20Ф'!$I$1105+'20Ф'!$I$1282+'91Ф'!$D$17+'91Ф'!$D$41)</f>
        <v>614426.8352740457</v>
      </c>
      <c r="EL226" s="276">
        <f>$D226/$D$281*отчёт!BX$294</f>
        <v>1027134.283018514</v>
      </c>
      <c r="EM226" s="276">
        <f>$D226/$D$281*отчёт!BY$294</f>
        <v>903309.46735984401</v>
      </c>
      <c r="EN226" s="276">
        <f>$D226/$D$283*отчёт!BZ$294</f>
        <v>162115.81247095764</v>
      </c>
      <c r="EO226" s="240">
        <f t="shared" si="47"/>
        <v>740972.87000399199</v>
      </c>
      <c r="EP226" s="276">
        <f>SUMIF('20Ф'!$H:$H,$B:$B,'20Ф'!T:T)*1.2</f>
        <v>29519.232</v>
      </c>
      <c r="EQ226" s="276">
        <f>SUM(H226:I226)/SUM($H$284:$I$284)*SUM('60Ф'!$O$155:$P$155)</f>
        <v>690041.04702594806</v>
      </c>
      <c r="ER226" s="276">
        <f>SUM($H226:$I226)/SUM($H$284:$I$284)*SUM('60Ф'!$P$227)</f>
        <v>21412.590978043911</v>
      </c>
      <c r="ES226" s="239">
        <f t="shared" si="43"/>
        <v>343782.23572704848</v>
      </c>
      <c r="ET226" s="276">
        <f>$D226/$D$282*'20Ф'!$I$381</f>
        <v>26275.60566222731</v>
      </c>
      <c r="EU226" s="276">
        <f>$D226/$D$282*('20Ф'!$I$75+'20Ф'!$I$1098)*1.2</f>
        <v>303494.9098602233</v>
      </c>
      <c r="EV226" s="276">
        <f>$D226/$D$282*('20Ф'!$I$1286)</f>
        <v>14011.720204597852</v>
      </c>
      <c r="EW226" s="276">
        <f>SUMIF('91.1Ф'!$N:$N,$B:$B,'91.1Ф'!$F:$F)+$D226/$D$281*('91Ф'!$D$12+'91Ф'!$D$11+'91Ф'!$D$19+'91Ф'!$D$20)</f>
        <v>80978.453689943373</v>
      </c>
      <c r="EX226" s="276">
        <f t="shared" si="41"/>
        <v>0</v>
      </c>
      <c r="EY226" s="276">
        <f>SUMIF('20Ф'!$H:$H,$B:$B,'20Ф'!$AY:$AY)*1.2</f>
        <v>0</v>
      </c>
      <c r="EZ226" s="236"/>
      <c r="FA226" s="277">
        <f>SUMIF(отчёт!$B:$B,$B:$B,отчёт!$CU:$CU)/отчёт!$CU$281*'20Ф'!$I$1341</f>
        <v>3683.8554216867401</v>
      </c>
      <c r="FB226" s="276">
        <f>SUMIF(Сальдо!$A:$A,$B:$B,Сальдо!$H:$H)-SUMIF(Сальдо!$A:$A,$B:$B,Сальдо!$I:$I)</f>
        <v>945012.3899999999</v>
      </c>
    </row>
    <row r="227" spans="1:158" ht="12" customHeight="1" x14ac:dyDescent="0.25">
      <c r="A227" s="3">
        <f t="shared" si="44"/>
        <v>223</v>
      </c>
      <c r="B227" s="4" t="s">
        <v>272</v>
      </c>
      <c r="C227" s="4" t="s">
        <v>272</v>
      </c>
      <c r="D227" s="5">
        <v>8733.14</v>
      </c>
      <c r="E227" s="6">
        <v>8733.14</v>
      </c>
      <c r="F227" s="6">
        <v>0</v>
      </c>
      <c r="G227" s="6">
        <v>2063.9</v>
      </c>
      <c r="H227" s="5">
        <f>SUMIF(отчёт!$B:$B,$B:$B,отчёт!I:I)</f>
        <v>2</v>
      </c>
      <c r="I227" s="5">
        <f>SUMIF(отчёт!$B:$B,$B:$B,отчёт!J:J)</f>
        <v>2</v>
      </c>
      <c r="J227" s="3" t="s">
        <v>74</v>
      </c>
      <c r="K227" s="105">
        <v>3</v>
      </c>
      <c r="L227" s="105" t="s">
        <v>75</v>
      </c>
      <c r="M227" s="12">
        <v>36.75</v>
      </c>
      <c r="N227" s="8">
        <v>4.0199999999999996</v>
      </c>
      <c r="O227" s="8">
        <v>7</v>
      </c>
      <c r="P227" s="8">
        <v>11</v>
      </c>
      <c r="Q227" s="8">
        <v>5.4</v>
      </c>
      <c r="R227" s="8">
        <v>2.67</v>
      </c>
      <c r="S227" s="8">
        <v>1.54</v>
      </c>
      <c r="T227" s="8">
        <v>4.9000000000000004</v>
      </c>
      <c r="U227" s="8">
        <v>0.22</v>
      </c>
      <c r="V227" s="9">
        <v>40</v>
      </c>
      <c r="W227" s="9">
        <v>40</v>
      </c>
      <c r="X227" s="9">
        <v>2604.04</v>
      </c>
      <c r="Y227" s="8">
        <v>195.98199600000001</v>
      </c>
      <c r="Z227" s="9">
        <v>42.3</v>
      </c>
      <c r="AA227" s="9">
        <v>2604.04</v>
      </c>
      <c r="AB227" s="8">
        <v>7.85</v>
      </c>
      <c r="AC227" s="10">
        <v>0</v>
      </c>
      <c r="AD227" s="8">
        <v>6.73</v>
      </c>
      <c r="AE227" s="8">
        <v>10.67</v>
      </c>
      <c r="AF227" s="8">
        <v>14</v>
      </c>
      <c r="AG227" s="7">
        <v>1925657.3699999996</v>
      </c>
      <c r="AH227" s="8">
        <v>210643.33679999999</v>
      </c>
      <c r="AI227" s="8">
        <v>366791.88</v>
      </c>
      <c r="AJ227" s="8">
        <v>576387.24</v>
      </c>
      <c r="AK227" s="8">
        <v>282953.73599999998</v>
      </c>
      <c r="AL227" s="8">
        <v>139904.90279999998</v>
      </c>
      <c r="AM227" s="8">
        <v>80694.213599999988</v>
      </c>
      <c r="AN227" s="8">
        <v>256754.31599999999</v>
      </c>
      <c r="AO227" s="8">
        <v>11527.7448</v>
      </c>
      <c r="AP227" s="1" t="s">
        <v>75</v>
      </c>
      <c r="AQ227" s="104">
        <v>39.51</v>
      </c>
      <c r="AR227" s="104">
        <v>4.3219102040816324</v>
      </c>
      <c r="AS227" s="104">
        <v>7.5257142857142849</v>
      </c>
      <c r="AT227" s="104">
        <v>11.826122448979591</v>
      </c>
      <c r="AU227" s="104"/>
      <c r="AV227" s="104"/>
      <c r="AW227" s="104"/>
      <c r="AX227" s="104">
        <v>5.8055510204081635</v>
      </c>
      <c r="AY227" s="104">
        <v>2.8705224489795915</v>
      </c>
      <c r="AZ227" s="104">
        <v>1.6556571428571427</v>
      </c>
      <c r="BA227" s="104">
        <v>5.2679999999999998</v>
      </c>
      <c r="BB227" s="104"/>
      <c r="BC227" s="101">
        <v>0.23652244897959185</v>
      </c>
      <c r="BD227" s="104">
        <v>39.51</v>
      </c>
      <c r="BE227" s="104">
        <v>4.3219102040816324</v>
      </c>
      <c r="BF227" s="104">
        <v>7.5257142857142849</v>
      </c>
      <c r="BG227" s="104">
        <v>11.826122448979591</v>
      </c>
      <c r="BH227" s="104">
        <v>0</v>
      </c>
      <c r="BI227" s="104">
        <v>0</v>
      </c>
      <c r="BJ227" s="104">
        <v>0</v>
      </c>
      <c r="BK227" s="104">
        <v>5.8055510204081635</v>
      </c>
      <c r="BL227" s="104">
        <v>2.8705224489795915</v>
      </c>
      <c r="BM227" s="104">
        <v>1.6556571428571427</v>
      </c>
      <c r="BN227" s="104">
        <v>5.2679999999999998</v>
      </c>
      <c r="BO227" s="104">
        <v>0</v>
      </c>
      <c r="BP227" s="101">
        <v>0.23652244897959182</v>
      </c>
      <c r="BQ227" s="103">
        <v>4140556.3367999997</v>
      </c>
      <c r="BR227" s="103">
        <v>452926.1625560816</v>
      </c>
      <c r="BS227" s="103">
        <v>788677.39748571417</v>
      </c>
      <c r="BT227" s="103">
        <v>1239350.1960489794</v>
      </c>
      <c r="BU227" s="103">
        <v>0</v>
      </c>
      <c r="BV227" s="103">
        <v>0</v>
      </c>
      <c r="BW227" s="103">
        <v>0</v>
      </c>
      <c r="BX227" s="103">
        <v>608408.27806040819</v>
      </c>
      <c r="BY227" s="103">
        <v>300824.09304097958</v>
      </c>
      <c r="BZ227" s="103">
        <v>173509.02744685713</v>
      </c>
      <c r="CA227" s="103">
        <v>552074.17823999992</v>
      </c>
      <c r="CB227" s="103">
        <v>0</v>
      </c>
      <c r="CC227" s="103">
        <v>24787.003920979587</v>
      </c>
      <c r="CD227" s="13">
        <v>2</v>
      </c>
      <c r="CF227" s="277">
        <f>SUMIF(Оборот!$A:$A,$B:$B,Оборот!H:H)</f>
        <v>2969072.54</v>
      </c>
      <c r="CG227" s="277">
        <f>SUMIF(Оборот!$A:$A,$B:$B,Оборот!I:I)</f>
        <v>3230866.12</v>
      </c>
      <c r="CH227" s="277">
        <f t="shared" si="38"/>
        <v>3603556.7271475387</v>
      </c>
      <c r="CI227" s="239">
        <f t="shared" si="42"/>
        <v>326680.66266616888</v>
      </c>
      <c r="CJ227" s="276">
        <f>SUMIF('20Ф'!$H:$H,$B:$B,'20Ф'!M:M)*1.2</f>
        <v>149535.06</v>
      </c>
      <c r="CK227" s="276">
        <f>SUMIF('20Ф'!$H:$H,$B:$B,'20Ф'!O:O)*1.2</f>
        <v>81974.711999999985</v>
      </c>
      <c r="CL227" s="276">
        <f>SUMIF('20Ф'!$H:$H,$B:$B,'20Ф'!Q:Q)*1.2</f>
        <v>0</v>
      </c>
      <c r="CM227" s="276">
        <f>SUMIF('20Ф'!$H:$H,$B:$B,'20Ф'!R:R)*1.2</f>
        <v>0</v>
      </c>
      <c r="CN227" s="276">
        <f>SUMIF('20Ф'!$H:$H,$B:$B,'20Ф'!S:S)*1.2</f>
        <v>0</v>
      </c>
      <c r="CO227" s="276">
        <f>SUMIF('20Ф'!$H:$H,$B:$B,'20Ф'!W:W)*1.2</f>
        <v>18360</v>
      </c>
      <c r="CP227" s="276">
        <f>SUMIF('20Ф'!$H:$H,$B:$B,'20Ф'!P:P)*1.2</f>
        <v>0</v>
      </c>
      <c r="CQ227" s="276">
        <f>SUMIF('20Ф'!$H:$H,$B:$B,'20Ф'!Y:Y)*1.2</f>
        <v>0</v>
      </c>
      <c r="CR227" s="276">
        <f>SUMIF('20Ф'!$H:$H,$B:$B,'20Ф'!Z:Z)*1.2</f>
        <v>0</v>
      </c>
      <c r="CS227" s="276">
        <f>SUMIF('20Ф'!$H:$H,$B:$B,'20Ф'!AB:AB)*1.2</f>
        <v>0</v>
      </c>
      <c r="CT227" s="276">
        <f>SUMIF('20Ф'!$H:$H,$B:$B,'20Ф'!AC:AC)*1.2</f>
        <v>0</v>
      </c>
      <c r="CU227" s="276">
        <f>SUMIF('20Ф'!$H:$H,$B:$B,'20Ф'!AD:AD)*1.2</f>
        <v>0</v>
      </c>
      <c r="CV227" s="276">
        <f>SUMIF('20Ф'!$H:$H,$B:$B,'20Ф'!AE:AE)*1.2</f>
        <v>0</v>
      </c>
      <c r="CW227" s="276">
        <f>SUMIF('20Ф'!$H:$H,$B:$B,'20Ф'!AF:AF)*1.2</f>
        <v>0</v>
      </c>
      <c r="CX227" s="276">
        <f>SUMIF('20Ф'!$H:$H,$B:$B,'20Ф'!AG:AG)*1.2</f>
        <v>0</v>
      </c>
      <c r="CY227" s="276">
        <f>SUMIF('20Ф'!$H:$H,$B:$B,'20Ф'!AH:AH)*1.2</f>
        <v>0</v>
      </c>
      <c r="CZ227" s="276">
        <f>SUMIF('20Ф'!$H:$H,$B:$B,'20Ф'!AI:AI)*1.2</f>
        <v>0</v>
      </c>
      <c r="DA227" s="276">
        <f>SUMIF('20Ф'!$H:$H,$B:$B,'20Ф'!AJ:AJ)*1.2</f>
        <v>0</v>
      </c>
      <c r="DB227" s="276">
        <f>SUMIF('20Ф'!$H:$H,$B:$B,'20Ф'!AK:AK)*1.2</f>
        <v>0</v>
      </c>
      <c r="DC227" s="276">
        <f>SUMIF('20Ф'!$H:$H,$B:$B,'20Ф'!AL:AL)*1.2</f>
        <v>0</v>
      </c>
      <c r="DD227" s="276">
        <f>SUMIF('20Ф'!$H:$H,$B:$B,'20Ф'!AM:AM)*1.2</f>
        <v>0</v>
      </c>
      <c r="DE227" s="276">
        <f>SUMIF('20Ф'!$H:$H,$B:$B,'20Ф'!AN:AN)*1.2</f>
        <v>0</v>
      </c>
      <c r="DF227" s="276">
        <f>SUMIF('20Ф'!$H:$H,$B:$B,'20Ф'!AO:AO)*1.2</f>
        <v>0</v>
      </c>
      <c r="DG227" s="276">
        <f>SUMIF('20Ф'!$H:$H,$B:$B,'20Ф'!AP:AP)*1.2</f>
        <v>0</v>
      </c>
      <c r="DH227" s="276">
        <f>SUMIF('20Ф'!$H:$H,$B:$B,'20Ф'!AQ:AQ)*1.2</f>
        <v>0</v>
      </c>
      <c r="DI227" s="276">
        <f>SUMIF('20Ф'!$H:$H,$B:$B,'20Ф'!BA:BA)*1.2</f>
        <v>0</v>
      </c>
      <c r="DJ227" s="276">
        <f>SUMIF('20Ф'!$H:$H,$B:$B,'20Ф'!BB:BB)*1.2</f>
        <v>0</v>
      </c>
      <c r="DK227" s="276">
        <f>SUMIF('20Ф'!$H:$H,$B:$B,'20Ф'!BC:BC)*1.2</f>
        <v>0</v>
      </c>
      <c r="DL227" s="276">
        <f>$D227/$D$281*'20Ф'!$H$218</f>
        <v>76810.890666168896</v>
      </c>
      <c r="DM227" s="240">
        <f t="shared" si="39"/>
        <v>899191.51676897879</v>
      </c>
      <c r="DN227" s="276">
        <f>SUMIF('20Ф'!$H:$H,$B:$B,'20Ф'!AV:AV)*1.2</f>
        <v>0</v>
      </c>
      <c r="DO227" s="276">
        <f>SUMIF('20Ф'!$H:$H,$B:$B,'20Ф'!AW:AW)*1.2+$D227/$D$281*'26Ф'!$D$42</f>
        <v>40874.779963794863</v>
      </c>
      <c r="DP227" s="276">
        <f>SUMIF('20Ф'!$H:$H,$B:$B,'20Ф'!AX:AX)*1.2</f>
        <v>0</v>
      </c>
      <c r="DQ227" s="276">
        <f>SUMIF('20Ф'!$H:$H,$B:$B,'20Ф'!AY:AY)*1.2</f>
        <v>0</v>
      </c>
      <c r="DR227" s="276">
        <f>SUMIF('20Ф'!$H:$H,$B:$B,'20Ф'!AU:AU)*1.2</f>
        <v>0</v>
      </c>
      <c r="DS227" s="276">
        <f>SUMIF('20Ф'!$H:$H,$B:$B,'20Ф'!AS:AS)*1.2</f>
        <v>0</v>
      </c>
      <c r="DT227" s="276">
        <f>SUMIF('20Ф'!$H:$H,$B:$B,'20Ф'!AR:AR)*1.2</f>
        <v>137292.204</v>
      </c>
      <c r="DU227" s="276">
        <f>SUMIF('20Ф'!$H:$H,$B:$B,'20Ф'!X:X)*1.2</f>
        <v>0</v>
      </c>
      <c r="DV227" s="276">
        <f>SUMIF('20Ф'!$H:$H,$B:$B,'20Ф'!AA:AA)*1.2</f>
        <v>0</v>
      </c>
      <c r="DW227" s="276">
        <f>SUMIF('20Ф'!$H:$H,$B:$B,'20Ф'!N:N)*1.2</f>
        <v>0</v>
      </c>
      <c r="DX227" s="276">
        <f>$D227/$D$281*('25Ф'!$D$37)</f>
        <v>687053.91588382353</v>
      </c>
      <c r="DY227" s="276">
        <f>$D227/$D$281*'25Ф'!$D$30</f>
        <v>21928.604209763311</v>
      </c>
      <c r="DZ227" s="276">
        <f>$D227/$D$281*'25Ф'!$D$31</f>
        <v>12042.012711597003</v>
      </c>
      <c r="EA227" s="276"/>
      <c r="EB227" s="276">
        <f t="shared" si="40"/>
        <v>432854.7503583738</v>
      </c>
      <c r="EC227" s="276">
        <f>$D227/$D$281*'26Ф'!$D$36</f>
        <v>225314.83754546591</v>
      </c>
      <c r="ED227" s="276">
        <f>$D227/$D$281*'26Ф'!$D$37</f>
        <v>27071.337090150024</v>
      </c>
      <c r="EE227" s="276">
        <f>$D227/$D$281*'26Ф'!$D$38</f>
        <v>27348.980290576044</v>
      </c>
      <c r="EF227" s="276">
        <f>$D227/$D$281*'26Ф'!$D$39</f>
        <v>19185.284713070465</v>
      </c>
      <c r="EG227" s="276">
        <f>$D227/$D$281*'91Ф'!$D$10</f>
        <v>5918.6523549292961</v>
      </c>
      <c r="EH227" s="276">
        <f>$D227/$D$281*('20Ф'!$I$509+'26Ф'!$D$41+'20Ф'!$I$507)</f>
        <v>41872.516491156683</v>
      </c>
      <c r="EI227" s="276">
        <f>$D227/$D$281*'91Ф'!$D$31</f>
        <v>76758.472950982614</v>
      </c>
      <c r="EJ227" s="276">
        <f>$D227/$D$281*'20Ф'!$I$1316</f>
        <v>9384.6689220427452</v>
      </c>
      <c r="EK227" s="276">
        <f>$D227/$D$281*('20Ф'!$I$1105+'20Ф'!$I$1282+'91Ф'!$D$17+'91Ф'!$D$41)</f>
        <v>308202.98286091932</v>
      </c>
      <c r="EL227" s="276">
        <f>$D227/$D$281*отчёт!BX$294</f>
        <v>515221.39276977308</v>
      </c>
      <c r="EM227" s="276">
        <f>$D227/$D$281*отчёт!BY$294</f>
        <v>453109.55886658089</v>
      </c>
      <c r="EN227" s="276">
        <f>$D227/$D$283*отчёт!BZ$294</f>
        <v>81319.001879508491</v>
      </c>
      <c r="EO227" s="240">
        <f t="shared" si="47"/>
        <v>367752.01900199603</v>
      </c>
      <c r="EP227" s="276">
        <f>SUMIF('20Ф'!$H:$H,$B:$B,'20Ф'!T:T)*1.2</f>
        <v>12025.199999999999</v>
      </c>
      <c r="EQ227" s="276">
        <f>SUM(H227:I227)/SUM($H$284:$I$284)*SUM('60Ф'!$O$155:$P$155)</f>
        <v>345020.52351297403</v>
      </c>
      <c r="ER227" s="276">
        <f>SUM($H227:$I227)/SUM($H$284:$I$284)*SUM('60Ф'!$P$227)</f>
        <v>10706.295489021955</v>
      </c>
      <c r="ES227" s="239">
        <f t="shared" si="43"/>
        <v>172444.79639046738</v>
      </c>
      <c r="ET227" s="276">
        <f>$D227/$D$282*'20Ф'!$I$381</f>
        <v>13180.121011419958</v>
      </c>
      <c r="EU227" s="276">
        <f>$D227/$D$282*('20Ф'!$I$75+'20Ф'!$I$1098)*1.2</f>
        <v>152236.24869884952</v>
      </c>
      <c r="EV227" s="276">
        <f>$D227/$D$282*('20Ф'!$I$1286)</f>
        <v>7028.4266801979102</v>
      </c>
      <c r="EW227" s="276">
        <f>SUMIF('91.1Ф'!$N:$N,$B:$B,'91.1Ф'!$F:$F)+$D227/$D$281*('91Ф'!$D$12+'91Ф'!$D$11+'91Ф'!$D$19+'91Ф'!$D$20)</f>
        <v>40619.646704678402</v>
      </c>
      <c r="EX227" s="276">
        <f t="shared" si="41"/>
        <v>6160.3988800934521</v>
      </c>
      <c r="EY227" s="276">
        <f>SUMIF('20Ф'!$H:$H,$B:$B,'20Ф'!$AY:$AY)*1.2</f>
        <v>0</v>
      </c>
      <c r="EZ227" s="295">
        <f>D227/$D$286*'20Ф'!$I$1163</f>
        <v>6160.3988800934521</v>
      </c>
      <c r="FA227" s="277">
        <f>SUMIF(отчёт!$B:$B,$B:$B,отчёт!$CU:$CU)/отчёт!$CU$281*'20Ф'!$I$1341</f>
        <v>1841.9277108433701</v>
      </c>
      <c r="FB227" s="276">
        <f>SUMIF(Сальдо!$A:$A,$B:$B,Сальдо!$H:$H)-SUMIF(Сальдо!$A:$A,$B:$B,Сальдо!$I:$I)</f>
        <v>404993.66000000003</v>
      </c>
    </row>
    <row r="228" spans="1:158" ht="12" customHeight="1" x14ac:dyDescent="0.25">
      <c r="A228" s="3">
        <f t="shared" si="44"/>
        <v>224</v>
      </c>
      <c r="B228" s="4" t="s">
        <v>273</v>
      </c>
      <c r="C228" s="4" t="s">
        <v>273</v>
      </c>
      <c r="D228" s="5">
        <v>9293.3900000000012</v>
      </c>
      <c r="E228" s="6">
        <v>8850.19</v>
      </c>
      <c r="F228" s="6">
        <v>443.2</v>
      </c>
      <c r="G228" s="6">
        <v>1859</v>
      </c>
      <c r="H228" s="5">
        <f>SUMIF(отчёт!$B:$B,$B:$B,отчёт!I:I)</f>
        <v>3</v>
      </c>
      <c r="I228" s="5">
        <f>SUMIF(отчёт!$B:$B,$B:$B,отчёт!J:J)</f>
        <v>3</v>
      </c>
      <c r="J228" s="3" t="s">
        <v>74</v>
      </c>
      <c r="K228" s="105">
        <v>1</v>
      </c>
      <c r="L228" s="105" t="s">
        <v>75</v>
      </c>
      <c r="M228" s="12">
        <v>36.54</v>
      </c>
      <c r="N228" s="8">
        <v>4.03</v>
      </c>
      <c r="O228" s="8">
        <v>7</v>
      </c>
      <c r="P228" s="8">
        <v>11</v>
      </c>
      <c r="Q228" s="8">
        <v>5.4</v>
      </c>
      <c r="R228" s="8">
        <v>2.67</v>
      </c>
      <c r="S228" s="8">
        <v>1.54</v>
      </c>
      <c r="T228" s="8">
        <v>4.9000000000000004</v>
      </c>
      <c r="U228" s="8">
        <v>0</v>
      </c>
      <c r="V228" s="9">
        <v>40</v>
      </c>
      <c r="W228" s="9">
        <v>40</v>
      </c>
      <c r="X228" s="9">
        <v>2604.04</v>
      </c>
      <c r="Y228" s="8">
        <v>195.98199600000001</v>
      </c>
      <c r="Z228" s="9">
        <v>42.3</v>
      </c>
      <c r="AA228" s="9">
        <v>2604.04</v>
      </c>
      <c r="AB228" s="8">
        <v>0</v>
      </c>
      <c r="AC228" s="10">
        <v>0</v>
      </c>
      <c r="AD228" s="8">
        <v>5.05</v>
      </c>
      <c r="AE228" s="8">
        <v>10.67</v>
      </c>
      <c r="AF228" s="8">
        <v>14</v>
      </c>
      <c r="AG228" s="7">
        <v>2037482.8236000002</v>
      </c>
      <c r="AH228" s="8">
        <v>224714.17020000005</v>
      </c>
      <c r="AI228" s="8">
        <v>390322.38000000006</v>
      </c>
      <c r="AJ228" s="8">
        <v>613363.74</v>
      </c>
      <c r="AK228" s="8">
        <v>301105.83600000007</v>
      </c>
      <c r="AL228" s="8">
        <v>148880.1078</v>
      </c>
      <c r="AM228" s="8">
        <v>85870.923600000009</v>
      </c>
      <c r="AN228" s="8">
        <v>273225.66600000008</v>
      </c>
      <c r="AO228" s="8">
        <v>0</v>
      </c>
      <c r="AP228" s="1" t="s">
        <v>75</v>
      </c>
      <c r="AQ228" s="104">
        <v>39.28</v>
      </c>
      <c r="AR228" s="104">
        <v>4.3321948549534763</v>
      </c>
      <c r="AS228" s="104">
        <v>7.5249042145593874</v>
      </c>
      <c r="AT228" s="104">
        <v>11.824849480021895</v>
      </c>
      <c r="AU228" s="104"/>
      <c r="AV228" s="104"/>
      <c r="AW228" s="104"/>
      <c r="AX228" s="104">
        <v>5.8049261083743851</v>
      </c>
      <c r="AY228" s="104">
        <v>2.870213464696223</v>
      </c>
      <c r="AZ228" s="104">
        <v>1.6554789272030652</v>
      </c>
      <c r="BA228" s="104">
        <v>5.267432950191572</v>
      </c>
      <c r="BB228" s="104"/>
      <c r="BC228" s="101">
        <v>0</v>
      </c>
      <c r="BD228" s="104">
        <v>39.28</v>
      </c>
      <c r="BE228" s="104">
        <v>4.3321948549534763</v>
      </c>
      <c r="BF228" s="104">
        <v>7.5249042145593874</v>
      </c>
      <c r="BG228" s="104">
        <v>11.824849480021895</v>
      </c>
      <c r="BH228" s="104">
        <v>0</v>
      </c>
      <c r="BI228" s="104">
        <v>0</v>
      </c>
      <c r="BJ228" s="104">
        <v>0</v>
      </c>
      <c r="BK228" s="104">
        <v>5.8049261083743851</v>
      </c>
      <c r="BL228" s="104">
        <v>2.870213464696223</v>
      </c>
      <c r="BM228" s="104">
        <v>1.6554789272030652</v>
      </c>
      <c r="BN228" s="104">
        <v>5.267432950191572</v>
      </c>
      <c r="BO228" s="104">
        <v>0</v>
      </c>
      <c r="BP228" s="101">
        <v>0</v>
      </c>
      <c r="BQ228" s="103">
        <v>4380532.3104000017</v>
      </c>
      <c r="BR228" s="103">
        <v>483129.31611691316</v>
      </c>
      <c r="BS228" s="103">
        <v>839182.43494252884</v>
      </c>
      <c r="BT228" s="103">
        <v>1318715.2549096881</v>
      </c>
      <c r="BU228" s="103">
        <v>0</v>
      </c>
      <c r="BV228" s="103">
        <v>0</v>
      </c>
      <c r="BW228" s="103">
        <v>0</v>
      </c>
      <c r="BX228" s="103">
        <v>647369.30695566523</v>
      </c>
      <c r="BY228" s="103">
        <v>320088.15732807881</v>
      </c>
      <c r="BZ228" s="103">
        <v>184620.13568735638</v>
      </c>
      <c r="CA228" s="103">
        <v>587427.70445977035</v>
      </c>
      <c r="CB228" s="103">
        <v>0</v>
      </c>
      <c r="CC228" s="103">
        <v>0</v>
      </c>
      <c r="CD228" s="13">
        <v>2</v>
      </c>
      <c r="CF228" s="277">
        <f>SUMIF(Оборот!$A:$A,$B:$B,Оборот!H:H)</f>
        <v>3864889.7199999993</v>
      </c>
      <c r="CG228" s="277">
        <f>SUMIF(Оборот!$A:$A,$B:$B,Оборот!I:I)</f>
        <v>3875967.2399999998</v>
      </c>
      <c r="CH228" s="277">
        <f t="shared" si="38"/>
        <v>3960098.7860690514</v>
      </c>
      <c r="CI228" s="239">
        <f t="shared" si="42"/>
        <v>279594.84902064409</v>
      </c>
      <c r="CJ228" s="276">
        <f>SUMIF('20Ф'!$H:$H,$B:$B,'20Ф'!M:M)*1.2</f>
        <v>0</v>
      </c>
      <c r="CK228" s="276">
        <f>SUMIF('20Ф'!$H:$H,$B:$B,'20Ф'!O:O)*1.2</f>
        <v>0</v>
      </c>
      <c r="CL228" s="276">
        <f>SUMIF('20Ф'!$H:$H,$B:$B,'20Ф'!Q:Q)*1.2</f>
        <v>7310.0039999999999</v>
      </c>
      <c r="CM228" s="276">
        <f>SUMIF('20Ф'!$H:$H,$B:$B,'20Ф'!R:R)*1.2</f>
        <v>0</v>
      </c>
      <c r="CN228" s="276">
        <f>SUMIF('20Ф'!$H:$H,$B:$B,'20Ф'!S:S)*1.2</f>
        <v>0</v>
      </c>
      <c r="CO228" s="276">
        <f>SUMIF('20Ф'!$H:$H,$B:$B,'20Ф'!W:W)*1.2</f>
        <v>0</v>
      </c>
      <c r="CP228" s="276">
        <f>SUMIF('20Ф'!$H:$H,$B:$B,'20Ф'!P:P)*1.2</f>
        <v>0</v>
      </c>
      <c r="CQ228" s="276">
        <f>SUMIF('20Ф'!$H:$H,$B:$B,'20Ф'!Y:Y)*1.2</f>
        <v>0</v>
      </c>
      <c r="CR228" s="276">
        <f>SUMIF('20Ф'!$H:$H,$B:$B,'20Ф'!Z:Z)*1.2</f>
        <v>0</v>
      </c>
      <c r="CS228" s="276">
        <f>SUMIF('20Ф'!$H:$H,$B:$B,'20Ф'!AB:AB)*1.2</f>
        <v>0</v>
      </c>
      <c r="CT228" s="276">
        <f>SUMIF('20Ф'!$H:$H,$B:$B,'20Ф'!AC:AC)*1.2</f>
        <v>0</v>
      </c>
      <c r="CU228" s="276">
        <f>SUMIF('20Ф'!$H:$H,$B:$B,'20Ф'!AD:AD)*1.2</f>
        <v>0</v>
      </c>
      <c r="CV228" s="276">
        <f>SUMIF('20Ф'!$H:$H,$B:$B,'20Ф'!AE:AE)*1.2</f>
        <v>0</v>
      </c>
      <c r="CW228" s="276">
        <f>SUMIF('20Ф'!$H:$H,$B:$B,'20Ф'!AF:AF)*1.2</f>
        <v>0</v>
      </c>
      <c r="CX228" s="276">
        <f>SUMIF('20Ф'!$H:$H,$B:$B,'20Ф'!AG:AG)*1.2</f>
        <v>0</v>
      </c>
      <c r="CY228" s="276">
        <f>SUMIF('20Ф'!$H:$H,$B:$B,'20Ф'!AH:AH)*1.2</f>
        <v>0</v>
      </c>
      <c r="CZ228" s="276">
        <f>SUMIF('20Ф'!$H:$H,$B:$B,'20Ф'!AI:AI)*1.2</f>
        <v>0</v>
      </c>
      <c r="DA228" s="276">
        <f>SUMIF('20Ф'!$H:$H,$B:$B,'20Ф'!AJ:AJ)*1.2</f>
        <v>0</v>
      </c>
      <c r="DB228" s="276">
        <f>SUMIF('20Ф'!$H:$H,$B:$B,'20Ф'!AK:AK)*1.2</f>
        <v>0</v>
      </c>
      <c r="DC228" s="276">
        <f>SUMIF('20Ф'!$H:$H,$B:$B,'20Ф'!AL:AL)*1.2</f>
        <v>0</v>
      </c>
      <c r="DD228" s="276">
        <f>SUMIF('20Ф'!$H:$H,$B:$B,'20Ф'!AM:AM)*1.2</f>
        <v>0</v>
      </c>
      <c r="DE228" s="276">
        <f>SUMIF('20Ф'!$H:$H,$B:$B,'20Ф'!AN:AN)*1.2</f>
        <v>0</v>
      </c>
      <c r="DF228" s="276">
        <f>SUMIF('20Ф'!$H:$H,$B:$B,'20Ф'!AO:AO)*1.2</f>
        <v>0</v>
      </c>
      <c r="DG228" s="276">
        <f>SUMIF('20Ф'!$H:$H,$B:$B,'20Ф'!AP:AP)*1.2</f>
        <v>190546.36800000002</v>
      </c>
      <c r="DH228" s="276">
        <f>SUMIF('20Ф'!$H:$H,$B:$B,'20Ф'!AQ:AQ)*1.2</f>
        <v>0</v>
      </c>
      <c r="DI228" s="276">
        <f>SUMIF('20Ф'!$H:$H,$B:$B,'20Ф'!BA:BA)*1.2</f>
        <v>0</v>
      </c>
      <c r="DJ228" s="276">
        <f>SUMIF('20Ф'!$H:$H,$B:$B,'20Ф'!BB:BB)*1.2</f>
        <v>0</v>
      </c>
      <c r="DK228" s="276">
        <f>SUMIF('20Ф'!$H:$H,$B:$B,'20Ф'!BC:BC)*1.2</f>
        <v>0</v>
      </c>
      <c r="DL228" s="276">
        <f>$D228/$D$281*'20Ф'!$H$218</f>
        <v>81738.477020644073</v>
      </c>
      <c r="DM228" s="240">
        <f t="shared" si="39"/>
        <v>996557.4213067306</v>
      </c>
      <c r="DN228" s="276">
        <f>SUMIF('20Ф'!$H:$H,$B:$B,'20Ф'!AV:AV)*1.2</f>
        <v>0</v>
      </c>
      <c r="DO228" s="276">
        <f>SUMIF('20Ф'!$H:$H,$B:$B,'20Ф'!AW:AW)*1.2+$D228/$D$281*'26Ф'!$D$42</f>
        <v>43496.98634943807</v>
      </c>
      <c r="DP228" s="276">
        <f>SUMIF('20Ф'!$H:$H,$B:$B,'20Ф'!AX:AX)*1.2</f>
        <v>0</v>
      </c>
      <c r="DQ228" s="276">
        <f>SUMIF('20Ф'!$H:$H,$B:$B,'20Ф'!AY:AY)*1.2</f>
        <v>0</v>
      </c>
      <c r="DR228" s="276">
        <f>SUMIF('20Ф'!$H:$H,$B:$B,'20Ф'!AU:AU)*1.2</f>
        <v>0</v>
      </c>
      <c r="DS228" s="276">
        <f>SUMIF('20Ф'!$H:$H,$B:$B,'20Ф'!AS:AS)*1.2</f>
        <v>0</v>
      </c>
      <c r="DT228" s="276">
        <f>SUMIF('20Ф'!$H:$H,$B:$B,'20Ф'!AR:AR)*1.2</f>
        <v>185780.60399999996</v>
      </c>
      <c r="DU228" s="276">
        <f>SUMIF('20Ф'!$H:$H,$B:$B,'20Ф'!X:X)*1.2</f>
        <v>0</v>
      </c>
      <c r="DV228" s="276">
        <f>SUMIF('20Ф'!$H:$H,$B:$B,'20Ф'!AA:AA)*1.2</f>
        <v>0</v>
      </c>
      <c r="DW228" s="276">
        <f>SUMIF('20Ф'!$H:$H,$B:$B,'20Ф'!N:N)*1.2</f>
        <v>0</v>
      </c>
      <c r="DX228" s="276">
        <f>$D228/$D$281*('25Ф'!$D$37)</f>
        <v>731129.92478485045</v>
      </c>
      <c r="DY228" s="276">
        <f>$D228/$D$281*'25Ф'!$D$30</f>
        <v>23335.372051401017</v>
      </c>
      <c r="DZ228" s="276">
        <f>$D228/$D$281*'25Ф'!$D$31</f>
        <v>12814.534121041055</v>
      </c>
      <c r="EA228" s="276"/>
      <c r="EB228" s="276">
        <f t="shared" si="40"/>
        <v>460623.32774156926</v>
      </c>
      <c r="EC228" s="276">
        <f>$D228/$D$281*'26Ф'!$D$36</f>
        <v>239769.27635382666</v>
      </c>
      <c r="ED228" s="276">
        <f>$D228/$D$281*'26Ф'!$D$37</f>
        <v>28808.022475332971</v>
      </c>
      <c r="EE228" s="276">
        <f>$D228/$D$281*'26Ф'!$D$38</f>
        <v>29103.47709330625</v>
      </c>
      <c r="EF228" s="276">
        <f>$D228/$D$281*'26Ф'!$D$39</f>
        <v>20416.062618897897</v>
      </c>
      <c r="EG228" s="276">
        <f>$D228/$D$281*'91Ф'!$D$10</f>
        <v>6298.3468270033891</v>
      </c>
      <c r="EH228" s="276">
        <f>$D228/$D$281*('20Ф'!$I$509+'26Ф'!$D$41+'20Ф'!$I$507)</f>
        <v>44558.729853609431</v>
      </c>
      <c r="EI228" s="276">
        <f>$D228/$D$281*'91Ф'!$D$31</f>
        <v>81682.696594573368</v>
      </c>
      <c r="EJ228" s="276">
        <f>$D228/$D$281*'20Ф'!$I$1316</f>
        <v>9986.7159250192763</v>
      </c>
      <c r="EK228" s="276">
        <f>$D228/$D$281*('20Ф'!$I$1105+'20Ф'!$I$1282+'91Ф'!$D$17+'91Ф'!$D$41)</f>
        <v>327974.87717932375</v>
      </c>
      <c r="EL228" s="276">
        <f>$D228/$D$281*отчёт!BX$294</f>
        <v>548273.97011300432</v>
      </c>
      <c r="EM228" s="276">
        <f>$D228/$D$281*отчёт!BY$294</f>
        <v>482177.52644239011</v>
      </c>
      <c r="EN228" s="276">
        <f>$D228/$D$283*отчёт!BZ$294</f>
        <v>86535.79341187769</v>
      </c>
      <c r="EO228" s="240">
        <f t="shared" si="47"/>
        <v>551628.0285029941</v>
      </c>
      <c r="EP228" s="276">
        <f>SUMIF('20Ф'!$H:$H,$B:$B,'20Ф'!T:T)*1.2</f>
        <v>18037.8</v>
      </c>
      <c r="EQ228" s="276">
        <f>SUM(H228:I228)/SUM($H$284:$I$284)*SUM('60Ф'!$O$155:$P$155)</f>
        <v>517530.78526946111</v>
      </c>
      <c r="ER228" s="276">
        <f>SUM($H228:$I228)/SUM($H$284:$I$284)*SUM('60Ф'!$P$227)</f>
        <v>16059.443233532935</v>
      </c>
      <c r="ES228" s="239">
        <f t="shared" si="43"/>
        <v>183507.50661585704</v>
      </c>
      <c r="ET228" s="276">
        <f>$D228/$D$282*'20Ф'!$I$381</f>
        <v>14025.654553381733</v>
      </c>
      <c r="EU228" s="276">
        <f>$D228/$D$282*('20Ф'!$I$75+'20Ф'!$I$1098)*1.2</f>
        <v>162002.5364640211</v>
      </c>
      <c r="EV228" s="276">
        <f>$D228/$D$282*('20Ф'!$I$1286)</f>
        <v>7479.3155984542182</v>
      </c>
      <c r="EW228" s="276">
        <f>SUMIF('91.1Ф'!$N:$N,$B:$B,'91.1Ф'!$F:$F)+$D228/$D$281*('91Ф'!$D$12+'91Ф'!$D$11+'91Ф'!$D$19+'91Ф'!$D$20)</f>
        <v>43225.485734660302</v>
      </c>
      <c r="EX228" s="276">
        <f t="shared" si="41"/>
        <v>0</v>
      </c>
      <c r="EY228" s="276">
        <f>SUMIF('20Ф'!$H:$H,$B:$B,'20Ф'!$AY:$AY)*1.2</f>
        <v>0</v>
      </c>
      <c r="EZ228" s="236"/>
      <c r="FA228" s="277">
        <f>SUMIF(отчёт!$B:$B,$B:$B,отчёт!$CU:$CU)/отчёт!$CU$281*'20Ф'!$I$1341</f>
        <v>2762.8915662650556</v>
      </c>
      <c r="FB228" s="276">
        <f>SUMIF(Сальдо!$A:$A,$B:$B,Сальдо!$H:$H)-SUMIF(Сальдо!$A:$A,$B:$B,Сальдо!$I:$I)</f>
        <v>645547.53999999992</v>
      </c>
    </row>
    <row r="229" spans="1:158" ht="12" customHeight="1" x14ac:dyDescent="0.25">
      <c r="A229" s="3">
        <f t="shared" si="44"/>
        <v>225</v>
      </c>
      <c r="B229" s="4" t="s">
        <v>274</v>
      </c>
      <c r="C229" s="4" t="s">
        <v>274</v>
      </c>
      <c r="D229" s="5">
        <v>3385.67</v>
      </c>
      <c r="E229" s="6">
        <v>3385.67</v>
      </c>
      <c r="F229" s="6">
        <v>0</v>
      </c>
      <c r="G229" s="6">
        <v>310.8</v>
      </c>
      <c r="H229" s="5">
        <f>SUMIF(отчёт!$B:$B,$B:$B,отчёт!I:I)</f>
        <v>0</v>
      </c>
      <c r="I229" s="5">
        <f>SUMIF(отчёт!$B:$B,$B:$B,отчёт!J:J)</f>
        <v>0</v>
      </c>
      <c r="J229" s="3" t="s">
        <v>74</v>
      </c>
      <c r="K229" s="105">
        <v>7</v>
      </c>
      <c r="L229" s="105" t="s">
        <v>75</v>
      </c>
      <c r="M229" s="12">
        <v>25.29</v>
      </c>
      <c r="N229" s="8">
        <v>4.32</v>
      </c>
      <c r="O229" s="8">
        <v>5.61</v>
      </c>
      <c r="P229" s="8">
        <v>7.16</v>
      </c>
      <c r="Q229" s="8">
        <v>5.31</v>
      </c>
      <c r="R229" s="8">
        <v>2.67</v>
      </c>
      <c r="S229" s="8">
        <v>0</v>
      </c>
      <c r="T229" s="8">
        <v>0</v>
      </c>
      <c r="U229" s="8">
        <v>0.22</v>
      </c>
      <c r="V229" s="9">
        <v>40</v>
      </c>
      <c r="W229" s="9">
        <v>40</v>
      </c>
      <c r="X229" s="9">
        <v>2604.04</v>
      </c>
      <c r="Y229" s="8">
        <v>195.98199600000001</v>
      </c>
      <c r="Z229" s="9">
        <v>42.3</v>
      </c>
      <c r="AA229" s="9">
        <v>2604.04</v>
      </c>
      <c r="AB229" s="8">
        <v>7.85</v>
      </c>
      <c r="AC229" s="10">
        <v>0</v>
      </c>
      <c r="AD229" s="8">
        <v>6.73</v>
      </c>
      <c r="AE229" s="8">
        <v>10.67</v>
      </c>
      <c r="AF229" s="8">
        <v>14</v>
      </c>
      <c r="AG229" s="7">
        <v>513741.56579999998</v>
      </c>
      <c r="AH229" s="8">
        <v>87756.566400000011</v>
      </c>
      <c r="AI229" s="8">
        <v>113961.65220000001</v>
      </c>
      <c r="AJ229" s="8">
        <v>145448.38319999998</v>
      </c>
      <c r="AK229" s="8">
        <v>107867.44620000001</v>
      </c>
      <c r="AL229" s="8">
        <v>54238.433400000002</v>
      </c>
      <c r="AM229" s="8">
        <v>0</v>
      </c>
      <c r="AN229" s="8">
        <v>0</v>
      </c>
      <c r="AO229" s="8">
        <v>4469.0843999999997</v>
      </c>
      <c r="AP229" s="1" t="s">
        <v>75</v>
      </c>
      <c r="AQ229" s="104">
        <v>27.19</v>
      </c>
      <c r="AR229" s="104">
        <v>4.6445551601423487</v>
      </c>
      <c r="AS229" s="104">
        <v>6.0314709371293009</v>
      </c>
      <c r="AT229" s="104">
        <v>7.6979201265322263</v>
      </c>
      <c r="AU229" s="104"/>
      <c r="AV229" s="104"/>
      <c r="AW229" s="104"/>
      <c r="AX229" s="104">
        <v>5.7089323843416366</v>
      </c>
      <c r="AY229" s="104">
        <v>2.8705931198102022</v>
      </c>
      <c r="AZ229" s="104">
        <v>0</v>
      </c>
      <c r="BA229" s="104">
        <v>0</v>
      </c>
      <c r="BB229" s="104"/>
      <c r="BC229" s="101">
        <v>0.23652827204428631</v>
      </c>
      <c r="BD229" s="104">
        <v>27.19</v>
      </c>
      <c r="BE229" s="104">
        <v>4.6445551601423487</v>
      </c>
      <c r="BF229" s="104">
        <v>6.0314709371293009</v>
      </c>
      <c r="BG229" s="104">
        <v>7.6979201265322263</v>
      </c>
      <c r="BH229" s="104">
        <v>0</v>
      </c>
      <c r="BI229" s="104">
        <v>0</v>
      </c>
      <c r="BJ229" s="104">
        <v>0</v>
      </c>
      <c r="BK229" s="104">
        <v>5.7089323843416357</v>
      </c>
      <c r="BL229" s="104">
        <v>2.8705931198102022</v>
      </c>
      <c r="BM229" s="104">
        <v>0</v>
      </c>
      <c r="BN229" s="104">
        <v>0</v>
      </c>
      <c r="BO229" s="104">
        <v>0</v>
      </c>
      <c r="BP229" s="101">
        <v>0.23652827204428631</v>
      </c>
      <c r="BQ229" s="103">
        <v>1104676.4076000003</v>
      </c>
      <c r="BR229" s="103">
        <v>188699.17282846977</v>
      </c>
      <c r="BS229" s="103">
        <v>245046.84249252672</v>
      </c>
      <c r="BT229" s="103">
        <v>312751.40681755636</v>
      </c>
      <c r="BU229" s="103">
        <v>0</v>
      </c>
      <c r="BV229" s="103">
        <v>0</v>
      </c>
      <c r="BW229" s="103">
        <v>0</v>
      </c>
      <c r="BX229" s="103">
        <v>231942.7332683274</v>
      </c>
      <c r="BY229" s="103">
        <v>116626.57209537369</v>
      </c>
      <c r="BZ229" s="103">
        <v>0</v>
      </c>
      <c r="CA229" s="103">
        <v>0</v>
      </c>
      <c r="CB229" s="103">
        <v>0</v>
      </c>
      <c r="CC229" s="103">
        <v>9609.6800977461462</v>
      </c>
      <c r="CD229" s="13">
        <v>2</v>
      </c>
      <c r="CF229" s="277">
        <f>SUMIF(Оборот!$A:$A,$B:$B,Оборот!H:H)</f>
        <v>1037044.9800000001</v>
      </c>
      <c r="CG229" s="277">
        <f>SUMIF(Оборот!$A:$A,$B:$B,Оборот!I:I)</f>
        <v>1008836.28</v>
      </c>
      <c r="CH229" s="277">
        <f t="shared" si="38"/>
        <v>1442907.6632527271</v>
      </c>
      <c r="CI229" s="239">
        <f t="shared" si="42"/>
        <v>172385.56137038086</v>
      </c>
      <c r="CJ229" s="276">
        <f>SUMIF('20Ф'!$H:$H,$B:$B,'20Ф'!M:M)*1.2</f>
        <v>0</v>
      </c>
      <c r="CK229" s="276">
        <f>SUMIF('20Ф'!$H:$H,$B:$B,'20Ф'!O:O)*1.2</f>
        <v>0</v>
      </c>
      <c r="CL229" s="276">
        <f>SUMIF('20Ф'!$H:$H,$B:$B,'20Ф'!Q:Q)*1.2</f>
        <v>0</v>
      </c>
      <c r="CM229" s="276">
        <f>SUMIF('20Ф'!$H:$H,$B:$B,'20Ф'!R:R)*1.2</f>
        <v>0</v>
      </c>
      <c r="CN229" s="276">
        <f>SUMIF('20Ф'!$H:$H,$B:$B,'20Ф'!S:S)*1.2</f>
        <v>0</v>
      </c>
      <c r="CO229" s="276">
        <f>SUMIF('20Ф'!$H:$H,$B:$B,'20Ф'!W:W)*1.2</f>
        <v>0</v>
      </c>
      <c r="CP229" s="276">
        <f>SUMIF('20Ф'!$H:$H,$B:$B,'20Ф'!P:P)*1.2</f>
        <v>0</v>
      </c>
      <c r="CQ229" s="276">
        <f>SUMIF('20Ф'!$H:$H,$B:$B,'20Ф'!Y:Y)*1.2</f>
        <v>0</v>
      </c>
      <c r="CR229" s="276">
        <f>SUMIF('20Ф'!$H:$H,$B:$B,'20Ф'!Z:Z)*1.2</f>
        <v>0</v>
      </c>
      <c r="CS229" s="276">
        <f>SUMIF('20Ф'!$H:$H,$B:$B,'20Ф'!AB:AB)*1.2</f>
        <v>0</v>
      </c>
      <c r="CT229" s="276">
        <f>SUMIF('20Ф'!$H:$H,$B:$B,'20Ф'!AC:AC)*1.2</f>
        <v>0</v>
      </c>
      <c r="CU229" s="276">
        <f>SUMIF('20Ф'!$H:$H,$B:$B,'20Ф'!AD:AD)*1.2</f>
        <v>0</v>
      </c>
      <c r="CV229" s="276">
        <f>SUMIF('20Ф'!$H:$H,$B:$B,'20Ф'!AE:AE)*1.2</f>
        <v>0</v>
      </c>
      <c r="CW229" s="276">
        <f>SUMIF('20Ф'!$H:$H,$B:$B,'20Ф'!AF:AF)*1.2</f>
        <v>0</v>
      </c>
      <c r="CX229" s="276">
        <f>SUMIF('20Ф'!$H:$H,$B:$B,'20Ф'!AG:AG)*1.2</f>
        <v>5478.96</v>
      </c>
      <c r="CY229" s="276">
        <f>SUMIF('20Ф'!$H:$H,$B:$B,'20Ф'!AH:AH)*1.2</f>
        <v>0</v>
      </c>
      <c r="CZ229" s="276">
        <f>SUMIF('20Ф'!$H:$H,$B:$B,'20Ф'!AI:AI)*1.2</f>
        <v>0</v>
      </c>
      <c r="DA229" s="276">
        <f>SUMIF('20Ф'!$H:$H,$B:$B,'20Ф'!AJ:AJ)*1.2</f>
        <v>137128.5</v>
      </c>
      <c r="DB229" s="276">
        <f>SUMIF('20Ф'!$H:$H,$B:$B,'20Ф'!AK:AK)*1.2</f>
        <v>0</v>
      </c>
      <c r="DC229" s="276">
        <f>SUMIF('20Ф'!$H:$H,$B:$B,'20Ф'!AL:AL)*1.2</f>
        <v>0</v>
      </c>
      <c r="DD229" s="276">
        <f>SUMIF('20Ф'!$H:$H,$B:$B,'20Ф'!AM:AM)*1.2</f>
        <v>0</v>
      </c>
      <c r="DE229" s="276">
        <f>SUMIF('20Ф'!$H:$H,$B:$B,'20Ф'!AN:AN)*1.2</f>
        <v>0</v>
      </c>
      <c r="DF229" s="276">
        <f>SUMIF('20Ф'!$H:$H,$B:$B,'20Ф'!AO:AO)*1.2</f>
        <v>0</v>
      </c>
      <c r="DG229" s="276">
        <f>SUMIF('20Ф'!$H:$H,$B:$B,'20Ф'!AP:AP)*1.2</f>
        <v>0</v>
      </c>
      <c r="DH229" s="276">
        <f>SUMIF('20Ф'!$H:$H,$B:$B,'20Ф'!AQ:AQ)*1.2</f>
        <v>0</v>
      </c>
      <c r="DI229" s="276">
        <f>SUMIF('20Ф'!$H:$H,$B:$B,'20Ф'!BA:BA)*1.2</f>
        <v>0</v>
      </c>
      <c r="DJ229" s="276">
        <f>SUMIF('20Ф'!$H:$H,$B:$B,'20Ф'!BB:BB)*1.2</f>
        <v>0</v>
      </c>
      <c r="DK229" s="276">
        <f>SUMIF('20Ф'!$H:$H,$B:$B,'20Ф'!BC:BC)*1.2</f>
        <v>0</v>
      </c>
      <c r="DL229" s="276">
        <f>$D229/$D$281*'20Ф'!$H$218</f>
        <v>29778.101370380879</v>
      </c>
      <c r="DM229" s="240">
        <f t="shared" si="39"/>
        <v>471247.82187475159</v>
      </c>
      <c r="DN229" s="276">
        <f>SUMIF('20Ф'!$H:$H,$B:$B,'20Ф'!AV:AV)*1.2</f>
        <v>0</v>
      </c>
      <c r="DO229" s="276">
        <f>SUMIF('20Ф'!$H:$H,$B:$B,'20Ф'!AW:AW)*1.2+$D229/$D$281*'26Ф'!$D$42</f>
        <v>15846.364111879731</v>
      </c>
      <c r="DP229" s="276">
        <f>SUMIF('20Ф'!$H:$H,$B:$B,'20Ф'!AX:AX)*1.2</f>
        <v>0</v>
      </c>
      <c r="DQ229" s="276">
        <f>SUMIF('20Ф'!$H:$H,$B:$B,'20Ф'!AY:AY)*1.2</f>
        <v>51588</v>
      </c>
      <c r="DR229" s="276">
        <f>SUMIF('20Ф'!$H:$H,$B:$B,'20Ф'!AU:AU)*1.2</f>
        <v>0</v>
      </c>
      <c r="DS229" s="276">
        <f>SUMIF('20Ф'!$H:$H,$B:$B,'20Ф'!AS:AS)*1.2</f>
        <v>0</v>
      </c>
      <c r="DT229" s="276">
        <f>SUMIF('20Ф'!$H:$H,$B:$B,'20Ф'!AR:AR)*1.2</f>
        <v>124286.14799999999</v>
      </c>
      <c r="DU229" s="276">
        <f>SUMIF('20Ф'!$H:$H,$B:$B,'20Ф'!X:X)*1.2</f>
        <v>0</v>
      </c>
      <c r="DV229" s="276">
        <f>SUMIF('20Ф'!$H:$H,$B:$B,'20Ф'!AA:AA)*1.2</f>
        <v>0</v>
      </c>
      <c r="DW229" s="276">
        <f>SUMIF('20Ф'!$H:$H,$B:$B,'20Ф'!N:N)*1.2</f>
        <v>0</v>
      </c>
      <c r="DX229" s="276">
        <f>$D229/$D$281*('25Ф'!$D$37)</f>
        <v>266357.55654786079</v>
      </c>
      <c r="DY229" s="276">
        <f>$D229/$D$281*'25Ф'!$D$30</f>
        <v>8501.2970609505101</v>
      </c>
      <c r="DZ229" s="276">
        <f>$D229/$D$281*'25Ф'!$D$31</f>
        <v>4668.456154060581</v>
      </c>
      <c r="EA229" s="276"/>
      <c r="EB229" s="276">
        <f t="shared" si="40"/>
        <v>167809.44112264723</v>
      </c>
      <c r="EC229" s="276">
        <f>$D229/$D$281*'26Ф'!$D$36</f>
        <v>87350.218367340669</v>
      </c>
      <c r="ED229" s="276">
        <f>$D229/$D$281*'26Ф'!$D$37</f>
        <v>10495.035444984076</v>
      </c>
      <c r="EE229" s="276">
        <f>$D229/$D$281*'26Ф'!$D$38</f>
        <v>10602.67236073103</v>
      </c>
      <c r="EF229" s="276">
        <f>$D229/$D$281*'26Ф'!$D$39</f>
        <v>7437.7649842440724</v>
      </c>
      <c r="EG229" s="276">
        <f>$D229/$D$281*'91Ф'!$D$10</f>
        <v>2294.5474043143095</v>
      </c>
      <c r="EH229" s="276">
        <f>$D229/$D$281*('20Ф'!$I$509+'26Ф'!$D$41+'20Ф'!$I$507)</f>
        <v>16233.167326827972</v>
      </c>
      <c r="EI229" s="276">
        <f>$D229/$D$281*'91Ф'!$D$31</f>
        <v>29757.780032835075</v>
      </c>
      <c r="EJ229" s="276">
        <f>$D229/$D$281*'20Ф'!$I$1316</f>
        <v>3638.2552013700065</v>
      </c>
      <c r="EK229" s="276">
        <f>$D229/$D$281*('20Ф'!$I$1105+'20Ф'!$I$1282+'91Ф'!$D$17+'91Ф'!$D$41)</f>
        <v>119484.35419364956</v>
      </c>
      <c r="EL229" s="276">
        <f>$D229/$D$281*отчёт!BX$294</f>
        <v>199741.40032781308</v>
      </c>
      <c r="EM229" s="276">
        <f>$D229/$D$281*отчёт!BY$294</f>
        <v>175661.83986147214</v>
      </c>
      <c r="EN229" s="276">
        <f>SUMIF(отчёт!$B:$B,$B:$B,отчёт!BZ:BZ)/отчёт!BZ$281*('60Ф'!$O$151+'60Ф'!$P$151)*отчёт!BZ$293</f>
        <v>0</v>
      </c>
      <c r="EO229" s="240">
        <f t="shared" si="45"/>
        <v>0</v>
      </c>
      <c r="EP229" s="276">
        <f>SUMIF('20Ф'!$H:$H,$B:$B,'20Ф'!T:T)*1.2</f>
        <v>0</v>
      </c>
      <c r="EQ229" s="276">
        <f>SUMIF('20Ф'!$H:$H,$B:$B,'20Ф'!U:U)*1.2</f>
        <v>0</v>
      </c>
      <c r="ER229" s="236"/>
      <c r="ES229" s="239">
        <f t="shared" si="43"/>
        <v>66853.52276447117</v>
      </c>
      <c r="ET229" s="276">
        <f>$D229/$D$282*'20Ф'!$I$381</f>
        <v>5109.6787987750349</v>
      </c>
      <c r="EU229" s="276">
        <f>$D229/$D$282*('20Ф'!$I$75+'20Ф'!$I$1098)*1.2</f>
        <v>59019.058452313126</v>
      </c>
      <c r="EV229" s="276">
        <f>$D229/$D$282*('20Ф'!$I$1286)</f>
        <v>2724.7855133830053</v>
      </c>
      <c r="EW229" s="276">
        <f>SUMIF('91.1Ф'!$N:$N,$B:$B,'91.1Ф'!$F:$F)+$D229/$D$281*('91Ф'!$D$12+'91Ф'!$D$11+'91Ф'!$D$19+'91Ф'!$D$20)</f>
        <v>15747.453866378934</v>
      </c>
      <c r="EX229" s="276">
        <f t="shared" si="41"/>
        <v>53976.267871162723</v>
      </c>
      <c r="EY229" s="276">
        <f>SUMIF('20Ф'!$H:$H,$B:$B,'20Ф'!$AY:$AY)*1.2</f>
        <v>51588</v>
      </c>
      <c r="EZ229" s="295">
        <f>D229/$D$286*'20Ф'!$I$1163</f>
        <v>2388.2678711627204</v>
      </c>
      <c r="FA229" s="277">
        <f>SUMIF(отчёт!$B:$B,$B:$B,отчёт!$CU:$CU)/отчёт!$CU$281*'20Ф'!$I$1341</f>
        <v>0</v>
      </c>
      <c r="FB229" s="276">
        <f>SUMIF(Сальдо!$A:$A,$B:$B,Сальдо!$H:$H)-SUMIF(Сальдо!$A:$A,$B:$B,Сальдо!$I:$I)</f>
        <v>269944.90000000002</v>
      </c>
    </row>
    <row r="230" spans="1:158" ht="12" customHeight="1" x14ac:dyDescent="0.25">
      <c r="A230" s="3">
        <f t="shared" si="44"/>
        <v>226</v>
      </c>
      <c r="B230" s="4" t="s">
        <v>275</v>
      </c>
      <c r="C230" s="4" t="s">
        <v>275</v>
      </c>
      <c r="D230" s="5">
        <v>5287.1</v>
      </c>
      <c r="E230" s="6">
        <v>5287.1</v>
      </c>
      <c r="F230" s="6">
        <v>0</v>
      </c>
      <c r="G230" s="6">
        <v>1016.1</v>
      </c>
      <c r="H230" s="5">
        <f>SUMIF(отчёт!$B:$B,$B:$B,отчёт!I:I)</f>
        <v>1</v>
      </c>
      <c r="I230" s="5">
        <f>SUMIF(отчёт!$B:$B,$B:$B,отчёт!J:J)</f>
        <v>1</v>
      </c>
      <c r="J230" s="3" t="s">
        <v>74</v>
      </c>
      <c r="K230" s="105">
        <v>1</v>
      </c>
      <c r="L230" s="105" t="s">
        <v>75</v>
      </c>
      <c r="M230" s="12">
        <v>36.54</v>
      </c>
      <c r="N230" s="8">
        <v>4.03</v>
      </c>
      <c r="O230" s="8">
        <v>7</v>
      </c>
      <c r="P230" s="8">
        <v>11</v>
      </c>
      <c r="Q230" s="8">
        <v>5.4</v>
      </c>
      <c r="R230" s="8">
        <v>2.67</v>
      </c>
      <c r="S230" s="8">
        <v>1.54</v>
      </c>
      <c r="T230" s="8">
        <v>4.9000000000000004</v>
      </c>
      <c r="U230" s="8">
        <v>0</v>
      </c>
      <c r="V230" s="9">
        <v>40</v>
      </c>
      <c r="W230" s="9">
        <v>40</v>
      </c>
      <c r="X230" s="9">
        <v>2604.04</v>
      </c>
      <c r="Y230" s="8">
        <v>195.98199600000001</v>
      </c>
      <c r="Z230" s="9">
        <v>42.3</v>
      </c>
      <c r="AA230" s="9">
        <v>2604.04</v>
      </c>
      <c r="AB230" s="8">
        <v>0</v>
      </c>
      <c r="AC230" s="10">
        <v>0</v>
      </c>
      <c r="AD230" s="8">
        <v>5.05</v>
      </c>
      <c r="AE230" s="8">
        <v>10.67</v>
      </c>
      <c r="AF230" s="8">
        <v>14</v>
      </c>
      <c r="AG230" s="7">
        <v>1159143.804</v>
      </c>
      <c r="AH230" s="8">
        <v>127842.07800000001</v>
      </c>
      <c r="AI230" s="8">
        <v>222058.2</v>
      </c>
      <c r="AJ230" s="8">
        <v>348948.60000000003</v>
      </c>
      <c r="AK230" s="8">
        <v>171302.04000000004</v>
      </c>
      <c r="AL230" s="8">
        <v>84699.342000000004</v>
      </c>
      <c r="AM230" s="8">
        <v>48852.804000000004</v>
      </c>
      <c r="AN230" s="8">
        <v>155440.74000000002</v>
      </c>
      <c r="AO230" s="8">
        <v>0</v>
      </c>
      <c r="AP230" s="1" t="s">
        <v>75</v>
      </c>
      <c r="AQ230" s="104">
        <v>39.28</v>
      </c>
      <c r="AR230" s="104">
        <v>4.3321948549534763</v>
      </c>
      <c r="AS230" s="104">
        <v>7.5249042145593874</v>
      </c>
      <c r="AT230" s="104">
        <v>11.824849480021895</v>
      </c>
      <c r="AU230" s="104"/>
      <c r="AV230" s="104"/>
      <c r="AW230" s="104"/>
      <c r="AX230" s="104">
        <v>5.8049261083743851</v>
      </c>
      <c r="AY230" s="104">
        <v>2.870213464696223</v>
      </c>
      <c r="AZ230" s="104">
        <v>1.6554789272030652</v>
      </c>
      <c r="BA230" s="104">
        <v>5.267432950191572</v>
      </c>
      <c r="BB230" s="104"/>
      <c r="BC230" s="101">
        <v>0</v>
      </c>
      <c r="BD230" s="104">
        <v>39.28</v>
      </c>
      <c r="BE230" s="104">
        <v>4.3321948549534763</v>
      </c>
      <c r="BF230" s="104">
        <v>7.5249042145593874</v>
      </c>
      <c r="BG230" s="104">
        <v>11.824849480021895</v>
      </c>
      <c r="BH230" s="104">
        <v>0</v>
      </c>
      <c r="BI230" s="104">
        <v>0</v>
      </c>
      <c r="BJ230" s="104">
        <v>0</v>
      </c>
      <c r="BK230" s="104">
        <v>5.8049261083743851</v>
      </c>
      <c r="BL230" s="104">
        <v>2.870213464696223</v>
      </c>
      <c r="BM230" s="104">
        <v>1.6554789272030652</v>
      </c>
      <c r="BN230" s="104">
        <v>5.267432950191572</v>
      </c>
      <c r="BO230" s="104">
        <v>0</v>
      </c>
      <c r="BP230" s="101">
        <v>0</v>
      </c>
      <c r="BQ230" s="103">
        <v>2492127.4560000002</v>
      </c>
      <c r="BR230" s="103">
        <v>274856.96901149437</v>
      </c>
      <c r="BS230" s="103">
        <v>477419.05287356325</v>
      </c>
      <c r="BT230" s="103">
        <v>750229.94022988516</v>
      </c>
      <c r="BU230" s="103">
        <v>0</v>
      </c>
      <c r="BV230" s="103">
        <v>0</v>
      </c>
      <c r="BW230" s="103">
        <v>0</v>
      </c>
      <c r="BX230" s="103">
        <v>368294.69793103455</v>
      </c>
      <c r="BY230" s="103">
        <v>182101.26731034482</v>
      </c>
      <c r="BZ230" s="103">
        <v>105032.19163218392</v>
      </c>
      <c r="CA230" s="103">
        <v>334193.33701149438</v>
      </c>
      <c r="CB230" s="103">
        <v>0</v>
      </c>
      <c r="CC230" s="103">
        <v>0</v>
      </c>
      <c r="CD230" s="13">
        <v>2</v>
      </c>
      <c r="CF230" s="277">
        <f>SUMIF(Оборот!$A:$A,$B:$B,Оборот!H:H)</f>
        <v>1697828.3799999997</v>
      </c>
      <c r="CG230" s="277">
        <f>SUMIF(Оборот!$A:$A,$B:$B,Оборот!I:I)</f>
        <v>1882946.8</v>
      </c>
      <c r="CH230" s="277">
        <f t="shared" si="38"/>
        <v>2021151.4768711762</v>
      </c>
      <c r="CI230" s="239">
        <f t="shared" si="42"/>
        <v>86055.890930380323</v>
      </c>
      <c r="CJ230" s="276">
        <f>SUMIF('20Ф'!$H:$H,$B:$B,'20Ф'!M:M)*1.2</f>
        <v>0</v>
      </c>
      <c r="CK230" s="276">
        <f>SUMIF('20Ф'!$H:$H,$B:$B,'20Ф'!O:O)*1.2</f>
        <v>0</v>
      </c>
      <c r="CL230" s="276">
        <f>SUMIF('20Ф'!$H:$H,$B:$B,'20Ф'!Q:Q)*1.2</f>
        <v>19652.651999999998</v>
      </c>
      <c r="CM230" s="276">
        <f>SUMIF('20Ф'!$H:$H,$B:$B,'20Ф'!R:R)*1.2</f>
        <v>0</v>
      </c>
      <c r="CN230" s="276">
        <f>SUMIF('20Ф'!$H:$H,$B:$B,'20Ф'!S:S)*1.2</f>
        <v>0</v>
      </c>
      <c r="CO230" s="276">
        <f>SUMIF('20Ф'!$H:$H,$B:$B,'20Ф'!W:W)*1.2</f>
        <v>0</v>
      </c>
      <c r="CP230" s="276">
        <f>SUMIF('20Ф'!$H:$H,$B:$B,'20Ф'!P:P)*1.2</f>
        <v>0</v>
      </c>
      <c r="CQ230" s="276">
        <f>SUMIF('20Ф'!$H:$H,$B:$B,'20Ф'!Y:Y)*1.2</f>
        <v>0</v>
      </c>
      <c r="CR230" s="276">
        <f>SUMIF('20Ф'!$H:$H,$B:$B,'20Ф'!Z:Z)*1.2</f>
        <v>0</v>
      </c>
      <c r="CS230" s="276">
        <f>SUMIF('20Ф'!$H:$H,$B:$B,'20Ф'!AB:AB)*1.2</f>
        <v>0</v>
      </c>
      <c r="CT230" s="276">
        <f>SUMIF('20Ф'!$H:$H,$B:$B,'20Ф'!AC:AC)*1.2</f>
        <v>0</v>
      </c>
      <c r="CU230" s="276">
        <f>SUMIF('20Ф'!$H:$H,$B:$B,'20Ф'!AD:AD)*1.2</f>
        <v>0</v>
      </c>
      <c r="CV230" s="276">
        <f>SUMIF('20Ф'!$H:$H,$B:$B,'20Ф'!AE:AE)*1.2</f>
        <v>0</v>
      </c>
      <c r="CW230" s="276">
        <f>SUMIF('20Ф'!$H:$H,$B:$B,'20Ф'!AF:AF)*1.2</f>
        <v>0</v>
      </c>
      <c r="CX230" s="276">
        <f>SUMIF('20Ф'!$H:$H,$B:$B,'20Ф'!AG:AG)*1.2</f>
        <v>0</v>
      </c>
      <c r="CY230" s="276">
        <f>SUMIF('20Ф'!$H:$H,$B:$B,'20Ф'!AH:AH)*1.2</f>
        <v>19901.423999999999</v>
      </c>
      <c r="CZ230" s="276">
        <f>SUMIF('20Ф'!$H:$H,$B:$B,'20Ф'!AI:AI)*1.2</f>
        <v>0</v>
      </c>
      <c r="DA230" s="276">
        <f>SUMIF('20Ф'!$H:$H,$B:$B,'20Ф'!AJ:AJ)*1.2</f>
        <v>0</v>
      </c>
      <c r="DB230" s="276">
        <f>SUMIF('20Ф'!$H:$H,$B:$B,'20Ф'!AK:AK)*1.2</f>
        <v>0</v>
      </c>
      <c r="DC230" s="276">
        <f>SUMIF('20Ф'!$H:$H,$B:$B,'20Ф'!AL:AL)*1.2</f>
        <v>0</v>
      </c>
      <c r="DD230" s="276">
        <f>SUMIF('20Ф'!$H:$H,$B:$B,'20Ф'!AM:AM)*1.2</f>
        <v>0</v>
      </c>
      <c r="DE230" s="276">
        <f>SUMIF('20Ф'!$H:$H,$B:$B,'20Ф'!AN:AN)*1.2</f>
        <v>0</v>
      </c>
      <c r="DF230" s="276">
        <f>SUMIF('20Ф'!$H:$H,$B:$B,'20Ф'!AO:AO)*1.2</f>
        <v>0</v>
      </c>
      <c r="DG230" s="276">
        <f>SUMIF('20Ф'!$H:$H,$B:$B,'20Ф'!AP:AP)*1.2</f>
        <v>0</v>
      </c>
      <c r="DH230" s="276">
        <f>SUMIF('20Ф'!$H:$H,$B:$B,'20Ф'!AQ:AQ)*1.2</f>
        <v>0</v>
      </c>
      <c r="DI230" s="276">
        <f>SUMIF('20Ф'!$H:$H,$B:$B,'20Ф'!BA:BA)*1.2</f>
        <v>0</v>
      </c>
      <c r="DJ230" s="276">
        <f>SUMIF('20Ф'!$H:$H,$B:$B,'20Ф'!BB:BB)*1.2</f>
        <v>0</v>
      </c>
      <c r="DK230" s="276">
        <f>SUMIF('20Ф'!$H:$H,$B:$B,'20Ф'!BC:BC)*1.2</f>
        <v>0</v>
      </c>
      <c r="DL230" s="276">
        <f>$D230/$D$281*'20Ф'!$H$218</f>
        <v>46501.814930380329</v>
      </c>
      <c r="DM230" s="240">
        <f t="shared" si="39"/>
        <v>537029.0646007082</v>
      </c>
      <c r="DN230" s="276">
        <f>SUMIF('20Ф'!$H:$H,$B:$B,'20Ф'!AV:AV)*1.2</f>
        <v>0</v>
      </c>
      <c r="DO230" s="276">
        <f>SUMIF('20Ф'!$H:$H,$B:$B,'20Ф'!AW:AW)*1.2+$D230/$D$281*'26Ф'!$D$42</f>
        <v>24745.858780069924</v>
      </c>
      <c r="DP230" s="276">
        <f>SUMIF('20Ф'!$H:$H,$B:$B,'20Ф'!AX:AX)*1.2</f>
        <v>0</v>
      </c>
      <c r="DQ230" s="276">
        <f>SUMIF('20Ф'!$H:$H,$B:$B,'20Ф'!AY:AY)*1.2</f>
        <v>0</v>
      </c>
      <c r="DR230" s="276">
        <f>SUMIF('20Ф'!$H:$H,$B:$B,'20Ф'!AU:AU)*1.2</f>
        <v>0</v>
      </c>
      <c r="DS230" s="276">
        <f>SUMIF('20Ф'!$H:$H,$B:$B,'20Ф'!AS:AS)*1.2</f>
        <v>0</v>
      </c>
      <c r="DT230" s="276">
        <f>SUMIF('20Ф'!$H:$H,$B:$B,'20Ф'!AR:AR)*1.2</f>
        <v>75770.244000000006</v>
      </c>
      <c r="DU230" s="276">
        <f>SUMIF('20Ф'!$H:$H,$B:$B,'20Ф'!X:X)*1.2</f>
        <v>0</v>
      </c>
      <c r="DV230" s="276">
        <f>SUMIF('20Ф'!$H:$H,$B:$B,'20Ф'!AA:AA)*1.2</f>
        <v>0</v>
      </c>
      <c r="DW230" s="276">
        <f>SUMIF('20Ф'!$H:$H,$B:$B,'20Ф'!N:N)*1.2</f>
        <v>0</v>
      </c>
      <c r="DX230" s="276">
        <f>$D230/$D$281*('25Ф'!$D$37)</f>
        <v>415946.928443763</v>
      </c>
      <c r="DY230" s="276">
        <f>$D230/$D$281*'25Ф'!$D$30</f>
        <v>13275.720224047664</v>
      </c>
      <c r="DZ230" s="276">
        <f>$D230/$D$281*'25Ф'!$D$31</f>
        <v>7290.3131528275644</v>
      </c>
      <c r="EA230" s="276"/>
      <c r="EB230" s="276">
        <f t="shared" si="40"/>
        <v>262053.09323104384</v>
      </c>
      <c r="EC230" s="276">
        <f>$D230/$D$281*'26Ф'!$D$36</f>
        <v>136407.07438408554</v>
      </c>
      <c r="ED230" s="276">
        <f>$D230/$D$281*'26Ф'!$D$37</f>
        <v>16389.164301652349</v>
      </c>
      <c r="EE230" s="276">
        <f>$D230/$D$281*'26Ф'!$D$38</f>
        <v>16557.251308727973</v>
      </c>
      <c r="EF230" s="276">
        <f>$D230/$D$281*'26Ф'!$D$39</f>
        <v>11614.896681660304</v>
      </c>
      <c r="EG230" s="276">
        <f>$D230/$D$281*'91Ф'!$D$10</f>
        <v>3583.1907957214339</v>
      </c>
      <c r="EH230" s="276">
        <f>$D230/$D$281*('20Ф'!$I$509+'26Ф'!$D$41+'20Ф'!$I$507)</f>
        <v>25349.894990850316</v>
      </c>
      <c r="EI230" s="276">
        <f>$D230/$D$281*'91Ф'!$D$31</f>
        <v>46470.080903219256</v>
      </c>
      <c r="EJ230" s="276">
        <f>$D230/$D$281*'20Ф'!$I$1316</f>
        <v>5681.539865126656</v>
      </c>
      <c r="EK230" s="276">
        <f>$D230/$D$281*('20Ф'!$I$1105+'20Ф'!$I$1282+'91Ф'!$D$17+'91Ф'!$D$41)</f>
        <v>186588.09897516435</v>
      </c>
      <c r="EL230" s="276">
        <f>$D230/$D$281*отчёт!BX$294</f>
        <v>311918.39655760332</v>
      </c>
      <c r="EM230" s="276">
        <f>$D230/$D$281*отчёт!BY$294</f>
        <v>274315.48660430271</v>
      </c>
      <c r="EN230" s="276">
        <f>$D230/$D$283*отчёт!BZ$294</f>
        <v>49231.054905469209</v>
      </c>
      <c r="EO230" s="240">
        <f t="shared" ref="EO230:EO232" si="48">SUBTOTAL(9,EP230:ER230)</f>
        <v>184969.78550099797</v>
      </c>
      <c r="EP230" s="276">
        <f>SUMIF('20Ф'!$H:$H,$B:$B,'20Ф'!T:T)*1.2</f>
        <v>7106.3759999999993</v>
      </c>
      <c r="EQ230" s="276">
        <f>SUM(H230:I230)/SUM($H$284:$I$284)*SUM('60Ф'!$O$155:$P$155)</f>
        <v>172510.26175648702</v>
      </c>
      <c r="ER230" s="276">
        <f>SUM($H230:$I230)/SUM($H$284:$I$284)*SUM('60Ф'!$P$227)</f>
        <v>5353.1477445109776</v>
      </c>
      <c r="ES230" s="239">
        <f t="shared" si="43"/>
        <v>104399.20612701048</v>
      </c>
      <c r="ET230" s="276">
        <f>$D230/$D$282*'20Ф'!$I$381</f>
        <v>7979.331351550356</v>
      </c>
      <c r="EU230" s="276">
        <f>$D230/$D$282*('20Ф'!$I$75+'20Ф'!$I$1098)*1.2</f>
        <v>92164.819354285792</v>
      </c>
      <c r="EV230" s="276">
        <f>$D230/$D$282*('20Ф'!$I$1286)</f>
        <v>4255.0554211743283</v>
      </c>
      <c r="EW230" s="276">
        <f>SUMIF('91.1Ф'!$N:$N,$B:$B,'91.1Ф'!$F:$F)+$D230/$D$281*('91Ф'!$D$12+'91Ф'!$D$11+'91Ф'!$D$19+'91Ф'!$D$20)</f>
        <v>24591.399438495799</v>
      </c>
      <c r="EX230" s="276">
        <f t="shared" si="41"/>
        <v>0</v>
      </c>
      <c r="EY230" s="276">
        <f>SUMIF('20Ф'!$H:$H,$B:$B,'20Ф'!$AY:$AY)*1.2</f>
        <v>0</v>
      </c>
      <c r="EZ230" s="236"/>
      <c r="FA230" s="277">
        <f>SUMIF(отчёт!$B:$B,$B:$B,отчёт!$CU:$CU)/отчёт!$CU$281*'20Ф'!$I$1341</f>
        <v>920.96385542168503</v>
      </c>
      <c r="FB230" s="276">
        <f>SUMIF(Сальдо!$A:$A,$B:$B,Сальдо!$H:$H)-SUMIF(Сальдо!$A:$A,$B:$B,Сальдо!$I:$I)</f>
        <v>143799.27000000002</v>
      </c>
    </row>
    <row r="231" spans="1:158" s="13" customFormat="1" ht="12" customHeight="1" x14ac:dyDescent="0.25">
      <c r="A231" s="3">
        <f t="shared" si="44"/>
        <v>227</v>
      </c>
      <c r="B231" s="4" t="s">
        <v>276</v>
      </c>
      <c r="C231" s="4" t="s">
        <v>276</v>
      </c>
      <c r="D231" s="5">
        <v>5321.2</v>
      </c>
      <c r="E231" s="6">
        <v>5321.2</v>
      </c>
      <c r="F231" s="6">
        <v>0</v>
      </c>
      <c r="G231" s="6">
        <v>1014.6</v>
      </c>
      <c r="H231" s="5">
        <f>SUMIF(отчёт!$B:$B,$B:$B,отчёт!I:I)</f>
        <v>1</v>
      </c>
      <c r="I231" s="5">
        <f>SUMIF(отчёт!$B:$B,$B:$B,отчёт!J:J)</f>
        <v>1</v>
      </c>
      <c r="J231" s="3" t="s">
        <v>74</v>
      </c>
      <c r="K231" s="105">
        <v>1</v>
      </c>
      <c r="L231" s="105" t="s">
        <v>75</v>
      </c>
      <c r="M231" s="12">
        <v>36.54</v>
      </c>
      <c r="N231" s="8">
        <v>4.03</v>
      </c>
      <c r="O231" s="8">
        <v>7</v>
      </c>
      <c r="P231" s="8">
        <v>11</v>
      </c>
      <c r="Q231" s="8">
        <v>5.4</v>
      </c>
      <c r="R231" s="8">
        <v>2.67</v>
      </c>
      <c r="S231" s="8">
        <v>1.54</v>
      </c>
      <c r="T231" s="8">
        <v>4.9000000000000004</v>
      </c>
      <c r="U231" s="8">
        <v>0</v>
      </c>
      <c r="V231" s="9">
        <v>40</v>
      </c>
      <c r="W231" s="9">
        <v>40</v>
      </c>
      <c r="X231" s="9">
        <v>2604.04</v>
      </c>
      <c r="Y231" s="8">
        <v>195.98199600000001</v>
      </c>
      <c r="Z231" s="9">
        <v>42.3</v>
      </c>
      <c r="AA231" s="9">
        <v>2604.04</v>
      </c>
      <c r="AB231" s="8">
        <v>0</v>
      </c>
      <c r="AC231" s="10">
        <v>0</v>
      </c>
      <c r="AD231" s="8">
        <v>5.05</v>
      </c>
      <c r="AE231" s="8">
        <v>10.67</v>
      </c>
      <c r="AF231" s="8">
        <v>14</v>
      </c>
      <c r="AG231" s="7">
        <v>1166619.8879999998</v>
      </c>
      <c r="AH231" s="8">
        <v>128666.61600000001</v>
      </c>
      <c r="AI231" s="8">
        <v>223490.40000000002</v>
      </c>
      <c r="AJ231" s="8">
        <v>351199.19999999995</v>
      </c>
      <c r="AK231" s="8">
        <v>172406.88</v>
      </c>
      <c r="AL231" s="8">
        <v>85245.623999999996</v>
      </c>
      <c r="AM231" s="8">
        <v>49167.887999999992</v>
      </c>
      <c r="AN231" s="8">
        <v>156443.28</v>
      </c>
      <c r="AO231" s="8">
        <v>0</v>
      </c>
      <c r="AP231" s="13" t="s">
        <v>75</v>
      </c>
      <c r="AQ231" s="104">
        <v>39.28</v>
      </c>
      <c r="AR231" s="104">
        <v>4.3321948549534763</v>
      </c>
      <c r="AS231" s="104">
        <v>7.5249042145593874</v>
      </c>
      <c r="AT231" s="104">
        <v>11.824849480021895</v>
      </c>
      <c r="AU231" s="104"/>
      <c r="AV231" s="104"/>
      <c r="AW231" s="104"/>
      <c r="AX231" s="104">
        <v>5.8049261083743851</v>
      </c>
      <c r="AY231" s="104">
        <v>2.870213464696223</v>
      </c>
      <c r="AZ231" s="104">
        <v>1.6554789272030652</v>
      </c>
      <c r="BA231" s="104">
        <v>5.267432950191572</v>
      </c>
      <c r="BB231" s="104"/>
      <c r="BC231" s="101">
        <v>0</v>
      </c>
      <c r="BD231" s="104">
        <v>39.28</v>
      </c>
      <c r="BE231" s="104">
        <v>4.3321948549534763</v>
      </c>
      <c r="BF231" s="104">
        <v>7.5249042145593874</v>
      </c>
      <c r="BG231" s="104">
        <v>11.824849480021895</v>
      </c>
      <c r="BH231" s="104">
        <v>0</v>
      </c>
      <c r="BI231" s="104">
        <v>0</v>
      </c>
      <c r="BJ231" s="104">
        <v>0</v>
      </c>
      <c r="BK231" s="104">
        <v>5.8049261083743851</v>
      </c>
      <c r="BL231" s="104">
        <v>2.870213464696223</v>
      </c>
      <c r="BM231" s="104">
        <v>1.6554789272030652</v>
      </c>
      <c r="BN231" s="104">
        <v>5.267432950191572</v>
      </c>
      <c r="BO231" s="104">
        <v>0</v>
      </c>
      <c r="BP231" s="101">
        <v>0</v>
      </c>
      <c r="BQ231" s="103">
        <v>2508200.8320000004</v>
      </c>
      <c r="BR231" s="103">
        <v>276629.70314614131</v>
      </c>
      <c r="BS231" s="103">
        <v>480498.24367816088</v>
      </c>
      <c r="BT231" s="103">
        <v>755068.66863711004</v>
      </c>
      <c r="BU231" s="103">
        <v>0</v>
      </c>
      <c r="BV231" s="103">
        <v>0</v>
      </c>
      <c r="BW231" s="103">
        <v>0</v>
      </c>
      <c r="BX231" s="103">
        <v>370670.07369458134</v>
      </c>
      <c r="BY231" s="103">
        <v>183275.75866009851</v>
      </c>
      <c r="BZ231" s="103">
        <v>105709.61360919541</v>
      </c>
      <c r="CA231" s="103">
        <v>336348.77057471272</v>
      </c>
      <c r="CB231" s="103">
        <v>0</v>
      </c>
      <c r="CC231" s="103">
        <v>0</v>
      </c>
      <c r="CD231" s="13">
        <v>2</v>
      </c>
      <c r="CF231" s="277">
        <f>SUMIF(Оборот!$A:$A,$B:$B,Оборот!H:H)</f>
        <v>2357259.04</v>
      </c>
      <c r="CG231" s="277">
        <f>SUMIF(Оборот!$A:$A,$B:$B,Оборот!I:I)</f>
        <v>2385144.3800000004</v>
      </c>
      <c r="CH231" s="277">
        <f t="shared" si="38"/>
        <v>2454313.3186758184</v>
      </c>
      <c r="CI231" s="239">
        <f t="shared" si="42"/>
        <v>542892.18784905516</v>
      </c>
      <c r="CJ231" s="276">
        <f>SUMIF('20Ф'!$H:$H,$B:$B,'20Ф'!M:M)*1.2</f>
        <v>0</v>
      </c>
      <c r="CK231" s="276">
        <f>SUMIF('20Ф'!$H:$H,$B:$B,'20Ф'!O:O)*1.2</f>
        <v>0</v>
      </c>
      <c r="CL231" s="276">
        <f>SUMIF('20Ф'!$H:$H,$B:$B,'20Ф'!Q:Q)*1.2</f>
        <v>0</v>
      </c>
      <c r="CM231" s="276">
        <f>SUMIF('20Ф'!$H:$H,$B:$B,'20Ф'!R:R)*1.2</f>
        <v>0</v>
      </c>
      <c r="CN231" s="276">
        <f>SUMIF('20Ф'!$H:$H,$B:$B,'20Ф'!S:S)*1.2</f>
        <v>0</v>
      </c>
      <c r="CO231" s="276">
        <f>SUMIF('20Ф'!$H:$H,$B:$B,'20Ф'!W:W)*1.2</f>
        <v>0</v>
      </c>
      <c r="CP231" s="276">
        <f>SUMIF('20Ф'!$H:$H,$B:$B,'20Ф'!P:P)*1.2</f>
        <v>0</v>
      </c>
      <c r="CQ231" s="276">
        <f>SUMIF('20Ф'!$H:$H,$B:$B,'20Ф'!Y:Y)*1.2</f>
        <v>0</v>
      </c>
      <c r="CR231" s="276">
        <f>SUMIF('20Ф'!$H:$H,$B:$B,'20Ф'!Z:Z)*1.2</f>
        <v>0</v>
      </c>
      <c r="CS231" s="276">
        <f>SUMIF('20Ф'!$H:$H,$B:$B,'20Ф'!AB:AB)*1.2</f>
        <v>0</v>
      </c>
      <c r="CT231" s="276">
        <f>SUMIF('20Ф'!$H:$H,$B:$B,'20Ф'!AC:AC)*1.2</f>
        <v>0</v>
      </c>
      <c r="CU231" s="276">
        <f>SUMIF('20Ф'!$H:$H,$B:$B,'20Ф'!AD:AD)*1.2</f>
        <v>0</v>
      </c>
      <c r="CV231" s="276">
        <f>SUMIF('20Ф'!$H:$H,$B:$B,'20Ф'!AE:AE)*1.2</f>
        <v>0</v>
      </c>
      <c r="CW231" s="276">
        <f>SUMIF('20Ф'!$H:$H,$B:$B,'20Ф'!AF:AF)*1.2</f>
        <v>0</v>
      </c>
      <c r="CX231" s="276">
        <f>SUMIF('20Ф'!$H:$H,$B:$B,'20Ф'!AG:AG)*1.2</f>
        <v>0</v>
      </c>
      <c r="CY231" s="276">
        <f>SUMIF('20Ф'!$H:$H,$B:$B,'20Ф'!AH:AH)*1.2</f>
        <v>0</v>
      </c>
      <c r="CZ231" s="276">
        <f>SUMIF('20Ф'!$H:$H,$B:$B,'20Ф'!AI:AI)*1.2</f>
        <v>0</v>
      </c>
      <c r="DA231" s="276">
        <f>SUMIF('20Ф'!$H:$H,$B:$B,'20Ф'!AJ:AJ)*1.2</f>
        <v>168765.12</v>
      </c>
      <c r="DB231" s="276">
        <f>SUMIF('20Ф'!$H:$H,$B:$B,'20Ф'!AK:AK)*1.2</f>
        <v>0</v>
      </c>
      <c r="DC231" s="276">
        <f>SUMIF('20Ф'!$H:$H,$B:$B,'20Ф'!AL:AL)*1.2</f>
        <v>327325.33199999999</v>
      </c>
      <c r="DD231" s="276">
        <f>SUMIF('20Ф'!$H:$H,$B:$B,'20Ф'!AM:AM)*1.2</f>
        <v>0</v>
      </c>
      <c r="DE231" s="276">
        <f>SUMIF('20Ф'!$H:$H,$B:$B,'20Ф'!AN:AN)*1.2</f>
        <v>0</v>
      </c>
      <c r="DF231" s="276">
        <f>SUMIF('20Ф'!$H:$H,$B:$B,'20Ф'!AO:AO)*1.2</f>
        <v>0</v>
      </c>
      <c r="DG231" s="276">
        <f>SUMIF('20Ф'!$H:$H,$B:$B,'20Ф'!AP:AP)*1.2</f>
        <v>0</v>
      </c>
      <c r="DH231" s="276">
        <f>SUMIF('20Ф'!$H:$H,$B:$B,'20Ф'!AQ:AQ)*1.2</f>
        <v>0</v>
      </c>
      <c r="DI231" s="276">
        <f>SUMIF('20Ф'!$H:$H,$B:$B,'20Ф'!BA:BA)*1.2</f>
        <v>0</v>
      </c>
      <c r="DJ231" s="276">
        <f>SUMIF('20Ф'!$H:$H,$B:$B,'20Ф'!BB:BB)*1.2</f>
        <v>0</v>
      </c>
      <c r="DK231" s="276">
        <f>SUMIF('20Ф'!$H:$H,$B:$B,'20Ф'!BC:BC)*1.2</f>
        <v>0</v>
      </c>
      <c r="DL231" s="276">
        <f>$D231/$D$281*'20Ф'!$H$218</f>
        <v>46801.735849055207</v>
      </c>
      <c r="DM231" s="240">
        <f t="shared" si="39"/>
        <v>505530.54739363503</v>
      </c>
      <c r="DN231" s="276">
        <f>SUMIF('20Ф'!$H:$H,$B:$B,'20Ф'!AV:AV)*1.2</f>
        <v>0</v>
      </c>
      <c r="DO231" s="276">
        <f>SUMIF('20Ф'!$H:$H,$B:$B,'20Ф'!AW:AW)*1.2+$D231/$D$281*'26Ф'!$D$42</f>
        <v>24905.461167844009</v>
      </c>
      <c r="DP231" s="276">
        <f>SUMIF('20Ф'!$H:$H,$B:$B,'20Ф'!AX:AX)*1.2</f>
        <v>0</v>
      </c>
      <c r="DQ231" s="276">
        <f>SUMIF('20Ф'!$H:$H,$B:$B,'20Ф'!AY:AY)*1.2</f>
        <v>0</v>
      </c>
      <c r="DR231" s="276">
        <f>SUMIF('20Ф'!$H:$H,$B:$B,'20Ф'!AU:AU)*1.2</f>
        <v>0</v>
      </c>
      <c r="DS231" s="276">
        <f>SUMIF('20Ф'!$H:$H,$B:$B,'20Ф'!AS:AS)*1.2</f>
        <v>0</v>
      </c>
      <c r="DT231" s="276">
        <f>SUMIF('20Ф'!$H:$H,$B:$B,'20Ф'!AR:AR)*1.2</f>
        <v>41296.764000000003</v>
      </c>
      <c r="DU231" s="276">
        <f>SUMIF('20Ф'!$H:$H,$B:$B,'20Ф'!X:X)*1.2</f>
        <v>0</v>
      </c>
      <c r="DV231" s="276">
        <f>SUMIF('20Ф'!$H:$H,$B:$B,'20Ф'!AA:AA)*1.2</f>
        <v>0</v>
      </c>
      <c r="DW231" s="276">
        <f>SUMIF('20Ф'!$H:$H,$B:$B,'20Ф'!N:N)*1.2</f>
        <v>0</v>
      </c>
      <c r="DX231" s="276">
        <f>$D231/$D$281*('25Ф'!$D$37)</f>
        <v>418629.64491591824</v>
      </c>
      <c r="DY231" s="276">
        <f>$D231/$D$281*'25Ф'!$D$30</f>
        <v>13361.344112311554</v>
      </c>
      <c r="DZ231" s="276">
        <f>$D231/$D$281*'25Ф'!$D$31</f>
        <v>7337.33319756124</v>
      </c>
      <c r="EA231" s="276"/>
      <c r="EB231" s="276">
        <f t="shared" si="40"/>
        <v>263743.2467138943</v>
      </c>
      <c r="EC231" s="276">
        <f>$D231/$D$281*'26Ф'!$D$36</f>
        <v>137286.85370289875</v>
      </c>
      <c r="ED231" s="276">
        <f>$D231/$D$281*'26Ф'!$D$37</f>
        <v>16494.868847185127</v>
      </c>
      <c r="EE231" s="276">
        <f>$D231/$D$281*'26Ф'!$D$38</f>
        <v>16664.039958389909</v>
      </c>
      <c r="EF231" s="276">
        <f>$D231/$D$281*'26Ф'!$D$39</f>
        <v>11689.808821934672</v>
      </c>
      <c r="EG231" s="276">
        <f>$D231/$D$281*'91Ф'!$D$10</f>
        <v>3606.3011598405351</v>
      </c>
      <c r="EH231" s="276">
        <f>$D231/$D$281*('20Ф'!$I$509+'26Ф'!$D$41+'20Ф'!$I$507)</f>
        <v>25513.393207110264</v>
      </c>
      <c r="EI231" s="276">
        <f>$D231/$D$281*'91Ф'!$D$31</f>
        <v>46769.797148192825</v>
      </c>
      <c r="EJ231" s="276">
        <f>$D231/$D$281*'20Ф'!$I$1316</f>
        <v>5718.1838683421829</v>
      </c>
      <c r="EK231" s="276">
        <f>$D231/$D$281*('20Ф'!$I$1105+'20Ф'!$I$1282+'91Ф'!$D$17+'91Ф'!$D$41)</f>
        <v>187791.52886585169</v>
      </c>
      <c r="EL231" s="276">
        <f>$D231/$D$281*отчёт!BX$294</f>
        <v>313930.16431736085</v>
      </c>
      <c r="EM231" s="276">
        <f>$D231/$D$281*отчёт!BY$294</f>
        <v>276084.72836125956</v>
      </c>
      <c r="EN231" s="276">
        <f>$D231/$D$283*отчёт!BZ$294</f>
        <v>49548.578495391186</v>
      </c>
      <c r="EO231" s="240">
        <f t="shared" si="48"/>
        <v>184969.78550099797</v>
      </c>
      <c r="EP231" s="276">
        <f>SUMIF('20Ф'!$H:$H,$B:$B,'20Ф'!T:T)*1.2</f>
        <v>7106.3759999999993</v>
      </c>
      <c r="EQ231" s="276">
        <f>SUM(H231:I231)/SUM($H$284:$I$284)*SUM('60Ф'!$O$155:$P$155)</f>
        <v>172510.26175648702</v>
      </c>
      <c r="ER231" s="276">
        <f>SUM($H231:$I231)/SUM($H$284:$I$284)*SUM('60Ф'!$P$227)</f>
        <v>5353.1477445109776</v>
      </c>
      <c r="ES231" s="239">
        <f t="shared" si="43"/>
        <v>105072.54556241572</v>
      </c>
      <c r="ET231" s="276">
        <f>$D231/$D$282*'20Ф'!$I$381</f>
        <v>8030.7953297402637</v>
      </c>
      <c r="EU231" s="276">
        <f>$D231/$D$282*('20Ф'!$I$75+'20Ф'!$I$1098)*1.2</f>
        <v>92759.251148649637</v>
      </c>
      <c r="EV231" s="276">
        <f>$D231/$D$282*('20Ф'!$I$1286)</f>
        <v>4282.4990840258051</v>
      </c>
      <c r="EW231" s="276">
        <f>SUMIF('91.1Ф'!$N:$N,$B:$B,'91.1Ф'!$F:$F)+$D231/$D$281*('91Ф'!$D$12+'91Ф'!$D$11+'91Ф'!$D$19+'91Ф'!$D$20)</f>
        <v>24750.005615956539</v>
      </c>
      <c r="EX231" s="276">
        <f t="shared" si="41"/>
        <v>0</v>
      </c>
      <c r="EY231" s="276">
        <f>SUMIF('20Ф'!$H:$H,$B:$B,'20Ф'!$AY:$AY)*1.2</f>
        <v>0</v>
      </c>
      <c r="EZ231" s="238"/>
      <c r="FA231" s="277">
        <f>SUMIF(отчёт!$B:$B,$B:$B,отчёт!$CU:$CU)/отчёт!$CU$281*'20Ф'!$I$1341</f>
        <v>920.96385542168503</v>
      </c>
      <c r="FB231" s="276">
        <f>SUMIF(Сальдо!$A:$A,$B:$B,Сальдо!$H:$H)-SUMIF(Сальдо!$A:$A,$B:$B,Сальдо!$I:$I)</f>
        <v>416692.31999999995</v>
      </c>
    </row>
    <row r="232" spans="1:158" s="13" customFormat="1" ht="12" customHeight="1" x14ac:dyDescent="0.25">
      <c r="A232" s="3">
        <f t="shared" si="44"/>
        <v>228</v>
      </c>
      <c r="B232" s="4" t="s">
        <v>277</v>
      </c>
      <c r="C232" s="4" t="s">
        <v>277</v>
      </c>
      <c r="D232" s="5">
        <v>3691.5</v>
      </c>
      <c r="E232" s="6">
        <v>3691.5</v>
      </c>
      <c r="F232" s="6">
        <v>0</v>
      </c>
      <c r="G232" s="6">
        <v>1017.5</v>
      </c>
      <c r="H232" s="5">
        <f>SUMIF(отчёт!$B:$B,$B:$B,отчёт!I:I)</f>
        <v>2</v>
      </c>
      <c r="I232" s="5">
        <f>SUMIF(отчёт!$B:$B,$B:$B,отчёт!J:J)</f>
        <v>0</v>
      </c>
      <c r="J232" s="3" t="s">
        <v>70</v>
      </c>
      <c r="K232" s="105">
        <v>1</v>
      </c>
      <c r="L232" s="105" t="s">
        <v>52</v>
      </c>
      <c r="M232" s="7">
        <v>44.8</v>
      </c>
      <c r="N232" s="8">
        <v>5.0999999999999996</v>
      </c>
      <c r="O232" s="8">
        <v>8.6300000000000008</v>
      </c>
      <c r="P232" s="8">
        <v>13.43</v>
      </c>
      <c r="Q232" s="8">
        <v>6.91</v>
      </c>
      <c r="R232" s="8">
        <v>3.15</v>
      </c>
      <c r="S232" s="8">
        <v>1.81</v>
      </c>
      <c r="T232" s="8">
        <v>5.77</v>
      </c>
      <c r="U232" s="8">
        <v>0</v>
      </c>
      <c r="V232" s="9">
        <v>40</v>
      </c>
      <c r="W232" s="9">
        <v>40</v>
      </c>
      <c r="X232" s="9">
        <v>2604.04</v>
      </c>
      <c r="Y232" s="8">
        <v>195.98199600000001</v>
      </c>
      <c r="Z232" s="9">
        <v>42.3</v>
      </c>
      <c r="AA232" s="9">
        <v>2604.04</v>
      </c>
      <c r="AB232" s="8">
        <v>0</v>
      </c>
      <c r="AC232" s="10">
        <v>0</v>
      </c>
      <c r="AD232" s="8">
        <v>5.05</v>
      </c>
      <c r="AE232" s="8">
        <v>10.67</v>
      </c>
      <c r="AF232" s="8">
        <v>14</v>
      </c>
      <c r="AG232" s="7">
        <v>992275.2</v>
      </c>
      <c r="AH232" s="8">
        <v>112959.9</v>
      </c>
      <c r="AI232" s="8">
        <v>191145.87000000002</v>
      </c>
      <c r="AJ232" s="8">
        <v>297461.07</v>
      </c>
      <c r="AK232" s="8">
        <v>153049.59</v>
      </c>
      <c r="AL232" s="8">
        <v>69769.350000000006</v>
      </c>
      <c r="AM232" s="8">
        <v>40089.69</v>
      </c>
      <c r="AN232" s="8">
        <v>127799.72999999998</v>
      </c>
      <c r="AO232" s="8">
        <v>0</v>
      </c>
      <c r="AQ232" s="104">
        <v>48.16</v>
      </c>
      <c r="AR232" s="375">
        <v>18.649999999999999</v>
      </c>
      <c r="AS232" s="376"/>
      <c r="AT232" s="14">
        <v>7.16</v>
      </c>
      <c r="AU232" s="14">
        <v>1.53</v>
      </c>
      <c r="AV232" s="14">
        <v>0.32</v>
      </c>
      <c r="AW232" s="14">
        <v>0.87</v>
      </c>
      <c r="AX232" s="14">
        <v>5.01</v>
      </c>
      <c r="AY232" s="14">
        <v>4.99</v>
      </c>
      <c r="AZ232" s="14">
        <v>2.7</v>
      </c>
      <c r="BA232" s="14">
        <v>6.46</v>
      </c>
      <c r="BB232" s="14">
        <v>0.47</v>
      </c>
      <c r="BC232" s="15">
        <v>0</v>
      </c>
      <c r="BD232" s="104">
        <v>54.565279999999994</v>
      </c>
      <c r="BE232" s="375">
        <v>21.130449999999996</v>
      </c>
      <c r="BF232" s="376">
        <v>0</v>
      </c>
      <c r="BG232" s="14">
        <v>8.1122800000000002</v>
      </c>
      <c r="BH232" s="14">
        <v>1.7334900000000002</v>
      </c>
      <c r="BI232" s="14">
        <v>0.36255999999999999</v>
      </c>
      <c r="BJ232" s="14">
        <v>0.98570999999999998</v>
      </c>
      <c r="BK232" s="14">
        <v>5.6763299999999992</v>
      </c>
      <c r="BL232" s="14">
        <v>5.6536700000000009</v>
      </c>
      <c r="BM232" s="14">
        <v>3.0591000000000004</v>
      </c>
      <c r="BN232" s="14">
        <v>7.3191800000000002</v>
      </c>
      <c r="BO232" s="14">
        <v>0.53250999999999993</v>
      </c>
      <c r="BP232" s="15">
        <v>0</v>
      </c>
      <c r="BQ232" s="103">
        <v>2369842.5912000001</v>
      </c>
      <c r="BR232" s="371">
        <v>917723.51174999995</v>
      </c>
      <c r="BS232" s="371">
        <v>0</v>
      </c>
      <c r="BT232" s="103">
        <v>352327.09620000003</v>
      </c>
      <c r="BU232" s="103">
        <v>75287.773350000003</v>
      </c>
      <c r="BV232" s="103">
        <v>15746.4624</v>
      </c>
      <c r="BW232" s="103">
        <v>42810.694649999998</v>
      </c>
      <c r="BX232" s="103">
        <v>246530.55194999999</v>
      </c>
      <c r="BY232" s="103">
        <v>245546.39805000005</v>
      </c>
      <c r="BZ232" s="103">
        <v>132860.77650000004</v>
      </c>
      <c r="CA232" s="103">
        <v>317881.70970000001</v>
      </c>
      <c r="CB232" s="103">
        <v>23127.616649999996</v>
      </c>
      <c r="CC232" s="103">
        <v>0</v>
      </c>
      <c r="CD232" s="1">
        <v>1</v>
      </c>
      <c r="CF232" s="277">
        <f>SUMIF(Оборот!$A:$A,$B:$B,Оборот!H:H)</f>
        <v>2034164.0399999996</v>
      </c>
      <c r="CG232" s="277">
        <f>SUMIF(Оборот!$A:$A,$B:$B,Оборот!I:I)</f>
        <v>2053108.0199999998</v>
      </c>
      <c r="CH232" s="277">
        <f t="shared" si="38"/>
        <v>1704150.1762527924</v>
      </c>
      <c r="CI232" s="239">
        <f t="shared" si="42"/>
        <v>316497.17863015621</v>
      </c>
      <c r="CJ232" s="276">
        <f>SUMIF('20Ф'!$H:$H,$B:$B,'20Ф'!M:M)*1.2</f>
        <v>0</v>
      </c>
      <c r="CK232" s="276">
        <f>SUMIF('20Ф'!$H:$H,$B:$B,'20Ф'!O:O)*1.2</f>
        <v>0</v>
      </c>
      <c r="CL232" s="276">
        <f>SUMIF('20Ф'!$H:$H,$B:$B,'20Ф'!Q:Q)*1.2</f>
        <v>0</v>
      </c>
      <c r="CM232" s="276">
        <f>SUMIF('20Ф'!$H:$H,$B:$B,'20Ф'!R:R)*1.2</f>
        <v>0</v>
      </c>
      <c r="CN232" s="276">
        <f>SUMIF('20Ф'!$H:$H,$B:$B,'20Ф'!S:S)*1.2</f>
        <v>0</v>
      </c>
      <c r="CO232" s="276">
        <f>SUMIF('20Ф'!$H:$H,$B:$B,'20Ф'!W:W)*1.2</f>
        <v>0</v>
      </c>
      <c r="CP232" s="276">
        <f>SUMIF('20Ф'!$H:$H,$B:$B,'20Ф'!P:P)*1.2</f>
        <v>0</v>
      </c>
      <c r="CQ232" s="276">
        <f>SUMIF('20Ф'!$H:$H,$B:$B,'20Ф'!Y:Y)*1.2</f>
        <v>0</v>
      </c>
      <c r="CR232" s="276">
        <f>SUMIF('20Ф'!$H:$H,$B:$B,'20Ф'!Z:Z)*1.2</f>
        <v>0</v>
      </c>
      <c r="CS232" s="276">
        <f>SUMIF('20Ф'!$H:$H,$B:$B,'20Ф'!AB:AB)*1.2</f>
        <v>0</v>
      </c>
      <c r="CT232" s="276">
        <f>SUMIF('20Ф'!$H:$H,$B:$B,'20Ф'!AC:AC)*1.2</f>
        <v>0</v>
      </c>
      <c r="CU232" s="276">
        <f>SUMIF('20Ф'!$H:$H,$B:$B,'20Ф'!AD:AD)*1.2</f>
        <v>0</v>
      </c>
      <c r="CV232" s="276">
        <f>SUMIF('20Ф'!$H:$H,$B:$B,'20Ф'!AE:AE)*1.2</f>
        <v>0</v>
      </c>
      <c r="CW232" s="276">
        <f>SUMIF('20Ф'!$H:$H,$B:$B,'20Ф'!AF:AF)*1.2</f>
        <v>0</v>
      </c>
      <c r="CX232" s="276">
        <f>SUMIF('20Ф'!$H:$H,$B:$B,'20Ф'!AG:AG)*1.2</f>
        <v>0</v>
      </c>
      <c r="CY232" s="276">
        <f>SUMIF('20Ф'!$H:$H,$B:$B,'20Ф'!AH:AH)*1.2</f>
        <v>0</v>
      </c>
      <c r="CZ232" s="276">
        <f>SUMIF('20Ф'!$H:$H,$B:$B,'20Ф'!AI:AI)*1.2</f>
        <v>0</v>
      </c>
      <c r="DA232" s="276">
        <f>SUMIF('20Ф'!$H:$H,$B:$B,'20Ф'!AJ:AJ)*1.2</f>
        <v>0</v>
      </c>
      <c r="DB232" s="276">
        <f>SUMIF('20Ф'!$H:$H,$B:$B,'20Ф'!AK:AK)*1.2</f>
        <v>0</v>
      </c>
      <c r="DC232" s="276">
        <f>SUMIF('20Ф'!$H:$H,$B:$B,'20Ф'!AL:AL)*1.2</f>
        <v>284029.2</v>
      </c>
      <c r="DD232" s="276">
        <f>SUMIF('20Ф'!$H:$H,$B:$B,'20Ф'!AM:AM)*1.2</f>
        <v>0</v>
      </c>
      <c r="DE232" s="276">
        <f>SUMIF('20Ф'!$H:$H,$B:$B,'20Ф'!AN:AN)*1.2</f>
        <v>0</v>
      </c>
      <c r="DF232" s="276">
        <f>SUMIF('20Ф'!$H:$H,$B:$B,'20Ф'!AO:AO)*1.2</f>
        <v>0</v>
      </c>
      <c r="DG232" s="276">
        <f>SUMIF('20Ф'!$H:$H,$B:$B,'20Ф'!AP:AP)*1.2</f>
        <v>0</v>
      </c>
      <c r="DH232" s="276">
        <f>SUMIF('20Ф'!$H:$H,$B:$B,'20Ф'!AQ:AQ)*1.2</f>
        <v>0</v>
      </c>
      <c r="DI232" s="276">
        <f>SUMIF('20Ф'!$H:$H,$B:$B,'20Ф'!BA:BA)*1.2</f>
        <v>0</v>
      </c>
      <c r="DJ232" s="276">
        <f>SUMIF('20Ф'!$H:$H,$B:$B,'20Ф'!BB:BB)*1.2</f>
        <v>0</v>
      </c>
      <c r="DK232" s="276">
        <f>SUMIF('20Ф'!$H:$H,$B:$B,'20Ф'!BC:BC)*1.2</f>
        <v>0</v>
      </c>
      <c r="DL232" s="276">
        <f>$D232/$D$281*'20Ф'!$H$218</f>
        <v>32467.978630156224</v>
      </c>
      <c r="DM232" s="240">
        <f t="shared" si="39"/>
        <v>356782.11373870634</v>
      </c>
      <c r="DN232" s="276">
        <f>SUMIF('20Ф'!$H:$H,$B:$B,'20Ф'!AV:AV)*1.2</f>
        <v>0</v>
      </c>
      <c r="DO232" s="276">
        <f>SUMIF('20Ф'!$H:$H,$B:$B,'20Ф'!AW:AW)*1.2+$D232/$D$281*'26Ф'!$D$42</f>
        <v>17277.777550382652</v>
      </c>
      <c r="DP232" s="276">
        <f>SUMIF('20Ф'!$H:$H,$B:$B,'20Ф'!AX:AX)*1.2</f>
        <v>0</v>
      </c>
      <c r="DQ232" s="276">
        <f>SUMIF('20Ф'!$H:$H,$B:$B,'20Ф'!AY:AY)*1.2</f>
        <v>0</v>
      </c>
      <c r="DR232" s="276">
        <f>SUMIF('20Ф'!$H:$H,$B:$B,'20Ф'!AU:AU)*1.2</f>
        <v>0</v>
      </c>
      <c r="DS232" s="276">
        <f>SUMIF('20Ф'!$H:$H,$B:$B,'20Ф'!AS:AS)*1.2</f>
        <v>34727.123999999996</v>
      </c>
      <c r="DT232" s="276">
        <f>SUMIF('20Ф'!$H:$H,$B:$B,'20Ф'!AR:AR)*1.2</f>
        <v>0</v>
      </c>
      <c r="DU232" s="276">
        <f>SUMIF('20Ф'!$H:$H,$B:$B,'20Ф'!X:X)*1.2</f>
        <v>0</v>
      </c>
      <c r="DV232" s="276">
        <f>SUMIF('20Ф'!$H:$H,$B:$B,'20Ф'!AA:AA)*1.2</f>
        <v>0</v>
      </c>
      <c r="DW232" s="276">
        <f>SUMIF('20Ф'!$H:$H,$B:$B,'20Ф'!N:N)*1.2</f>
        <v>0</v>
      </c>
      <c r="DX232" s="276">
        <f>$D232/$D$281*('25Ф'!$D$37)</f>
        <v>290417.82571734051</v>
      </c>
      <c r="DY232" s="276">
        <f>$D232/$D$281*'25Ф'!$D$30</f>
        <v>9269.2253233477604</v>
      </c>
      <c r="DZ232" s="276">
        <f>$D232/$D$281*'25Ф'!$D$31</f>
        <v>5090.1611476353673</v>
      </c>
      <c r="EA232" s="276"/>
      <c r="EB232" s="276">
        <f t="shared" si="40"/>
        <v>182967.78832675726</v>
      </c>
      <c r="EC232" s="276">
        <f>$D232/$D$281*'26Ф'!$D$36</f>
        <v>95240.626258034041</v>
      </c>
      <c r="ED232" s="276">
        <f>$D232/$D$281*'26Ф'!$D$37</f>
        <v>11443.059525930972</v>
      </c>
      <c r="EE232" s="276">
        <f>$D232/$D$281*'26Ф'!$D$38</f>
        <v>11560.419361496721</v>
      </c>
      <c r="EF232" s="276">
        <f>$D232/$D$281*'26Ф'!$D$39</f>
        <v>8109.6236311681278</v>
      </c>
      <c r="EG232" s="276">
        <f>$D232/$D$281*'91Ф'!$D$10</f>
        <v>2501.8155174681151</v>
      </c>
      <c r="EH232" s="276">
        <f>$D232/$D$281*('20Ф'!$I$509+'26Ф'!$D$41+'20Ф'!$I$507)</f>
        <v>17699.520977232118</v>
      </c>
      <c r="EI232" s="276">
        <f>$D232/$D$281*'91Ф'!$D$31</f>
        <v>32445.821651611259</v>
      </c>
      <c r="EJ232" s="276">
        <f>$D232/$D$281*'20Ф'!$I$1316</f>
        <v>3966.9014038159003</v>
      </c>
      <c r="EK232" s="276">
        <f>$D232/$D$281*('20Ф'!$I$1105+'20Ф'!$I$1282+'91Ф'!$D$17+'91Ф'!$D$41)</f>
        <v>130277.46162675552</v>
      </c>
      <c r="EL232" s="276">
        <f>$D232/$D$281*отчёт!BX$294</f>
        <v>217784.18431510514</v>
      </c>
      <c r="EM232" s="276">
        <f>$D232/$D$281*отчёт!BY$294</f>
        <v>191529.49987701827</v>
      </c>
      <c r="EN232" s="276">
        <f>$D232/$D$283*отчёт!BZ$294</f>
        <v>34373.558128943951</v>
      </c>
      <c r="EO232" s="240">
        <f t="shared" si="48"/>
        <v>183876.00950099801</v>
      </c>
      <c r="EP232" s="276">
        <f>SUMIF('20Ф'!$H:$H,$B:$B,'20Ф'!T:T)*1.2</f>
        <v>6012.5999999999995</v>
      </c>
      <c r="EQ232" s="276">
        <f>SUM(H232:I232)/SUM($H$284:$I$284)*SUM('60Ф'!$O$155:$P$155)</f>
        <v>172510.26175648702</v>
      </c>
      <c r="ER232" s="276">
        <f>SUM($H232:$I232)/SUM($H$284:$I$284)*SUM('60Ф'!$P$227)</f>
        <v>5353.1477445109776</v>
      </c>
      <c r="ES232" s="239">
        <f t="shared" si="43"/>
        <v>72892.449436904746</v>
      </c>
      <c r="ET232" s="276">
        <f>$D232/$D$282*'20Ф'!$I$381</f>
        <v>5571.2397503826551</v>
      </c>
      <c r="EU232" s="276">
        <f>$D232/$D$282*('20Ф'!$I$75+'20Ф'!$I$1098)*1.2</f>
        <v>64350.292342937704</v>
      </c>
      <c r="EV232" s="276">
        <f>$D232/$D$282*('20Ф'!$I$1286)</f>
        <v>2970.9173435843909</v>
      </c>
      <c r="EW232" s="276">
        <f>SUMIF('91.1Ф'!$N:$N,$B:$B,'91.1Ф'!$F:$F)+$D232/$D$281*('91Ф'!$D$12+'91Ф'!$D$11+'91Ф'!$D$19+'91Ф'!$D$20)</f>
        <v>17169.932671446961</v>
      </c>
      <c r="EX232" s="276">
        <f t="shared" si="41"/>
        <v>0</v>
      </c>
      <c r="EY232" s="276">
        <f>SUMIF('20Ф'!$H:$H,$B:$B,'20Ф'!$AY:$AY)*1.2</f>
        <v>0</v>
      </c>
      <c r="EZ232" s="238"/>
      <c r="FA232" s="277">
        <f>SUMIF(отчёт!$B:$B,$B:$B,отчёт!$CU:$CU)/отчёт!$CU$281*'20Ф'!$I$1341</f>
        <v>920.96385542168503</v>
      </c>
      <c r="FB232" s="276">
        <f>SUMIF(Сальдо!$A:$A,$B:$B,Сальдо!$H:$H)-SUMIF(Сальдо!$A:$A,$B:$B,Сальдо!$I:$I)</f>
        <v>398710.32</v>
      </c>
    </row>
    <row r="233" spans="1:158" s="13" customFormat="1" ht="12" customHeight="1" x14ac:dyDescent="0.25">
      <c r="A233" s="3">
        <f t="shared" si="44"/>
        <v>229</v>
      </c>
      <c r="B233" s="4" t="s">
        <v>278</v>
      </c>
      <c r="C233" s="4" t="s">
        <v>278</v>
      </c>
      <c r="D233" s="5">
        <v>2068.33</v>
      </c>
      <c r="E233" s="6">
        <v>2068.33</v>
      </c>
      <c r="F233" s="6">
        <v>0</v>
      </c>
      <c r="G233" s="6">
        <v>257.7</v>
      </c>
      <c r="H233" s="5">
        <f>SUMIF(отчёт!$B:$B,$B:$B,отчёт!I:I)</f>
        <v>0</v>
      </c>
      <c r="I233" s="5">
        <f>SUMIF(отчёт!$B:$B,$B:$B,отчёт!J:J)</f>
        <v>0</v>
      </c>
      <c r="J233" s="3" t="s">
        <v>279</v>
      </c>
      <c r="K233" s="105">
        <v>7</v>
      </c>
      <c r="L233" s="105" t="s">
        <v>75</v>
      </c>
      <c r="M233" s="12">
        <v>19.64</v>
      </c>
      <c r="N233" s="8">
        <v>3.02</v>
      </c>
      <c r="O233" s="8">
        <v>4</v>
      </c>
      <c r="P233" s="8">
        <v>6.16</v>
      </c>
      <c r="Q233" s="8">
        <v>4.1900000000000004</v>
      </c>
      <c r="R233" s="8">
        <v>2.0499999999999998</v>
      </c>
      <c r="S233" s="8">
        <v>0</v>
      </c>
      <c r="T233" s="8">
        <v>0</v>
      </c>
      <c r="U233" s="8">
        <v>0.22</v>
      </c>
      <c r="V233" s="9">
        <v>34.78</v>
      </c>
      <c r="W233" s="9">
        <v>34.78</v>
      </c>
      <c r="X233" s="9">
        <v>2193.54</v>
      </c>
      <c r="Y233" s="8">
        <v>166.173046</v>
      </c>
      <c r="Z233" s="9">
        <v>42.3</v>
      </c>
      <c r="AA233" s="9">
        <v>2193.54</v>
      </c>
      <c r="AB233" s="8">
        <v>7.85</v>
      </c>
      <c r="AC233" s="10">
        <v>0</v>
      </c>
      <c r="AD233" s="8">
        <v>4.71</v>
      </c>
      <c r="AE233" s="8">
        <v>10.67</v>
      </c>
      <c r="AF233" s="8">
        <v>14</v>
      </c>
      <c r="AG233" s="7">
        <v>243732.00719999999</v>
      </c>
      <c r="AH233" s="8">
        <v>37478.139600000002</v>
      </c>
      <c r="AI233" s="8">
        <v>49639.92</v>
      </c>
      <c r="AJ233" s="8">
        <v>76445.476800000004</v>
      </c>
      <c r="AK233" s="8">
        <v>51997.816200000001</v>
      </c>
      <c r="AL233" s="8">
        <v>25440.458999999995</v>
      </c>
      <c r="AM233" s="8">
        <v>0</v>
      </c>
      <c r="AN233" s="8">
        <v>0</v>
      </c>
      <c r="AO233" s="8">
        <v>2730.1956</v>
      </c>
      <c r="AQ233" s="104">
        <v>33.17</v>
      </c>
      <c r="AR233" s="375">
        <v>13.89</v>
      </c>
      <c r="AS233" s="376"/>
      <c r="AT233" s="104">
        <v>5.9</v>
      </c>
      <c r="AU233" s="104">
        <v>1.53</v>
      </c>
      <c r="AV233" s="104">
        <v>0.32</v>
      </c>
      <c r="AW233" s="104">
        <v>0.6</v>
      </c>
      <c r="AX233" s="104">
        <v>5.01</v>
      </c>
      <c r="AY233" s="104">
        <v>4.99</v>
      </c>
      <c r="AZ233" s="104">
        <v>0</v>
      </c>
      <c r="BA233" s="104">
        <v>0</v>
      </c>
      <c r="BB233" s="104">
        <v>0</v>
      </c>
      <c r="BC233" s="101">
        <v>0.93</v>
      </c>
      <c r="BD233" s="104">
        <v>37.581610000000005</v>
      </c>
      <c r="BE233" s="375">
        <v>15.737370000000004</v>
      </c>
      <c r="BF233" s="376">
        <v>0</v>
      </c>
      <c r="BG233" s="104">
        <v>6.6847000000000012</v>
      </c>
      <c r="BH233" s="104">
        <v>1.7334900000000002</v>
      </c>
      <c r="BI233" s="104">
        <v>0.36256000000000005</v>
      </c>
      <c r="BJ233" s="104">
        <v>0.67980000000000007</v>
      </c>
      <c r="BK233" s="104">
        <v>5.6763300000000001</v>
      </c>
      <c r="BL233" s="104">
        <v>5.65367</v>
      </c>
      <c r="BM233" s="104">
        <v>0</v>
      </c>
      <c r="BN233" s="104">
        <v>0</v>
      </c>
      <c r="BO233" s="104">
        <v>0</v>
      </c>
      <c r="BP233" s="101">
        <v>1.0536900000000002</v>
      </c>
      <c r="BQ233" s="103">
        <v>914524.7263130002</v>
      </c>
      <c r="BR233" s="371">
        <v>382958.95232100005</v>
      </c>
      <c r="BS233" s="371">
        <v>0</v>
      </c>
      <c r="BT233" s="103">
        <v>162667.94951000001</v>
      </c>
      <c r="BU233" s="103">
        <v>42183.383516999995</v>
      </c>
      <c r="BV233" s="103">
        <v>8822.6684480000004</v>
      </c>
      <c r="BW233" s="103">
        <v>16542.503340000003</v>
      </c>
      <c r="BX233" s="103">
        <v>138129.90288899999</v>
      </c>
      <c r="BY233" s="103">
        <v>137578.48611100001</v>
      </c>
      <c r="BZ233" s="103">
        <v>0</v>
      </c>
      <c r="CA233" s="103">
        <v>0</v>
      </c>
      <c r="CB233" s="103">
        <v>0</v>
      </c>
      <c r="CC233" s="103">
        <v>25640.880177000003</v>
      </c>
      <c r="CD233" s="1">
        <v>1</v>
      </c>
      <c r="CF233" s="277">
        <f>SUMIF(Оборот!$A:$A,$B:$B,Оборот!H:H)</f>
        <v>597504.68999999994</v>
      </c>
      <c r="CG233" s="277">
        <f>SUMIF(Оборот!$A:$A,$B:$B,Оборот!I:I)</f>
        <v>533118.24000000011</v>
      </c>
      <c r="CH233" s="277">
        <f t="shared" si="38"/>
        <v>819996.13540595328</v>
      </c>
      <c r="CI233" s="239">
        <f t="shared" si="42"/>
        <v>30430.274947883248</v>
      </c>
      <c r="CJ233" s="276">
        <f>SUMIF('20Ф'!$H:$H,$B:$B,'20Ф'!M:M)*1.2</f>
        <v>0</v>
      </c>
      <c r="CK233" s="276">
        <f>SUMIF('20Ф'!$H:$H,$B:$B,'20Ф'!O:O)*1.2</f>
        <v>0</v>
      </c>
      <c r="CL233" s="276">
        <f>SUMIF('20Ф'!$H:$H,$B:$B,'20Ф'!Q:Q)*1.2</f>
        <v>0</v>
      </c>
      <c r="CM233" s="276">
        <f>SUMIF('20Ф'!$H:$H,$B:$B,'20Ф'!R:R)*1.2</f>
        <v>0</v>
      </c>
      <c r="CN233" s="276">
        <f>SUMIF('20Ф'!$H:$H,$B:$B,'20Ф'!S:S)*1.2</f>
        <v>0</v>
      </c>
      <c r="CO233" s="276">
        <f>SUMIF('20Ф'!$H:$H,$B:$B,'20Ф'!W:W)*1.2</f>
        <v>0</v>
      </c>
      <c r="CP233" s="276">
        <f>SUMIF('20Ф'!$H:$H,$B:$B,'20Ф'!P:P)*1.2</f>
        <v>0</v>
      </c>
      <c r="CQ233" s="276">
        <f>SUMIF('20Ф'!$H:$H,$B:$B,'20Ф'!Y:Y)*1.2</f>
        <v>0</v>
      </c>
      <c r="CR233" s="276">
        <f>SUMIF('20Ф'!$H:$H,$B:$B,'20Ф'!Z:Z)*1.2</f>
        <v>0</v>
      </c>
      <c r="CS233" s="276">
        <f>SUMIF('20Ф'!$H:$H,$B:$B,'20Ф'!AB:AB)*1.2</f>
        <v>0</v>
      </c>
      <c r="CT233" s="276">
        <f>SUMIF('20Ф'!$H:$H,$B:$B,'20Ф'!AC:AC)*1.2</f>
        <v>0</v>
      </c>
      <c r="CU233" s="276">
        <f>SUMIF('20Ф'!$H:$H,$B:$B,'20Ф'!AD:AD)*1.2</f>
        <v>0</v>
      </c>
      <c r="CV233" s="276">
        <f>SUMIF('20Ф'!$H:$H,$B:$B,'20Ф'!AE:AE)*1.2</f>
        <v>0</v>
      </c>
      <c r="CW233" s="276">
        <f>SUMIF('20Ф'!$H:$H,$B:$B,'20Ф'!AF:AF)*1.2</f>
        <v>0</v>
      </c>
      <c r="CX233" s="276">
        <f>SUMIF('20Ф'!$H:$H,$B:$B,'20Ф'!AG:AG)*1.2</f>
        <v>0</v>
      </c>
      <c r="CY233" s="276">
        <f>SUMIF('20Ф'!$H:$H,$B:$B,'20Ф'!AH:AH)*1.2</f>
        <v>0</v>
      </c>
      <c r="CZ233" s="276">
        <f>SUMIF('20Ф'!$H:$H,$B:$B,'20Ф'!AI:AI)*1.2</f>
        <v>0</v>
      </c>
      <c r="DA233" s="276">
        <f>SUMIF('20Ф'!$H:$H,$B:$B,'20Ф'!AJ:AJ)*1.2</f>
        <v>12238.62</v>
      </c>
      <c r="DB233" s="276">
        <f>SUMIF('20Ф'!$H:$H,$B:$B,'20Ф'!AK:AK)*1.2</f>
        <v>0</v>
      </c>
      <c r="DC233" s="276">
        <f>SUMIF('20Ф'!$H:$H,$B:$B,'20Ф'!AL:AL)*1.2</f>
        <v>0</v>
      </c>
      <c r="DD233" s="276">
        <f>SUMIF('20Ф'!$H:$H,$B:$B,'20Ф'!AM:AM)*1.2</f>
        <v>0</v>
      </c>
      <c r="DE233" s="276">
        <f>SUMIF('20Ф'!$H:$H,$B:$B,'20Ф'!AN:AN)*1.2</f>
        <v>0</v>
      </c>
      <c r="DF233" s="276">
        <f>SUMIF('20Ф'!$H:$H,$B:$B,'20Ф'!AO:AO)*1.2</f>
        <v>0</v>
      </c>
      <c r="DG233" s="276">
        <f>SUMIF('20Ф'!$H:$H,$B:$B,'20Ф'!AP:AP)*1.2</f>
        <v>0</v>
      </c>
      <c r="DH233" s="276">
        <f>SUMIF('20Ф'!$H:$H,$B:$B,'20Ф'!AQ:AQ)*1.2</f>
        <v>0</v>
      </c>
      <c r="DI233" s="276">
        <f>SUMIF('20Ф'!$H:$H,$B:$B,'20Ф'!BA:BA)*1.2</f>
        <v>0</v>
      </c>
      <c r="DJ233" s="276">
        <f>SUMIF('20Ф'!$H:$H,$B:$B,'20Ф'!BB:BB)*1.2</f>
        <v>0</v>
      </c>
      <c r="DK233" s="276">
        <f>SUMIF('20Ф'!$H:$H,$B:$B,'20Ф'!BC:BC)*1.2</f>
        <v>0</v>
      </c>
      <c r="DL233" s="276">
        <f>$D233/$D$281*'20Ф'!$H$218</f>
        <v>18191.654947883249</v>
      </c>
      <c r="DM233" s="240">
        <f t="shared" si="39"/>
        <v>313327.4683722764</v>
      </c>
      <c r="DN233" s="276">
        <f>SUMIF('20Ф'!$H:$H,$B:$B,'20Ф'!AV:AV)*1.2</f>
        <v>0</v>
      </c>
      <c r="DO233" s="276">
        <f>SUMIF('20Ф'!$H:$H,$B:$B,'20Ф'!AW:AW)*1.2+$D233/$D$281*'26Ф'!$D$42</f>
        <v>9680.6570881167409</v>
      </c>
      <c r="DP233" s="276">
        <f>SUMIF('20Ф'!$H:$H,$B:$B,'20Ф'!AX:AX)*1.2</f>
        <v>0</v>
      </c>
      <c r="DQ233" s="276">
        <f>SUMIF('20Ф'!$H:$H,$B:$B,'20Ф'!AY:AY)*1.2</f>
        <v>19471.5</v>
      </c>
      <c r="DR233" s="276">
        <f>SUMIF('20Ф'!$H:$H,$B:$B,'20Ф'!AU:AU)*1.2</f>
        <v>0</v>
      </c>
      <c r="DS233" s="276">
        <f>SUMIF('20Ф'!$H:$H,$B:$B,'20Ф'!AS:AS)*1.2</f>
        <v>84210.695999999996</v>
      </c>
      <c r="DT233" s="276">
        <f>SUMIF('20Ф'!$H:$H,$B:$B,'20Ф'!AR:AR)*1.2</f>
        <v>0</v>
      </c>
      <c r="DU233" s="276">
        <f>SUMIF('20Ф'!$H:$H,$B:$B,'20Ф'!X:X)*1.2</f>
        <v>29199.383999999998</v>
      </c>
      <c r="DV233" s="276">
        <f>SUMIF('20Ф'!$H:$H,$B:$B,'20Ф'!AA:AA)*1.2</f>
        <v>0</v>
      </c>
      <c r="DW233" s="276">
        <f>SUMIF('20Ф'!$H:$H,$B:$B,'20Ф'!N:N)*1.2</f>
        <v>0</v>
      </c>
      <c r="DX233" s="276">
        <f>$D233/$D$281*('25Ф'!$D$37)</f>
        <v>162719.73492237486</v>
      </c>
      <c r="DY233" s="276">
        <f>$D233/$D$281*'25Ф'!$D$30</f>
        <v>5193.5031323418316</v>
      </c>
      <c r="DZ233" s="276">
        <f>$D233/$D$281*'25Ф'!$D$31</f>
        <v>2851.9932294429527</v>
      </c>
      <c r="EA233" s="276"/>
      <c r="EB233" s="276">
        <f t="shared" si="40"/>
        <v>102515.98689689334</v>
      </c>
      <c r="EC233" s="276">
        <f>$D233/$D$281*'26Ф'!$D$36</f>
        <v>53362.87268272505</v>
      </c>
      <c r="ED233" s="276">
        <f>$D233/$D$281*'26Ф'!$D$37</f>
        <v>6411.492160170339</v>
      </c>
      <c r="EE233" s="276">
        <f>$D233/$D$281*'26Ф'!$D$38</f>
        <v>6477.2483212689995</v>
      </c>
      <c r="EF233" s="276">
        <f>$D233/$D$281*'26Ф'!$D$39</f>
        <v>4543.7837857385812</v>
      </c>
      <c r="EG233" s="276">
        <f>$D233/$D$281*'91Ф'!$D$10</f>
        <v>1401.7554081660103</v>
      </c>
      <c r="EH233" s="276">
        <f>$D233/$D$281*('20Ф'!$I$509+'26Ф'!$D$41+'20Ф'!$I$507)</f>
        <v>9916.9579365673853</v>
      </c>
      <c r="EI233" s="276">
        <f>$D233/$D$281*'91Ф'!$D$31</f>
        <v>18179.240497542221</v>
      </c>
      <c r="EJ233" s="276">
        <f>$D233/$D$281*'20Ф'!$I$1316</f>
        <v>2222.6361047147611</v>
      </c>
      <c r="EK233" s="276">
        <f>$D233/$D$281*('20Ф'!$I$1105+'20Ф'!$I$1282+'91Ф'!$D$17+'91Ф'!$D$41)</f>
        <v>72993.845918046121</v>
      </c>
      <c r="EL233" s="276">
        <f>$D233/$D$281*отчёт!BX$294</f>
        <v>122023.44898942474</v>
      </c>
      <c r="EM233" s="276">
        <f>$D233/$D$281*отчёт!BY$294</f>
        <v>107313.07340664585</v>
      </c>
      <c r="EN233" s="276">
        <f>SUMIF(отчёт!$B:$B,$B:$B,отчёт!BZ:BZ)/отчёт!BZ$281*('60Ф'!$O$151+'60Ф'!$P$151)*отчёт!BZ$293</f>
        <v>0</v>
      </c>
      <c r="EO233" s="240">
        <f t="shared" si="45"/>
        <v>0</v>
      </c>
      <c r="EP233" s="276">
        <f>SUMIF('20Ф'!$H:$H,$B:$B,'20Ф'!T:T)*1.2</f>
        <v>0</v>
      </c>
      <c r="EQ233" s="276">
        <f>SUMIF('20Ф'!$H:$H,$B:$B,'20Ф'!U:U)*1.2</f>
        <v>0</v>
      </c>
      <c r="ER233" s="238"/>
      <c r="ES233" s="239">
        <f t="shared" si="43"/>
        <v>40841.294851370229</v>
      </c>
      <c r="ET233" s="276">
        <f>$D233/$D$282*'20Ф'!$I$381</f>
        <v>3121.5392964672778</v>
      </c>
      <c r="EU233" s="276">
        <f>$D233/$D$282*('20Ф'!$I$75+'20Ф'!$I$1098)*1.2</f>
        <v>36055.164611043838</v>
      </c>
      <c r="EV233" s="276">
        <f>$D233/$D$282*('20Ф'!$I$1286)</f>
        <v>1664.5909438591093</v>
      </c>
      <c r="EW233" s="276">
        <f>SUMIF('91.1Ф'!$N:$N,$B:$B,'91.1Ф'!$F:$F)+$D233/$D$281*('91Ф'!$D$12+'91Ф'!$D$11+'91Ф'!$D$19+'91Ф'!$D$20)</f>
        <v>9620.2321122399808</v>
      </c>
      <c r="EX233" s="276">
        <f t="shared" si="41"/>
        <v>20930.509911173267</v>
      </c>
      <c r="EY233" s="276">
        <f>SUMIF('20Ф'!$H:$H,$B:$B,'20Ф'!$AY:$AY)*1.2</f>
        <v>19471.5</v>
      </c>
      <c r="EZ233" s="295">
        <f>D233/$D$286*'20Ф'!$I$1163</f>
        <v>1459.0099111732654</v>
      </c>
      <c r="FA233" s="277">
        <f>SUMIF(отчёт!$B:$B,$B:$B,отчёт!$CU:$CU)/отчёт!$CU$281*'20Ф'!$I$1341</f>
        <v>0</v>
      </c>
      <c r="FB233" s="276">
        <f>SUMIF(Сальдо!$A:$A,$B:$B,Сальдо!$H:$H)-SUMIF(Сальдо!$A:$A,$B:$B,Сальдо!$I:$I)</f>
        <v>238187.72</v>
      </c>
    </row>
    <row r="234" spans="1:158" s="13" customFormat="1" ht="12" customHeight="1" x14ac:dyDescent="0.25">
      <c r="A234" s="3">
        <f t="shared" si="44"/>
        <v>230</v>
      </c>
      <c r="B234" s="4" t="s">
        <v>280</v>
      </c>
      <c r="C234" s="4" t="s">
        <v>280</v>
      </c>
      <c r="D234" s="5">
        <v>3374.69</v>
      </c>
      <c r="E234" s="6">
        <v>3374.69</v>
      </c>
      <c r="F234" s="6">
        <v>0</v>
      </c>
      <c r="G234" s="6">
        <v>301.2</v>
      </c>
      <c r="H234" s="5">
        <f>SUMIF(отчёт!$B:$B,$B:$B,отчёт!I:I)</f>
        <v>0</v>
      </c>
      <c r="I234" s="5">
        <f>SUMIF(отчёт!$B:$B,$B:$B,отчёт!J:J)</f>
        <v>0</v>
      </c>
      <c r="J234" s="3" t="s">
        <v>279</v>
      </c>
      <c r="K234" s="105">
        <v>7</v>
      </c>
      <c r="L234" s="105" t="s">
        <v>75</v>
      </c>
      <c r="M234" s="12">
        <v>19.64</v>
      </c>
      <c r="N234" s="8">
        <v>3.02</v>
      </c>
      <c r="O234" s="8">
        <v>4</v>
      </c>
      <c r="P234" s="8">
        <v>6.16</v>
      </c>
      <c r="Q234" s="8">
        <v>4.1900000000000004</v>
      </c>
      <c r="R234" s="8">
        <v>2.0499999999999998</v>
      </c>
      <c r="S234" s="8">
        <v>0</v>
      </c>
      <c r="T234" s="8">
        <v>0</v>
      </c>
      <c r="U234" s="8">
        <v>0.22</v>
      </c>
      <c r="V234" s="9">
        <v>34.78</v>
      </c>
      <c r="W234" s="9">
        <v>34.78</v>
      </c>
      <c r="X234" s="9">
        <v>2193.54</v>
      </c>
      <c r="Y234" s="8">
        <v>166.173046</v>
      </c>
      <c r="Z234" s="9">
        <v>42.3</v>
      </c>
      <c r="AA234" s="9">
        <v>2193.54</v>
      </c>
      <c r="AB234" s="8">
        <v>7.85</v>
      </c>
      <c r="AC234" s="10">
        <v>0</v>
      </c>
      <c r="AD234" s="8">
        <v>4.71</v>
      </c>
      <c r="AE234" s="8">
        <v>10.67</v>
      </c>
      <c r="AF234" s="8">
        <v>14</v>
      </c>
      <c r="AG234" s="7">
        <v>397673.46960000007</v>
      </c>
      <c r="AH234" s="8">
        <v>61149.382799999999</v>
      </c>
      <c r="AI234" s="8">
        <v>80992.56</v>
      </c>
      <c r="AJ234" s="8">
        <v>124728.54240000001</v>
      </c>
      <c r="AK234" s="8">
        <v>84839.706600000005</v>
      </c>
      <c r="AL234" s="8">
        <v>41508.686999999998</v>
      </c>
      <c r="AM234" s="8">
        <v>0</v>
      </c>
      <c r="AN234" s="8">
        <v>0</v>
      </c>
      <c r="AO234" s="8">
        <v>4454.5907999999999</v>
      </c>
      <c r="AQ234" s="104">
        <v>33.17</v>
      </c>
      <c r="AR234" s="375">
        <v>13.89</v>
      </c>
      <c r="AS234" s="376"/>
      <c r="AT234" s="104">
        <v>5.9</v>
      </c>
      <c r="AU234" s="104">
        <v>1.53</v>
      </c>
      <c r="AV234" s="104">
        <v>0.32</v>
      </c>
      <c r="AW234" s="104">
        <v>0.6</v>
      </c>
      <c r="AX234" s="104">
        <v>5.01</v>
      </c>
      <c r="AY234" s="104">
        <v>4.99</v>
      </c>
      <c r="AZ234" s="104">
        <v>0</v>
      </c>
      <c r="BA234" s="104">
        <v>0</v>
      </c>
      <c r="BB234" s="104">
        <v>0</v>
      </c>
      <c r="BC234" s="101">
        <v>0.93</v>
      </c>
      <c r="BD234" s="104">
        <v>37.581610000000005</v>
      </c>
      <c r="BE234" s="375">
        <v>15.737370000000004</v>
      </c>
      <c r="BF234" s="376">
        <v>0</v>
      </c>
      <c r="BG234" s="104">
        <v>6.6847000000000012</v>
      </c>
      <c r="BH234" s="104">
        <v>1.7334900000000002</v>
      </c>
      <c r="BI234" s="104">
        <v>0.36256000000000005</v>
      </c>
      <c r="BJ234" s="104">
        <v>0.67980000000000007</v>
      </c>
      <c r="BK234" s="104">
        <v>5.6763300000000001</v>
      </c>
      <c r="BL234" s="104">
        <v>5.65367</v>
      </c>
      <c r="BM234" s="104">
        <v>0</v>
      </c>
      <c r="BN234" s="104">
        <v>0</v>
      </c>
      <c r="BO234" s="104">
        <v>0</v>
      </c>
      <c r="BP234" s="101">
        <v>1.0536900000000002</v>
      </c>
      <c r="BQ234" s="103">
        <v>1492139.769109</v>
      </c>
      <c r="BR234" s="371">
        <v>624836.33985300013</v>
      </c>
      <c r="BS234" s="371">
        <v>0</v>
      </c>
      <c r="BT234" s="103">
        <v>265409.24443000002</v>
      </c>
      <c r="BU234" s="103">
        <v>68826.465081000002</v>
      </c>
      <c r="BV234" s="103">
        <v>14395.077664</v>
      </c>
      <c r="BW234" s="103">
        <v>26990.770620000003</v>
      </c>
      <c r="BX234" s="103">
        <v>225372.93467699998</v>
      </c>
      <c r="BY234" s="103">
        <v>224473.24232300001</v>
      </c>
      <c r="BZ234" s="103">
        <v>0</v>
      </c>
      <c r="CA234" s="103">
        <v>0</v>
      </c>
      <c r="CB234" s="103">
        <v>0</v>
      </c>
      <c r="CC234" s="103">
        <v>41835.694461000006</v>
      </c>
      <c r="CD234" s="1">
        <v>1</v>
      </c>
      <c r="CF234" s="277">
        <f>SUMIF(Оборот!$A:$A,$B:$B,Оборот!H:H)</f>
        <v>977463.69000000006</v>
      </c>
      <c r="CG234" s="277">
        <f>SUMIF(Оборот!$A:$A,$B:$B,Оборот!I:I)</f>
        <v>959388.42</v>
      </c>
      <c r="CH234" s="277">
        <f t="shared" si="38"/>
        <v>1333216.5791890251</v>
      </c>
      <c r="CI234" s="239">
        <f t="shared" si="42"/>
        <v>29681.528593634543</v>
      </c>
      <c r="CJ234" s="276">
        <f>SUMIF('20Ф'!$H:$H,$B:$B,'20Ф'!M:M)*1.2</f>
        <v>0</v>
      </c>
      <c r="CK234" s="276">
        <f>SUMIF('20Ф'!$H:$H,$B:$B,'20Ф'!O:O)*1.2</f>
        <v>0</v>
      </c>
      <c r="CL234" s="276">
        <f>SUMIF('20Ф'!$H:$H,$B:$B,'20Ф'!Q:Q)*1.2</f>
        <v>0</v>
      </c>
      <c r="CM234" s="276">
        <f>SUMIF('20Ф'!$H:$H,$B:$B,'20Ф'!R:R)*1.2</f>
        <v>0</v>
      </c>
      <c r="CN234" s="276">
        <f>SUMIF('20Ф'!$H:$H,$B:$B,'20Ф'!S:S)*1.2</f>
        <v>0</v>
      </c>
      <c r="CO234" s="276">
        <f>SUMIF('20Ф'!$H:$H,$B:$B,'20Ф'!W:W)*1.2</f>
        <v>0</v>
      </c>
      <c r="CP234" s="276">
        <f>SUMIF('20Ф'!$H:$H,$B:$B,'20Ф'!P:P)*1.2</f>
        <v>0</v>
      </c>
      <c r="CQ234" s="276">
        <f>SUMIF('20Ф'!$H:$H,$B:$B,'20Ф'!Y:Y)*1.2</f>
        <v>0</v>
      </c>
      <c r="CR234" s="276">
        <f>SUMIF('20Ф'!$H:$H,$B:$B,'20Ф'!Z:Z)*1.2</f>
        <v>0</v>
      </c>
      <c r="CS234" s="276">
        <f>SUMIF('20Ф'!$H:$H,$B:$B,'20Ф'!AB:AB)*1.2</f>
        <v>0</v>
      </c>
      <c r="CT234" s="276">
        <f>SUMIF('20Ф'!$H:$H,$B:$B,'20Ф'!AC:AC)*1.2</f>
        <v>0</v>
      </c>
      <c r="CU234" s="276">
        <f>SUMIF('20Ф'!$H:$H,$B:$B,'20Ф'!AD:AD)*1.2</f>
        <v>0</v>
      </c>
      <c r="CV234" s="276">
        <f>SUMIF('20Ф'!$H:$H,$B:$B,'20Ф'!AE:AE)*1.2</f>
        <v>0</v>
      </c>
      <c r="CW234" s="276">
        <f>SUMIF('20Ф'!$H:$H,$B:$B,'20Ф'!AF:AF)*1.2</f>
        <v>0</v>
      </c>
      <c r="CX234" s="276">
        <f>SUMIF('20Ф'!$H:$H,$B:$B,'20Ф'!AG:AG)*1.2</f>
        <v>0</v>
      </c>
      <c r="CY234" s="276">
        <f>SUMIF('20Ф'!$H:$H,$B:$B,'20Ф'!AH:AH)*1.2</f>
        <v>0</v>
      </c>
      <c r="CZ234" s="276">
        <f>SUMIF('20Ф'!$H:$H,$B:$B,'20Ф'!AI:AI)*1.2</f>
        <v>0</v>
      </c>
      <c r="DA234" s="276">
        <f>SUMIF('20Ф'!$H:$H,$B:$B,'20Ф'!AJ:AJ)*1.2</f>
        <v>0</v>
      </c>
      <c r="DB234" s="276">
        <f>SUMIF('20Ф'!$H:$H,$B:$B,'20Ф'!AK:AK)*1.2</f>
        <v>0</v>
      </c>
      <c r="DC234" s="276">
        <f>SUMIF('20Ф'!$H:$H,$B:$B,'20Ф'!AL:AL)*1.2</f>
        <v>0</v>
      </c>
      <c r="DD234" s="276">
        <f>SUMIF('20Ф'!$H:$H,$B:$B,'20Ф'!AM:AM)*1.2</f>
        <v>0</v>
      </c>
      <c r="DE234" s="276">
        <f>SUMIF('20Ф'!$H:$H,$B:$B,'20Ф'!AN:AN)*1.2</f>
        <v>0</v>
      </c>
      <c r="DF234" s="276">
        <f>SUMIF('20Ф'!$H:$H,$B:$B,'20Ф'!AO:AO)*1.2</f>
        <v>0</v>
      </c>
      <c r="DG234" s="276">
        <f>SUMIF('20Ф'!$H:$H,$B:$B,'20Ф'!AP:AP)*1.2</f>
        <v>0</v>
      </c>
      <c r="DH234" s="276">
        <f>SUMIF('20Ф'!$H:$H,$B:$B,'20Ф'!AQ:AQ)*1.2</f>
        <v>0</v>
      </c>
      <c r="DI234" s="276">
        <f>SUMIF('20Ф'!$H:$H,$B:$B,'20Ф'!BA:BA)*1.2</f>
        <v>0</v>
      </c>
      <c r="DJ234" s="276">
        <f>SUMIF('20Ф'!$H:$H,$B:$B,'20Ф'!BB:BB)*1.2</f>
        <v>0</v>
      </c>
      <c r="DK234" s="276">
        <f>SUMIF('20Ф'!$H:$H,$B:$B,'20Ф'!BC:BC)*1.2</f>
        <v>0</v>
      </c>
      <c r="DL234" s="276">
        <f>$D234/$D$281*'20Ф'!$H$218</f>
        <v>29681.528593634543</v>
      </c>
      <c r="DM234" s="240">
        <f t="shared" si="39"/>
        <v>500769.5773038913</v>
      </c>
      <c r="DN234" s="276">
        <f>SUMIF('20Ф'!$H:$H,$B:$B,'20Ф'!AV:AV)*1.2</f>
        <v>0</v>
      </c>
      <c r="DO234" s="276">
        <f>SUMIF('20Ф'!$H:$H,$B:$B,'20Ф'!AW:AW)*1.2+$D234/$D$281*'26Ф'!$D$42</f>
        <v>15794.973079100862</v>
      </c>
      <c r="DP234" s="276">
        <f>SUMIF('20Ф'!$H:$H,$B:$B,'20Ф'!AX:AX)*1.2</f>
        <v>0</v>
      </c>
      <c r="DQ234" s="276">
        <f>SUMIF('20Ф'!$H:$H,$B:$B,'20Ф'!AY:AY)*1.2</f>
        <v>57504</v>
      </c>
      <c r="DR234" s="276">
        <f>SUMIF('20Ф'!$H:$H,$B:$B,'20Ф'!AU:AU)*1.2</f>
        <v>0</v>
      </c>
      <c r="DS234" s="276">
        <f>SUMIF('20Ф'!$H:$H,$B:$B,'20Ф'!AS:AS)*1.2</f>
        <v>70281</v>
      </c>
      <c r="DT234" s="276">
        <f>SUMIF('20Ф'!$H:$H,$B:$B,'20Ф'!AR:AR)*1.2</f>
        <v>0</v>
      </c>
      <c r="DU234" s="276">
        <f>SUMIF('20Ф'!$H:$H,$B:$B,'20Ф'!X:X)*1.2</f>
        <v>78568.823999999993</v>
      </c>
      <c r="DV234" s="276">
        <f>SUMIF('20Ф'!$H:$H,$B:$B,'20Ф'!AA:AA)*1.2</f>
        <v>0</v>
      </c>
      <c r="DW234" s="276">
        <f>SUMIF('20Ф'!$H:$H,$B:$B,'20Ф'!N:N)*1.2</f>
        <v>0</v>
      </c>
      <c r="DX234" s="276">
        <f>$D234/$D$281*('25Ф'!$D$37)</f>
        <v>265493.73757823429</v>
      </c>
      <c r="DY234" s="276">
        <f>$D234/$D$281*'25Ф'!$D$30</f>
        <v>8473.7266711224311</v>
      </c>
      <c r="DZ234" s="276">
        <f>$D234/$D$281*'25Ф'!$D$31</f>
        <v>4653.3159754337257</v>
      </c>
      <c r="EA234" s="276"/>
      <c r="EB234" s="276">
        <f t="shared" si="40"/>
        <v>167265.22161409305</v>
      </c>
      <c r="EC234" s="276">
        <f>$D234/$D$281*'26Ф'!$D$36</f>
        <v>87066.934586678835</v>
      </c>
      <c r="ED234" s="276">
        <f>$D234/$D$281*'26Ф'!$D$37</f>
        <v>10460.999201290531</v>
      </c>
      <c r="EE234" s="276">
        <f>$D234/$D$281*'26Ф'!$D$38</f>
        <v>10568.287041866279</v>
      </c>
      <c r="EF234" s="276">
        <f>$D234/$D$281*'26Ф'!$D$39</f>
        <v>7413.6437144431184</v>
      </c>
      <c r="EG234" s="276">
        <f>$D234/$D$281*'91Ф'!$D$10</f>
        <v>2287.1060026126165</v>
      </c>
      <c r="EH234" s="276">
        <f>$D234/$D$281*('20Ф'!$I$509+'26Ф'!$D$41+'20Ф'!$I$507)</f>
        <v>16180.521860126089</v>
      </c>
      <c r="EI234" s="276">
        <f>$D234/$D$281*'91Ф'!$D$31</f>
        <v>29661.273159820128</v>
      </c>
      <c r="EJ234" s="276">
        <f>$D234/$D$281*'20Ф'!$I$1316</f>
        <v>3626.4560472554467</v>
      </c>
      <c r="EK234" s="276">
        <f>$D234/$D$281*('20Ф'!$I$1105+'20Ф'!$I$1282+'91Ф'!$D$17+'91Ф'!$D$41)</f>
        <v>119096.85682708808</v>
      </c>
      <c r="EL234" s="276">
        <f>$D234/$D$281*отчёт!BX$294</f>
        <v>199093.62290839557</v>
      </c>
      <c r="EM234" s="276">
        <f>$D234/$D$281*отчёт!BY$294</f>
        <v>175092.15439251653</v>
      </c>
      <c r="EN234" s="276">
        <f>SUMIF(отчёт!$B:$B,$B:$B,отчёт!BZ:BZ)/отчёт!BZ$281*('60Ф'!$O$151+'60Ф'!$P$151)*отчёт!BZ$293</f>
        <v>0</v>
      </c>
      <c r="EO234" s="240">
        <f t="shared" si="45"/>
        <v>0</v>
      </c>
      <c r="EP234" s="276">
        <f>SUMIF('20Ф'!$H:$H,$B:$B,'20Ф'!T:T)*1.2</f>
        <v>0</v>
      </c>
      <c r="EQ234" s="276">
        <f>SUMIF('20Ф'!$H:$H,$B:$B,'20Ф'!U:U)*1.2</f>
        <v>0</v>
      </c>
      <c r="ER234" s="238"/>
      <c r="ES234" s="239">
        <f t="shared" si="43"/>
        <v>66636.711415475584</v>
      </c>
      <c r="ET234" s="276">
        <f>$D234/$D$282*'20Ф'!$I$381</f>
        <v>5093.1076996393995</v>
      </c>
      <c r="EU234" s="276">
        <f>$D234/$D$282*('20Ф'!$I$75+'20Ф'!$I$1098)*1.2</f>
        <v>58827.654900931455</v>
      </c>
      <c r="EV234" s="276">
        <f>$D234/$D$282*('20Ф'!$I$1286)</f>
        <v>2715.9488149047293</v>
      </c>
      <c r="EW234" s="276">
        <f>SUMIF('91.1Ф'!$N:$N,$B:$B,'91.1Ф'!$F:$F)+$D234/$D$281*('91Ф'!$D$12+'91Ф'!$D$11+'91Ф'!$D$19+'91Ф'!$D$20)</f>
        <v>15696.383607478085</v>
      </c>
      <c r="EX234" s="276">
        <f t="shared" si="41"/>
        <v>59884.522526452405</v>
      </c>
      <c r="EY234" s="276">
        <f>SUMIF('20Ф'!$H:$H,$B:$B,'20Ф'!$AY:$AY)*1.2</f>
        <v>57504</v>
      </c>
      <c r="EZ234" s="295">
        <f>D234/$D$286*'20Ф'!$I$1163</f>
        <v>2380.5225264524074</v>
      </c>
      <c r="FA234" s="277">
        <f>SUMIF(отчёт!$B:$B,$B:$B,отчёт!$CU:$CU)/отчёт!$CU$281*'20Ф'!$I$1341</f>
        <v>0</v>
      </c>
      <c r="FB234" s="276">
        <f>SUMIF(Сальдо!$A:$A,$B:$B,Сальдо!$H:$H)-SUMIF(Сальдо!$A:$A,$B:$B,Сальдо!$I:$I)</f>
        <v>183261.57</v>
      </c>
    </row>
    <row r="235" spans="1:158" s="13" customFormat="1" ht="12" customHeight="1" x14ac:dyDescent="0.25">
      <c r="A235" s="3">
        <f t="shared" si="44"/>
        <v>231</v>
      </c>
      <c r="B235" s="4" t="s">
        <v>281</v>
      </c>
      <c r="C235" s="4" t="s">
        <v>281</v>
      </c>
      <c r="D235" s="5">
        <v>3804.8699999999994</v>
      </c>
      <c r="E235" s="6">
        <v>3747.7699999999995</v>
      </c>
      <c r="F235" s="6">
        <v>57.1</v>
      </c>
      <c r="G235" s="6">
        <v>483.3</v>
      </c>
      <c r="H235" s="5">
        <f>SUMIF(отчёт!$B:$B,$B:$B,отчёт!I:I)</f>
        <v>1</v>
      </c>
      <c r="I235" s="5">
        <f>SUMIF(отчёт!$B:$B,$B:$B,отчёт!J:J)</f>
        <v>0</v>
      </c>
      <c r="J235" s="3" t="s">
        <v>279</v>
      </c>
      <c r="K235" s="105">
        <v>1</v>
      </c>
      <c r="L235" s="105" t="s">
        <v>75</v>
      </c>
      <c r="M235" s="12">
        <v>32.07</v>
      </c>
      <c r="N235" s="8">
        <v>4.03</v>
      </c>
      <c r="O235" s="8">
        <v>5.61</v>
      </c>
      <c r="P235" s="8">
        <v>7.92</v>
      </c>
      <c r="Q235" s="8">
        <v>5.4</v>
      </c>
      <c r="R235" s="8">
        <v>2.67</v>
      </c>
      <c r="S235" s="8">
        <v>1.54</v>
      </c>
      <c r="T235" s="8">
        <v>4.9000000000000004</v>
      </c>
      <c r="U235" s="8">
        <v>0</v>
      </c>
      <c r="V235" s="9">
        <v>40</v>
      </c>
      <c r="W235" s="9">
        <v>40</v>
      </c>
      <c r="X235" s="9">
        <v>2604.04</v>
      </c>
      <c r="Y235" s="8">
        <v>195.98199600000001</v>
      </c>
      <c r="Z235" s="9">
        <v>42.3</v>
      </c>
      <c r="AA235" s="9">
        <v>2604.04</v>
      </c>
      <c r="AB235" s="8">
        <v>0</v>
      </c>
      <c r="AC235" s="10">
        <v>0</v>
      </c>
      <c r="AD235" s="8">
        <v>4.71</v>
      </c>
      <c r="AE235" s="8">
        <v>10.67</v>
      </c>
      <c r="AF235" s="8">
        <v>14</v>
      </c>
      <c r="AG235" s="7">
        <v>732133.08539999987</v>
      </c>
      <c r="AH235" s="8">
        <v>92001.756599999993</v>
      </c>
      <c r="AI235" s="8">
        <v>128071.92419999998</v>
      </c>
      <c r="AJ235" s="8">
        <v>180807.42239999998</v>
      </c>
      <c r="AK235" s="8">
        <v>123277.788</v>
      </c>
      <c r="AL235" s="8">
        <v>60954.017399999982</v>
      </c>
      <c r="AM235" s="8">
        <v>35156.998800000001</v>
      </c>
      <c r="AN235" s="8">
        <v>111863.17799999999</v>
      </c>
      <c r="AO235" s="8">
        <v>0</v>
      </c>
      <c r="AQ235" s="104">
        <v>48.16</v>
      </c>
      <c r="AR235" s="375">
        <v>18.649999999999999</v>
      </c>
      <c r="AS235" s="376"/>
      <c r="AT235" s="104">
        <v>7.16</v>
      </c>
      <c r="AU235" s="104">
        <v>1.53</v>
      </c>
      <c r="AV235" s="104">
        <v>0.32</v>
      </c>
      <c r="AW235" s="104">
        <v>0.87</v>
      </c>
      <c r="AX235" s="104">
        <v>5.01</v>
      </c>
      <c r="AY235" s="104">
        <v>4.99</v>
      </c>
      <c r="AZ235" s="104">
        <v>2.7</v>
      </c>
      <c r="BA235" s="104">
        <v>6.46</v>
      </c>
      <c r="BB235" s="104">
        <v>0.47</v>
      </c>
      <c r="BC235" s="101">
        <v>0</v>
      </c>
      <c r="BD235" s="104">
        <v>54.565279999999994</v>
      </c>
      <c r="BE235" s="375">
        <v>21.130449999999996</v>
      </c>
      <c r="BF235" s="376">
        <v>0</v>
      </c>
      <c r="BG235" s="104">
        <v>8.1122800000000002</v>
      </c>
      <c r="BH235" s="104">
        <v>1.7334900000000002</v>
      </c>
      <c r="BI235" s="104">
        <v>0.36255999999999999</v>
      </c>
      <c r="BJ235" s="104">
        <v>0.98570999999999998</v>
      </c>
      <c r="BK235" s="104">
        <v>5.6763299999999992</v>
      </c>
      <c r="BL235" s="104">
        <v>5.6536700000000009</v>
      </c>
      <c r="BM235" s="104">
        <v>3.0591000000000004</v>
      </c>
      <c r="BN235" s="104">
        <v>7.3191800000000002</v>
      </c>
      <c r="BO235" s="104">
        <v>0.53250999999999993</v>
      </c>
      <c r="BP235" s="101">
        <v>0</v>
      </c>
      <c r="BQ235" s="103">
        <v>2442623.0475359997</v>
      </c>
      <c r="BR235" s="371">
        <v>945907.80391499971</v>
      </c>
      <c r="BS235" s="371">
        <v>0</v>
      </c>
      <c r="BT235" s="103">
        <v>363147.44643599994</v>
      </c>
      <c r="BU235" s="103">
        <v>77599.943162999989</v>
      </c>
      <c r="BV235" s="103">
        <v>16230.053471999998</v>
      </c>
      <c r="BW235" s="103">
        <v>44125.457876999993</v>
      </c>
      <c r="BX235" s="103">
        <v>254101.77467099996</v>
      </c>
      <c r="BY235" s="103">
        <v>253087.39632900001</v>
      </c>
      <c r="BZ235" s="103">
        <v>136941.07617000001</v>
      </c>
      <c r="CA235" s="103">
        <v>327644.20446599997</v>
      </c>
      <c r="CB235" s="103">
        <v>23837.89103699999</v>
      </c>
      <c r="CC235" s="103">
        <v>0</v>
      </c>
      <c r="CD235" s="1">
        <v>1</v>
      </c>
      <c r="CF235" s="277">
        <f>SUMIF(Оборот!$A:$A,$B:$B,Оборот!H:H)</f>
        <v>1683498.7599999998</v>
      </c>
      <c r="CG235" s="277">
        <f>SUMIF(Оборот!$A:$A,$B:$B,Оборот!I:I)</f>
        <v>1649647.55</v>
      </c>
      <c r="CH235" s="277">
        <f t="shared" si="38"/>
        <v>1541319.025774207</v>
      </c>
      <c r="CI235" s="239">
        <f t="shared" si="42"/>
        <v>172685.76974306448</v>
      </c>
      <c r="CJ235" s="276">
        <f>SUMIF('20Ф'!$H:$H,$B:$B,'20Ф'!M:M)*1.2</f>
        <v>0</v>
      </c>
      <c r="CK235" s="276">
        <f>SUMIF('20Ф'!$H:$H,$B:$B,'20Ф'!O:O)*1.2</f>
        <v>0</v>
      </c>
      <c r="CL235" s="276">
        <f>SUMIF('20Ф'!$H:$H,$B:$B,'20Ф'!Q:Q)*1.2</f>
        <v>0</v>
      </c>
      <c r="CM235" s="276">
        <f>SUMIF('20Ф'!$H:$H,$B:$B,'20Ф'!R:R)*1.2</f>
        <v>0</v>
      </c>
      <c r="CN235" s="276">
        <f>SUMIF('20Ф'!$H:$H,$B:$B,'20Ф'!S:S)*1.2</f>
        <v>0</v>
      </c>
      <c r="CO235" s="276">
        <f>SUMIF('20Ф'!$H:$H,$B:$B,'20Ф'!W:W)*1.2</f>
        <v>0</v>
      </c>
      <c r="CP235" s="276">
        <f>SUMIF('20Ф'!$H:$H,$B:$B,'20Ф'!P:P)*1.2</f>
        <v>0</v>
      </c>
      <c r="CQ235" s="276">
        <f>SUMIF('20Ф'!$H:$H,$B:$B,'20Ф'!Y:Y)*1.2</f>
        <v>0</v>
      </c>
      <c r="CR235" s="276">
        <f>SUMIF('20Ф'!$H:$H,$B:$B,'20Ф'!Z:Z)*1.2</f>
        <v>0</v>
      </c>
      <c r="CS235" s="276">
        <f>SUMIF('20Ф'!$H:$H,$B:$B,'20Ф'!AB:AB)*1.2</f>
        <v>0</v>
      </c>
      <c r="CT235" s="276">
        <f>SUMIF('20Ф'!$H:$H,$B:$B,'20Ф'!AC:AC)*1.2</f>
        <v>0</v>
      </c>
      <c r="CU235" s="276">
        <f>SUMIF('20Ф'!$H:$H,$B:$B,'20Ф'!AD:AD)*1.2</f>
        <v>0</v>
      </c>
      <c r="CV235" s="276">
        <f>SUMIF('20Ф'!$H:$H,$B:$B,'20Ф'!AE:AE)*1.2</f>
        <v>0</v>
      </c>
      <c r="CW235" s="276">
        <f>SUMIF('20Ф'!$H:$H,$B:$B,'20Ф'!AF:AF)*1.2</f>
        <v>0</v>
      </c>
      <c r="CX235" s="276">
        <f>SUMIF('20Ф'!$H:$H,$B:$B,'20Ф'!AG:AG)*1.2</f>
        <v>0</v>
      </c>
      <c r="CY235" s="276">
        <f>SUMIF('20Ф'!$H:$H,$B:$B,'20Ф'!AH:AH)*1.2</f>
        <v>0</v>
      </c>
      <c r="CZ235" s="276">
        <f>SUMIF('20Ф'!$H:$H,$B:$B,'20Ф'!AI:AI)*1.2</f>
        <v>0</v>
      </c>
      <c r="DA235" s="276">
        <f>SUMIF('20Ф'!$H:$H,$B:$B,'20Ф'!AJ:AJ)*1.2</f>
        <v>0</v>
      </c>
      <c r="DB235" s="276">
        <f>SUMIF('20Ф'!$H:$H,$B:$B,'20Ф'!AK:AK)*1.2</f>
        <v>0</v>
      </c>
      <c r="DC235" s="276">
        <f>SUMIF('20Ф'!$H:$H,$B:$B,'20Ф'!AL:AL)*1.2</f>
        <v>139220.66399999999</v>
      </c>
      <c r="DD235" s="276">
        <f>SUMIF('20Ф'!$H:$H,$B:$B,'20Ф'!AM:AM)*1.2</f>
        <v>0</v>
      </c>
      <c r="DE235" s="276">
        <f>SUMIF('20Ф'!$H:$H,$B:$B,'20Ф'!AN:AN)*1.2</f>
        <v>0</v>
      </c>
      <c r="DF235" s="276">
        <f>SUMIF('20Ф'!$H:$H,$B:$B,'20Ф'!AO:AO)*1.2</f>
        <v>0</v>
      </c>
      <c r="DG235" s="276">
        <f>SUMIF('20Ф'!$H:$H,$B:$B,'20Ф'!AP:AP)*1.2</f>
        <v>0</v>
      </c>
      <c r="DH235" s="276">
        <f>SUMIF('20Ф'!$H:$H,$B:$B,'20Ф'!AQ:AQ)*1.2</f>
        <v>0</v>
      </c>
      <c r="DI235" s="276">
        <f>SUMIF('20Ф'!$H:$H,$B:$B,'20Ф'!BA:BA)*1.2</f>
        <v>0</v>
      </c>
      <c r="DJ235" s="276">
        <f>SUMIF('20Ф'!$H:$H,$B:$B,'20Ф'!BB:BB)*1.2</f>
        <v>0</v>
      </c>
      <c r="DK235" s="276">
        <f>SUMIF('20Ф'!$H:$H,$B:$B,'20Ф'!BC:BC)*1.2</f>
        <v>0</v>
      </c>
      <c r="DL235" s="276">
        <f>$D235/$D$281*'20Ф'!$H$218</f>
        <v>33465.105743064472</v>
      </c>
      <c r="DM235" s="240">
        <f t="shared" si="39"/>
        <v>404098.39849630534</v>
      </c>
      <c r="DN235" s="276">
        <f>SUMIF('20Ф'!$H:$H,$B:$B,'20Ф'!AV:AV)*1.2</f>
        <v>0</v>
      </c>
      <c r="DO235" s="276">
        <f>SUMIF('20Ф'!$H:$H,$B:$B,'20Ф'!AW:AW)*1.2+$D235/$D$281*'26Ф'!$D$42</f>
        <v>17808.396984457384</v>
      </c>
      <c r="DP235" s="276">
        <f>SUMIF('20Ф'!$H:$H,$B:$B,'20Ф'!AX:AX)*1.2</f>
        <v>0</v>
      </c>
      <c r="DQ235" s="276">
        <f>SUMIF('20Ф'!$H:$H,$B:$B,'20Ф'!AY:AY)*1.2</f>
        <v>0</v>
      </c>
      <c r="DR235" s="276">
        <f>SUMIF('20Ф'!$H:$H,$B:$B,'20Ф'!AU:AU)*1.2</f>
        <v>0</v>
      </c>
      <c r="DS235" s="276">
        <f>SUMIF('20Ф'!$H:$H,$B:$B,'20Ф'!AS:AS)*1.2</f>
        <v>72152.747999999992</v>
      </c>
      <c r="DT235" s="276">
        <f>SUMIF('20Ф'!$H:$H,$B:$B,'20Ф'!AR:AR)*1.2</f>
        <v>0</v>
      </c>
      <c r="DU235" s="276">
        <f>SUMIF('20Ф'!$H:$H,$B:$B,'20Ф'!X:X)*1.2</f>
        <v>0</v>
      </c>
      <c r="DV235" s="276">
        <f>SUMIF('20Ф'!$H:$H,$B:$B,'20Ф'!AA:AA)*1.2</f>
        <v>0</v>
      </c>
      <c r="DW235" s="276">
        <f>SUMIF('20Ф'!$H:$H,$B:$B,'20Ф'!N:N)*1.2</f>
        <v>0</v>
      </c>
      <c r="DX235" s="276">
        <f>$D235/$D$281*('25Ф'!$D$37)</f>
        <v>299336.87458679051</v>
      </c>
      <c r="DY235" s="276">
        <f>$D235/$D$281*'25Ф'!$D$30</f>
        <v>9553.8933647693866</v>
      </c>
      <c r="DZ235" s="276">
        <f>$D235/$D$281*'25Ф'!$D$31</f>
        <v>5246.4855602880616</v>
      </c>
      <c r="EA235" s="276"/>
      <c r="EB235" s="276">
        <f t="shared" si="40"/>
        <v>188586.92909950661</v>
      </c>
      <c r="EC235" s="276">
        <f>$D235/$D$281*'26Ф'!$D$36</f>
        <v>98165.569993337645</v>
      </c>
      <c r="ED235" s="276">
        <f>$D235/$D$281*'26Ф'!$D$37</f>
        <v>11794.488391826893</v>
      </c>
      <c r="EE235" s="276">
        <f>$D235/$D$281*'26Ф'!$D$38</f>
        <v>11915.452476223221</v>
      </c>
      <c r="EF235" s="276">
        <f>$D235/$D$281*'26Ф'!$D$39</f>
        <v>8358.679037118427</v>
      </c>
      <c r="EG235" s="276">
        <f>$D235/$D$281*'91Ф'!$D$10</f>
        <v>2578.6490066230276</v>
      </c>
      <c r="EH235" s="276">
        <f>$D235/$D$281*('20Ф'!$I$509+'26Ф'!$D$41+'20Ф'!$I$507)</f>
        <v>18243.092612932727</v>
      </c>
      <c r="EI235" s="276">
        <f>$D235/$D$281*'91Ф'!$D$31</f>
        <v>33442.268299489668</v>
      </c>
      <c r="EJ235" s="276">
        <f>$D235/$D$281*'20Ф'!$I$1316</f>
        <v>4088.7292819550325</v>
      </c>
      <c r="EK235" s="276">
        <f>$D235/$D$281*('20Ф'!$I$1105+'20Ф'!$I$1282+'91Ф'!$D$17+'91Ф'!$D$41)</f>
        <v>134278.4248733017</v>
      </c>
      <c r="EL235" s="276">
        <f>$D235/$D$281*отчёт!BX$294</f>
        <v>224472.57466477423</v>
      </c>
      <c r="EM235" s="276">
        <f>$D235/$D$281*отчёт!BY$294</f>
        <v>197411.58016986871</v>
      </c>
      <c r="EN235" s="276">
        <f>$D235/$D$283*отчёт!BZ$294</f>
        <v>35429.207671156699</v>
      </c>
      <c r="EO235" s="240">
        <f>SUBTOTAL(9,EP235:ER235)</f>
        <v>91527.844750499004</v>
      </c>
      <c r="EP235" s="276">
        <f>SUMIF('20Ф'!$H:$H,$B:$B,'20Ф'!T:T)*1.2</f>
        <v>2596.14</v>
      </c>
      <c r="EQ235" s="276">
        <f>SUM(H235:I235)/SUM($H$284:$I$284)*SUM('60Ф'!$O$155:$P$155)</f>
        <v>86255.130878243508</v>
      </c>
      <c r="ER235" s="276">
        <f>SUM($H235:$I235)/SUM($H$284:$I$284)*SUM('60Ф'!$P$227)</f>
        <v>2676.5738722554888</v>
      </c>
      <c r="ES235" s="239">
        <f t="shared" si="43"/>
        <v>75131.056234320931</v>
      </c>
      <c r="ET235" s="276">
        <f>$D235/$D$282*'20Ф'!$I$381</f>
        <v>5742.3386127694566</v>
      </c>
      <c r="EU235" s="276">
        <f>$D235/$D$282*('20Ф'!$I$75+'20Ф'!$I$1098)*1.2</f>
        <v>66326.560158979642</v>
      </c>
      <c r="EV235" s="276">
        <f>$D235/$D$282*('20Ф'!$I$1286)</f>
        <v>3062.1574625718376</v>
      </c>
      <c r="EW235" s="276">
        <f>SUMIF('91.1Ф'!$N:$N,$B:$B,'91.1Ф'!$F:$F)+$D235/$D$281*('91Ф'!$D$12+'91Ф'!$D$11+'91Ф'!$D$19+'91Ф'!$D$20)</f>
        <v>17697.24007140956</v>
      </c>
      <c r="EX235" s="276">
        <f t="shared" si="41"/>
        <v>0</v>
      </c>
      <c r="EY235" s="276">
        <f>SUMIF('20Ф'!$H:$H,$B:$B,'20Ф'!$AY:$AY)*1.2</f>
        <v>0</v>
      </c>
      <c r="EZ235" s="238"/>
      <c r="FA235" s="277">
        <f>SUMIF(отчёт!$B:$B,$B:$B,отчёт!$CU:$CU)/отчёт!$CU$281*'20Ф'!$I$1341</f>
        <v>0</v>
      </c>
      <c r="FB235" s="276">
        <f>SUMIF(Сальдо!$A:$A,$B:$B,Сальдо!$H:$H)-SUMIF(Сальдо!$A:$A,$B:$B,Сальдо!$I:$I)</f>
        <v>217289.46</v>
      </c>
    </row>
    <row r="236" spans="1:158" s="13" customFormat="1" ht="12" customHeight="1" x14ac:dyDescent="0.25">
      <c r="A236" s="3">
        <f t="shared" si="44"/>
        <v>232</v>
      </c>
      <c r="B236" s="4" t="s">
        <v>282</v>
      </c>
      <c r="C236" s="4" t="s">
        <v>282</v>
      </c>
      <c r="D236" s="5">
        <v>856.1</v>
      </c>
      <c r="E236" s="6">
        <v>770.6</v>
      </c>
      <c r="F236" s="6">
        <v>85.5</v>
      </c>
      <c r="G236" s="6">
        <v>166.1</v>
      </c>
      <c r="H236" s="5">
        <f>SUMIF(отчёт!$B:$B,$B:$B,отчёт!I:I)</f>
        <v>0</v>
      </c>
      <c r="I236" s="5">
        <f>SUMIF(отчёт!$B:$B,$B:$B,отчёт!J:J)</f>
        <v>0</v>
      </c>
      <c r="J236" s="3" t="s">
        <v>279</v>
      </c>
      <c r="K236" s="105">
        <v>9</v>
      </c>
      <c r="L236" s="105" t="s">
        <v>75</v>
      </c>
      <c r="M236" s="12">
        <v>19.37</v>
      </c>
      <c r="N236" s="8">
        <v>2.86</v>
      </c>
      <c r="O236" s="8">
        <v>3.7399999999999998</v>
      </c>
      <c r="P236" s="8">
        <v>6.5</v>
      </c>
      <c r="Q236" s="8">
        <v>4</v>
      </c>
      <c r="R236" s="8">
        <v>2.0499999999999998</v>
      </c>
      <c r="S236" s="8">
        <v>0</v>
      </c>
      <c r="T236" s="8">
        <v>0</v>
      </c>
      <c r="U236" s="8">
        <v>0.22</v>
      </c>
      <c r="V236" s="9">
        <v>40</v>
      </c>
      <c r="W236" s="9">
        <v>0</v>
      </c>
      <c r="X236" s="9">
        <v>0</v>
      </c>
      <c r="Y236" s="8">
        <v>0</v>
      </c>
      <c r="Z236" s="9">
        <v>42.3</v>
      </c>
      <c r="AA236" s="9">
        <v>2604.04</v>
      </c>
      <c r="AB236" s="8">
        <v>7.85</v>
      </c>
      <c r="AC236" s="10">
        <v>0</v>
      </c>
      <c r="AD236" s="8">
        <v>4.71</v>
      </c>
      <c r="AE236" s="8">
        <v>10.67</v>
      </c>
      <c r="AF236" s="8">
        <v>14</v>
      </c>
      <c r="AG236" s="7">
        <v>99495.94200000001</v>
      </c>
      <c r="AH236" s="8">
        <v>14690.675999999999</v>
      </c>
      <c r="AI236" s="8">
        <v>19210.883999999998</v>
      </c>
      <c r="AJ236" s="8">
        <v>33387.9</v>
      </c>
      <c r="AK236" s="8">
        <v>20546.400000000001</v>
      </c>
      <c r="AL236" s="8">
        <v>10530.029999999999</v>
      </c>
      <c r="AM236" s="8">
        <v>0</v>
      </c>
      <c r="AN236" s="8">
        <v>0</v>
      </c>
      <c r="AO236" s="8">
        <v>1130.0520000000001</v>
      </c>
      <c r="AQ236" s="104">
        <v>26.91</v>
      </c>
      <c r="AR236" s="375">
        <v>7.81</v>
      </c>
      <c r="AS236" s="376"/>
      <c r="AT236" s="104">
        <v>8.4499999999999993</v>
      </c>
      <c r="AU236" s="104">
        <v>1.53</v>
      </c>
      <c r="AV236" s="104">
        <v>0.18</v>
      </c>
      <c r="AW236" s="104">
        <v>0.48</v>
      </c>
      <c r="AX236" s="104">
        <v>4.93</v>
      </c>
      <c r="AY236" s="104">
        <v>2.6</v>
      </c>
      <c r="AZ236" s="104">
        <v>0</v>
      </c>
      <c r="BA236" s="104">
        <v>0</v>
      </c>
      <c r="BB236" s="104">
        <v>0</v>
      </c>
      <c r="BC236" s="101">
        <v>0.93</v>
      </c>
      <c r="BD236" s="104">
        <v>30.48903</v>
      </c>
      <c r="BE236" s="375">
        <v>8.8487299999999998</v>
      </c>
      <c r="BF236" s="376">
        <v>0</v>
      </c>
      <c r="BG236" s="104">
        <v>9.5738499999999984</v>
      </c>
      <c r="BH236" s="104">
        <v>1.73349</v>
      </c>
      <c r="BI236" s="104">
        <v>0.20393999999999998</v>
      </c>
      <c r="BJ236" s="104">
        <v>0.54383999999999999</v>
      </c>
      <c r="BK236" s="104">
        <v>5.5856899999999996</v>
      </c>
      <c r="BL236" s="104">
        <v>2.9458000000000002</v>
      </c>
      <c r="BM236" s="104">
        <v>0</v>
      </c>
      <c r="BN236" s="104">
        <v>0</v>
      </c>
      <c r="BO236" s="104">
        <v>0</v>
      </c>
      <c r="BP236" s="101">
        <v>1.05369</v>
      </c>
      <c r="BQ236" s="103">
        <v>307091.88783000002</v>
      </c>
      <c r="BR236" s="371">
        <v>89126.25953000001</v>
      </c>
      <c r="BS236" s="371">
        <v>0</v>
      </c>
      <c r="BT236" s="103">
        <v>96429.81985</v>
      </c>
      <c r="BU236" s="103">
        <v>17460.07389</v>
      </c>
      <c r="BV236" s="103">
        <v>2054.1263399999998</v>
      </c>
      <c r="BW236" s="103">
        <v>5477.6702399999995</v>
      </c>
      <c r="BX236" s="103">
        <v>56260.238089999999</v>
      </c>
      <c r="BY236" s="103">
        <v>29670.713800000001</v>
      </c>
      <c r="BZ236" s="103">
        <v>0</v>
      </c>
      <c r="CA236" s="103">
        <v>0</v>
      </c>
      <c r="CB236" s="103">
        <v>0</v>
      </c>
      <c r="CC236" s="103">
        <v>10612.986089999999</v>
      </c>
      <c r="CD236" s="1">
        <v>1</v>
      </c>
      <c r="CF236" s="277">
        <f>SUMIF(Оборот!$A:$A,$B:$B,Оборот!H:H)</f>
        <v>203284.71000000005</v>
      </c>
      <c r="CG236" s="277">
        <f>SUMIF(Оборот!$A:$A,$B:$B,Оборот!I:I)</f>
        <v>175395.03000000003</v>
      </c>
      <c r="CH236" s="277">
        <f t="shared" si="38"/>
        <v>325834.65907973907</v>
      </c>
      <c r="CI236" s="239">
        <f t="shared" si="42"/>
        <v>7529.6861723626553</v>
      </c>
      <c r="CJ236" s="276">
        <f>SUMIF('20Ф'!$H:$H,$B:$B,'20Ф'!M:M)*1.2</f>
        <v>0</v>
      </c>
      <c r="CK236" s="276">
        <f>SUMIF('20Ф'!$H:$H,$B:$B,'20Ф'!O:O)*1.2</f>
        <v>0</v>
      </c>
      <c r="CL236" s="276">
        <f>SUMIF('20Ф'!$H:$H,$B:$B,'20Ф'!Q:Q)*1.2</f>
        <v>0</v>
      </c>
      <c r="CM236" s="276">
        <f>SUMIF('20Ф'!$H:$H,$B:$B,'20Ф'!R:R)*1.2</f>
        <v>0</v>
      </c>
      <c r="CN236" s="276">
        <f>SUMIF('20Ф'!$H:$H,$B:$B,'20Ф'!S:S)*1.2</f>
        <v>0</v>
      </c>
      <c r="CO236" s="276">
        <f>SUMIF('20Ф'!$H:$H,$B:$B,'20Ф'!W:W)*1.2</f>
        <v>0</v>
      </c>
      <c r="CP236" s="276">
        <f>SUMIF('20Ф'!$H:$H,$B:$B,'20Ф'!P:P)*1.2</f>
        <v>0</v>
      </c>
      <c r="CQ236" s="276">
        <f>SUMIF('20Ф'!$H:$H,$B:$B,'20Ф'!Y:Y)*1.2</f>
        <v>0</v>
      </c>
      <c r="CR236" s="276">
        <f>SUMIF('20Ф'!$H:$H,$B:$B,'20Ф'!Z:Z)*1.2</f>
        <v>0</v>
      </c>
      <c r="CS236" s="276">
        <f>SUMIF('20Ф'!$H:$H,$B:$B,'20Ф'!AB:AB)*1.2</f>
        <v>0</v>
      </c>
      <c r="CT236" s="276">
        <f>SUMIF('20Ф'!$H:$H,$B:$B,'20Ф'!AC:AC)*1.2</f>
        <v>0</v>
      </c>
      <c r="CU236" s="276">
        <f>SUMIF('20Ф'!$H:$H,$B:$B,'20Ф'!AD:AD)*1.2</f>
        <v>0</v>
      </c>
      <c r="CV236" s="276">
        <f>SUMIF('20Ф'!$H:$H,$B:$B,'20Ф'!AE:AE)*1.2</f>
        <v>0</v>
      </c>
      <c r="CW236" s="276">
        <f>SUMIF('20Ф'!$H:$H,$B:$B,'20Ф'!AF:AF)*1.2</f>
        <v>0</v>
      </c>
      <c r="CX236" s="276">
        <f>SUMIF('20Ф'!$H:$H,$B:$B,'20Ф'!AG:AG)*1.2</f>
        <v>0</v>
      </c>
      <c r="CY236" s="276">
        <f>SUMIF('20Ф'!$H:$H,$B:$B,'20Ф'!AH:AH)*1.2</f>
        <v>0</v>
      </c>
      <c r="CZ236" s="276">
        <f>SUMIF('20Ф'!$H:$H,$B:$B,'20Ф'!AI:AI)*1.2</f>
        <v>0</v>
      </c>
      <c r="DA236" s="276">
        <f>SUMIF('20Ф'!$H:$H,$B:$B,'20Ф'!AJ:AJ)*1.2</f>
        <v>0</v>
      </c>
      <c r="DB236" s="276">
        <f>SUMIF('20Ф'!$H:$H,$B:$B,'20Ф'!AK:AK)*1.2</f>
        <v>0</v>
      </c>
      <c r="DC236" s="276">
        <f>SUMIF('20Ф'!$H:$H,$B:$B,'20Ф'!AL:AL)*1.2</f>
        <v>0</v>
      </c>
      <c r="DD236" s="276">
        <f>SUMIF('20Ф'!$H:$H,$B:$B,'20Ф'!AM:AM)*1.2</f>
        <v>0</v>
      </c>
      <c r="DE236" s="276">
        <f>SUMIF('20Ф'!$H:$H,$B:$B,'20Ф'!AN:AN)*1.2</f>
        <v>0</v>
      </c>
      <c r="DF236" s="276">
        <f>SUMIF('20Ф'!$H:$H,$B:$B,'20Ф'!AO:AO)*1.2</f>
        <v>0</v>
      </c>
      <c r="DG236" s="276">
        <f>SUMIF('20Ф'!$H:$H,$B:$B,'20Ф'!AP:AP)*1.2</f>
        <v>0</v>
      </c>
      <c r="DH236" s="276">
        <f>SUMIF('20Ф'!$H:$H,$B:$B,'20Ф'!AQ:AQ)*1.2</f>
        <v>0</v>
      </c>
      <c r="DI236" s="276">
        <f>SUMIF('20Ф'!$H:$H,$B:$B,'20Ф'!BA:BA)*1.2</f>
        <v>0</v>
      </c>
      <c r="DJ236" s="276">
        <f>SUMIF('20Ф'!$H:$H,$B:$B,'20Ф'!BB:BB)*1.2</f>
        <v>0</v>
      </c>
      <c r="DK236" s="276">
        <f>SUMIF('20Ф'!$H:$H,$B:$B,'20Ф'!BC:BC)*1.2</f>
        <v>0</v>
      </c>
      <c r="DL236" s="276">
        <f>$D236/$D$281*'20Ф'!$H$218</f>
        <v>7529.6861723626553</v>
      </c>
      <c r="DM236" s="240">
        <f t="shared" si="39"/>
        <v>118925.13414148893</v>
      </c>
      <c r="DN236" s="276">
        <f>SUMIF('20Ф'!$H:$H,$B:$B,'20Ф'!AV:AV)*1.2</f>
        <v>0</v>
      </c>
      <c r="DO236" s="276">
        <f>SUMIF('20Ф'!$H:$H,$B:$B,'20Ф'!AW:AW)*1.2+$D236/$D$281*'26Ф'!$D$42</f>
        <v>4006.9092132961091</v>
      </c>
      <c r="DP236" s="276">
        <f>SUMIF('20Ф'!$H:$H,$B:$B,'20Ф'!AX:AX)*1.2</f>
        <v>0</v>
      </c>
      <c r="DQ236" s="276">
        <f>SUMIF('20Ф'!$H:$H,$B:$B,'20Ф'!AY:AY)*1.2</f>
        <v>10320</v>
      </c>
      <c r="DR236" s="276">
        <f>SUMIF('20Ф'!$H:$H,$B:$B,'20Ф'!AU:AU)*1.2</f>
        <v>0</v>
      </c>
      <c r="DS236" s="276">
        <f>SUMIF('20Ф'!$H:$H,$B:$B,'20Ф'!AS:AS)*1.2</f>
        <v>33916.991999999998</v>
      </c>
      <c r="DT236" s="276">
        <f>SUMIF('20Ф'!$H:$H,$B:$B,'20Ф'!AR:AR)*1.2</f>
        <v>0</v>
      </c>
      <c r="DU236" s="276">
        <f>SUMIF('20Ф'!$H:$H,$B:$B,'20Ф'!X:X)*1.2</f>
        <v>0</v>
      </c>
      <c r="DV236" s="276">
        <f>SUMIF('20Ф'!$H:$H,$B:$B,'20Ф'!AA:AA)*1.2</f>
        <v>0</v>
      </c>
      <c r="DW236" s="276">
        <f>SUMIF('20Ф'!$H:$H,$B:$B,'20Ф'!N:N)*1.2</f>
        <v>0</v>
      </c>
      <c r="DX236" s="276">
        <f>$D236/$D$281*('25Ф'!$D$37)</f>
        <v>67351.131138186422</v>
      </c>
      <c r="DY236" s="276">
        <f>$D236/$D$281*'25Ф'!$D$30</f>
        <v>2149.6366786720891</v>
      </c>
      <c r="DZ236" s="276">
        <f>$D236/$D$281*'25Ф'!$D$31</f>
        <v>1180.4651113343189</v>
      </c>
      <c r="EA236" s="276"/>
      <c r="EB236" s="276">
        <f t="shared" si="40"/>
        <v>42432.269697016629</v>
      </c>
      <c r="EC236" s="276">
        <f>$D236/$D$281*'26Ф'!$D$36</f>
        <v>22087.362898416075</v>
      </c>
      <c r="ED236" s="276">
        <f>$D236/$D$281*'26Ф'!$D$37</f>
        <v>2653.7730624812421</v>
      </c>
      <c r="EE236" s="276">
        <f>$D236/$D$281*'26Ф'!$D$38</f>
        <v>2680.9901165860333</v>
      </c>
      <c r="EF236" s="276">
        <f>$D236/$D$281*'26Ф'!$D$39</f>
        <v>1880.7121199087185</v>
      </c>
      <c r="EG236" s="276">
        <f>$D236/$D$281*'91Ф'!$D$10</f>
        <v>580.19890681415507</v>
      </c>
      <c r="EH236" s="276">
        <f>$D236/$D$281*('20Ф'!$I$509+'26Ф'!$D$41+'20Ф'!$I$507)</f>
        <v>4104.7162152535329</v>
      </c>
      <c r="EI236" s="276">
        <f>$D236/$D$281*'91Ф'!$D$31</f>
        <v>7524.5477220491393</v>
      </c>
      <c r="EJ236" s="276">
        <f>$D236/$D$281*'20Ф'!$I$1316</f>
        <v>919.96865550773191</v>
      </c>
      <c r="EK236" s="276">
        <f>$D236/$D$281*('20Ф'!$I$1105+'20Ф'!$I$1282+'91Ф'!$D$17+'91Ф'!$D$41)</f>
        <v>30212.795584089235</v>
      </c>
      <c r="EL236" s="276">
        <f>$D236/$D$281*отчёт!BX$294</f>
        <v>50506.58003309265</v>
      </c>
      <c r="EM236" s="276">
        <f>$D236/$D$281*отчёт!BY$294</f>
        <v>44417.826044891059</v>
      </c>
      <c r="EN236" s="276">
        <f>SUMIF(отчёт!$B:$B,$B:$B,отчёт!BZ:BZ)/отчёт!BZ$281*('60Ф'!$O$151+'60Ф'!$P$151)*отчёт!BZ$293</f>
        <v>0</v>
      </c>
      <c r="EO236" s="240">
        <f t="shared" si="45"/>
        <v>0</v>
      </c>
      <c r="EP236" s="276">
        <f>SUMIF('20Ф'!$H:$H,$B:$B,'20Ф'!T:T)*1.2</f>
        <v>0</v>
      </c>
      <c r="EQ236" s="276">
        <f>SUMIF('20Ф'!$H:$H,$B:$B,'20Ф'!U:U)*1.2</f>
        <v>0</v>
      </c>
      <c r="ER236" s="238"/>
      <c r="ES236" s="239">
        <f t="shared" si="43"/>
        <v>16904.571573326335</v>
      </c>
      <c r="ET236" s="276">
        <f>$D236/$D$282*'20Ф'!$I$381</f>
        <v>1292.0326020053071</v>
      </c>
      <c r="EU236" s="276">
        <f>$D236/$D$282*('20Ф'!$I$75+'20Ф'!$I$1098)*1.2</f>
        <v>14923.550121844501</v>
      </c>
      <c r="EV236" s="276">
        <f>$D236/$D$282*('20Ф'!$I$1286)</f>
        <v>688.9888494765263</v>
      </c>
      <c r="EW236" s="276">
        <f>SUMIF('91.1Ф'!$N:$N,$B:$B,'91.1Ф'!$F:$F)+$D236/$D$281*('91Ф'!$D$12+'91Ф'!$D$11+'91Ф'!$D$19+'91Ф'!$D$20)</f>
        <v>3981.8987836992396</v>
      </c>
      <c r="EX236" s="276">
        <f t="shared" si="41"/>
        <v>10923.897049772248</v>
      </c>
      <c r="EY236" s="276">
        <f>SUMIF('20Ф'!$H:$H,$B:$B,'20Ф'!$AY:$AY)*1.2</f>
        <v>10320</v>
      </c>
      <c r="EZ236" s="295">
        <f>D236/$D$286*'20Ф'!$I$1163</f>
        <v>603.89704977224744</v>
      </c>
      <c r="FA236" s="277">
        <f>SUMIF(отчёт!$B:$B,$B:$B,отчёт!$CU:$CU)/отчёт!$CU$281*'20Ф'!$I$1341</f>
        <v>0</v>
      </c>
      <c r="FB236" s="276">
        <f>SUMIF(Сальдо!$A:$A,$B:$B,Сальдо!$H:$H)-SUMIF(Сальдо!$A:$A,$B:$B,Сальдо!$I:$I)</f>
        <v>174529.9</v>
      </c>
    </row>
    <row r="237" spans="1:158" s="13" customFormat="1" ht="12" customHeight="1" x14ac:dyDescent="0.25">
      <c r="A237" s="3">
        <f t="shared" si="44"/>
        <v>233</v>
      </c>
      <c r="B237" s="4" t="s">
        <v>283</v>
      </c>
      <c r="C237" s="4" t="s">
        <v>283</v>
      </c>
      <c r="D237" s="5">
        <v>894.63</v>
      </c>
      <c r="E237" s="6">
        <v>894.63</v>
      </c>
      <c r="F237" s="6">
        <v>0</v>
      </c>
      <c r="G237" s="6">
        <v>129.9</v>
      </c>
      <c r="H237" s="5">
        <f>SUMIF(отчёт!$B:$B,$B:$B,отчёт!I:I)</f>
        <v>0</v>
      </c>
      <c r="I237" s="5">
        <f>SUMIF(отчёт!$B:$B,$B:$B,отчёт!J:J)</f>
        <v>0</v>
      </c>
      <c r="J237" s="3" t="s">
        <v>279</v>
      </c>
      <c r="K237" s="105">
        <v>9</v>
      </c>
      <c r="L237" s="105" t="s">
        <v>75</v>
      </c>
      <c r="M237" s="12">
        <v>19.37</v>
      </c>
      <c r="N237" s="8">
        <v>2.86</v>
      </c>
      <c r="O237" s="8">
        <v>3.7399999999999998</v>
      </c>
      <c r="P237" s="8">
        <v>6.5</v>
      </c>
      <c r="Q237" s="8">
        <v>4</v>
      </c>
      <c r="R237" s="8">
        <v>2.0499999999999998</v>
      </c>
      <c r="S237" s="8">
        <v>0</v>
      </c>
      <c r="T237" s="8">
        <v>0</v>
      </c>
      <c r="U237" s="8">
        <v>0.22</v>
      </c>
      <c r="V237" s="9">
        <v>40</v>
      </c>
      <c r="W237" s="9">
        <v>0</v>
      </c>
      <c r="X237" s="9">
        <v>0</v>
      </c>
      <c r="Y237" s="8">
        <v>0</v>
      </c>
      <c r="Z237" s="9">
        <v>42.3</v>
      </c>
      <c r="AA237" s="9">
        <v>2604.04</v>
      </c>
      <c r="AB237" s="8">
        <v>7.85</v>
      </c>
      <c r="AC237" s="10">
        <v>0</v>
      </c>
      <c r="AD237" s="8">
        <v>4.71</v>
      </c>
      <c r="AE237" s="8">
        <v>10.67</v>
      </c>
      <c r="AF237" s="8">
        <v>14</v>
      </c>
      <c r="AG237" s="7">
        <v>103973.89860000001</v>
      </c>
      <c r="AH237" s="8">
        <v>15351.8508</v>
      </c>
      <c r="AI237" s="8">
        <v>20075.497199999998</v>
      </c>
      <c r="AJ237" s="8">
        <v>34890.57</v>
      </c>
      <c r="AK237" s="8">
        <v>21471.119999999999</v>
      </c>
      <c r="AL237" s="8">
        <v>11003.948999999999</v>
      </c>
      <c r="AM237" s="8">
        <v>0</v>
      </c>
      <c r="AN237" s="8">
        <v>0</v>
      </c>
      <c r="AO237" s="8">
        <v>1180.9115999999999</v>
      </c>
      <c r="AQ237" s="104">
        <v>26.91</v>
      </c>
      <c r="AR237" s="375">
        <v>7.81</v>
      </c>
      <c r="AS237" s="376"/>
      <c r="AT237" s="104">
        <v>8.4499999999999993</v>
      </c>
      <c r="AU237" s="104">
        <v>1.53</v>
      </c>
      <c r="AV237" s="104">
        <v>0.18</v>
      </c>
      <c r="AW237" s="104">
        <v>0.48</v>
      </c>
      <c r="AX237" s="104">
        <v>4.93</v>
      </c>
      <c r="AY237" s="104">
        <v>2.6</v>
      </c>
      <c r="AZ237" s="104">
        <v>0</v>
      </c>
      <c r="BA237" s="104">
        <v>0</v>
      </c>
      <c r="BB237" s="104">
        <v>0</v>
      </c>
      <c r="BC237" s="101">
        <v>0.93</v>
      </c>
      <c r="BD237" s="104">
        <v>30.48903</v>
      </c>
      <c r="BE237" s="375">
        <v>8.8487299999999998</v>
      </c>
      <c r="BF237" s="376">
        <v>0</v>
      </c>
      <c r="BG237" s="104">
        <v>9.5738499999999984</v>
      </c>
      <c r="BH237" s="104">
        <v>1.73349</v>
      </c>
      <c r="BI237" s="104">
        <v>0.20393999999999998</v>
      </c>
      <c r="BJ237" s="104">
        <v>0.54383999999999999</v>
      </c>
      <c r="BK237" s="104">
        <v>5.5856899999999996</v>
      </c>
      <c r="BL237" s="104">
        <v>2.9458000000000002</v>
      </c>
      <c r="BM237" s="104">
        <v>0</v>
      </c>
      <c r="BN237" s="104">
        <v>0</v>
      </c>
      <c r="BO237" s="104">
        <v>0</v>
      </c>
      <c r="BP237" s="101">
        <v>1.05369</v>
      </c>
      <c r="BQ237" s="103">
        <v>320912.995689</v>
      </c>
      <c r="BR237" s="371">
        <v>93137.513799000008</v>
      </c>
      <c r="BS237" s="371">
        <v>0</v>
      </c>
      <c r="BT237" s="103">
        <v>100769.78125499999</v>
      </c>
      <c r="BU237" s="103">
        <v>18245.889386999999</v>
      </c>
      <c r="BV237" s="103">
        <v>2146.5752219999995</v>
      </c>
      <c r="BW237" s="103">
        <v>5724.2005919999992</v>
      </c>
      <c r="BX237" s="103">
        <v>58792.310246999994</v>
      </c>
      <c r="BY237" s="103">
        <v>31006.08654</v>
      </c>
      <c r="BZ237" s="103">
        <v>0</v>
      </c>
      <c r="CA237" s="103">
        <v>0</v>
      </c>
      <c r="CB237" s="103">
        <v>0</v>
      </c>
      <c r="CC237" s="103">
        <v>11090.638646999998</v>
      </c>
      <c r="CD237" s="1">
        <v>1</v>
      </c>
      <c r="CF237" s="277">
        <f>SUMIF(Оборот!$A:$A,$B:$B,Оборот!H:H)</f>
        <v>234929.8</v>
      </c>
      <c r="CG237" s="277">
        <f>SUMIF(Оборот!$A:$A,$B:$B,Оборот!I:I)</f>
        <v>225348.72999999998</v>
      </c>
      <c r="CH237" s="277">
        <f t="shared" si="38"/>
        <v>465610.85691712046</v>
      </c>
      <c r="CI237" s="239">
        <f t="shared" si="42"/>
        <v>23070.590424460697</v>
      </c>
      <c r="CJ237" s="276">
        <f>SUMIF('20Ф'!$H:$H,$B:$B,'20Ф'!M:M)*1.2</f>
        <v>0</v>
      </c>
      <c r="CK237" s="276">
        <f>SUMIF('20Ф'!$H:$H,$B:$B,'20Ф'!O:O)*1.2</f>
        <v>0</v>
      </c>
      <c r="CL237" s="276">
        <f>SUMIF('20Ф'!$H:$H,$B:$B,'20Ф'!Q:Q)*1.2</f>
        <v>0</v>
      </c>
      <c r="CM237" s="276">
        <f>SUMIF('20Ф'!$H:$H,$B:$B,'20Ф'!R:R)*1.2</f>
        <v>0</v>
      </c>
      <c r="CN237" s="276">
        <f>SUMIF('20Ф'!$H:$H,$B:$B,'20Ф'!S:S)*1.2</f>
        <v>0</v>
      </c>
      <c r="CO237" s="276">
        <f>SUMIF('20Ф'!$H:$H,$B:$B,'20Ф'!W:W)*1.2</f>
        <v>0</v>
      </c>
      <c r="CP237" s="276">
        <f>SUMIF('20Ф'!$H:$H,$B:$B,'20Ф'!P:P)*1.2</f>
        <v>0</v>
      </c>
      <c r="CQ237" s="276">
        <f>SUMIF('20Ф'!$H:$H,$B:$B,'20Ф'!Y:Y)*1.2</f>
        <v>0</v>
      </c>
      <c r="CR237" s="276">
        <f>SUMIF('20Ф'!$H:$H,$B:$B,'20Ф'!Z:Z)*1.2</f>
        <v>0</v>
      </c>
      <c r="CS237" s="276">
        <f>SUMIF('20Ф'!$H:$H,$B:$B,'20Ф'!AB:AB)*1.2</f>
        <v>0</v>
      </c>
      <c r="CT237" s="276">
        <f>SUMIF('20Ф'!$H:$H,$B:$B,'20Ф'!AC:AC)*1.2</f>
        <v>0</v>
      </c>
      <c r="CU237" s="276">
        <f>SUMIF('20Ф'!$H:$H,$B:$B,'20Ф'!AD:AD)*1.2</f>
        <v>0</v>
      </c>
      <c r="CV237" s="276">
        <f>SUMIF('20Ф'!$H:$H,$B:$B,'20Ф'!AE:AE)*1.2</f>
        <v>0</v>
      </c>
      <c r="CW237" s="276">
        <f>SUMIF('20Ф'!$H:$H,$B:$B,'20Ф'!AF:AF)*1.2</f>
        <v>0</v>
      </c>
      <c r="CX237" s="276">
        <f>SUMIF('20Ф'!$H:$H,$B:$B,'20Ф'!AG:AG)*1.2</f>
        <v>15202.02</v>
      </c>
      <c r="CY237" s="276">
        <f>SUMIF('20Ф'!$H:$H,$B:$B,'20Ф'!AH:AH)*1.2</f>
        <v>0</v>
      </c>
      <c r="CZ237" s="276">
        <f>SUMIF('20Ф'!$H:$H,$B:$B,'20Ф'!AI:AI)*1.2</f>
        <v>0</v>
      </c>
      <c r="DA237" s="276">
        <f>SUMIF('20Ф'!$H:$H,$B:$B,'20Ф'!AJ:AJ)*1.2</f>
        <v>0</v>
      </c>
      <c r="DB237" s="276">
        <f>SUMIF('20Ф'!$H:$H,$B:$B,'20Ф'!AK:AK)*1.2</f>
        <v>0</v>
      </c>
      <c r="DC237" s="276">
        <f>SUMIF('20Ф'!$H:$H,$B:$B,'20Ф'!AL:AL)*1.2</f>
        <v>0</v>
      </c>
      <c r="DD237" s="276">
        <f>SUMIF('20Ф'!$H:$H,$B:$B,'20Ф'!AM:AM)*1.2</f>
        <v>0</v>
      </c>
      <c r="DE237" s="276">
        <f>SUMIF('20Ф'!$H:$H,$B:$B,'20Ф'!AN:AN)*1.2</f>
        <v>0</v>
      </c>
      <c r="DF237" s="276">
        <f>SUMIF('20Ф'!$H:$H,$B:$B,'20Ф'!AO:AO)*1.2</f>
        <v>0</v>
      </c>
      <c r="DG237" s="276">
        <f>SUMIF('20Ф'!$H:$H,$B:$B,'20Ф'!AP:AP)*1.2</f>
        <v>0</v>
      </c>
      <c r="DH237" s="276">
        <f>SUMIF('20Ф'!$H:$H,$B:$B,'20Ф'!AQ:AQ)*1.2</f>
        <v>0</v>
      </c>
      <c r="DI237" s="276">
        <f>SUMIF('20Ф'!$H:$H,$B:$B,'20Ф'!BA:BA)*1.2</f>
        <v>0</v>
      </c>
      <c r="DJ237" s="276">
        <f>SUMIF('20Ф'!$H:$H,$B:$B,'20Ф'!BB:BB)*1.2</f>
        <v>0</v>
      </c>
      <c r="DK237" s="276">
        <f>SUMIF('20Ф'!$H:$H,$B:$B,'20Ф'!BC:BC)*1.2</f>
        <v>0</v>
      </c>
      <c r="DL237" s="276">
        <f>$D237/$D$281*'20Ф'!$H$218</f>
        <v>7868.5704244606959</v>
      </c>
      <c r="DM237" s="240">
        <f t="shared" si="39"/>
        <v>228624.52037056445</v>
      </c>
      <c r="DN237" s="276">
        <f>SUMIF('20Ф'!$H:$H,$B:$B,'20Ф'!AV:AV)*1.2</f>
        <v>0</v>
      </c>
      <c r="DO237" s="276">
        <f>SUMIF('20Ф'!$H:$H,$B:$B,'20Ф'!AW:AW)*1.2+$D237/$D$281*'26Ф'!$D$42</f>
        <v>4187.2458702150425</v>
      </c>
      <c r="DP237" s="276">
        <f>SUMIF('20Ф'!$H:$H,$B:$B,'20Ф'!AX:AX)*1.2</f>
        <v>0</v>
      </c>
      <c r="DQ237" s="276">
        <f>SUMIF('20Ф'!$H:$H,$B:$B,'20Ф'!AY:AY)*1.2</f>
        <v>16347</v>
      </c>
      <c r="DR237" s="276">
        <f>SUMIF('20Ф'!$H:$H,$B:$B,'20Ф'!AU:AU)*1.2</f>
        <v>0</v>
      </c>
      <c r="DS237" s="276">
        <f>SUMIF('20Ф'!$H:$H,$B:$B,'20Ф'!AS:AS)*1.2</f>
        <v>27982.572</v>
      </c>
      <c r="DT237" s="276">
        <f>SUMIF('20Ф'!$H:$H,$B:$B,'20Ф'!AR:AR)*1.2</f>
        <v>0</v>
      </c>
      <c r="DU237" s="276">
        <f>SUMIF('20Ф'!$H:$H,$B:$B,'20Ф'!X:X)*1.2</f>
        <v>106245.36</v>
      </c>
      <c r="DV237" s="276">
        <f>SUMIF('20Ф'!$H:$H,$B:$B,'20Ф'!AA:AA)*1.2</f>
        <v>0</v>
      </c>
      <c r="DW237" s="276">
        <f>SUMIF('20Ф'!$H:$H,$B:$B,'20Ф'!N:N)*1.2</f>
        <v>0</v>
      </c>
      <c r="DX237" s="276">
        <f>$D237/$D$281*('25Ф'!$D$37)</f>
        <v>70382.364735609997</v>
      </c>
      <c r="DY237" s="276">
        <f>$D237/$D$281*'25Ф'!$D$30</f>
        <v>2246.384139516892</v>
      </c>
      <c r="DZ237" s="276">
        <f>$D237/$D$281*'25Ф'!$D$31</f>
        <v>1233.5936252225461</v>
      </c>
      <c r="EA237" s="276"/>
      <c r="EB237" s="276">
        <f t="shared" si="40"/>
        <v>44341.994438782829</v>
      </c>
      <c r="EC237" s="276">
        <f>$D237/$D$281*'26Ф'!$D$36</f>
        <v>23081.436128734927</v>
      </c>
      <c r="ED237" s="276">
        <f>$D237/$D$281*'26Ф'!$D$37</f>
        <v>2773.2098994131452</v>
      </c>
      <c r="EE237" s="276">
        <f>$D237/$D$281*'26Ф'!$D$38</f>
        <v>2801.651895808157</v>
      </c>
      <c r="EF237" s="276">
        <f>$D237/$D$281*'26Ф'!$D$39</f>
        <v>1965.3562479078807</v>
      </c>
      <c r="EG237" s="276">
        <f>$D237/$D$281*'91Ф'!$D$10</f>
        <v>606.31158509887575</v>
      </c>
      <c r="EH237" s="276">
        <f>$D237/$D$281*('20Ф'!$I$509+'26Ф'!$D$41+'20Ф'!$I$507)</f>
        <v>4289.4548156199835</v>
      </c>
      <c r="EI237" s="276">
        <f>$D237/$D$281*'91Ф'!$D$31</f>
        <v>7863.2007108711841</v>
      </c>
      <c r="EJ237" s="276">
        <f>$D237/$D$281*'20Ф'!$I$1316</f>
        <v>961.3731553286791</v>
      </c>
      <c r="EK237" s="276">
        <f>$D237/$D$281*('20Ф'!$I$1105+'20Ф'!$I$1282+'91Ф'!$D$17+'91Ф'!$D$41)</f>
        <v>31572.56548696852</v>
      </c>
      <c r="EL237" s="276">
        <f>$D237/$D$281*отчёт!BX$294</f>
        <v>52779.700613252746</v>
      </c>
      <c r="EM237" s="276">
        <f>$D237/$D$281*отчёт!BY$294</f>
        <v>46416.913578484855</v>
      </c>
      <c r="EN237" s="276">
        <f>SUMIF(отчёт!$B:$B,$B:$B,отчёт!BZ:BZ)/отчёт!BZ$281*('60Ф'!$O$151+'60Ф'!$P$151)*отчёт!BZ$293</f>
        <v>0</v>
      </c>
      <c r="EO237" s="240">
        <f t="shared" si="45"/>
        <v>0</v>
      </c>
      <c r="EP237" s="276">
        <f>SUMIF('20Ф'!$H:$H,$B:$B,'20Ф'!T:T)*1.2</f>
        <v>0</v>
      </c>
      <c r="EQ237" s="276">
        <f>SUMIF('20Ф'!$H:$H,$B:$B,'20Ф'!U:U)*1.2</f>
        <v>0</v>
      </c>
      <c r="ER237" s="238"/>
      <c r="ES237" s="239">
        <f t="shared" si="43"/>
        <v>17665.38589726076</v>
      </c>
      <c r="ET237" s="276">
        <f>$D237/$D$282*'20Ф'!$I$381</f>
        <v>1350.1823697371892</v>
      </c>
      <c r="EU237" s="276">
        <f>$D237/$D$282*('20Ф'!$I$75+'20Ф'!$I$1098)*1.2</f>
        <v>15595.205753423366</v>
      </c>
      <c r="EV237" s="276">
        <f>$D237/$D$282*('20Ф'!$I$1286)</f>
        <v>719.99777410020408</v>
      </c>
      <c r="EW237" s="276">
        <f>SUMIF('91.1Ф'!$N:$N,$B:$B,'91.1Ф'!$F:$F)+$D237/$D$281*('91Ф'!$D$12+'91Ф'!$D$11+'91Ф'!$D$19+'91Ф'!$D$20)</f>
        <v>4161.1098106072313</v>
      </c>
      <c r="EX237" s="276">
        <f t="shared" si="41"/>
        <v>16978.0762967384</v>
      </c>
      <c r="EY237" s="276">
        <f>SUMIF('20Ф'!$H:$H,$B:$B,'20Ф'!$AY:$AY)*1.2</f>
        <v>16347</v>
      </c>
      <c r="EZ237" s="295">
        <f>D237/$D$286*'20Ф'!$I$1163</f>
        <v>631.07629673840165</v>
      </c>
      <c r="FA237" s="277">
        <f>SUMIF(отчёт!$B:$B,$B:$B,отчёт!$CU:$CU)/отчёт!$CU$281*'20Ф'!$I$1341</f>
        <v>0</v>
      </c>
      <c r="FB237" s="276">
        <f>SUMIF(Сальдо!$A:$A,$B:$B,Сальдо!$H:$H)-SUMIF(Сальдо!$A:$A,$B:$B,Сальдо!$I:$I)</f>
        <v>188682.19</v>
      </c>
    </row>
    <row r="238" spans="1:158" s="13" customFormat="1" ht="12" customHeight="1" x14ac:dyDescent="0.25">
      <c r="A238" s="3">
        <f t="shared" si="44"/>
        <v>234</v>
      </c>
      <c r="B238" s="4" t="s">
        <v>284</v>
      </c>
      <c r="C238" s="4" t="s">
        <v>284</v>
      </c>
      <c r="D238" s="5">
        <v>5793.4</v>
      </c>
      <c r="E238" s="6">
        <v>5727.7</v>
      </c>
      <c r="F238" s="6">
        <v>65.7</v>
      </c>
      <c r="G238" s="6">
        <v>1583.5</v>
      </c>
      <c r="H238" s="5">
        <f>SUMIF(отчёт!$B:$B,$B:$B,отчёт!I:I)</f>
        <v>0</v>
      </c>
      <c r="I238" s="5">
        <f>SUMIF(отчёт!$B:$B,$B:$B,отчёт!J:J)</f>
        <v>3</v>
      </c>
      <c r="J238" s="3" t="s">
        <v>279</v>
      </c>
      <c r="K238" s="105">
        <v>1</v>
      </c>
      <c r="L238" s="105" t="s">
        <v>75</v>
      </c>
      <c r="M238" s="12">
        <v>32.07</v>
      </c>
      <c r="N238" s="8">
        <v>4.03</v>
      </c>
      <c r="O238" s="8">
        <v>5.61</v>
      </c>
      <c r="P238" s="8">
        <v>7.92</v>
      </c>
      <c r="Q238" s="8">
        <v>5.4</v>
      </c>
      <c r="R238" s="8">
        <v>2.67</v>
      </c>
      <c r="S238" s="8">
        <v>1.54</v>
      </c>
      <c r="T238" s="8">
        <v>4.9000000000000004</v>
      </c>
      <c r="U238" s="8">
        <v>0</v>
      </c>
      <c r="V238" s="9">
        <v>40</v>
      </c>
      <c r="W238" s="9">
        <v>40</v>
      </c>
      <c r="X238" s="9">
        <v>2604.04</v>
      </c>
      <c r="Y238" s="8">
        <v>195.98199600000001</v>
      </c>
      <c r="Z238" s="9">
        <v>42.3</v>
      </c>
      <c r="AA238" s="9">
        <v>2604.04</v>
      </c>
      <c r="AB238" s="8">
        <v>0</v>
      </c>
      <c r="AC238" s="10">
        <v>0</v>
      </c>
      <c r="AD238" s="8">
        <v>4.71</v>
      </c>
      <c r="AE238" s="8">
        <v>10.67</v>
      </c>
      <c r="AF238" s="8">
        <v>14</v>
      </c>
      <c r="AG238" s="7">
        <v>1114766.0279999999</v>
      </c>
      <c r="AH238" s="8">
        <v>140084.41199999998</v>
      </c>
      <c r="AI238" s="8">
        <v>195005.84399999998</v>
      </c>
      <c r="AJ238" s="8">
        <v>275302.36799999996</v>
      </c>
      <c r="AK238" s="8">
        <v>187706.16</v>
      </c>
      <c r="AL238" s="8">
        <v>92810.267999999996</v>
      </c>
      <c r="AM238" s="8">
        <v>53531.015999999996</v>
      </c>
      <c r="AN238" s="8">
        <v>170325.96</v>
      </c>
      <c r="AO238" s="8">
        <v>0</v>
      </c>
      <c r="AQ238" s="104">
        <v>48.16</v>
      </c>
      <c r="AR238" s="375">
        <v>18.649999999999999</v>
      </c>
      <c r="AS238" s="376"/>
      <c r="AT238" s="104">
        <v>7.16</v>
      </c>
      <c r="AU238" s="104">
        <v>1.53</v>
      </c>
      <c r="AV238" s="104">
        <v>0.32</v>
      </c>
      <c r="AW238" s="104">
        <v>0.87</v>
      </c>
      <c r="AX238" s="104">
        <v>5.01</v>
      </c>
      <c r="AY238" s="104">
        <v>4.99</v>
      </c>
      <c r="AZ238" s="104">
        <v>2.7</v>
      </c>
      <c r="BA238" s="104">
        <v>6.46</v>
      </c>
      <c r="BB238" s="104">
        <v>0.47</v>
      </c>
      <c r="BC238" s="101">
        <v>0</v>
      </c>
      <c r="BD238" s="104">
        <v>54.565279999999994</v>
      </c>
      <c r="BE238" s="375">
        <v>21.130449999999996</v>
      </c>
      <c r="BF238" s="376">
        <v>0</v>
      </c>
      <c r="BG238" s="104">
        <v>8.1122800000000002</v>
      </c>
      <c r="BH238" s="104">
        <v>1.7334900000000002</v>
      </c>
      <c r="BI238" s="104">
        <v>0.36255999999999999</v>
      </c>
      <c r="BJ238" s="104">
        <v>0.98570999999999998</v>
      </c>
      <c r="BK238" s="104">
        <v>5.6763299999999992</v>
      </c>
      <c r="BL238" s="104">
        <v>5.6536700000000009</v>
      </c>
      <c r="BM238" s="104">
        <v>3.0591000000000004</v>
      </c>
      <c r="BN238" s="104">
        <v>7.3191800000000002</v>
      </c>
      <c r="BO238" s="104">
        <v>0.53250999999999993</v>
      </c>
      <c r="BP238" s="101">
        <v>0</v>
      </c>
      <c r="BQ238" s="103">
        <v>3719205.2195199993</v>
      </c>
      <c r="BR238" s="371">
        <v>1440265.3102999998</v>
      </c>
      <c r="BS238" s="371">
        <v>0</v>
      </c>
      <c r="BT238" s="103">
        <v>552938.31752000004</v>
      </c>
      <c r="BU238" s="103">
        <v>118155.81365999999</v>
      </c>
      <c r="BV238" s="103">
        <v>24712.32704</v>
      </c>
      <c r="BW238" s="103">
        <v>67186.639139999985</v>
      </c>
      <c r="BX238" s="103">
        <v>386902.37021999998</v>
      </c>
      <c r="BY238" s="103">
        <v>385357.84978000005</v>
      </c>
      <c r="BZ238" s="103">
        <v>208510.25940000004</v>
      </c>
      <c r="CA238" s="103">
        <v>498880.10212</v>
      </c>
      <c r="CB238" s="103">
        <v>36296.230339999987</v>
      </c>
      <c r="CC238" s="103">
        <v>0</v>
      </c>
      <c r="CD238" s="1">
        <v>1</v>
      </c>
      <c r="CF238" s="277">
        <f>SUMIF(Оборот!$A:$A,$B:$B,Оборот!H:H)</f>
        <v>2561958.6100000003</v>
      </c>
      <c r="CG238" s="277">
        <f>SUMIF(Оборот!$A:$A,$B:$B,Оборот!I:I)</f>
        <v>2787414.0599999996</v>
      </c>
      <c r="CH238" s="277">
        <f t="shared" si="38"/>
        <v>2299724.6648266688</v>
      </c>
      <c r="CI238" s="239">
        <f t="shared" si="42"/>
        <v>50954.89296923935</v>
      </c>
      <c r="CJ238" s="276">
        <f>SUMIF('20Ф'!$H:$H,$B:$B,'20Ф'!M:M)*1.2</f>
        <v>0</v>
      </c>
      <c r="CK238" s="276">
        <f>SUMIF('20Ф'!$H:$H,$B:$B,'20Ф'!O:O)*1.2</f>
        <v>0</v>
      </c>
      <c r="CL238" s="276">
        <f>SUMIF('20Ф'!$H:$H,$B:$B,'20Ф'!Q:Q)*1.2</f>
        <v>0</v>
      </c>
      <c r="CM238" s="276">
        <f>SUMIF('20Ф'!$H:$H,$B:$B,'20Ф'!R:R)*1.2</f>
        <v>0</v>
      </c>
      <c r="CN238" s="276">
        <f>SUMIF('20Ф'!$H:$H,$B:$B,'20Ф'!S:S)*1.2</f>
        <v>0</v>
      </c>
      <c r="CO238" s="276">
        <f>SUMIF('20Ф'!$H:$H,$B:$B,'20Ф'!W:W)*1.2</f>
        <v>0</v>
      </c>
      <c r="CP238" s="276">
        <f>SUMIF('20Ф'!$H:$H,$B:$B,'20Ф'!P:P)*1.2</f>
        <v>0</v>
      </c>
      <c r="CQ238" s="276">
        <f>SUMIF('20Ф'!$H:$H,$B:$B,'20Ф'!Y:Y)*1.2</f>
        <v>0</v>
      </c>
      <c r="CR238" s="276">
        <f>SUMIF('20Ф'!$H:$H,$B:$B,'20Ф'!Z:Z)*1.2</f>
        <v>0</v>
      </c>
      <c r="CS238" s="276">
        <f>SUMIF('20Ф'!$H:$H,$B:$B,'20Ф'!AB:AB)*1.2</f>
        <v>0</v>
      </c>
      <c r="CT238" s="276">
        <f>SUMIF('20Ф'!$H:$H,$B:$B,'20Ф'!AC:AC)*1.2</f>
        <v>0</v>
      </c>
      <c r="CU238" s="276">
        <f>SUMIF('20Ф'!$H:$H,$B:$B,'20Ф'!AD:AD)*1.2</f>
        <v>0</v>
      </c>
      <c r="CV238" s="276">
        <f>SUMIF('20Ф'!$H:$H,$B:$B,'20Ф'!AE:AE)*1.2</f>
        <v>0</v>
      </c>
      <c r="CW238" s="276">
        <f>SUMIF('20Ф'!$H:$H,$B:$B,'20Ф'!AF:AF)*1.2</f>
        <v>0</v>
      </c>
      <c r="CX238" s="276">
        <f>SUMIF('20Ф'!$H:$H,$B:$B,'20Ф'!AG:AG)*1.2</f>
        <v>0</v>
      </c>
      <c r="CY238" s="276">
        <f>SUMIF('20Ф'!$H:$H,$B:$B,'20Ф'!AH:AH)*1.2</f>
        <v>0</v>
      </c>
      <c r="CZ238" s="276">
        <f>SUMIF('20Ф'!$H:$H,$B:$B,'20Ф'!AI:AI)*1.2</f>
        <v>0</v>
      </c>
      <c r="DA238" s="276">
        <f>SUMIF('20Ф'!$H:$H,$B:$B,'20Ф'!AJ:AJ)*1.2</f>
        <v>0</v>
      </c>
      <c r="DB238" s="276">
        <f>SUMIF('20Ф'!$H:$H,$B:$B,'20Ф'!AK:AK)*1.2</f>
        <v>0</v>
      </c>
      <c r="DC238" s="276">
        <f>SUMIF('20Ф'!$H:$H,$B:$B,'20Ф'!AL:AL)*1.2</f>
        <v>0</v>
      </c>
      <c r="DD238" s="276">
        <f>SUMIF('20Ф'!$H:$H,$B:$B,'20Ф'!AM:AM)*1.2</f>
        <v>0</v>
      </c>
      <c r="DE238" s="276">
        <f>SUMIF('20Ф'!$H:$H,$B:$B,'20Ф'!AN:AN)*1.2</f>
        <v>0</v>
      </c>
      <c r="DF238" s="276">
        <f>SUMIF('20Ф'!$H:$H,$B:$B,'20Ф'!AO:AO)*1.2</f>
        <v>0</v>
      </c>
      <c r="DG238" s="276">
        <f>SUMIF('20Ф'!$H:$H,$B:$B,'20Ф'!AP:AP)*1.2</f>
        <v>0</v>
      </c>
      <c r="DH238" s="276">
        <f>SUMIF('20Ф'!$H:$H,$B:$B,'20Ф'!AQ:AQ)*1.2</f>
        <v>0</v>
      </c>
      <c r="DI238" s="276">
        <f>SUMIF('20Ф'!$H:$H,$B:$B,'20Ф'!BA:BA)*1.2</f>
        <v>0</v>
      </c>
      <c r="DJ238" s="276">
        <f>SUMIF('20Ф'!$H:$H,$B:$B,'20Ф'!BB:BB)*1.2</f>
        <v>0</v>
      </c>
      <c r="DK238" s="276">
        <f>SUMIF('20Ф'!$H:$H,$B:$B,'20Ф'!BC:BC)*1.2</f>
        <v>0</v>
      </c>
      <c r="DL238" s="276">
        <f>$D238/$D$281*'20Ф'!$H$218</f>
        <v>50954.89296923935</v>
      </c>
      <c r="DM238" s="240">
        <f t="shared" si="39"/>
        <v>644511.53447926883</v>
      </c>
      <c r="DN238" s="276">
        <f>SUMIF('20Ф'!$H:$H,$B:$B,'20Ф'!AV:AV)*1.2</f>
        <v>0</v>
      </c>
      <c r="DO238" s="276">
        <f>SUMIF('20Ф'!$H:$H,$B:$B,'20Ф'!AW:AW)*1.2+$D238/$D$281*'26Ф'!$D$42</f>
        <v>27115.556402651182</v>
      </c>
      <c r="DP238" s="276">
        <f>SUMIF('20Ф'!$H:$H,$B:$B,'20Ф'!AX:AX)*1.2</f>
        <v>0</v>
      </c>
      <c r="DQ238" s="276">
        <f>SUMIF('20Ф'!$H:$H,$B:$B,'20Ф'!AY:AY)*1.2</f>
        <v>0</v>
      </c>
      <c r="DR238" s="276">
        <f>SUMIF('20Ф'!$H:$H,$B:$B,'20Ф'!AU:AU)*1.2</f>
        <v>0</v>
      </c>
      <c r="DS238" s="276">
        <f>SUMIF('20Ф'!$H:$H,$B:$B,'20Ф'!AS:AS)*1.2</f>
        <v>139081.932</v>
      </c>
      <c r="DT238" s="276">
        <f>SUMIF('20Ф'!$H:$H,$B:$B,'20Ф'!AR:AR)*1.2</f>
        <v>0</v>
      </c>
      <c r="DU238" s="276">
        <f>SUMIF('20Ф'!$H:$H,$B:$B,'20Ф'!X:X)*1.2</f>
        <v>0</v>
      </c>
      <c r="DV238" s="276">
        <f>SUMIF('20Ф'!$H:$H,$B:$B,'20Ф'!AA:AA)*1.2</f>
        <v>0</v>
      </c>
      <c r="DW238" s="276">
        <f>SUMIF('20Ф'!$H:$H,$B:$B,'20Ф'!N:N)*1.2</f>
        <v>0</v>
      </c>
      <c r="DX238" s="276">
        <f>$D238/$D$281*('25Ф'!$D$37)</f>
        <v>455778.58093209815</v>
      </c>
      <c r="DY238" s="276">
        <f>$D238/$D$281*'25Ф'!$D$30</f>
        <v>14547.021532786919</v>
      </c>
      <c r="DZ238" s="276">
        <f>$D238/$D$281*'25Ф'!$D$31</f>
        <v>7988.4436117325577</v>
      </c>
      <c r="EA238" s="276"/>
      <c r="EB238" s="276">
        <f t="shared" si="40"/>
        <v>287147.6594588203</v>
      </c>
      <c r="EC238" s="276">
        <f>$D238/$D$281*'26Ф'!$D$36</f>
        <v>149469.60427015965</v>
      </c>
      <c r="ED238" s="276">
        <f>$D238/$D$281*'26Ф'!$D$37</f>
        <v>17958.613316410265</v>
      </c>
      <c r="EE238" s="276">
        <f>$D238/$D$281*'26Ф'!$D$38</f>
        <v>18142.796567491561</v>
      </c>
      <c r="EF238" s="276">
        <f>$D238/$D$281*'26Ф'!$D$39</f>
        <v>12727.155233593236</v>
      </c>
      <c r="EG238" s="276">
        <f>$D238/$D$281*'91Ф'!$D$10</f>
        <v>3926.3220964106131</v>
      </c>
      <c r="EH238" s="276">
        <f>$D238/$D$281*('20Ф'!$I$509+'26Ф'!$D$41+'20Ф'!$I$507)</f>
        <v>27777.435955437231</v>
      </c>
      <c r="EI238" s="276">
        <f>$D238/$D$281*'91Ф'!$D$31</f>
        <v>50920.120047797544</v>
      </c>
      <c r="EJ238" s="276">
        <f>$D238/$D$281*'20Ф'!$I$1316</f>
        <v>6225.6119715202594</v>
      </c>
      <c r="EK238" s="276">
        <f>$D238/$D$281*('20Ф'!$I$1105+'20Ф'!$I$1282+'91Ф'!$D$17+'91Ф'!$D$41)</f>
        <v>204456.03309994459</v>
      </c>
      <c r="EL238" s="276">
        <f>$D238/$D$281*отчёт!BX$294</f>
        <v>341788.13311963435</v>
      </c>
      <c r="EM238" s="276">
        <f>$D238/$D$281*отчёт!BY$294</f>
        <v>300584.31656170054</v>
      </c>
      <c r="EN238" s="276">
        <f>$D238/$D$283*отчёт!BZ$294</f>
        <v>53945.488734721359</v>
      </c>
      <c r="EO238" s="240">
        <f>SUBTOTAL(9,EP238:ER238)</f>
        <v>274993.682251497</v>
      </c>
      <c r="EP238" s="276">
        <f>SUMIF('20Ф'!$H:$H,$B:$B,'20Ф'!T:T)*1.2</f>
        <v>8198.5679999999993</v>
      </c>
      <c r="EQ238" s="276">
        <f>SUM(H238:I238)/SUM($H$284:$I$284)*SUM('60Ф'!$O$155:$P$155)</f>
        <v>258765.39263473055</v>
      </c>
      <c r="ER238" s="276">
        <f>SUM($H238:$I238)/SUM($H$284:$I$284)*SUM('60Ф'!$P$227)</f>
        <v>8029.7216167664674</v>
      </c>
      <c r="ES238" s="239">
        <f t="shared" si="43"/>
        <v>114396.6183306959</v>
      </c>
      <c r="ET238" s="276">
        <f>$D238/$D$282*'20Ф'!$I$381</f>
        <v>8743.4431450269185</v>
      </c>
      <c r="EU238" s="276">
        <f>$D238/$D$282*('20Ф'!$I$75+'20Ф'!$I$1098)*1.2</f>
        <v>100990.64977910748</v>
      </c>
      <c r="EV238" s="276">
        <f>$D238/$D$282*('20Ф'!$I$1286)</f>
        <v>4662.5254065615081</v>
      </c>
      <c r="EW238" s="276">
        <f>SUMIF('91.1Ф'!$N:$N,$B:$B,'91.1Ф'!$F:$F)+$D238/$D$281*('91Ф'!$D$12+'91Ф'!$D$11+'91Ф'!$D$19+'91Ф'!$D$20)</f>
        <v>26946.305821146099</v>
      </c>
      <c r="EX238" s="276">
        <f t="shared" si="41"/>
        <v>0</v>
      </c>
      <c r="EY238" s="276">
        <f>SUMIF('20Ф'!$H:$H,$B:$B,'20Ф'!$AY:$AY)*1.2</f>
        <v>0</v>
      </c>
      <c r="EZ238" s="238"/>
      <c r="FA238" s="277">
        <f>SUMIF(отчёт!$B:$B,$B:$B,отчёт!$CU:$CU)/отчёт!$CU$281*'20Ф'!$I$1341</f>
        <v>0</v>
      </c>
      <c r="FB238" s="276">
        <f>SUMIF(Сальдо!$A:$A,$B:$B,Сальдо!$H:$H)-SUMIF(Сальдо!$A:$A,$B:$B,Сальдо!$I:$I)</f>
        <v>375312.04000000004</v>
      </c>
    </row>
    <row r="239" spans="1:158" s="13" customFormat="1" ht="12" customHeight="1" x14ac:dyDescent="0.25">
      <c r="A239" s="3">
        <f t="shared" si="44"/>
        <v>235</v>
      </c>
      <c r="B239" s="4" t="s">
        <v>285</v>
      </c>
      <c r="C239" s="4" t="s">
        <v>285</v>
      </c>
      <c r="D239" s="5">
        <v>2479.9</v>
      </c>
      <c r="E239" s="6">
        <v>2479.9</v>
      </c>
      <c r="F239" s="6">
        <v>0</v>
      </c>
      <c r="G239" s="6">
        <v>255</v>
      </c>
      <c r="H239" s="5">
        <f>SUMIF(отчёт!$B:$B,$B:$B,отчёт!I:I)</f>
        <v>0</v>
      </c>
      <c r="I239" s="5">
        <f>SUMIF(отчёт!$B:$B,$B:$B,отчёт!J:J)</f>
        <v>0</v>
      </c>
      <c r="J239" s="3" t="s">
        <v>279</v>
      </c>
      <c r="K239" s="105">
        <v>7</v>
      </c>
      <c r="L239" s="105" t="s">
        <v>75</v>
      </c>
      <c r="M239" s="12">
        <v>23.45</v>
      </c>
      <c r="N239" s="8">
        <v>4.32</v>
      </c>
      <c r="O239" s="8">
        <v>4.8899999999999997</v>
      </c>
      <c r="P239" s="8">
        <v>7.16</v>
      </c>
      <c r="Q239" s="8">
        <v>4.1900000000000004</v>
      </c>
      <c r="R239" s="8">
        <v>2.67</v>
      </c>
      <c r="S239" s="8">
        <v>0</v>
      </c>
      <c r="T239" s="8">
        <v>0</v>
      </c>
      <c r="U239" s="8">
        <v>0.22</v>
      </c>
      <c r="V239" s="9">
        <v>40</v>
      </c>
      <c r="W239" s="9">
        <v>40</v>
      </c>
      <c r="X239" s="9">
        <v>2604.04</v>
      </c>
      <c r="Y239" s="8">
        <v>195.98199600000001</v>
      </c>
      <c r="Z239" s="9">
        <v>42.3</v>
      </c>
      <c r="AA239" s="9">
        <v>2604.04</v>
      </c>
      <c r="AB239" s="8">
        <v>7.85</v>
      </c>
      <c r="AC239" s="10">
        <v>0</v>
      </c>
      <c r="AD239" s="8">
        <v>4.71</v>
      </c>
      <c r="AE239" s="8">
        <v>10.67</v>
      </c>
      <c r="AF239" s="8">
        <v>14</v>
      </c>
      <c r="AG239" s="7">
        <v>348921.93</v>
      </c>
      <c r="AH239" s="8">
        <v>64279.008000000009</v>
      </c>
      <c r="AI239" s="8">
        <v>72760.266000000003</v>
      </c>
      <c r="AJ239" s="8">
        <v>106536.50400000002</v>
      </c>
      <c r="AK239" s="8">
        <v>62344.686000000002</v>
      </c>
      <c r="AL239" s="8">
        <v>39727.998</v>
      </c>
      <c r="AM239" s="8">
        <v>0</v>
      </c>
      <c r="AN239" s="8">
        <v>0</v>
      </c>
      <c r="AO239" s="8">
        <v>3273.4679999999998</v>
      </c>
      <c r="AQ239" s="104">
        <v>33.17</v>
      </c>
      <c r="AR239" s="375">
        <v>13.89</v>
      </c>
      <c r="AS239" s="376"/>
      <c r="AT239" s="104">
        <v>5.9</v>
      </c>
      <c r="AU239" s="104">
        <v>1.53</v>
      </c>
      <c r="AV239" s="104">
        <v>0.32</v>
      </c>
      <c r="AW239" s="104">
        <v>0.6</v>
      </c>
      <c r="AX239" s="104">
        <v>5.01</v>
      </c>
      <c r="AY239" s="104">
        <v>4.99</v>
      </c>
      <c r="AZ239" s="104">
        <v>0</v>
      </c>
      <c r="BA239" s="104">
        <v>0</v>
      </c>
      <c r="BB239" s="104">
        <v>0</v>
      </c>
      <c r="BC239" s="101">
        <v>0.93</v>
      </c>
      <c r="BD239" s="104">
        <v>37.581610000000005</v>
      </c>
      <c r="BE239" s="375">
        <v>15.737370000000004</v>
      </c>
      <c r="BF239" s="376">
        <v>0</v>
      </c>
      <c r="BG239" s="104">
        <v>6.6847000000000012</v>
      </c>
      <c r="BH239" s="104">
        <v>1.7334900000000002</v>
      </c>
      <c r="BI239" s="104">
        <v>0.36256000000000005</v>
      </c>
      <c r="BJ239" s="104">
        <v>0.67980000000000007</v>
      </c>
      <c r="BK239" s="104">
        <v>5.6763300000000001</v>
      </c>
      <c r="BL239" s="104">
        <v>5.65367</v>
      </c>
      <c r="BM239" s="104">
        <v>0</v>
      </c>
      <c r="BN239" s="104">
        <v>0</v>
      </c>
      <c r="BO239" s="104">
        <v>0</v>
      </c>
      <c r="BP239" s="101">
        <v>1.0536900000000002</v>
      </c>
      <c r="BQ239" s="103">
        <v>1096502.91239</v>
      </c>
      <c r="BR239" s="371">
        <v>459162.66063000011</v>
      </c>
      <c r="BS239" s="371">
        <v>0</v>
      </c>
      <c r="BT239" s="103">
        <v>195036.69530000002</v>
      </c>
      <c r="BU239" s="103">
        <v>50577.312510000003</v>
      </c>
      <c r="BV239" s="103">
        <v>10578.26144</v>
      </c>
      <c r="BW239" s="103">
        <v>19834.240200000004</v>
      </c>
      <c r="BX239" s="103">
        <v>165615.90567000001</v>
      </c>
      <c r="BY239" s="103">
        <v>164954.76433000001</v>
      </c>
      <c r="BZ239" s="103">
        <v>0</v>
      </c>
      <c r="CA239" s="103">
        <v>0</v>
      </c>
      <c r="CB239" s="103">
        <v>0</v>
      </c>
      <c r="CC239" s="103">
        <v>30743.072310000007</v>
      </c>
      <c r="CD239" s="1">
        <v>1</v>
      </c>
      <c r="CF239" s="277">
        <f>SUMIF(Оборот!$A:$A,$B:$B,Оборот!H:H)</f>
        <v>794039.32000000007</v>
      </c>
      <c r="CG239" s="277">
        <f>SUMIF(Оборот!$A:$A,$B:$B,Оборот!I:I)</f>
        <v>739555.8899999999</v>
      </c>
      <c r="CH239" s="277">
        <f t="shared" si="38"/>
        <v>967105.18608882686</v>
      </c>
      <c r="CI239" s="239">
        <f t="shared" si="42"/>
        <v>21811.550915596483</v>
      </c>
      <c r="CJ239" s="276">
        <f>SUMIF('20Ф'!$H:$H,$B:$B,'20Ф'!M:M)*1.2</f>
        <v>0</v>
      </c>
      <c r="CK239" s="276">
        <f>SUMIF('20Ф'!$H:$H,$B:$B,'20Ф'!O:O)*1.2</f>
        <v>0</v>
      </c>
      <c r="CL239" s="276">
        <f>SUMIF('20Ф'!$H:$H,$B:$B,'20Ф'!Q:Q)*1.2</f>
        <v>0</v>
      </c>
      <c r="CM239" s="276">
        <f>SUMIF('20Ф'!$H:$H,$B:$B,'20Ф'!R:R)*1.2</f>
        <v>0</v>
      </c>
      <c r="CN239" s="276">
        <f>SUMIF('20Ф'!$H:$H,$B:$B,'20Ф'!S:S)*1.2</f>
        <v>0</v>
      </c>
      <c r="CO239" s="276">
        <f>SUMIF('20Ф'!$H:$H,$B:$B,'20Ф'!W:W)*1.2</f>
        <v>0</v>
      </c>
      <c r="CP239" s="276">
        <f>SUMIF('20Ф'!$H:$H,$B:$B,'20Ф'!P:P)*1.2</f>
        <v>0</v>
      </c>
      <c r="CQ239" s="276">
        <f>SUMIF('20Ф'!$H:$H,$B:$B,'20Ф'!Y:Y)*1.2</f>
        <v>0</v>
      </c>
      <c r="CR239" s="276">
        <f>SUMIF('20Ф'!$H:$H,$B:$B,'20Ф'!Z:Z)*1.2</f>
        <v>0</v>
      </c>
      <c r="CS239" s="276">
        <f>SUMIF('20Ф'!$H:$H,$B:$B,'20Ф'!AB:AB)*1.2</f>
        <v>0</v>
      </c>
      <c r="CT239" s="276">
        <f>SUMIF('20Ф'!$H:$H,$B:$B,'20Ф'!AC:AC)*1.2</f>
        <v>0</v>
      </c>
      <c r="CU239" s="276">
        <f>SUMIF('20Ф'!$H:$H,$B:$B,'20Ф'!AD:AD)*1.2</f>
        <v>0</v>
      </c>
      <c r="CV239" s="276">
        <f>SUMIF('20Ф'!$H:$H,$B:$B,'20Ф'!AE:AE)*1.2</f>
        <v>0</v>
      </c>
      <c r="CW239" s="276">
        <f>SUMIF('20Ф'!$H:$H,$B:$B,'20Ф'!AF:AF)*1.2</f>
        <v>0</v>
      </c>
      <c r="CX239" s="276">
        <f>SUMIF('20Ф'!$H:$H,$B:$B,'20Ф'!AG:AG)*1.2</f>
        <v>0</v>
      </c>
      <c r="CY239" s="276">
        <f>SUMIF('20Ф'!$H:$H,$B:$B,'20Ф'!AH:AH)*1.2</f>
        <v>0</v>
      </c>
      <c r="CZ239" s="276">
        <f>SUMIF('20Ф'!$H:$H,$B:$B,'20Ф'!AI:AI)*1.2</f>
        <v>0</v>
      </c>
      <c r="DA239" s="276">
        <f>SUMIF('20Ф'!$H:$H,$B:$B,'20Ф'!AJ:AJ)*1.2</f>
        <v>0</v>
      </c>
      <c r="DB239" s="276">
        <f>SUMIF('20Ф'!$H:$H,$B:$B,'20Ф'!AK:AK)*1.2</f>
        <v>0</v>
      </c>
      <c r="DC239" s="276">
        <f>SUMIF('20Ф'!$H:$H,$B:$B,'20Ф'!AL:AL)*1.2</f>
        <v>0</v>
      </c>
      <c r="DD239" s="276">
        <f>SUMIF('20Ф'!$H:$H,$B:$B,'20Ф'!AM:AM)*1.2</f>
        <v>0</v>
      </c>
      <c r="DE239" s="276">
        <f>SUMIF('20Ф'!$H:$H,$B:$B,'20Ф'!AN:AN)*1.2</f>
        <v>0</v>
      </c>
      <c r="DF239" s="276">
        <f>SUMIF('20Ф'!$H:$H,$B:$B,'20Ф'!AO:AO)*1.2</f>
        <v>0</v>
      </c>
      <c r="DG239" s="276">
        <f>SUMIF('20Ф'!$H:$H,$B:$B,'20Ф'!AP:AP)*1.2</f>
        <v>0</v>
      </c>
      <c r="DH239" s="276">
        <f>SUMIF('20Ф'!$H:$H,$B:$B,'20Ф'!AQ:AQ)*1.2</f>
        <v>0</v>
      </c>
      <c r="DI239" s="276">
        <f>SUMIF('20Ф'!$H:$H,$B:$B,'20Ф'!BA:BA)*1.2</f>
        <v>0</v>
      </c>
      <c r="DJ239" s="276">
        <f>SUMIF('20Ф'!$H:$H,$B:$B,'20Ф'!BB:BB)*1.2</f>
        <v>0</v>
      </c>
      <c r="DK239" s="276">
        <f>SUMIF('20Ф'!$H:$H,$B:$B,'20Ф'!BC:BC)*1.2</f>
        <v>0</v>
      </c>
      <c r="DL239" s="276">
        <f>$D239/$D$281*'20Ф'!$H$218</f>
        <v>21811.550915596483</v>
      </c>
      <c r="DM239" s="240">
        <f t="shared" si="39"/>
        <v>354305.74216362386</v>
      </c>
      <c r="DN239" s="276">
        <f>SUMIF('20Ф'!$H:$H,$B:$B,'20Ф'!AV:AV)*1.2</f>
        <v>0</v>
      </c>
      <c r="DO239" s="276">
        <f>SUMIF('20Ф'!$H:$H,$B:$B,'20Ф'!AW:AW)*1.2+$D239/$D$281*'26Ф'!$D$42</f>
        <v>11606.9783413772</v>
      </c>
      <c r="DP239" s="276">
        <f>SUMIF('20Ф'!$H:$H,$B:$B,'20Ф'!AX:AX)*1.2</f>
        <v>0</v>
      </c>
      <c r="DQ239" s="276">
        <f>SUMIF('20Ф'!$H:$H,$B:$B,'20Ф'!AY:AY)*1.2</f>
        <v>43330.5</v>
      </c>
      <c r="DR239" s="276">
        <f>SUMIF('20Ф'!$H:$H,$B:$B,'20Ф'!AU:AU)*1.2</f>
        <v>0</v>
      </c>
      <c r="DS239" s="276">
        <f>SUMIF('20Ф'!$H:$H,$B:$B,'20Ф'!AS:AS)*1.2</f>
        <v>837.45600000000002</v>
      </c>
      <c r="DT239" s="276">
        <f>SUMIF('20Ф'!$H:$H,$B:$B,'20Ф'!AR:AR)*1.2</f>
        <v>0</v>
      </c>
      <c r="DU239" s="276">
        <f>SUMIF('20Ф'!$H:$H,$B:$B,'20Ф'!X:X)*1.2</f>
        <v>93785.579999999987</v>
      </c>
      <c r="DV239" s="276">
        <f>SUMIF('20Ф'!$H:$H,$B:$B,'20Ф'!AA:AA)*1.2</f>
        <v>0</v>
      </c>
      <c r="DW239" s="276">
        <f>SUMIF('20Ф'!$H:$H,$B:$B,'20Ф'!N:N)*1.2</f>
        <v>0</v>
      </c>
      <c r="DX239" s="276">
        <f>$D239/$D$281*('25Ф'!$D$37)</f>
        <v>195098.78531665521</v>
      </c>
      <c r="DY239" s="276">
        <f>$D239/$D$281*'25Ф'!$D$30</f>
        <v>6226.9407772911045</v>
      </c>
      <c r="DZ239" s="276">
        <f>$D239/$D$281*'25Ф'!$D$31</f>
        <v>3419.5017283004058</v>
      </c>
      <c r="EA239" s="276"/>
      <c r="EB239" s="276">
        <f t="shared" si="40"/>
        <v>122915.29683638774</v>
      </c>
      <c r="EC239" s="276">
        <f>$D239/$D$281*'26Ф'!$D$36</f>
        <v>63981.370461140083</v>
      </c>
      <c r="ED239" s="276">
        <f>$D239/$D$281*'26Ф'!$D$37</f>
        <v>7687.2933274701936</v>
      </c>
      <c r="EE239" s="276">
        <f>$D239/$D$281*'26Ф'!$D$38</f>
        <v>7766.1340849453391</v>
      </c>
      <c r="EF239" s="276">
        <f>$D239/$D$281*'26Ф'!$D$39</f>
        <v>5447.9359726219263</v>
      </c>
      <c r="EG239" s="276">
        <f>$D239/$D$281*'91Ф'!$D$10</f>
        <v>1680.6859817876687</v>
      </c>
      <c r="EH239" s="276">
        <f>$D239/$D$281*('20Ф'!$I$509+'26Ф'!$D$41+'20Ф'!$I$507)</f>
        <v>11890.299897450341</v>
      </c>
      <c r="EI239" s="276">
        <f>$D239/$D$281*'91Ф'!$D$31</f>
        <v>21796.666155717394</v>
      </c>
      <c r="EJ239" s="276">
        <f>$D239/$D$281*'20Ф'!$I$1316</f>
        <v>2664.9109552547884</v>
      </c>
      <c r="EK239" s="276">
        <f>$D239/$D$281*('20Ф'!$I$1105+'20Ф'!$I$1282+'91Ф'!$D$17+'91Ф'!$D$41)</f>
        <v>87518.644748257095</v>
      </c>
      <c r="EL239" s="276">
        <f>$D239/$D$281*отчёт!BX$294</f>
        <v>146304.48291562489</v>
      </c>
      <c r="EM239" s="276">
        <f>$D239/$D$281*отчёт!BY$294</f>
        <v>128666.93938643305</v>
      </c>
      <c r="EN239" s="276">
        <f>SUMIF(отчёт!$B:$B,$B:$B,отчёт!BZ:BZ)/отчёт!BZ$281*('60Ф'!$O$151+'60Ф'!$P$151)*отчёт!BZ$293</f>
        <v>0</v>
      </c>
      <c r="EO239" s="240">
        <f t="shared" si="45"/>
        <v>0</v>
      </c>
      <c r="EP239" s="276">
        <f>SUMIF('20Ф'!$H:$H,$B:$B,'20Ф'!T:T)*1.2</f>
        <v>0</v>
      </c>
      <c r="EQ239" s="276">
        <f>SUMIF('20Ф'!$H:$H,$B:$B,'20Ф'!U:U)*1.2</f>
        <v>0</v>
      </c>
      <c r="ER239" s="238"/>
      <c r="ES239" s="239">
        <f t="shared" si="43"/>
        <v>48968.166154295039</v>
      </c>
      <c r="ET239" s="276">
        <f>$D239/$D$282*'20Ф'!$I$381</f>
        <v>3742.6838566907618</v>
      </c>
      <c r="EU239" s="276">
        <f>$D239/$D$282*('20Ф'!$I$75+'20Ф'!$I$1098)*1.2</f>
        <v>43229.660024719291</v>
      </c>
      <c r="EV239" s="276">
        <f>$D239/$D$282*('20Ф'!$I$1286)</f>
        <v>1995.8222728849876</v>
      </c>
      <c r="EW239" s="276">
        <f>SUMIF('91.1Ф'!$N:$N,$B:$B,'91.1Ф'!$F:$F)+$D239/$D$281*('91Ф'!$D$12+'91Ф'!$D$11+'91Ф'!$D$19+'91Ф'!$D$20)</f>
        <v>11534.529603662826</v>
      </c>
      <c r="EX239" s="276">
        <f t="shared" si="41"/>
        <v>45079.833364945916</v>
      </c>
      <c r="EY239" s="276">
        <f>SUMIF('20Ф'!$H:$H,$B:$B,'20Ф'!$AY:$AY)*1.2</f>
        <v>43330.5</v>
      </c>
      <c r="EZ239" s="295">
        <f>D239/$D$286*'20Ф'!$I$1163</f>
        <v>1749.3333649459132</v>
      </c>
      <c r="FA239" s="277">
        <f>SUMIF(отчёт!$B:$B,$B:$B,отчёт!$CU:$CU)/отчёт!$CU$281*'20Ф'!$I$1341</f>
        <v>0</v>
      </c>
      <c r="FB239" s="276">
        <f>SUMIF(Сальдо!$A:$A,$B:$B,Сальдо!$H:$H)-SUMIF(Сальдо!$A:$A,$B:$B,Сальдо!$I:$I)</f>
        <v>180003.61</v>
      </c>
    </row>
    <row r="240" spans="1:158" s="13" customFormat="1" ht="12" customHeight="1" x14ac:dyDescent="0.25">
      <c r="A240" s="3">
        <f t="shared" si="44"/>
        <v>236</v>
      </c>
      <c r="B240" s="4" t="s">
        <v>286</v>
      </c>
      <c r="C240" s="4" t="s">
        <v>286</v>
      </c>
      <c r="D240" s="5">
        <v>2720.4</v>
      </c>
      <c r="E240" s="6">
        <v>2529.6</v>
      </c>
      <c r="F240" s="6">
        <v>190.8</v>
      </c>
      <c r="G240" s="6">
        <v>221.4</v>
      </c>
      <c r="H240" s="5">
        <f>SUMIF(отчёт!$B:$B,$B:$B,отчёт!I:I)</f>
        <v>0</v>
      </c>
      <c r="I240" s="5">
        <f>SUMIF(отчёт!$B:$B,$B:$B,отчёт!J:J)</f>
        <v>0</v>
      </c>
      <c r="J240" s="3" t="s">
        <v>279</v>
      </c>
      <c r="K240" s="105">
        <v>7</v>
      </c>
      <c r="L240" s="105" t="s">
        <v>75</v>
      </c>
      <c r="M240" s="12">
        <v>23.45</v>
      </c>
      <c r="N240" s="8">
        <v>4.32</v>
      </c>
      <c r="O240" s="8">
        <v>4.8899999999999997</v>
      </c>
      <c r="P240" s="8">
        <v>7.16</v>
      </c>
      <c r="Q240" s="8">
        <v>4.1900000000000004</v>
      </c>
      <c r="R240" s="8">
        <v>2.67</v>
      </c>
      <c r="S240" s="8">
        <v>0</v>
      </c>
      <c r="T240" s="8">
        <v>0</v>
      </c>
      <c r="U240" s="8">
        <v>0.22</v>
      </c>
      <c r="V240" s="9">
        <v>40</v>
      </c>
      <c r="W240" s="9">
        <v>40</v>
      </c>
      <c r="X240" s="9">
        <v>2604.04</v>
      </c>
      <c r="Y240" s="8">
        <v>195.98199600000001</v>
      </c>
      <c r="Z240" s="9">
        <v>42.3</v>
      </c>
      <c r="AA240" s="9">
        <v>2604.04</v>
      </c>
      <c r="AB240" s="8">
        <v>7.85</v>
      </c>
      <c r="AC240" s="10">
        <v>0</v>
      </c>
      <c r="AD240" s="8">
        <v>4.71</v>
      </c>
      <c r="AE240" s="8">
        <v>10.67</v>
      </c>
      <c r="AF240" s="8">
        <v>14</v>
      </c>
      <c r="AG240" s="7">
        <v>382760.27999999997</v>
      </c>
      <c r="AH240" s="8">
        <v>70512.768000000011</v>
      </c>
      <c r="AI240" s="8">
        <v>79816.535999999993</v>
      </c>
      <c r="AJ240" s="8">
        <v>116868.38400000002</v>
      </c>
      <c r="AK240" s="8">
        <v>68390.856</v>
      </c>
      <c r="AL240" s="8">
        <v>43580.807999999997</v>
      </c>
      <c r="AM240" s="8">
        <v>0</v>
      </c>
      <c r="AN240" s="8">
        <v>0</v>
      </c>
      <c r="AO240" s="8">
        <v>3590.9280000000003</v>
      </c>
      <c r="AQ240" s="104">
        <v>33.17</v>
      </c>
      <c r="AR240" s="375">
        <v>13.89</v>
      </c>
      <c r="AS240" s="376"/>
      <c r="AT240" s="104">
        <v>5.9</v>
      </c>
      <c r="AU240" s="104">
        <v>1.53</v>
      </c>
      <c r="AV240" s="104">
        <v>0.32</v>
      </c>
      <c r="AW240" s="104">
        <v>0.6</v>
      </c>
      <c r="AX240" s="104">
        <v>5.01</v>
      </c>
      <c r="AY240" s="104">
        <v>4.99</v>
      </c>
      <c r="AZ240" s="104">
        <v>0</v>
      </c>
      <c r="BA240" s="104">
        <v>0</v>
      </c>
      <c r="BB240" s="104">
        <v>0</v>
      </c>
      <c r="BC240" s="101">
        <v>0.93</v>
      </c>
      <c r="BD240" s="104">
        <v>37.581610000000005</v>
      </c>
      <c r="BE240" s="375">
        <v>15.737370000000004</v>
      </c>
      <c r="BF240" s="376">
        <v>0</v>
      </c>
      <c r="BG240" s="104">
        <v>6.6847000000000012</v>
      </c>
      <c r="BH240" s="104">
        <v>1.7334900000000002</v>
      </c>
      <c r="BI240" s="104">
        <v>0.36256000000000005</v>
      </c>
      <c r="BJ240" s="104">
        <v>0.67980000000000007</v>
      </c>
      <c r="BK240" s="104">
        <v>5.6763300000000001</v>
      </c>
      <c r="BL240" s="104">
        <v>5.65367</v>
      </c>
      <c r="BM240" s="104">
        <v>0</v>
      </c>
      <c r="BN240" s="104">
        <v>0</v>
      </c>
      <c r="BO240" s="104">
        <v>0</v>
      </c>
      <c r="BP240" s="101">
        <v>1.0536900000000002</v>
      </c>
      <c r="BQ240" s="103">
        <v>1202841.4544400002</v>
      </c>
      <c r="BR240" s="371">
        <v>503692.12548000016</v>
      </c>
      <c r="BS240" s="371">
        <v>0</v>
      </c>
      <c r="BT240" s="103">
        <v>213951.29880000002</v>
      </c>
      <c r="BU240" s="103">
        <v>55482.285960000001</v>
      </c>
      <c r="BV240" s="103">
        <v>11604.13824</v>
      </c>
      <c r="BW240" s="103">
        <v>21757.759200000004</v>
      </c>
      <c r="BX240" s="103">
        <v>181677.28932000001</v>
      </c>
      <c r="BY240" s="103">
        <v>180952.03068</v>
      </c>
      <c r="BZ240" s="103">
        <v>0</v>
      </c>
      <c r="CA240" s="103">
        <v>0</v>
      </c>
      <c r="CB240" s="103">
        <v>0</v>
      </c>
      <c r="CC240" s="103">
        <v>33724.526760000008</v>
      </c>
      <c r="CD240" s="1">
        <v>1</v>
      </c>
      <c r="CF240" s="277">
        <f>SUMIF(Оборот!$A:$A,$B:$B,Оборот!H:H)</f>
        <v>810181.36</v>
      </c>
      <c r="CG240" s="277">
        <f>SUMIF(Оборот!$A:$A,$B:$B,Оборот!I:I)</f>
        <v>777870.09</v>
      </c>
      <c r="CH240" s="277">
        <f t="shared" si="38"/>
        <v>2646643.4507773882</v>
      </c>
      <c r="CI240" s="239">
        <f t="shared" si="42"/>
        <v>1584160.5649490659</v>
      </c>
      <c r="CJ240" s="276">
        <f>SUMIF('20Ф'!$H:$H,$B:$B,'20Ф'!M:M)*1.2</f>
        <v>0</v>
      </c>
      <c r="CK240" s="276">
        <f>SUMIF('20Ф'!$H:$H,$B:$B,'20Ф'!O:O)*1.2</f>
        <v>0</v>
      </c>
      <c r="CL240" s="276">
        <f>SUMIF('20Ф'!$H:$H,$B:$B,'20Ф'!Q:Q)*1.2</f>
        <v>0</v>
      </c>
      <c r="CM240" s="276">
        <f>SUMIF('20Ф'!$H:$H,$B:$B,'20Ф'!R:R)*1.2</f>
        <v>0</v>
      </c>
      <c r="CN240" s="276">
        <f>SUMIF('20Ф'!$H:$H,$B:$B,'20Ф'!S:S)*1.2</f>
        <v>0</v>
      </c>
      <c r="CO240" s="276">
        <f>SUMIF('20Ф'!$H:$H,$B:$B,'20Ф'!W:W)*1.2</f>
        <v>0</v>
      </c>
      <c r="CP240" s="276">
        <f>SUMIF('20Ф'!$H:$H,$B:$B,'20Ф'!P:P)*1.2</f>
        <v>0</v>
      </c>
      <c r="CQ240" s="276">
        <f>SUMIF('20Ф'!$H:$H,$B:$B,'20Ф'!Y:Y)*1.2</f>
        <v>0</v>
      </c>
      <c r="CR240" s="276">
        <f>SUMIF('20Ф'!$H:$H,$B:$B,'20Ф'!Z:Z)*1.2</f>
        <v>0</v>
      </c>
      <c r="CS240" s="276">
        <f>SUMIF('20Ф'!$H:$H,$B:$B,'20Ф'!AB:AB)*1.2</f>
        <v>0</v>
      </c>
      <c r="CT240" s="276">
        <f>SUMIF('20Ф'!$H:$H,$B:$B,'20Ф'!AC:AC)*1.2</f>
        <v>0</v>
      </c>
      <c r="CU240" s="276">
        <f>SUMIF('20Ф'!$H:$H,$B:$B,'20Ф'!AD:AD)*1.2</f>
        <v>0</v>
      </c>
      <c r="CV240" s="276">
        <f>SUMIF('20Ф'!$H:$H,$B:$B,'20Ф'!AE:AE)*1.2</f>
        <v>0</v>
      </c>
      <c r="CW240" s="276">
        <f>SUMIF('20Ф'!$H:$H,$B:$B,'20Ф'!AF:AF)*1.2</f>
        <v>0</v>
      </c>
      <c r="CX240" s="276">
        <f>SUMIF('20Ф'!$H:$H,$B:$B,'20Ф'!AG:AG)*1.2</f>
        <v>0</v>
      </c>
      <c r="CY240" s="276">
        <f>SUMIF('20Ф'!$H:$H,$B:$B,'20Ф'!AH:AH)*1.2</f>
        <v>0</v>
      </c>
      <c r="CZ240" s="276">
        <f>SUMIF('20Ф'!$H:$H,$B:$B,'20Ф'!AI:AI)*1.2</f>
        <v>0</v>
      </c>
      <c r="DA240" s="276">
        <f>SUMIF('20Ф'!$H:$H,$B:$B,'20Ф'!AJ:AJ)*1.2</f>
        <v>0</v>
      </c>
      <c r="DB240" s="276">
        <f>SUMIF('20Ф'!$H:$H,$B:$B,'20Ф'!AK:AK)*1.2</f>
        <v>0</v>
      </c>
      <c r="DC240" s="276">
        <f>SUMIF('20Ф'!$H:$H,$B:$B,'20Ф'!AL:AL)*1.2</f>
        <v>1560233.736</v>
      </c>
      <c r="DD240" s="276">
        <f>SUMIF('20Ф'!$H:$H,$B:$B,'20Ф'!AM:AM)*1.2</f>
        <v>0</v>
      </c>
      <c r="DE240" s="276">
        <f>SUMIF('20Ф'!$H:$H,$B:$B,'20Ф'!AN:AN)*1.2</f>
        <v>0</v>
      </c>
      <c r="DF240" s="276">
        <f>SUMIF('20Ф'!$H:$H,$B:$B,'20Ф'!AO:AO)*1.2</f>
        <v>0</v>
      </c>
      <c r="DG240" s="276">
        <f>SUMIF('20Ф'!$H:$H,$B:$B,'20Ф'!AP:AP)*1.2</f>
        <v>0</v>
      </c>
      <c r="DH240" s="276">
        <f>SUMIF('20Ф'!$H:$H,$B:$B,'20Ф'!AQ:AQ)*1.2</f>
        <v>0</v>
      </c>
      <c r="DI240" s="276">
        <f>SUMIF('20Ф'!$H:$H,$B:$B,'20Ф'!BA:BA)*1.2</f>
        <v>0</v>
      </c>
      <c r="DJ240" s="276">
        <f>SUMIF('20Ф'!$H:$H,$B:$B,'20Ф'!BB:BB)*1.2</f>
        <v>0</v>
      </c>
      <c r="DK240" s="276">
        <f>SUMIF('20Ф'!$H:$H,$B:$B,'20Ф'!BC:BC)*1.2</f>
        <v>0</v>
      </c>
      <c r="DL240" s="276">
        <f>$D240/$D$281*'20Ф'!$H$218</f>
        <v>23926.828949065959</v>
      </c>
      <c r="DM240" s="240">
        <f t="shared" si="39"/>
        <v>418383.33387327014</v>
      </c>
      <c r="DN240" s="276">
        <f>SUMIF('20Ф'!$H:$H,$B:$B,'20Ф'!AV:AV)*1.2</f>
        <v>0</v>
      </c>
      <c r="DO240" s="276">
        <f>SUMIF('20Ф'!$H:$H,$B:$B,'20Ф'!AW:AW)*1.2+$D240/$D$281*'26Ф'!$D$42</f>
        <v>12732.619815267766</v>
      </c>
      <c r="DP240" s="276">
        <f>SUMIF('20Ф'!$H:$H,$B:$B,'20Ф'!AX:AX)*1.2</f>
        <v>0</v>
      </c>
      <c r="DQ240" s="276">
        <f>SUMIF('20Ф'!$H:$H,$B:$B,'20Ф'!AY:AY)*1.2</f>
        <v>43330.5</v>
      </c>
      <c r="DR240" s="276">
        <f>SUMIF('20Ф'!$H:$H,$B:$B,'20Ф'!AU:AU)*1.2</f>
        <v>0</v>
      </c>
      <c r="DS240" s="276">
        <f>SUMIF('20Ф'!$H:$H,$B:$B,'20Ф'!AS:AS)*1.2</f>
        <v>44104.02</v>
      </c>
      <c r="DT240" s="276">
        <f>SUMIF('20Ф'!$H:$H,$B:$B,'20Ф'!AR:AR)*1.2</f>
        <v>0</v>
      </c>
      <c r="DU240" s="276">
        <f>SUMIF('20Ф'!$H:$H,$B:$B,'20Ф'!X:X)*1.2</f>
        <v>93614.831999999995</v>
      </c>
      <c r="DV240" s="276">
        <f>SUMIF('20Ф'!$H:$H,$B:$B,'20Ф'!AA:AA)*1.2</f>
        <v>0</v>
      </c>
      <c r="DW240" s="276">
        <f>SUMIF('20Ф'!$H:$H,$B:$B,'20Ф'!N:N)*1.2</f>
        <v>0</v>
      </c>
      <c r="DX240" s="276">
        <f>$D240/$D$281*('25Ф'!$D$37)</f>
        <v>214019.41028889423</v>
      </c>
      <c r="DY240" s="276">
        <f>$D240/$D$281*'25Ф'!$D$30</f>
        <v>6830.8277311757411</v>
      </c>
      <c r="DZ240" s="276">
        <f>$D240/$D$281*'25Ф'!$D$31</f>
        <v>3751.1240379323453</v>
      </c>
      <c r="EA240" s="276"/>
      <c r="EB240" s="276">
        <f t="shared" si="40"/>
        <v>134835.58752921858</v>
      </c>
      <c r="EC240" s="276">
        <f>$D240/$D$281*'26Ф'!$D$36</f>
        <v>70186.265656875476</v>
      </c>
      <c r="ED240" s="276">
        <f>$D240/$D$281*'26Ф'!$D$37</f>
        <v>8432.8048582805404</v>
      </c>
      <c r="EE240" s="276">
        <f>$D240/$D$281*'26Ф'!$D$38</f>
        <v>8519.2915700977046</v>
      </c>
      <c r="EF240" s="276">
        <f>$D240/$D$281*'26Ф'!$D$39</f>
        <v>5976.275261067256</v>
      </c>
      <c r="EG240" s="276">
        <f>$D240/$D$281*'91Ф'!$D$10</f>
        <v>1843.6784325396886</v>
      </c>
      <c r="EH240" s="276">
        <f>$D240/$D$281*('20Ф'!$I$509+'26Ф'!$D$41+'20Ф'!$I$507)</f>
        <v>13043.417815647366</v>
      </c>
      <c r="EI240" s="276">
        <f>$D240/$D$281*'91Ф'!$D$31</f>
        <v>23910.500669387311</v>
      </c>
      <c r="EJ240" s="276">
        <f>$D240/$D$281*'20Ф'!$I$1316</f>
        <v>2923.3532653232496</v>
      </c>
      <c r="EK240" s="276">
        <f>$D240/$D$281*('20Ф'!$I$1105+'20Ф'!$I$1282+'91Ф'!$D$17+'91Ф'!$D$41)</f>
        <v>96006.178141521261</v>
      </c>
      <c r="EL240" s="276">
        <f>$D240/$D$281*отчёт!BX$294</f>
        <v>160493.05025350454</v>
      </c>
      <c r="EM240" s="276">
        <f>$D240/$D$281*отчёт!BY$294</f>
        <v>141145.02274561574</v>
      </c>
      <c r="EN240" s="276">
        <f>SUMIF(отчёт!$B:$B,$B:$B,отчёт!BZ:BZ)/отчёт!BZ$281*('60Ф'!$O$151+'60Ф'!$P$151)*отчёт!BZ$293</f>
        <v>0</v>
      </c>
      <c r="EO240" s="240">
        <f t="shared" si="45"/>
        <v>0</v>
      </c>
      <c r="EP240" s="276">
        <f>SUMIF('20Ф'!$H:$H,$B:$B,'20Ф'!T:T)*1.2</f>
        <v>0</v>
      </c>
      <c r="EQ240" s="276">
        <f>SUMIF('20Ф'!$H:$H,$B:$B,'20Ф'!U:U)*1.2</f>
        <v>0</v>
      </c>
      <c r="ER240" s="238"/>
      <c r="ES240" s="239">
        <f t="shared" si="43"/>
        <v>53717.085046229367</v>
      </c>
      <c r="ET240" s="276">
        <f>$D240/$D$282*'20Ф'!$I$381</f>
        <v>4105.6482776489165</v>
      </c>
      <c r="EU240" s="276">
        <f>$D240/$D$282*('20Ф'!$I$75+'20Ф'!$I$1098)*1.2</f>
        <v>47422.060216640326</v>
      </c>
      <c r="EV240" s="276">
        <f>$D240/$D$282*('20Ф'!$I$1286)</f>
        <v>2189.3765519401268</v>
      </c>
      <c r="EW240" s="276">
        <f>SUMIF('91.1Ф'!$N:$N,$B:$B,'91.1Ф'!$F:$F)+$D240/$D$281*('91Ф'!$D$12+'91Ф'!$D$11+'91Ф'!$D$19+'91Ф'!$D$20)</f>
        <v>12653.145019478345</v>
      </c>
      <c r="EX240" s="276">
        <f t="shared" si="41"/>
        <v>45249.483219484202</v>
      </c>
      <c r="EY240" s="276">
        <f>SUMIF('20Ф'!$H:$H,$B:$B,'20Ф'!$AY:$AY)*1.2</f>
        <v>43330.5</v>
      </c>
      <c r="EZ240" s="295">
        <f>D240/$D$286*'20Ф'!$I$1163</f>
        <v>1918.9832194841983</v>
      </c>
      <c r="FA240" s="277">
        <f>SUMIF(отчёт!$B:$B,$B:$B,отчёт!$CU:$CU)/отчёт!$CU$281*'20Ф'!$I$1341</f>
        <v>0</v>
      </c>
      <c r="FB240" s="276">
        <f>SUMIF(Сальдо!$A:$A,$B:$B,Сальдо!$H:$H)-SUMIF(Сальдо!$A:$A,$B:$B,Сальдо!$I:$I)</f>
        <v>156868.88</v>
      </c>
    </row>
    <row r="241" spans="1:158" s="13" customFormat="1" ht="12" customHeight="1" x14ac:dyDescent="0.25">
      <c r="A241" s="3">
        <f t="shared" si="44"/>
        <v>237</v>
      </c>
      <c r="B241" s="4" t="s">
        <v>287</v>
      </c>
      <c r="C241" s="4" t="s">
        <v>287</v>
      </c>
      <c r="D241" s="5">
        <v>2976.2999999999997</v>
      </c>
      <c r="E241" s="6">
        <v>2941.7</v>
      </c>
      <c r="F241" s="6">
        <v>34.6</v>
      </c>
      <c r="G241" s="6">
        <v>715</v>
      </c>
      <c r="H241" s="5">
        <f>SUMIF(отчёт!$B:$B,$B:$B,отчёт!I:I)</f>
        <v>1</v>
      </c>
      <c r="I241" s="5">
        <f>SUMIF(отчёт!$B:$B,$B:$B,отчёт!J:J)</f>
        <v>1</v>
      </c>
      <c r="J241" s="3" t="s">
        <v>279</v>
      </c>
      <c r="K241" s="105">
        <v>1</v>
      </c>
      <c r="L241" s="105" t="s">
        <v>75</v>
      </c>
      <c r="M241" s="12">
        <v>32.07</v>
      </c>
      <c r="N241" s="8">
        <v>4.03</v>
      </c>
      <c r="O241" s="8">
        <v>5.61</v>
      </c>
      <c r="P241" s="8">
        <v>7.92</v>
      </c>
      <c r="Q241" s="8">
        <v>5.4</v>
      </c>
      <c r="R241" s="8">
        <v>2.67</v>
      </c>
      <c r="S241" s="8">
        <v>1.54</v>
      </c>
      <c r="T241" s="8">
        <v>4.9000000000000004</v>
      </c>
      <c r="U241" s="8">
        <v>0</v>
      </c>
      <c r="V241" s="9">
        <v>40</v>
      </c>
      <c r="W241" s="9">
        <v>40</v>
      </c>
      <c r="X241" s="9">
        <v>2604.04</v>
      </c>
      <c r="Y241" s="8">
        <v>195.98199600000001</v>
      </c>
      <c r="Z241" s="9">
        <v>42.3</v>
      </c>
      <c r="AA241" s="9">
        <v>2604.04</v>
      </c>
      <c r="AB241" s="8">
        <v>0</v>
      </c>
      <c r="AC241" s="10">
        <v>0</v>
      </c>
      <c r="AD241" s="8">
        <v>4.71</v>
      </c>
      <c r="AE241" s="8">
        <v>10.67</v>
      </c>
      <c r="AF241" s="8">
        <v>14</v>
      </c>
      <c r="AG241" s="7">
        <v>572699.64599999995</v>
      </c>
      <c r="AH241" s="8">
        <v>71966.933999999994</v>
      </c>
      <c r="AI241" s="8">
        <v>100182.25799999999</v>
      </c>
      <c r="AJ241" s="8">
        <v>141433.77599999998</v>
      </c>
      <c r="AK241" s="8">
        <v>96432.12</v>
      </c>
      <c r="AL241" s="8">
        <v>47680.325999999994</v>
      </c>
      <c r="AM241" s="8">
        <v>27501.011999999995</v>
      </c>
      <c r="AN241" s="8">
        <v>87503.22</v>
      </c>
      <c r="AO241" s="8">
        <v>0</v>
      </c>
      <c r="AQ241" s="104">
        <v>48.16</v>
      </c>
      <c r="AR241" s="375">
        <v>18.649999999999999</v>
      </c>
      <c r="AS241" s="376"/>
      <c r="AT241" s="104">
        <v>7.16</v>
      </c>
      <c r="AU241" s="104">
        <v>1.53</v>
      </c>
      <c r="AV241" s="104">
        <v>0.32</v>
      </c>
      <c r="AW241" s="104">
        <v>0.87</v>
      </c>
      <c r="AX241" s="104">
        <v>5.01</v>
      </c>
      <c r="AY241" s="104">
        <v>4.99</v>
      </c>
      <c r="AZ241" s="104">
        <v>2.7</v>
      </c>
      <c r="BA241" s="104">
        <v>6.46</v>
      </c>
      <c r="BB241" s="104">
        <v>0.47</v>
      </c>
      <c r="BC241" s="101">
        <v>0</v>
      </c>
      <c r="BD241" s="104">
        <v>54.565279999999994</v>
      </c>
      <c r="BE241" s="375">
        <v>21.130449999999996</v>
      </c>
      <c r="BF241" s="376">
        <v>0</v>
      </c>
      <c r="BG241" s="104">
        <v>8.1122800000000002</v>
      </c>
      <c r="BH241" s="104">
        <v>1.7334900000000002</v>
      </c>
      <c r="BI241" s="104">
        <v>0.36255999999999999</v>
      </c>
      <c r="BJ241" s="104">
        <v>0.98570999999999998</v>
      </c>
      <c r="BK241" s="104">
        <v>5.6763299999999992</v>
      </c>
      <c r="BL241" s="104">
        <v>5.6536700000000009</v>
      </c>
      <c r="BM241" s="104">
        <v>3.0591000000000004</v>
      </c>
      <c r="BN241" s="104">
        <v>7.3191800000000002</v>
      </c>
      <c r="BO241" s="104">
        <v>0.53250999999999993</v>
      </c>
      <c r="BP241" s="101">
        <v>0</v>
      </c>
      <c r="BQ241" s="103">
        <v>1910703.6446400003</v>
      </c>
      <c r="BR241" s="371">
        <v>739921.57334999985</v>
      </c>
      <c r="BS241" s="371">
        <v>0</v>
      </c>
      <c r="BT241" s="103">
        <v>284066.40564000001</v>
      </c>
      <c r="BU241" s="103">
        <v>60701.340869999993</v>
      </c>
      <c r="BV241" s="103">
        <v>12695.705279999998</v>
      </c>
      <c r="BW241" s="103">
        <v>34516.448729999996</v>
      </c>
      <c r="BX241" s="103">
        <v>198767.13578999997</v>
      </c>
      <c r="BY241" s="103">
        <v>197973.65421000004</v>
      </c>
      <c r="BZ241" s="103">
        <v>107120.01330000001</v>
      </c>
      <c r="CA241" s="103">
        <v>256294.55033999999</v>
      </c>
      <c r="CB241" s="103">
        <v>18646.817129999996</v>
      </c>
      <c r="CC241" s="103">
        <v>0</v>
      </c>
      <c r="CD241" s="1">
        <v>1</v>
      </c>
      <c r="CF241" s="277">
        <f>SUMIF(Оборот!$A:$A,$B:$B,Оборот!H:H)</f>
        <v>1321412</v>
      </c>
      <c r="CG241" s="277">
        <f>SUMIF(Оборот!$A:$A,$B:$B,Оборот!I:I)</f>
        <v>1291350.28</v>
      </c>
      <c r="CH241" s="277">
        <f t="shared" si="38"/>
        <v>1187610.8244088038</v>
      </c>
      <c r="CI241" s="239">
        <f t="shared" si="42"/>
        <v>26177.555139356347</v>
      </c>
      <c r="CJ241" s="276">
        <f>SUMIF('20Ф'!$H:$H,$B:$B,'20Ф'!M:M)*1.2</f>
        <v>0</v>
      </c>
      <c r="CK241" s="276">
        <f>SUMIF('20Ф'!$H:$H,$B:$B,'20Ф'!O:O)*1.2</f>
        <v>0</v>
      </c>
      <c r="CL241" s="276">
        <f>SUMIF('20Ф'!$H:$H,$B:$B,'20Ф'!Q:Q)*1.2</f>
        <v>0</v>
      </c>
      <c r="CM241" s="276">
        <f>SUMIF('20Ф'!$H:$H,$B:$B,'20Ф'!R:R)*1.2</f>
        <v>0</v>
      </c>
      <c r="CN241" s="276">
        <f>SUMIF('20Ф'!$H:$H,$B:$B,'20Ф'!S:S)*1.2</f>
        <v>0</v>
      </c>
      <c r="CO241" s="276">
        <f>SUMIF('20Ф'!$H:$H,$B:$B,'20Ф'!W:W)*1.2</f>
        <v>0</v>
      </c>
      <c r="CP241" s="276">
        <f>SUMIF('20Ф'!$H:$H,$B:$B,'20Ф'!P:P)*1.2</f>
        <v>0</v>
      </c>
      <c r="CQ241" s="276">
        <f>SUMIF('20Ф'!$H:$H,$B:$B,'20Ф'!Y:Y)*1.2</f>
        <v>0</v>
      </c>
      <c r="CR241" s="276">
        <f>SUMIF('20Ф'!$H:$H,$B:$B,'20Ф'!Z:Z)*1.2</f>
        <v>0</v>
      </c>
      <c r="CS241" s="276">
        <f>SUMIF('20Ф'!$H:$H,$B:$B,'20Ф'!AB:AB)*1.2</f>
        <v>0</v>
      </c>
      <c r="CT241" s="276">
        <f>SUMIF('20Ф'!$H:$H,$B:$B,'20Ф'!AC:AC)*1.2</f>
        <v>0</v>
      </c>
      <c r="CU241" s="276">
        <f>SUMIF('20Ф'!$H:$H,$B:$B,'20Ф'!AD:AD)*1.2</f>
        <v>0</v>
      </c>
      <c r="CV241" s="276">
        <f>SUMIF('20Ф'!$H:$H,$B:$B,'20Ф'!AE:AE)*1.2</f>
        <v>0</v>
      </c>
      <c r="CW241" s="276">
        <f>SUMIF('20Ф'!$H:$H,$B:$B,'20Ф'!AF:AF)*1.2</f>
        <v>0</v>
      </c>
      <c r="CX241" s="276">
        <f>SUMIF('20Ф'!$H:$H,$B:$B,'20Ф'!AG:AG)*1.2</f>
        <v>0</v>
      </c>
      <c r="CY241" s="276">
        <f>SUMIF('20Ф'!$H:$H,$B:$B,'20Ф'!AH:AH)*1.2</f>
        <v>0</v>
      </c>
      <c r="CZ241" s="276">
        <f>SUMIF('20Ф'!$H:$H,$B:$B,'20Ф'!AI:AI)*1.2</f>
        <v>0</v>
      </c>
      <c r="DA241" s="276">
        <f>SUMIF('20Ф'!$H:$H,$B:$B,'20Ф'!AJ:AJ)*1.2</f>
        <v>0</v>
      </c>
      <c r="DB241" s="276">
        <f>SUMIF('20Ф'!$H:$H,$B:$B,'20Ф'!AK:AK)*1.2</f>
        <v>0</v>
      </c>
      <c r="DC241" s="276">
        <f>SUMIF('20Ф'!$H:$H,$B:$B,'20Ф'!AL:AL)*1.2</f>
        <v>0</v>
      </c>
      <c r="DD241" s="276">
        <f>SUMIF('20Ф'!$H:$H,$B:$B,'20Ф'!AM:AM)*1.2</f>
        <v>0</v>
      </c>
      <c r="DE241" s="276">
        <f>SUMIF('20Ф'!$H:$H,$B:$B,'20Ф'!AN:AN)*1.2</f>
        <v>0</v>
      </c>
      <c r="DF241" s="276">
        <f>SUMIF('20Ф'!$H:$H,$B:$B,'20Ф'!AO:AO)*1.2</f>
        <v>0</v>
      </c>
      <c r="DG241" s="276">
        <f>SUMIF('20Ф'!$H:$H,$B:$B,'20Ф'!AP:AP)*1.2</f>
        <v>0</v>
      </c>
      <c r="DH241" s="276">
        <f>SUMIF('20Ф'!$H:$H,$B:$B,'20Ф'!AQ:AQ)*1.2</f>
        <v>0</v>
      </c>
      <c r="DI241" s="276">
        <f>SUMIF('20Ф'!$H:$H,$B:$B,'20Ф'!BA:BA)*1.2</f>
        <v>0</v>
      </c>
      <c r="DJ241" s="276">
        <f>SUMIF('20Ф'!$H:$H,$B:$B,'20Ф'!BB:BB)*1.2</f>
        <v>0</v>
      </c>
      <c r="DK241" s="276">
        <f>SUMIF('20Ф'!$H:$H,$B:$B,'20Ф'!BC:BC)*1.2</f>
        <v>0</v>
      </c>
      <c r="DL241" s="276">
        <f>$D241/$D$281*'20Ф'!$H$218</f>
        <v>26177.555139356347</v>
      </c>
      <c r="DM241" s="240">
        <f t="shared" si="39"/>
        <v>295208.07716681878</v>
      </c>
      <c r="DN241" s="276">
        <f>SUMIF('20Ф'!$H:$H,$B:$B,'20Ф'!AV:AV)*1.2</f>
        <v>0</v>
      </c>
      <c r="DO241" s="276">
        <f>SUMIF('20Ф'!$H:$H,$B:$B,'20Ф'!AW:AW)*1.2+$D241/$D$281*'26Ф'!$D$42</f>
        <v>13930.33978686276</v>
      </c>
      <c r="DP241" s="276">
        <f>SUMIF('20Ф'!$H:$H,$B:$B,'20Ф'!AX:AX)*1.2</f>
        <v>0</v>
      </c>
      <c r="DQ241" s="276">
        <f>SUMIF('20Ф'!$H:$H,$B:$B,'20Ф'!AY:AY)*1.2</f>
        <v>0</v>
      </c>
      <c r="DR241" s="276">
        <f>SUMIF('20Ф'!$H:$H,$B:$B,'20Ф'!AU:AU)*1.2</f>
        <v>0</v>
      </c>
      <c r="DS241" s="276">
        <f>SUMIF('20Ф'!$H:$H,$B:$B,'20Ф'!AS:AS)*1.2</f>
        <v>35548.788</v>
      </c>
      <c r="DT241" s="276">
        <f>SUMIF('20Ф'!$H:$H,$B:$B,'20Ф'!AR:AR)*1.2</f>
        <v>0</v>
      </c>
      <c r="DU241" s="276">
        <f>SUMIF('20Ф'!$H:$H,$B:$B,'20Ф'!X:X)*1.2</f>
        <v>0</v>
      </c>
      <c r="DV241" s="276">
        <f>SUMIF('20Ф'!$H:$H,$B:$B,'20Ф'!AA:AA)*1.2</f>
        <v>0</v>
      </c>
      <c r="DW241" s="276">
        <f>SUMIF('20Ф'!$H:$H,$B:$B,'20Ф'!N:N)*1.2</f>
        <v>0</v>
      </c>
      <c r="DX241" s="276">
        <f>$D241/$D$281*('25Ф'!$D$37)</f>
        <v>234151.58463565499</v>
      </c>
      <c r="DY241" s="276">
        <f>$D241/$D$281*'25Ф'!$D$30</f>
        <v>7473.3835378247149</v>
      </c>
      <c r="DZ241" s="276">
        <f>$D241/$D$281*'25Ф'!$D$31</f>
        <v>4103.9812064762673</v>
      </c>
      <c r="EA241" s="276"/>
      <c r="EB241" s="276">
        <f t="shared" si="40"/>
        <v>147519.17334333673</v>
      </c>
      <c r="EC241" s="276">
        <f>$D241/$D$281*'26Ф'!$D$36</f>
        <v>76788.480544978098</v>
      </c>
      <c r="ED241" s="276">
        <f>$D241/$D$281*'26Ф'!$D$37</f>
        <v>9226.0539257831097</v>
      </c>
      <c r="EE241" s="276">
        <f>$D241/$D$281*'26Ф'!$D$38</f>
        <v>9320.6761873554606</v>
      </c>
      <c r="EF241" s="276">
        <f>$D241/$D$281*'26Ф'!$D$39</f>
        <v>6538.4458386687511</v>
      </c>
      <c r="EG241" s="276">
        <f>$D241/$D$281*'91Ф'!$D$10</f>
        <v>2017.1078219261412</v>
      </c>
      <c r="EH241" s="276">
        <f>$D241/$D$281*('20Ф'!$I$509+'26Ф'!$D$41+'20Ф'!$I$507)</f>
        <v>14270.373637961789</v>
      </c>
      <c r="EI241" s="276">
        <f>$D241/$D$281*'91Ф'!$D$31</f>
        <v>26159.690906593678</v>
      </c>
      <c r="EJ241" s="276">
        <f>$D241/$D$281*'20Ф'!$I$1316</f>
        <v>3198.3444800696907</v>
      </c>
      <c r="EK241" s="276">
        <f>$D241/$D$281*('20Ф'!$I$1105+'20Ф'!$I$1282+'91Ф'!$D$17+'91Ф'!$D$41)</f>
        <v>105037.19600154745</v>
      </c>
      <c r="EL241" s="276">
        <f>$D241/$D$281*отчёт!BX$294</f>
        <v>175590.1578699844</v>
      </c>
      <c r="EM241" s="276">
        <f>$D241/$D$281*отчёт!BY$294</f>
        <v>154422.11851116602</v>
      </c>
      <c r="EN241" s="276">
        <f>$D241/$D$283*отчёт!BZ$294</f>
        <v>27713.943128586179</v>
      </c>
      <c r="EO241" s="240">
        <f>SUBTOTAL(9,EP241:ER241)</f>
        <v>183329.12150099798</v>
      </c>
      <c r="EP241" s="276">
        <f>SUMIF('20Ф'!$H:$H,$B:$B,'20Ф'!T:T)*1.2</f>
        <v>5465.7120000000004</v>
      </c>
      <c r="EQ241" s="276">
        <f>SUM(H241:I241)/SUM($H$284:$I$284)*SUM('60Ф'!$O$155:$P$155)</f>
        <v>172510.26175648702</v>
      </c>
      <c r="ER241" s="276">
        <f>SUM($H241:$I241)/SUM($H$284:$I$284)*SUM('60Ф'!$P$227)</f>
        <v>5353.1477445109776</v>
      </c>
      <c r="ES241" s="239">
        <f t="shared" si="43"/>
        <v>58770.092715443476</v>
      </c>
      <c r="ET241" s="276">
        <f>$D241/$D$282*'20Ф'!$I$381</f>
        <v>4491.8544952089651</v>
      </c>
      <c r="EU241" s="276">
        <f>$D241/$D$282*('20Ф'!$I$75+'20Ф'!$I$1098)*1.2</f>
        <v>51882.91347698374</v>
      </c>
      <c r="EV241" s="276">
        <f>$D241/$D$282*('20Ф'!$I$1286)</f>
        <v>2395.324743250771</v>
      </c>
      <c r="EW241" s="276">
        <f>SUMIF('91.1Ф'!$N:$N,$B:$B,'91.1Ф'!$F:$F)+$D241/$D$281*('91Ф'!$D$12+'91Ф'!$D$11+'91Ф'!$D$19+'91Ф'!$D$20)</f>
        <v>13843.389031566459</v>
      </c>
      <c r="EX241" s="276">
        <f t="shared" si="41"/>
        <v>0</v>
      </c>
      <c r="EY241" s="276">
        <f>SUMIF('20Ф'!$H:$H,$B:$B,'20Ф'!$AY:$AY)*1.2</f>
        <v>0</v>
      </c>
      <c r="EZ241" s="238"/>
      <c r="FA241" s="277">
        <f>SUMIF(отчёт!$B:$B,$B:$B,отчёт!$CU:$CU)/отчёт!$CU$281*'20Ф'!$I$1341</f>
        <v>0</v>
      </c>
      <c r="FB241" s="276">
        <f>SUMIF(Сальдо!$A:$A,$B:$B,Сальдо!$H:$H)-SUMIF(Сальдо!$A:$A,$B:$B,Сальдо!$I:$I)</f>
        <v>297493.34999999998</v>
      </c>
    </row>
    <row r="242" spans="1:158" s="13" customFormat="1" ht="12" customHeight="1" x14ac:dyDescent="0.25">
      <c r="A242" s="3">
        <f t="shared" si="44"/>
        <v>238</v>
      </c>
      <c r="B242" s="4" t="s">
        <v>288</v>
      </c>
      <c r="C242" s="4" t="s">
        <v>288</v>
      </c>
      <c r="D242" s="5">
        <v>3103.2</v>
      </c>
      <c r="E242" s="6">
        <v>3103.2</v>
      </c>
      <c r="F242" s="6">
        <v>0</v>
      </c>
      <c r="G242" s="6">
        <v>314</v>
      </c>
      <c r="H242" s="5">
        <f>SUMIF(отчёт!$B:$B,$B:$B,отчёт!I:I)</f>
        <v>0</v>
      </c>
      <c r="I242" s="5">
        <f>SUMIF(отчёт!$B:$B,$B:$B,отчёт!J:J)</f>
        <v>0</v>
      </c>
      <c r="J242" s="3" t="s">
        <v>279</v>
      </c>
      <c r="K242" s="105">
        <v>7</v>
      </c>
      <c r="L242" s="105" t="s">
        <v>75</v>
      </c>
      <c r="M242" s="12">
        <v>23.45</v>
      </c>
      <c r="N242" s="8">
        <v>4.32</v>
      </c>
      <c r="O242" s="8">
        <v>4.8899999999999997</v>
      </c>
      <c r="P242" s="8">
        <v>7.16</v>
      </c>
      <c r="Q242" s="8">
        <v>4.1900000000000004</v>
      </c>
      <c r="R242" s="8">
        <v>2.67</v>
      </c>
      <c r="S242" s="8">
        <v>0</v>
      </c>
      <c r="T242" s="8">
        <v>0</v>
      </c>
      <c r="U242" s="8">
        <v>0.22</v>
      </c>
      <c r="V242" s="9">
        <v>40</v>
      </c>
      <c r="W242" s="9">
        <v>40</v>
      </c>
      <c r="X242" s="9">
        <v>2604.04</v>
      </c>
      <c r="Y242" s="8">
        <v>195.98199600000001</v>
      </c>
      <c r="Z242" s="9">
        <v>42.3</v>
      </c>
      <c r="AA242" s="9">
        <v>2604.04</v>
      </c>
      <c r="AB242" s="8">
        <v>7.85</v>
      </c>
      <c r="AC242" s="10">
        <v>0</v>
      </c>
      <c r="AD242" s="8">
        <v>4.71</v>
      </c>
      <c r="AE242" s="8">
        <v>10.67</v>
      </c>
      <c r="AF242" s="8">
        <v>14</v>
      </c>
      <c r="AG242" s="7">
        <v>436620.24</v>
      </c>
      <c r="AH242" s="8">
        <v>80434.944000000003</v>
      </c>
      <c r="AI242" s="8">
        <v>91047.887999999977</v>
      </c>
      <c r="AJ242" s="8">
        <v>133313.47200000001</v>
      </c>
      <c r="AK242" s="8">
        <v>78014.448000000004</v>
      </c>
      <c r="AL242" s="8">
        <v>49713.263999999996</v>
      </c>
      <c r="AM242" s="8">
        <v>0</v>
      </c>
      <c r="AN242" s="8">
        <v>0</v>
      </c>
      <c r="AO242" s="8">
        <v>4096.2240000000002</v>
      </c>
      <c r="AQ242" s="104">
        <v>33.17</v>
      </c>
      <c r="AR242" s="375">
        <v>13.89</v>
      </c>
      <c r="AS242" s="376"/>
      <c r="AT242" s="104">
        <v>5.9</v>
      </c>
      <c r="AU242" s="104">
        <v>1.53</v>
      </c>
      <c r="AV242" s="104">
        <v>0.32</v>
      </c>
      <c r="AW242" s="104">
        <v>0.6</v>
      </c>
      <c r="AX242" s="104">
        <v>5.01</v>
      </c>
      <c r="AY242" s="104">
        <v>4.99</v>
      </c>
      <c r="AZ242" s="104">
        <v>0</v>
      </c>
      <c r="BA242" s="104">
        <v>0</v>
      </c>
      <c r="BB242" s="104">
        <v>0</v>
      </c>
      <c r="BC242" s="101">
        <v>0.93</v>
      </c>
      <c r="BD242" s="104">
        <v>37.581610000000005</v>
      </c>
      <c r="BE242" s="375">
        <v>15.737370000000004</v>
      </c>
      <c r="BF242" s="376">
        <v>0</v>
      </c>
      <c r="BG242" s="104">
        <v>6.6847000000000012</v>
      </c>
      <c r="BH242" s="104">
        <v>1.7334900000000002</v>
      </c>
      <c r="BI242" s="104">
        <v>0.36256000000000005</v>
      </c>
      <c r="BJ242" s="104">
        <v>0.67980000000000007</v>
      </c>
      <c r="BK242" s="104">
        <v>5.6763300000000001</v>
      </c>
      <c r="BL242" s="104">
        <v>5.65367</v>
      </c>
      <c r="BM242" s="104">
        <v>0</v>
      </c>
      <c r="BN242" s="104">
        <v>0</v>
      </c>
      <c r="BO242" s="104">
        <v>0</v>
      </c>
      <c r="BP242" s="101">
        <v>1.0536900000000002</v>
      </c>
      <c r="BQ242" s="103">
        <v>1372098.8095200001</v>
      </c>
      <c r="BR242" s="371">
        <v>574568.96184000012</v>
      </c>
      <c r="BS242" s="371">
        <v>0</v>
      </c>
      <c r="BT242" s="103">
        <v>244057.37040000001</v>
      </c>
      <c r="BU242" s="103">
        <v>63289.453679999999</v>
      </c>
      <c r="BV242" s="103">
        <v>13237.009919999999</v>
      </c>
      <c r="BW242" s="103">
        <v>24819.393600000003</v>
      </c>
      <c r="BX242" s="103">
        <v>207241.93655999997</v>
      </c>
      <c r="BY242" s="103">
        <v>206414.62344</v>
      </c>
      <c r="BZ242" s="103">
        <v>0</v>
      </c>
      <c r="CA242" s="103">
        <v>0</v>
      </c>
      <c r="CB242" s="103">
        <v>0</v>
      </c>
      <c r="CC242" s="103">
        <v>38470.060080000003</v>
      </c>
      <c r="CD242" s="1">
        <v>1</v>
      </c>
      <c r="CF242" s="277">
        <f>SUMIF(Оборот!$A:$A,$B:$B,Оборот!H:H)</f>
        <v>993894.03999999992</v>
      </c>
      <c r="CG242" s="277">
        <f>SUMIF(Оборот!$A:$A,$B:$B,Оборот!I:I)</f>
        <v>971632.33000000007</v>
      </c>
      <c r="CH242" s="277">
        <f t="shared" si="38"/>
        <v>3533002.2227906152</v>
      </c>
      <c r="CI242" s="239">
        <f t="shared" si="42"/>
        <v>2334778.2791328998</v>
      </c>
      <c r="CJ242" s="276">
        <f>SUMIF('20Ф'!$H:$H,$B:$B,'20Ф'!M:M)*1.2</f>
        <v>281059.70400000003</v>
      </c>
      <c r="CK242" s="276">
        <f>SUMIF('20Ф'!$H:$H,$B:$B,'20Ф'!O:O)*1.2</f>
        <v>0</v>
      </c>
      <c r="CL242" s="276">
        <f>SUMIF('20Ф'!$H:$H,$B:$B,'20Ф'!Q:Q)*1.2</f>
        <v>0</v>
      </c>
      <c r="CM242" s="276">
        <f>SUMIF('20Ф'!$H:$H,$B:$B,'20Ф'!R:R)*1.2</f>
        <v>0</v>
      </c>
      <c r="CN242" s="276">
        <f>SUMIF('20Ф'!$H:$H,$B:$B,'20Ф'!S:S)*1.2</f>
        <v>0</v>
      </c>
      <c r="CO242" s="276">
        <f>SUMIF('20Ф'!$H:$H,$B:$B,'20Ф'!W:W)*1.2</f>
        <v>0</v>
      </c>
      <c r="CP242" s="276">
        <f>SUMIF('20Ф'!$H:$H,$B:$B,'20Ф'!P:P)*1.2</f>
        <v>0</v>
      </c>
      <c r="CQ242" s="276">
        <f>SUMIF('20Ф'!$H:$H,$B:$B,'20Ф'!Y:Y)*1.2</f>
        <v>0</v>
      </c>
      <c r="CR242" s="276">
        <f>SUMIF('20Ф'!$H:$H,$B:$B,'20Ф'!Z:Z)*1.2</f>
        <v>0</v>
      </c>
      <c r="CS242" s="276">
        <f>SUMIF('20Ф'!$H:$H,$B:$B,'20Ф'!AB:AB)*1.2</f>
        <v>0</v>
      </c>
      <c r="CT242" s="276">
        <f>SUMIF('20Ф'!$H:$H,$B:$B,'20Ф'!AC:AC)*1.2</f>
        <v>0</v>
      </c>
      <c r="CU242" s="276">
        <f>SUMIF('20Ф'!$H:$H,$B:$B,'20Ф'!AD:AD)*1.2</f>
        <v>0</v>
      </c>
      <c r="CV242" s="276">
        <f>SUMIF('20Ф'!$H:$H,$B:$B,'20Ф'!AE:AE)*1.2</f>
        <v>0</v>
      </c>
      <c r="CW242" s="276">
        <f>SUMIF('20Ф'!$H:$H,$B:$B,'20Ф'!AF:AF)*1.2</f>
        <v>0</v>
      </c>
      <c r="CX242" s="276">
        <f>SUMIF('20Ф'!$H:$H,$B:$B,'20Ф'!AG:AG)*1.2</f>
        <v>0</v>
      </c>
      <c r="CY242" s="276">
        <f>SUMIF('20Ф'!$H:$H,$B:$B,'20Ф'!AH:AH)*1.2</f>
        <v>0</v>
      </c>
      <c r="CZ242" s="276">
        <f>SUMIF('20Ф'!$H:$H,$B:$B,'20Ф'!AI:AI)*1.2</f>
        <v>0</v>
      </c>
      <c r="DA242" s="276">
        <f>SUMIF('20Ф'!$H:$H,$B:$B,'20Ф'!AJ:AJ)*1.2</f>
        <v>0</v>
      </c>
      <c r="DB242" s="276">
        <f>SUMIF('20Ф'!$H:$H,$B:$B,'20Ф'!AK:AK)*1.2</f>
        <v>0</v>
      </c>
      <c r="DC242" s="276">
        <f>SUMIF('20Ф'!$H:$H,$B:$B,'20Ф'!AL:AL)*1.2</f>
        <v>2026424.8919999998</v>
      </c>
      <c r="DD242" s="276">
        <f>SUMIF('20Ф'!$H:$H,$B:$B,'20Ф'!AM:AM)*1.2</f>
        <v>0</v>
      </c>
      <c r="DE242" s="276">
        <f>SUMIF('20Ф'!$H:$H,$B:$B,'20Ф'!AN:AN)*1.2</f>
        <v>0</v>
      </c>
      <c r="DF242" s="276">
        <f>SUMIF('20Ф'!$H:$H,$B:$B,'20Ф'!AO:AO)*1.2</f>
        <v>0</v>
      </c>
      <c r="DG242" s="276">
        <f>SUMIF('20Ф'!$H:$H,$B:$B,'20Ф'!AP:AP)*1.2</f>
        <v>0</v>
      </c>
      <c r="DH242" s="276">
        <f>SUMIF('20Ф'!$H:$H,$B:$B,'20Ф'!AQ:AQ)*1.2</f>
        <v>0</v>
      </c>
      <c r="DI242" s="276">
        <f>SUMIF('20Ф'!$H:$H,$B:$B,'20Ф'!BA:BA)*1.2</f>
        <v>0</v>
      </c>
      <c r="DJ242" s="276">
        <f>SUMIF('20Ф'!$H:$H,$B:$B,'20Ф'!BB:BB)*1.2</f>
        <v>0</v>
      </c>
      <c r="DK242" s="276">
        <f>SUMIF('20Ф'!$H:$H,$B:$B,'20Ф'!BC:BC)*1.2</f>
        <v>0</v>
      </c>
      <c r="DL242" s="276">
        <f>$D242/$D$281*'20Ф'!$H$218</f>
        <v>27293.683132900122</v>
      </c>
      <c r="DM242" s="240">
        <f t="shared" si="39"/>
        <v>464964.4143874179</v>
      </c>
      <c r="DN242" s="276">
        <f>SUMIF('20Ф'!$H:$H,$B:$B,'20Ф'!AV:AV)*1.2</f>
        <v>0</v>
      </c>
      <c r="DO242" s="276">
        <f>SUMIF('20Ф'!$H:$H,$B:$B,'20Ф'!AW:AW)*1.2+$D242/$D$281*'26Ф'!$D$42</f>
        <v>14524.285329634957</v>
      </c>
      <c r="DP242" s="276">
        <f>SUMIF('20Ф'!$H:$H,$B:$B,'20Ф'!AX:AX)*1.2</f>
        <v>0</v>
      </c>
      <c r="DQ242" s="276">
        <f>SUMIF('20Ф'!$H:$H,$B:$B,'20Ф'!AY:AY)*1.2</f>
        <v>47953.5</v>
      </c>
      <c r="DR242" s="276">
        <f>SUMIF('20Ф'!$H:$H,$B:$B,'20Ф'!AU:AU)*1.2</f>
        <v>0</v>
      </c>
      <c r="DS242" s="276">
        <f>SUMIF('20Ф'!$H:$H,$B:$B,'20Ф'!AS:AS)*1.2</f>
        <v>42653.7</v>
      </c>
      <c r="DT242" s="276">
        <f>SUMIF('20Ф'!$H:$H,$B:$B,'20Ф'!AR:AR)*1.2</f>
        <v>0</v>
      </c>
      <c r="DU242" s="276">
        <f>SUMIF('20Ф'!$H:$H,$B:$B,'20Ф'!X:X)*1.2</f>
        <v>103626.87599999999</v>
      </c>
      <c r="DV242" s="276">
        <f>SUMIF('20Ф'!$H:$H,$B:$B,'20Ф'!AA:AA)*1.2</f>
        <v>0</v>
      </c>
      <c r="DW242" s="276">
        <f>SUMIF('20Ф'!$H:$H,$B:$B,'20Ф'!N:N)*1.2</f>
        <v>0</v>
      </c>
      <c r="DX242" s="276">
        <f>$D242/$D$281*('25Ф'!$D$37)</f>
        <v>244135.06616986348</v>
      </c>
      <c r="DY242" s="276">
        <f>$D242/$D$281*'25Ф'!$D$30</f>
        <v>7792.0249284607262</v>
      </c>
      <c r="DZ242" s="276">
        <f>$D242/$D$281*'25Ф'!$D$31</f>
        <v>4278.9619594587766</v>
      </c>
      <c r="EA242" s="276"/>
      <c r="EB242" s="276">
        <f t="shared" si="40"/>
        <v>153808.92340121715</v>
      </c>
      <c r="EC242" s="276">
        <f>$D242/$D$281*'26Ф'!$D$36</f>
        <v>80062.498010004405</v>
      </c>
      <c r="ED242" s="276">
        <f>$D242/$D$281*'26Ф'!$D$37</f>
        <v>9619.4236274871982</v>
      </c>
      <c r="EE242" s="276">
        <f>$D242/$D$281*'26Ф'!$D$38</f>
        <v>9718.0802824317016</v>
      </c>
      <c r="EF242" s="276">
        <f>$D242/$D$281*'26Ф'!$D$39</f>
        <v>6817.2244486633981</v>
      </c>
      <c r="EG242" s="276">
        <f>$D242/$D$281*'91Ф'!$D$10</f>
        <v>2103.1109071670203</v>
      </c>
      <c r="EH242" s="276">
        <f>$D242/$D$281*('20Ф'!$I$509+'26Ф'!$D$41+'20Ф'!$I$507)</f>
        <v>14878.817146565545</v>
      </c>
      <c r="EI242" s="276">
        <f>$D242/$D$281*'91Ф'!$D$31</f>
        <v>27275.057225864839</v>
      </c>
      <c r="EJ242" s="276">
        <f>$D242/$D$281*'20Ф'!$I$1316</f>
        <v>3334.7117530330497</v>
      </c>
      <c r="EK242" s="276">
        <f>$D242/$D$281*('20Ф'!$I$1105+'20Ф'!$I$1282+'91Ф'!$D$17+'91Ф'!$D$41)</f>
        <v>109515.64917246316</v>
      </c>
      <c r="EL242" s="276">
        <f>$D242/$D$281*отчёт!BX$294</f>
        <v>183076.76575013797</v>
      </c>
      <c r="EM242" s="276">
        <f>$D242/$D$281*отчёт!BY$294</f>
        <v>161006.18827532523</v>
      </c>
      <c r="EN242" s="276">
        <f>SUMIF(отчёт!$B:$B,$B:$B,отчёт!BZ:BZ)/отчёт!BZ$281*('60Ф'!$O$151+'60Ф'!$P$151)*отчёт!BZ$293</f>
        <v>0</v>
      </c>
      <c r="EO242" s="240">
        <f t="shared" si="45"/>
        <v>0</v>
      </c>
      <c r="EP242" s="276">
        <f>SUMIF('20Ф'!$H:$H,$B:$B,'20Ф'!T:T)*1.2</f>
        <v>0</v>
      </c>
      <c r="EQ242" s="276">
        <f>SUMIF('20Ф'!$H:$H,$B:$B,'20Ф'!U:U)*1.2</f>
        <v>0</v>
      </c>
      <c r="ER242" s="238"/>
      <c r="ES242" s="239">
        <f t="shared" si="43"/>
        <v>61275.863224326924</v>
      </c>
      <c r="ET242" s="276">
        <f>$D242/$D$282*'20Ф'!$I$381</f>
        <v>4683.3729360388606</v>
      </c>
      <c r="EU242" s="276">
        <f>$D242/$D$282*('20Ф'!$I$75+'20Ф'!$I$1098)*1.2</f>
        <v>54095.036488853933</v>
      </c>
      <c r="EV242" s="276">
        <f>$D242/$D$282*('20Ф'!$I$1286)</f>
        <v>2497.4537994341276</v>
      </c>
      <c r="EW242" s="276">
        <f>SUMIF('91.1Ф'!$N:$N,$B:$B,'91.1Ф'!$F:$F)+$D242/$D$281*('91Ф'!$D$12+'91Ф'!$D$11+'91Ф'!$D$19+'91Ф'!$D$20)</f>
        <v>14433.627269682842</v>
      </c>
      <c r="EX242" s="276">
        <f t="shared" si="41"/>
        <v>50142.512177144301</v>
      </c>
      <c r="EY242" s="276">
        <f>SUMIF('20Ф'!$H:$H,$B:$B,'20Ф'!$AY:$AY)*1.2</f>
        <v>47953.5</v>
      </c>
      <c r="EZ242" s="295">
        <f>D242/$D$286*'20Ф'!$I$1163</f>
        <v>2189.0121771443032</v>
      </c>
      <c r="FA242" s="277">
        <f>SUMIF(отчёт!$B:$B,$B:$B,отчёт!$CU:$CU)/отчёт!$CU$281*'20Ф'!$I$1341</f>
        <v>0</v>
      </c>
      <c r="FB242" s="276">
        <f>SUMIF(Сальдо!$A:$A,$B:$B,Сальдо!$H:$H)-SUMIF(Сальдо!$A:$A,$B:$B,Сальдо!$I:$I)</f>
        <v>145545.13</v>
      </c>
    </row>
    <row r="243" spans="1:158" s="13" customFormat="1" ht="12" customHeight="1" x14ac:dyDescent="0.25">
      <c r="A243" s="3">
        <f t="shared" si="44"/>
        <v>239</v>
      </c>
      <c r="B243" s="4" t="s">
        <v>289</v>
      </c>
      <c r="C243" s="4" t="s">
        <v>289</v>
      </c>
      <c r="D243" s="5">
        <v>358.6</v>
      </c>
      <c r="E243" s="6">
        <v>358.6</v>
      </c>
      <c r="F243" s="6">
        <v>0</v>
      </c>
      <c r="G243" s="6">
        <v>0</v>
      </c>
      <c r="H243" s="5">
        <f>SUMIF(отчёт!$B:$B,$B:$B,отчёт!I:I)</f>
        <v>0</v>
      </c>
      <c r="I243" s="5">
        <f>SUMIF(отчёт!$B:$B,$B:$B,отчёт!J:J)</f>
        <v>0</v>
      </c>
      <c r="J243" s="3" t="s">
        <v>279</v>
      </c>
      <c r="K243" s="105">
        <v>9</v>
      </c>
      <c r="L243" s="105" t="s">
        <v>75</v>
      </c>
      <c r="M243" s="12">
        <v>19.37</v>
      </c>
      <c r="N243" s="8">
        <v>2.86</v>
      </c>
      <c r="O243" s="8">
        <v>3.7399999999999998</v>
      </c>
      <c r="P243" s="8">
        <v>6.5</v>
      </c>
      <c r="Q243" s="8">
        <v>4</v>
      </c>
      <c r="R243" s="8">
        <v>2.0499999999999998</v>
      </c>
      <c r="S243" s="8">
        <v>0</v>
      </c>
      <c r="T243" s="8">
        <v>0</v>
      </c>
      <c r="U243" s="8">
        <v>0.22</v>
      </c>
      <c r="V243" s="9">
        <v>40</v>
      </c>
      <c r="W243" s="9">
        <v>0</v>
      </c>
      <c r="X243" s="9">
        <v>0</v>
      </c>
      <c r="Y243" s="8">
        <v>0</v>
      </c>
      <c r="Z243" s="9">
        <v>0</v>
      </c>
      <c r="AA243" s="9">
        <v>0</v>
      </c>
      <c r="AB243" s="8">
        <v>7.85</v>
      </c>
      <c r="AC243" s="8">
        <v>6.87</v>
      </c>
      <c r="AD243" s="8">
        <v>4.71</v>
      </c>
      <c r="AE243" s="8">
        <v>10.67</v>
      </c>
      <c r="AF243" s="8">
        <v>14</v>
      </c>
      <c r="AG243" s="7">
        <v>41676.492000000006</v>
      </c>
      <c r="AH243" s="8">
        <v>6153.576</v>
      </c>
      <c r="AI243" s="8">
        <v>8046.9840000000004</v>
      </c>
      <c r="AJ243" s="8">
        <v>13985.400000000001</v>
      </c>
      <c r="AK243" s="8">
        <v>8606.4000000000015</v>
      </c>
      <c r="AL243" s="8">
        <v>4410.78</v>
      </c>
      <c r="AM243" s="8">
        <v>0</v>
      </c>
      <c r="AN243" s="8">
        <v>0</v>
      </c>
      <c r="AO243" s="8">
        <v>473.35200000000009</v>
      </c>
      <c r="AQ243" s="104">
        <v>26.91</v>
      </c>
      <c r="AR243" s="375">
        <v>7.81</v>
      </c>
      <c r="AS243" s="376"/>
      <c r="AT243" s="104">
        <v>8.4499999999999993</v>
      </c>
      <c r="AU243" s="104">
        <v>1.53</v>
      </c>
      <c r="AV243" s="104">
        <v>0.18</v>
      </c>
      <c r="AW243" s="104">
        <v>0.48</v>
      </c>
      <c r="AX243" s="104">
        <v>4.93</v>
      </c>
      <c r="AY243" s="104">
        <v>2.6</v>
      </c>
      <c r="AZ243" s="104">
        <v>0</v>
      </c>
      <c r="BA243" s="104">
        <v>0</v>
      </c>
      <c r="BB243" s="104">
        <v>0</v>
      </c>
      <c r="BC243" s="101">
        <v>0.93</v>
      </c>
      <c r="BD243" s="104">
        <v>30.48903</v>
      </c>
      <c r="BE243" s="375">
        <v>8.8487299999999998</v>
      </c>
      <c r="BF243" s="376">
        <v>0</v>
      </c>
      <c r="BG243" s="104">
        <v>9.5738499999999984</v>
      </c>
      <c r="BH243" s="104">
        <v>1.73349</v>
      </c>
      <c r="BI243" s="104">
        <v>0.20393999999999998</v>
      </c>
      <c r="BJ243" s="104">
        <v>0.54383999999999999</v>
      </c>
      <c r="BK243" s="104">
        <v>5.5856899999999996</v>
      </c>
      <c r="BL243" s="104">
        <v>2.9458000000000002</v>
      </c>
      <c r="BM243" s="104">
        <v>0</v>
      </c>
      <c r="BN243" s="104">
        <v>0</v>
      </c>
      <c r="BO243" s="104">
        <v>0</v>
      </c>
      <c r="BP243" s="101">
        <v>1.05369</v>
      </c>
      <c r="BQ243" s="103">
        <v>128633.51358000001</v>
      </c>
      <c r="BR243" s="371">
        <v>37332.877780000003</v>
      </c>
      <c r="BS243" s="371">
        <v>0</v>
      </c>
      <c r="BT243" s="103">
        <v>40392.166100000002</v>
      </c>
      <c r="BU243" s="103">
        <v>7313.61114</v>
      </c>
      <c r="BV243" s="103">
        <v>860.4248399999999</v>
      </c>
      <c r="BW243" s="103">
        <v>2294.4662400000002</v>
      </c>
      <c r="BX243" s="103">
        <v>23566.08034</v>
      </c>
      <c r="BY243" s="103">
        <v>12428.358800000002</v>
      </c>
      <c r="BZ243" s="103">
        <v>0</v>
      </c>
      <c r="CA243" s="103">
        <v>0</v>
      </c>
      <c r="CB243" s="103">
        <v>0</v>
      </c>
      <c r="CC243" s="103">
        <v>4445.5283399999998</v>
      </c>
      <c r="CD243" s="1">
        <v>1</v>
      </c>
      <c r="CF243" s="277">
        <f>SUMIF(Оборот!$A:$A,$B:$B,Оборот!H:H)</f>
        <v>107296.62999999992</v>
      </c>
      <c r="CG243" s="277">
        <f>SUMIF(Оборот!$A:$A,$B:$B,Оборот!I:I)</f>
        <v>12368.760000000002</v>
      </c>
      <c r="CH243" s="277">
        <f t="shared" si="38"/>
        <v>140825.77732273613</v>
      </c>
      <c r="CI243" s="239">
        <f t="shared" si="42"/>
        <v>3154.0070802584373</v>
      </c>
      <c r="CJ243" s="276">
        <f>SUMIF('20Ф'!$H:$H,$B:$B,'20Ф'!M:M)*1.2</f>
        <v>0</v>
      </c>
      <c r="CK243" s="276">
        <f>SUMIF('20Ф'!$H:$H,$B:$B,'20Ф'!O:O)*1.2</f>
        <v>0</v>
      </c>
      <c r="CL243" s="276">
        <f>SUMIF('20Ф'!$H:$H,$B:$B,'20Ф'!Q:Q)*1.2</f>
        <v>0</v>
      </c>
      <c r="CM243" s="276">
        <f>SUMIF('20Ф'!$H:$H,$B:$B,'20Ф'!R:R)*1.2</f>
        <v>0</v>
      </c>
      <c r="CN243" s="276">
        <f>SUMIF('20Ф'!$H:$H,$B:$B,'20Ф'!S:S)*1.2</f>
        <v>0</v>
      </c>
      <c r="CO243" s="276">
        <f>SUMIF('20Ф'!$H:$H,$B:$B,'20Ф'!W:W)*1.2</f>
        <v>0</v>
      </c>
      <c r="CP243" s="276">
        <f>SUMIF('20Ф'!$H:$H,$B:$B,'20Ф'!P:P)*1.2</f>
        <v>0</v>
      </c>
      <c r="CQ243" s="276">
        <f>SUMIF('20Ф'!$H:$H,$B:$B,'20Ф'!Y:Y)*1.2</f>
        <v>0</v>
      </c>
      <c r="CR243" s="276">
        <f>SUMIF('20Ф'!$H:$H,$B:$B,'20Ф'!Z:Z)*1.2</f>
        <v>0</v>
      </c>
      <c r="CS243" s="276">
        <f>SUMIF('20Ф'!$H:$H,$B:$B,'20Ф'!AB:AB)*1.2</f>
        <v>0</v>
      </c>
      <c r="CT243" s="276">
        <f>SUMIF('20Ф'!$H:$H,$B:$B,'20Ф'!AC:AC)*1.2</f>
        <v>0</v>
      </c>
      <c r="CU243" s="276">
        <f>SUMIF('20Ф'!$H:$H,$B:$B,'20Ф'!AD:AD)*1.2</f>
        <v>0</v>
      </c>
      <c r="CV243" s="276">
        <f>SUMIF('20Ф'!$H:$H,$B:$B,'20Ф'!AE:AE)*1.2</f>
        <v>0</v>
      </c>
      <c r="CW243" s="276">
        <f>SUMIF('20Ф'!$H:$H,$B:$B,'20Ф'!AF:AF)*1.2</f>
        <v>0</v>
      </c>
      <c r="CX243" s="276">
        <f>SUMIF('20Ф'!$H:$H,$B:$B,'20Ф'!AG:AG)*1.2</f>
        <v>0</v>
      </c>
      <c r="CY243" s="276">
        <f>SUMIF('20Ф'!$H:$H,$B:$B,'20Ф'!AH:AH)*1.2</f>
        <v>0</v>
      </c>
      <c r="CZ243" s="276">
        <f>SUMIF('20Ф'!$H:$H,$B:$B,'20Ф'!AI:AI)*1.2</f>
        <v>0</v>
      </c>
      <c r="DA243" s="276">
        <f>SUMIF('20Ф'!$H:$H,$B:$B,'20Ф'!AJ:AJ)*1.2</f>
        <v>0</v>
      </c>
      <c r="DB243" s="276">
        <f>SUMIF('20Ф'!$H:$H,$B:$B,'20Ф'!AK:AK)*1.2</f>
        <v>0</v>
      </c>
      <c r="DC243" s="276">
        <f>SUMIF('20Ф'!$H:$H,$B:$B,'20Ф'!AL:AL)*1.2</f>
        <v>0</v>
      </c>
      <c r="DD243" s="276">
        <f>SUMIF('20Ф'!$H:$H,$B:$B,'20Ф'!AM:AM)*1.2</f>
        <v>0</v>
      </c>
      <c r="DE243" s="276">
        <f>SUMIF('20Ф'!$H:$H,$B:$B,'20Ф'!AN:AN)*1.2</f>
        <v>0</v>
      </c>
      <c r="DF243" s="276">
        <f>SUMIF('20Ф'!$H:$H,$B:$B,'20Ф'!AO:AO)*1.2</f>
        <v>0</v>
      </c>
      <c r="DG243" s="276">
        <f>SUMIF('20Ф'!$H:$H,$B:$B,'20Ф'!AP:AP)*1.2</f>
        <v>0</v>
      </c>
      <c r="DH243" s="276">
        <f>SUMIF('20Ф'!$H:$H,$B:$B,'20Ф'!AQ:AQ)*1.2</f>
        <v>0</v>
      </c>
      <c r="DI243" s="276">
        <f>SUMIF('20Ф'!$H:$H,$B:$B,'20Ф'!BA:BA)*1.2</f>
        <v>0</v>
      </c>
      <c r="DJ243" s="276">
        <f>SUMIF('20Ф'!$H:$H,$B:$B,'20Ф'!BB:BB)*1.2</f>
        <v>0</v>
      </c>
      <c r="DK243" s="276">
        <f>SUMIF('20Ф'!$H:$H,$B:$B,'20Ф'!BC:BC)*1.2</f>
        <v>0</v>
      </c>
      <c r="DL243" s="276">
        <f>$D243/$D$281*'20Ф'!$H$218</f>
        <v>3154.0070802584373</v>
      </c>
      <c r="DM243" s="240">
        <f t="shared" si="39"/>
        <v>44882.088596586771</v>
      </c>
      <c r="DN243" s="276">
        <f>SUMIF('20Ф'!$H:$H,$B:$B,'20Ф'!AV:AV)*1.2</f>
        <v>0</v>
      </c>
      <c r="DO243" s="276">
        <f>SUMIF('20Ф'!$H:$H,$B:$B,'20Ф'!AW:AW)*1.2+$D243/$D$281*'26Ф'!$D$42</f>
        <v>1678.3993036888037</v>
      </c>
      <c r="DP243" s="276">
        <f>SUMIF('20Ф'!$H:$H,$B:$B,'20Ф'!AX:AX)*1.2</f>
        <v>0</v>
      </c>
      <c r="DQ243" s="276">
        <f>SUMIF('20Ф'!$H:$H,$B:$B,'20Ф'!AY:AY)*1.2</f>
        <v>13596.995999999999</v>
      </c>
      <c r="DR243" s="276">
        <f>SUMIF('20Ф'!$H:$H,$B:$B,'20Ф'!AU:AU)*1.2</f>
        <v>0</v>
      </c>
      <c r="DS243" s="276">
        <f>SUMIF('20Ф'!$H:$H,$B:$B,'20Ф'!AS:AS)*1.2</f>
        <v>0</v>
      </c>
      <c r="DT243" s="276">
        <f>SUMIF('20Ф'!$H:$H,$B:$B,'20Ф'!AR:AR)*1.2</f>
        <v>0</v>
      </c>
      <c r="DU243" s="276">
        <f>SUMIF('20Ф'!$H:$H,$B:$B,'20Ф'!X:X)*1.2</f>
        <v>0</v>
      </c>
      <c r="DV243" s="276">
        <f>SUMIF('20Ф'!$H:$H,$B:$B,'20Ф'!AA:AA)*1.2</f>
        <v>0</v>
      </c>
      <c r="DW243" s="276">
        <f>SUMIF('20Ф'!$H:$H,$B:$B,'20Ф'!N:N)*1.2</f>
        <v>0</v>
      </c>
      <c r="DX243" s="276">
        <f>$D243/$D$281*('25Ф'!$D$37)</f>
        <v>28211.792578149343</v>
      </c>
      <c r="DY243" s="276">
        <f>$D243/$D$281*'25Ф'!$D$30</f>
        <v>900.431857226739</v>
      </c>
      <c r="DZ243" s="276">
        <f>$D243/$D$281*'25Ф'!$D$31</f>
        <v>494.46885752188621</v>
      </c>
      <c r="EA243" s="276"/>
      <c r="EB243" s="276">
        <f t="shared" si="40"/>
        <v>17773.872109975662</v>
      </c>
      <c r="EC243" s="276">
        <f>$D243/$D$281*'26Ф'!$D$36</f>
        <v>9251.8728365518109</v>
      </c>
      <c r="ED243" s="276">
        <f>$D243/$D$281*'26Ф'!$D$37</f>
        <v>1111.6026401188803</v>
      </c>
      <c r="EE243" s="276">
        <f>$D243/$D$281*'26Ф'!$D$38</f>
        <v>1123.0032190255247</v>
      </c>
      <c r="EF243" s="276">
        <f>$D243/$D$281*'26Ф'!$D$39</f>
        <v>787.78573320788053</v>
      </c>
      <c r="EG243" s="276">
        <f>$D243/$D$281*'91Ф'!$D$10</f>
        <v>243.03157105893706</v>
      </c>
      <c r="EH243" s="276">
        <f>$D243/$D$281*('20Ф'!$I$509+'26Ф'!$D$41+'20Ф'!$I$507)</f>
        <v>1719.3683387336957</v>
      </c>
      <c r="EI243" s="276">
        <f>$D243/$D$281*'91Ф'!$D$31</f>
        <v>3151.8547052059589</v>
      </c>
      <c r="EJ243" s="276">
        <f>$D243/$D$281*'20Ф'!$I$1316</f>
        <v>385.35306607297355</v>
      </c>
      <c r="EK243" s="276">
        <f>$D243/$D$281*('20Ф'!$I$1105+'20Ф'!$I$1282+'91Ф'!$D$17+'91Ф'!$D$41)</f>
        <v>12655.424011744422</v>
      </c>
      <c r="EL243" s="276">
        <f>$D243/$D$281*отчёт!BX$294</f>
        <v>21156.009344547394</v>
      </c>
      <c r="EM243" s="276">
        <f>$D243/$D$281*отчёт!BY$294</f>
        <v>18605.574605417514</v>
      </c>
      <c r="EN243" s="276">
        <f>SUMIF(отчёт!$B:$B,$B:$B,отчёт!BZ:BZ)/отчёт!BZ$281*('60Ф'!$O$151+'60Ф'!$P$151)*отчёт!BZ$293</f>
        <v>0</v>
      </c>
      <c r="EO243" s="240">
        <f t="shared" si="45"/>
        <v>0</v>
      </c>
      <c r="EP243" s="276">
        <f>SUMIF('20Ф'!$H:$H,$B:$B,'20Ф'!T:T)*1.2</f>
        <v>0</v>
      </c>
      <c r="EQ243" s="276">
        <f>SUMIF('20Ф'!$H:$H,$B:$B,'20Ф'!U:U)*1.2</f>
        <v>0</v>
      </c>
      <c r="ER243" s="238"/>
      <c r="ES243" s="239">
        <f t="shared" si="43"/>
        <v>7080.924385229323</v>
      </c>
      <c r="ET243" s="276">
        <f>$D243/$D$282*'20Ф'!$I$381</f>
        <v>541.20183515839642</v>
      </c>
      <c r="EU243" s="276">
        <f>$D243/$D$282*('20Ф'!$I$75+'20Ф'!$I$1098)*1.2</f>
        <v>6251.1214504070058</v>
      </c>
      <c r="EV243" s="276">
        <f>$D243/$D$282*('20Ф'!$I$1286)</f>
        <v>288.60109966392054</v>
      </c>
      <c r="EW243" s="276">
        <f>SUMIF('91.1Ф'!$N:$N,$B:$B,'91.1Ф'!$F:$F)+$D243/$D$281*('91Ф'!$D$12+'91Ф'!$D$11+'91Ф'!$D$19+'91Ф'!$D$20)</f>
        <v>1667.9230274904187</v>
      </c>
      <c r="EX243" s="276">
        <f t="shared" si="41"/>
        <v>13849.95416148619</v>
      </c>
      <c r="EY243" s="276">
        <f>SUMIF('20Ф'!$H:$H,$B:$B,'20Ф'!$AY:$AY)*1.2</f>
        <v>13596.995999999999</v>
      </c>
      <c r="EZ243" s="295">
        <f>D243/$D$286*'20Ф'!$I$1163</f>
        <v>252.95816148619079</v>
      </c>
      <c r="FA243" s="277">
        <f>SUMIF(отчёт!$B:$B,$B:$B,отчёт!$CU:$CU)/отчёт!$CU$281*'20Ф'!$I$1341</f>
        <v>0</v>
      </c>
      <c r="FB243" s="276">
        <f>SUMIF(Сальдо!$A:$A,$B:$B,Сальдо!$H:$H)-SUMIF(Сальдо!$A:$A,$B:$B,Сальдо!$I:$I)</f>
        <v>243843.71</v>
      </c>
    </row>
    <row r="244" spans="1:158" s="13" customFormat="1" ht="12" customHeight="1" x14ac:dyDescent="0.25">
      <c r="A244" s="3">
        <f t="shared" si="44"/>
        <v>240</v>
      </c>
      <c r="B244" s="4" t="s">
        <v>290</v>
      </c>
      <c r="C244" s="4" t="s">
        <v>290</v>
      </c>
      <c r="D244" s="5">
        <v>499.5</v>
      </c>
      <c r="E244" s="6">
        <v>499.5</v>
      </c>
      <c r="F244" s="6">
        <v>0</v>
      </c>
      <c r="G244" s="6">
        <v>60</v>
      </c>
      <c r="H244" s="5">
        <f>SUMIF(отчёт!$B:$B,$B:$B,отчёт!I:I)</f>
        <v>0</v>
      </c>
      <c r="I244" s="5">
        <f>SUMIF(отчёт!$B:$B,$B:$B,отчёт!J:J)</f>
        <v>0</v>
      </c>
      <c r="J244" s="3" t="s">
        <v>66</v>
      </c>
      <c r="K244" s="105">
        <v>9</v>
      </c>
      <c r="L244" s="105" t="s">
        <v>81</v>
      </c>
      <c r="M244" s="12">
        <v>15</v>
      </c>
      <c r="N244" s="8">
        <v>0</v>
      </c>
      <c r="O244" s="8">
        <v>3</v>
      </c>
      <c r="P244" s="8">
        <v>5.73</v>
      </c>
      <c r="Q244" s="8">
        <v>4</v>
      </c>
      <c r="R244" s="8">
        <v>2.0499999999999998</v>
      </c>
      <c r="S244" s="8">
        <v>0</v>
      </c>
      <c r="T244" s="8">
        <v>0</v>
      </c>
      <c r="U244" s="8">
        <v>0.22</v>
      </c>
      <c r="V244" s="9">
        <v>0</v>
      </c>
      <c r="W244" s="9">
        <v>0</v>
      </c>
      <c r="X244" s="9">
        <v>0</v>
      </c>
      <c r="Y244" s="8">
        <v>0</v>
      </c>
      <c r="Z244" s="9">
        <v>0</v>
      </c>
      <c r="AA244" s="9">
        <v>2604.04</v>
      </c>
      <c r="AB244" s="8">
        <v>7.85</v>
      </c>
      <c r="AC244" s="10">
        <v>0</v>
      </c>
      <c r="AD244" s="8">
        <v>4.71</v>
      </c>
      <c r="AE244" s="8">
        <v>10.67</v>
      </c>
      <c r="AF244" s="8">
        <v>14</v>
      </c>
      <c r="AG244" s="7">
        <v>44955</v>
      </c>
      <c r="AH244" s="8">
        <v>0</v>
      </c>
      <c r="AI244" s="8">
        <v>8991</v>
      </c>
      <c r="AJ244" s="8">
        <v>17172.810000000001</v>
      </c>
      <c r="AK244" s="8">
        <v>11988</v>
      </c>
      <c r="AL244" s="8">
        <v>6143.8499999999995</v>
      </c>
      <c r="AM244" s="8">
        <v>0</v>
      </c>
      <c r="AN244" s="8">
        <v>0</v>
      </c>
      <c r="AO244" s="8">
        <v>659.34</v>
      </c>
      <c r="AP244" s="16" t="s">
        <v>82</v>
      </c>
      <c r="AQ244" s="104">
        <v>15</v>
      </c>
      <c r="AR244" s="104">
        <v>0</v>
      </c>
      <c r="AS244" s="104">
        <v>3</v>
      </c>
      <c r="AT244" s="104">
        <v>5.73</v>
      </c>
      <c r="AU244" s="104"/>
      <c r="AV244" s="104"/>
      <c r="AW244" s="104"/>
      <c r="AX244" s="104">
        <v>4</v>
      </c>
      <c r="AY244" s="104">
        <v>2.0499999999999998</v>
      </c>
      <c r="AZ244" s="104">
        <v>0</v>
      </c>
      <c r="BA244" s="104">
        <v>0</v>
      </c>
      <c r="BB244" s="104"/>
      <c r="BC244" s="101">
        <v>0.22</v>
      </c>
      <c r="BD244" s="104">
        <v>15</v>
      </c>
      <c r="BE244" s="104">
        <v>0</v>
      </c>
      <c r="BF244" s="104">
        <v>3</v>
      </c>
      <c r="BG244" s="104">
        <v>5.73</v>
      </c>
      <c r="BH244" s="104">
        <v>0</v>
      </c>
      <c r="BI244" s="104">
        <v>0</v>
      </c>
      <c r="BJ244" s="104">
        <v>0</v>
      </c>
      <c r="BK244" s="104">
        <v>4</v>
      </c>
      <c r="BL244" s="104">
        <v>2.0499999999999998</v>
      </c>
      <c r="BM244" s="104">
        <v>0</v>
      </c>
      <c r="BN244" s="104">
        <v>0</v>
      </c>
      <c r="BO244" s="104">
        <v>0</v>
      </c>
      <c r="BP244" s="101">
        <v>0.22</v>
      </c>
      <c r="BQ244" s="103">
        <v>89909.999999999985</v>
      </c>
      <c r="BR244" s="103">
        <v>0</v>
      </c>
      <c r="BS244" s="103">
        <v>17982</v>
      </c>
      <c r="BT244" s="103">
        <v>34345.620000000003</v>
      </c>
      <c r="BU244" s="103">
        <v>0</v>
      </c>
      <c r="BV244" s="103">
        <v>0</v>
      </c>
      <c r="BW244" s="103">
        <v>0</v>
      </c>
      <c r="BX244" s="103">
        <v>23976</v>
      </c>
      <c r="BY244" s="103">
        <v>12287.7</v>
      </c>
      <c r="BZ244" s="103">
        <v>0</v>
      </c>
      <c r="CA244" s="103">
        <v>0</v>
      </c>
      <c r="CB244" s="103">
        <v>0</v>
      </c>
      <c r="CC244" s="103">
        <v>1318.68</v>
      </c>
      <c r="CD244" s="13">
        <v>2</v>
      </c>
      <c r="CF244" s="277">
        <f>SUMIF(Оборот!$A:$A,$B:$B,Оборот!H:H)</f>
        <v>89721</v>
      </c>
      <c r="CG244" s="277">
        <f>SUMIF(Оборот!$A:$A,$B:$B,Оборот!I:I)</f>
        <v>89096.16</v>
      </c>
      <c r="CH244" s="277">
        <f t="shared" si="38"/>
        <v>184736.98204547321</v>
      </c>
      <c r="CI244" s="239">
        <f t="shared" si="42"/>
        <v>4393.2697618212196</v>
      </c>
      <c r="CJ244" s="276">
        <f>SUMIF('20Ф'!$H:$H,$B:$B,'20Ф'!M:M)*1.2</f>
        <v>0</v>
      </c>
      <c r="CK244" s="276">
        <f>SUMIF('20Ф'!$H:$H,$B:$B,'20Ф'!O:O)*1.2</f>
        <v>0</v>
      </c>
      <c r="CL244" s="276">
        <f>SUMIF('20Ф'!$H:$H,$B:$B,'20Ф'!Q:Q)*1.2</f>
        <v>0</v>
      </c>
      <c r="CM244" s="276">
        <f>SUMIF('20Ф'!$H:$H,$B:$B,'20Ф'!R:R)*1.2</f>
        <v>0</v>
      </c>
      <c r="CN244" s="276">
        <f>SUMIF('20Ф'!$H:$H,$B:$B,'20Ф'!S:S)*1.2</f>
        <v>0</v>
      </c>
      <c r="CO244" s="276">
        <f>SUMIF('20Ф'!$H:$H,$B:$B,'20Ф'!W:W)*1.2</f>
        <v>0</v>
      </c>
      <c r="CP244" s="276">
        <f>SUMIF('20Ф'!$H:$H,$B:$B,'20Ф'!P:P)*1.2</f>
        <v>0</v>
      </c>
      <c r="CQ244" s="276">
        <f>SUMIF('20Ф'!$H:$H,$B:$B,'20Ф'!Y:Y)*1.2</f>
        <v>0</v>
      </c>
      <c r="CR244" s="276">
        <f>SUMIF('20Ф'!$H:$H,$B:$B,'20Ф'!Z:Z)*1.2</f>
        <v>0</v>
      </c>
      <c r="CS244" s="276">
        <f>SUMIF('20Ф'!$H:$H,$B:$B,'20Ф'!AB:AB)*1.2</f>
        <v>0</v>
      </c>
      <c r="CT244" s="276">
        <f>SUMIF('20Ф'!$H:$H,$B:$B,'20Ф'!AC:AC)*1.2</f>
        <v>0</v>
      </c>
      <c r="CU244" s="276">
        <f>SUMIF('20Ф'!$H:$H,$B:$B,'20Ф'!AD:AD)*1.2</f>
        <v>0</v>
      </c>
      <c r="CV244" s="276">
        <f>SUMIF('20Ф'!$H:$H,$B:$B,'20Ф'!AE:AE)*1.2</f>
        <v>0</v>
      </c>
      <c r="CW244" s="276">
        <f>SUMIF('20Ф'!$H:$H,$B:$B,'20Ф'!AF:AF)*1.2</f>
        <v>0</v>
      </c>
      <c r="CX244" s="276">
        <f>SUMIF('20Ф'!$H:$H,$B:$B,'20Ф'!AG:AG)*1.2</f>
        <v>0</v>
      </c>
      <c r="CY244" s="276">
        <f>SUMIF('20Ф'!$H:$H,$B:$B,'20Ф'!AH:AH)*1.2</f>
        <v>0</v>
      </c>
      <c r="CZ244" s="276">
        <f>SUMIF('20Ф'!$H:$H,$B:$B,'20Ф'!AI:AI)*1.2</f>
        <v>0</v>
      </c>
      <c r="DA244" s="276">
        <f>SUMIF('20Ф'!$H:$H,$B:$B,'20Ф'!AJ:AJ)*1.2</f>
        <v>0</v>
      </c>
      <c r="DB244" s="276">
        <f>SUMIF('20Ф'!$H:$H,$B:$B,'20Ф'!AK:AK)*1.2</f>
        <v>0</v>
      </c>
      <c r="DC244" s="276">
        <f>SUMIF('20Ф'!$H:$H,$B:$B,'20Ф'!AL:AL)*1.2</f>
        <v>0</v>
      </c>
      <c r="DD244" s="276">
        <f>SUMIF('20Ф'!$H:$H,$B:$B,'20Ф'!AM:AM)*1.2</f>
        <v>0</v>
      </c>
      <c r="DE244" s="276">
        <f>SUMIF('20Ф'!$H:$H,$B:$B,'20Ф'!AN:AN)*1.2</f>
        <v>0</v>
      </c>
      <c r="DF244" s="276">
        <f>SUMIF('20Ф'!$H:$H,$B:$B,'20Ф'!AO:AO)*1.2</f>
        <v>0</v>
      </c>
      <c r="DG244" s="276">
        <f>SUMIF('20Ф'!$H:$H,$B:$B,'20Ф'!AP:AP)*1.2</f>
        <v>0</v>
      </c>
      <c r="DH244" s="276">
        <f>SUMIF('20Ф'!$H:$H,$B:$B,'20Ф'!AQ:AQ)*1.2</f>
        <v>0</v>
      </c>
      <c r="DI244" s="276">
        <f>SUMIF('20Ф'!$H:$H,$B:$B,'20Ф'!BA:BA)*1.2</f>
        <v>0</v>
      </c>
      <c r="DJ244" s="276">
        <f>SUMIF('20Ф'!$H:$H,$B:$B,'20Ф'!BB:BB)*1.2</f>
        <v>0</v>
      </c>
      <c r="DK244" s="276">
        <f>SUMIF('20Ф'!$H:$H,$B:$B,'20Ф'!BC:BC)*1.2</f>
        <v>0</v>
      </c>
      <c r="DL244" s="276">
        <f>$D244/$D$281*'20Ф'!$H$218</f>
        <v>4393.2697618212196</v>
      </c>
      <c r="DM244" s="240">
        <f t="shared" si="39"/>
        <v>70034.882166188225</v>
      </c>
      <c r="DN244" s="276">
        <f>SUMIF('20Ф'!$H:$H,$B:$B,'20Ф'!AV:AV)*1.2</f>
        <v>0</v>
      </c>
      <c r="DO244" s="276">
        <f>SUMIF('20Ф'!$H:$H,$B:$B,'20Ф'!AW:AW)*1.2+$D244/$D$281*'26Ф'!$D$42</f>
        <v>2337.8707534650234</v>
      </c>
      <c r="DP244" s="276">
        <f>SUMIF('20Ф'!$H:$H,$B:$B,'20Ф'!AX:AX)*1.2</f>
        <v>0</v>
      </c>
      <c r="DQ244" s="276">
        <f>SUMIF('20Ф'!$H:$H,$B:$B,'20Ф'!AY:AY)*1.2</f>
        <v>0</v>
      </c>
      <c r="DR244" s="276">
        <f>SUMIF('20Ф'!$H:$H,$B:$B,'20Ф'!AU:AU)*1.2</f>
        <v>0</v>
      </c>
      <c r="DS244" s="276">
        <f>SUMIF('20Ф'!$H:$H,$B:$B,'20Ф'!AS:AS)*1.2</f>
        <v>3348</v>
      </c>
      <c r="DT244" s="276">
        <f>SUMIF('20Ф'!$H:$H,$B:$B,'20Ф'!AR:AR)*1.2</f>
        <v>0</v>
      </c>
      <c r="DU244" s="276">
        <f>SUMIF('20Ф'!$H:$H,$B:$B,'20Ф'!X:X)*1.2</f>
        <v>23109.348000000002</v>
      </c>
      <c r="DV244" s="276">
        <f>SUMIF('20Ф'!$H:$H,$B:$B,'20Ф'!AA:AA)*1.2</f>
        <v>0</v>
      </c>
      <c r="DW244" s="276">
        <f>SUMIF('20Ф'!$H:$H,$B:$B,'20Ф'!N:N)*1.2</f>
        <v>0</v>
      </c>
      <c r="DX244" s="276">
        <f>$D244/$D$281*('25Ф'!$D$37)</f>
        <v>39296.6826346503</v>
      </c>
      <c r="DY244" s="276">
        <f>$D244/$D$281*'25Ф'!$D$30</f>
        <v>1254.2267503757839</v>
      </c>
      <c r="DZ244" s="276">
        <f>$D244/$D$281*'25Ф'!$D$31</f>
        <v>688.75402769710581</v>
      </c>
      <c r="EA244" s="276"/>
      <c r="EB244" s="276">
        <f t="shared" si="40"/>
        <v>24757.526823571789</v>
      </c>
      <c r="EC244" s="276">
        <f>$D244/$D$281*'26Ф'!$D$36</f>
        <v>12887.090021911961</v>
      </c>
      <c r="ED244" s="276">
        <f>$D244/$D$281*'26Ф'!$D$37</f>
        <v>1548.3701024522609</v>
      </c>
      <c r="EE244" s="276">
        <f>$D244/$D$281*'26Ф'!$D$38</f>
        <v>1564.2501614702999</v>
      </c>
      <c r="EF244" s="276">
        <f>$D244/$D$281*'26Ф'!$D$39</f>
        <v>1097.3200606172234</v>
      </c>
      <c r="EG244" s="276">
        <f>$D244/$D$281*'91Ф'!$D$10</f>
        <v>338.52278233111844</v>
      </c>
      <c r="EH244" s="276">
        <f>$D244/$D$281*('20Ф'!$I$509+'26Ф'!$D$41+'20Ф'!$I$507)</f>
        <v>2394.937214716902</v>
      </c>
      <c r="EI244" s="276">
        <f>$D244/$D$281*'91Ф'!$D$31</f>
        <v>4390.2716822375251</v>
      </c>
      <c r="EJ244" s="276">
        <f>$D244/$D$281*'20Ф'!$I$1316</f>
        <v>536.76479783449611</v>
      </c>
      <c r="EK244" s="276">
        <f>$D244/$D$281*('20Ф'!$I$1105+'20Ф'!$I$1282+'91Ф'!$D$17+'91Ф'!$D$41)</f>
        <v>17627.953970625596</v>
      </c>
      <c r="EL244" s="276">
        <f>$D244/$D$281*отчёт!BX$294</f>
        <v>29468.562932519308</v>
      </c>
      <c r="EM244" s="276">
        <f>$D244/$D$281*отчёт!BY$294</f>
        <v>25916.019284456353</v>
      </c>
      <c r="EN244" s="276">
        <f>SUMIF(отчёт!$B:$B,$B:$B,отчёт!BZ:BZ)/отчёт!BZ$281*('60Ф'!$O$151+'60Ф'!$P$151)*отчёт!BZ$293</f>
        <v>0</v>
      </c>
      <c r="EO244" s="240">
        <f t="shared" si="45"/>
        <v>0</v>
      </c>
      <c r="EP244" s="276">
        <f>SUMIF('20Ф'!$H:$H,$B:$B,'20Ф'!T:T)*1.2</f>
        <v>0</v>
      </c>
      <c r="EQ244" s="276">
        <f>SUMIF('20Ф'!$H:$H,$B:$B,'20Ф'!U:U)*1.2</f>
        <v>0</v>
      </c>
      <c r="ER244" s="238"/>
      <c r="ES244" s="239">
        <f t="shared" si="43"/>
        <v>9863.1392370943868</v>
      </c>
      <c r="ET244" s="276">
        <f>$D244/$D$282*'20Ф'!$I$381</f>
        <v>753.8491819900139</v>
      </c>
      <c r="EU244" s="276">
        <f>$D244/$D$282*('20Ф'!$I$75+'20Ф'!$I$1098)*1.2</f>
        <v>8707.292706297545</v>
      </c>
      <c r="EV244" s="276">
        <f>$D244/$D$282*('20Ф'!$I$1286)</f>
        <v>401.99734880682735</v>
      </c>
      <c r="EW244" s="276">
        <f>SUMIF('91.1Ф'!$N:$N,$B:$B,'91.1Ф'!$F:$F)+$D244/$D$281*('91Ф'!$D$12+'91Ф'!$D$11+'91Ф'!$D$19+'91Ф'!$D$20)</f>
        <v>2323.2781713091581</v>
      </c>
      <c r="EX244" s="276">
        <f t="shared" si="41"/>
        <v>352.34969788720662</v>
      </c>
      <c r="EY244" s="276">
        <f>SUMIF('20Ф'!$H:$H,$B:$B,'20Ф'!$AY:$AY)*1.2</f>
        <v>0</v>
      </c>
      <c r="EZ244" s="295">
        <f>D244/$D$286*'20Ф'!$I$1163</f>
        <v>352.34969788720662</v>
      </c>
      <c r="FA244" s="277">
        <f>SUMIF(отчёт!$B:$B,$B:$B,отчёт!$CU:$CU)/отчёт!$CU$281*'20Ф'!$I$1341</f>
        <v>0</v>
      </c>
      <c r="FB244" s="276">
        <f>SUMIF(Сальдо!$A:$A,$B:$B,Сальдо!$H:$H)-SUMIF(Сальдо!$A:$A,$B:$B,Сальдо!$I:$I)</f>
        <v>7498.97</v>
      </c>
    </row>
    <row r="245" spans="1:158" s="13" customFormat="1" ht="12" customHeight="1" x14ac:dyDescent="0.25">
      <c r="A245" s="3">
        <f t="shared" si="44"/>
        <v>241</v>
      </c>
      <c r="B245" s="4" t="s">
        <v>291</v>
      </c>
      <c r="C245" s="4" t="s">
        <v>291</v>
      </c>
      <c r="D245" s="5">
        <v>265.5</v>
      </c>
      <c r="E245" s="6">
        <v>265.5</v>
      </c>
      <c r="F245" s="6">
        <v>0</v>
      </c>
      <c r="G245" s="6">
        <v>39.299999999999997</v>
      </c>
      <c r="H245" s="5">
        <f>SUMIF(отчёт!$B:$B,$B:$B,отчёт!I:I)</f>
        <v>0</v>
      </c>
      <c r="I245" s="5">
        <f>SUMIF(отчёт!$B:$B,$B:$B,отчёт!J:J)</f>
        <v>0</v>
      </c>
      <c r="J245" s="3" t="s">
        <v>66</v>
      </c>
      <c r="K245" s="105">
        <v>8</v>
      </c>
      <c r="L245" s="105" t="s">
        <v>81</v>
      </c>
      <c r="M245" s="12">
        <v>19.940000000000001</v>
      </c>
      <c r="N245" s="8">
        <v>2.86</v>
      </c>
      <c r="O245" s="8">
        <v>3.7399999999999998</v>
      </c>
      <c r="P245" s="8">
        <v>6.5</v>
      </c>
      <c r="Q245" s="8">
        <v>4.17</v>
      </c>
      <c r="R245" s="8">
        <v>2.67</v>
      </c>
      <c r="S245" s="8">
        <v>0</v>
      </c>
      <c r="T245" s="8">
        <v>0</v>
      </c>
      <c r="U245" s="8">
        <v>0</v>
      </c>
      <c r="V245" s="9">
        <v>0</v>
      </c>
      <c r="W245" s="9">
        <v>0</v>
      </c>
      <c r="X245" s="9">
        <v>0</v>
      </c>
      <c r="Y245" s="8">
        <v>0</v>
      </c>
      <c r="Z245" s="9">
        <v>0</v>
      </c>
      <c r="AA245" s="9">
        <v>2604.04</v>
      </c>
      <c r="AB245" s="8">
        <v>0</v>
      </c>
      <c r="AC245" s="10">
        <v>0</v>
      </c>
      <c r="AD245" s="8">
        <v>4.71</v>
      </c>
      <c r="AE245" s="8">
        <v>10.67</v>
      </c>
      <c r="AF245" s="8">
        <v>14</v>
      </c>
      <c r="AG245" s="7">
        <v>31764.420000000006</v>
      </c>
      <c r="AH245" s="8">
        <v>4555.9799999999996</v>
      </c>
      <c r="AI245" s="8">
        <v>5957.82</v>
      </c>
      <c r="AJ245" s="8">
        <v>10354.5</v>
      </c>
      <c r="AK245" s="8">
        <v>6642.8099999999995</v>
      </c>
      <c r="AL245" s="8">
        <v>4253.3099999999995</v>
      </c>
      <c r="AM245" s="8">
        <v>0</v>
      </c>
      <c r="AN245" s="8">
        <v>0</v>
      </c>
      <c r="AO245" s="8">
        <v>0</v>
      </c>
      <c r="AP245" s="16" t="s">
        <v>82</v>
      </c>
      <c r="AQ245" s="104">
        <v>19.940000000000001</v>
      </c>
      <c r="AR245" s="104">
        <v>2.86</v>
      </c>
      <c r="AS245" s="104">
        <v>3.7399999999999998</v>
      </c>
      <c r="AT245" s="104">
        <v>6.5000000000000009</v>
      </c>
      <c r="AU245" s="104"/>
      <c r="AV245" s="104"/>
      <c r="AW245" s="104"/>
      <c r="AX245" s="104">
        <v>4.17</v>
      </c>
      <c r="AY245" s="104">
        <v>2.67</v>
      </c>
      <c r="AZ245" s="104">
        <v>0</v>
      </c>
      <c r="BA245" s="104">
        <v>0</v>
      </c>
      <c r="BB245" s="104"/>
      <c r="BC245" s="101">
        <v>0</v>
      </c>
      <c r="BD245" s="104">
        <v>19.940000000000001</v>
      </c>
      <c r="BE245" s="104">
        <v>2.86</v>
      </c>
      <c r="BF245" s="104">
        <v>3.7399999999999993</v>
      </c>
      <c r="BG245" s="104">
        <v>6.5</v>
      </c>
      <c r="BH245" s="104">
        <v>0</v>
      </c>
      <c r="BI245" s="104">
        <v>0</v>
      </c>
      <c r="BJ245" s="104">
        <v>0</v>
      </c>
      <c r="BK245" s="104">
        <v>4.17</v>
      </c>
      <c r="BL245" s="104">
        <v>2.67</v>
      </c>
      <c r="BM245" s="104">
        <v>0</v>
      </c>
      <c r="BN245" s="104">
        <v>0</v>
      </c>
      <c r="BO245" s="104">
        <v>0</v>
      </c>
      <c r="BP245" s="101">
        <v>0</v>
      </c>
      <c r="BQ245" s="103">
        <v>63528.84</v>
      </c>
      <c r="BR245" s="103">
        <v>9111.9600000000009</v>
      </c>
      <c r="BS245" s="103">
        <v>11915.639999999998</v>
      </c>
      <c r="BT245" s="103">
        <v>20709</v>
      </c>
      <c r="BU245" s="103">
        <v>0</v>
      </c>
      <c r="BV245" s="103">
        <v>0</v>
      </c>
      <c r="BW245" s="103">
        <v>0</v>
      </c>
      <c r="BX245" s="103">
        <v>13285.62</v>
      </c>
      <c r="BY245" s="103">
        <v>8506.619999999999</v>
      </c>
      <c r="BZ245" s="103">
        <v>0</v>
      </c>
      <c r="CA245" s="103">
        <v>0</v>
      </c>
      <c r="CB245" s="103">
        <v>0</v>
      </c>
      <c r="CC245" s="103">
        <v>0</v>
      </c>
      <c r="CD245" s="13">
        <v>2</v>
      </c>
      <c r="CF245" s="277">
        <f>SUMIF(Оборот!$A:$A,$B:$B,Оборот!H:H)</f>
        <v>63529.079999999987</v>
      </c>
      <c r="CG245" s="277">
        <f>SUMIF(Оборот!$A:$A,$B:$B,Оборот!I:I)</f>
        <v>53953.85</v>
      </c>
      <c r="CH245" s="277">
        <f t="shared" si="38"/>
        <v>107491.47131988805</v>
      </c>
      <c r="CI245" s="239">
        <f t="shared" si="42"/>
        <v>2335.1614049319996</v>
      </c>
      <c r="CJ245" s="276">
        <f>SUMIF('20Ф'!$H:$H,$B:$B,'20Ф'!M:M)*1.2</f>
        <v>0</v>
      </c>
      <c r="CK245" s="276">
        <f>SUMIF('20Ф'!$H:$H,$B:$B,'20Ф'!O:O)*1.2</f>
        <v>0</v>
      </c>
      <c r="CL245" s="276">
        <f>SUMIF('20Ф'!$H:$H,$B:$B,'20Ф'!Q:Q)*1.2</f>
        <v>0</v>
      </c>
      <c r="CM245" s="276">
        <f>SUMIF('20Ф'!$H:$H,$B:$B,'20Ф'!R:R)*1.2</f>
        <v>0</v>
      </c>
      <c r="CN245" s="276">
        <f>SUMIF('20Ф'!$H:$H,$B:$B,'20Ф'!S:S)*1.2</f>
        <v>0</v>
      </c>
      <c r="CO245" s="276">
        <f>SUMIF('20Ф'!$H:$H,$B:$B,'20Ф'!W:W)*1.2</f>
        <v>0</v>
      </c>
      <c r="CP245" s="276">
        <f>SUMIF('20Ф'!$H:$H,$B:$B,'20Ф'!P:P)*1.2</f>
        <v>0</v>
      </c>
      <c r="CQ245" s="276">
        <f>SUMIF('20Ф'!$H:$H,$B:$B,'20Ф'!Y:Y)*1.2</f>
        <v>0</v>
      </c>
      <c r="CR245" s="276">
        <f>SUMIF('20Ф'!$H:$H,$B:$B,'20Ф'!Z:Z)*1.2</f>
        <v>0</v>
      </c>
      <c r="CS245" s="276">
        <f>SUMIF('20Ф'!$H:$H,$B:$B,'20Ф'!AB:AB)*1.2</f>
        <v>0</v>
      </c>
      <c r="CT245" s="276">
        <f>SUMIF('20Ф'!$H:$H,$B:$B,'20Ф'!AC:AC)*1.2</f>
        <v>0</v>
      </c>
      <c r="CU245" s="276">
        <f>SUMIF('20Ф'!$H:$H,$B:$B,'20Ф'!AD:AD)*1.2</f>
        <v>0</v>
      </c>
      <c r="CV245" s="276">
        <f>SUMIF('20Ф'!$H:$H,$B:$B,'20Ф'!AE:AE)*1.2</f>
        <v>0</v>
      </c>
      <c r="CW245" s="276">
        <f>SUMIF('20Ф'!$H:$H,$B:$B,'20Ф'!AF:AF)*1.2</f>
        <v>0</v>
      </c>
      <c r="CX245" s="276">
        <f>SUMIF('20Ф'!$H:$H,$B:$B,'20Ф'!AG:AG)*1.2</f>
        <v>0</v>
      </c>
      <c r="CY245" s="276">
        <f>SUMIF('20Ф'!$H:$H,$B:$B,'20Ф'!AH:AH)*1.2</f>
        <v>0</v>
      </c>
      <c r="CZ245" s="276">
        <f>SUMIF('20Ф'!$H:$H,$B:$B,'20Ф'!AI:AI)*1.2</f>
        <v>0</v>
      </c>
      <c r="DA245" s="276">
        <f>SUMIF('20Ф'!$H:$H,$B:$B,'20Ф'!AJ:AJ)*1.2</f>
        <v>0</v>
      </c>
      <c r="DB245" s="276">
        <f>SUMIF('20Ф'!$H:$H,$B:$B,'20Ф'!AK:AK)*1.2</f>
        <v>0</v>
      </c>
      <c r="DC245" s="276">
        <f>SUMIF('20Ф'!$H:$H,$B:$B,'20Ф'!AL:AL)*1.2</f>
        <v>0</v>
      </c>
      <c r="DD245" s="276">
        <f>SUMIF('20Ф'!$H:$H,$B:$B,'20Ф'!AM:AM)*1.2</f>
        <v>0</v>
      </c>
      <c r="DE245" s="276">
        <f>SUMIF('20Ф'!$H:$H,$B:$B,'20Ф'!AN:AN)*1.2</f>
        <v>0</v>
      </c>
      <c r="DF245" s="276">
        <f>SUMIF('20Ф'!$H:$H,$B:$B,'20Ф'!AO:AO)*1.2</f>
        <v>0</v>
      </c>
      <c r="DG245" s="276">
        <f>SUMIF('20Ф'!$H:$H,$B:$B,'20Ф'!AP:AP)*1.2</f>
        <v>0</v>
      </c>
      <c r="DH245" s="276">
        <f>SUMIF('20Ф'!$H:$H,$B:$B,'20Ф'!AQ:AQ)*1.2</f>
        <v>0</v>
      </c>
      <c r="DI245" s="276">
        <f>SUMIF('20Ф'!$H:$H,$B:$B,'20Ф'!BA:BA)*1.2</f>
        <v>0</v>
      </c>
      <c r="DJ245" s="276">
        <f>SUMIF('20Ф'!$H:$H,$B:$B,'20Ф'!BB:BB)*1.2</f>
        <v>0</v>
      </c>
      <c r="DK245" s="276">
        <f>SUMIF('20Ф'!$H:$H,$B:$B,'20Ф'!BC:BC)*1.2</f>
        <v>0</v>
      </c>
      <c r="DL245" s="276">
        <f>$D245/$D$281*'20Ф'!$H$218</f>
        <v>2335.1614049319996</v>
      </c>
      <c r="DM245" s="240">
        <f t="shared" si="39"/>
        <v>46710.973475721657</v>
      </c>
      <c r="DN245" s="276">
        <f>SUMIF('20Ф'!$H:$H,$B:$B,'20Ф'!AV:AV)*1.2</f>
        <v>0</v>
      </c>
      <c r="DO245" s="276">
        <f>SUMIF('20Ф'!$H:$H,$B:$B,'20Ф'!AW:AW)*1.2+$D245/$D$281*'26Ф'!$D$42</f>
        <v>1242.6520221120395</v>
      </c>
      <c r="DP245" s="276">
        <f>SUMIF('20Ф'!$H:$H,$B:$B,'20Ф'!AX:AX)*1.2</f>
        <v>0</v>
      </c>
      <c r="DQ245" s="276">
        <f>SUMIF('20Ф'!$H:$H,$B:$B,'20Ф'!AY:AY)*1.2</f>
        <v>0</v>
      </c>
      <c r="DR245" s="276">
        <f>SUMIF('20Ф'!$H:$H,$B:$B,'20Ф'!AU:AU)*1.2</f>
        <v>0</v>
      </c>
      <c r="DS245" s="276">
        <f>SUMIF('20Ф'!$H:$H,$B:$B,'20Ф'!AS:AS)*1.2</f>
        <v>15508.307999999999</v>
      </c>
      <c r="DT245" s="276">
        <f>SUMIF('20Ф'!$H:$H,$B:$B,'20Ф'!AR:AR)*1.2</f>
        <v>0</v>
      </c>
      <c r="DU245" s="276">
        <f>SUMIF('20Ф'!$H:$H,$B:$B,'20Ф'!X:X)*1.2</f>
        <v>8039.8319999999994</v>
      </c>
      <c r="DV245" s="276">
        <f>SUMIF('20Ф'!$H:$H,$B:$B,'20Ф'!AA:AA)*1.2</f>
        <v>0</v>
      </c>
      <c r="DW245" s="276">
        <f>SUMIF('20Ф'!$H:$H,$B:$B,'20Ф'!N:N)*1.2</f>
        <v>0</v>
      </c>
      <c r="DX245" s="276">
        <f>$D245/$D$281*('25Ф'!$D$37)</f>
        <v>20887.425904904212</v>
      </c>
      <c r="DY245" s="276">
        <f>$D245/$D$281*'25Ф'!$D$30</f>
        <v>666.66106551505629</v>
      </c>
      <c r="DZ245" s="276">
        <f>$D245/$D$281*'25Ф'!$D$31</f>
        <v>366.09448319035351</v>
      </c>
      <c r="EA245" s="276"/>
      <c r="EB245" s="276">
        <f t="shared" si="40"/>
        <v>13159.406149466085</v>
      </c>
      <c r="EC245" s="276">
        <f>$D245/$D$281*'26Ф'!$D$36</f>
        <v>6849.894696331583</v>
      </c>
      <c r="ED245" s="276">
        <f>$D245/$D$281*'26Ф'!$D$37</f>
        <v>823.00753193408457</v>
      </c>
      <c r="EE245" s="276">
        <f>$D245/$D$281*'26Ф'!$D$38</f>
        <v>831.448284024754</v>
      </c>
      <c r="EF245" s="276">
        <f>$D245/$D$281*'26Ф'!$D$39</f>
        <v>583.26021240014575</v>
      </c>
      <c r="EG245" s="276">
        <f>$D245/$D$281*'91Ф'!$D$10</f>
        <v>179.93553295077464</v>
      </c>
      <c r="EH245" s="276">
        <f>$D245/$D$281*('20Ф'!$I$509+'26Ф'!$D$41+'20Ф'!$I$507)</f>
        <v>1272.9846456603352</v>
      </c>
      <c r="EI245" s="276">
        <f>$D245/$D$281*'91Ф'!$D$31</f>
        <v>2333.5678310992248</v>
      </c>
      <c r="EJ245" s="276">
        <f>$D245/$D$281*'20Ф'!$I$1316</f>
        <v>285.30741506518262</v>
      </c>
      <c r="EK245" s="276">
        <f>$D245/$D$281*('20Ф'!$I$1105+'20Ф'!$I$1282+'91Ф'!$D$17+'91Ф'!$D$41)</f>
        <v>9369.8133717739656</v>
      </c>
      <c r="EL245" s="276">
        <f>$D245/$D$281*отчёт!BX$294</f>
        <v>15663.470387555308</v>
      </c>
      <c r="EM245" s="276">
        <f>$D245/$D$281*отчёт!BY$294</f>
        <v>13775.181421467791</v>
      </c>
      <c r="EN245" s="276">
        <f>SUMIF(отчёт!$B:$B,$B:$B,отчёт!BZ:BZ)/отчёт!BZ$281*('60Ф'!$O$151+'60Ф'!$P$151)*отчёт!BZ$293</f>
        <v>0</v>
      </c>
      <c r="EO245" s="240">
        <f t="shared" si="45"/>
        <v>0</v>
      </c>
      <c r="EP245" s="276">
        <f>SUMIF('20Ф'!$H:$H,$B:$B,'20Ф'!T:T)*1.2</f>
        <v>0</v>
      </c>
      <c r="EQ245" s="276">
        <f>SUMIF('20Ф'!$H:$H,$B:$B,'20Ф'!U:U)*1.2</f>
        <v>0</v>
      </c>
      <c r="ER245" s="238"/>
      <c r="ES245" s="239">
        <f t="shared" si="43"/>
        <v>5242.5695044015201</v>
      </c>
      <c r="ET245" s="276">
        <f>$D245/$D$282*'20Ф'!$I$381</f>
        <v>400.69461024694431</v>
      </c>
      <c r="EU245" s="276">
        <f>$D245/$D$282*('20Ф'!$I$75+'20Ф'!$I$1098)*1.2</f>
        <v>4628.2006276716675</v>
      </c>
      <c r="EV245" s="276">
        <f>$D245/$D$282*('20Ф'!$I$1286)</f>
        <v>213.67426648290822</v>
      </c>
      <c r="EW245" s="276">
        <f>SUMIF('91.1Ф'!$N:$N,$B:$B,'91.1Ф'!$F:$F)+$D245/$D$281*('91Ф'!$D$12+'91Ф'!$D$11+'91Ф'!$D$19+'91Ф'!$D$20)</f>
        <v>1234.8956045697328</v>
      </c>
      <c r="EX245" s="276">
        <f t="shared" si="41"/>
        <v>0</v>
      </c>
      <c r="EY245" s="276">
        <f>SUMIF('20Ф'!$H:$H,$B:$B,'20Ф'!$AY:$AY)*1.2</f>
        <v>0</v>
      </c>
      <c r="EZ245" s="238"/>
      <c r="FA245" s="277">
        <f>SUMIF(отчёт!$B:$B,$B:$B,отчёт!$CU:$CU)/отчёт!$CU$281*'20Ф'!$I$1341</f>
        <v>0</v>
      </c>
      <c r="FB245" s="276">
        <f>SUMIF(Сальдо!$A:$A,$B:$B,Сальдо!$H:$H)-SUMIF(Сальдо!$A:$A,$B:$B,Сальдо!$I:$I)</f>
        <v>78196.009999999995</v>
      </c>
    </row>
    <row r="246" spans="1:158" s="13" customFormat="1" ht="12" customHeight="1" x14ac:dyDescent="0.25">
      <c r="A246" s="3">
        <f t="shared" si="44"/>
        <v>242</v>
      </c>
      <c r="B246" s="4" t="s">
        <v>292</v>
      </c>
      <c r="C246" s="4" t="s">
        <v>292</v>
      </c>
      <c r="D246" s="5">
        <v>175.5</v>
      </c>
      <c r="E246" s="6">
        <v>175.5</v>
      </c>
      <c r="F246" s="6">
        <v>0</v>
      </c>
      <c r="G246" s="6">
        <v>39.799999999999997</v>
      </c>
      <c r="H246" s="5">
        <f>SUMIF(отчёт!$B:$B,$B:$B,отчёт!I:I)</f>
        <v>0</v>
      </c>
      <c r="I246" s="5">
        <f>SUMIF(отчёт!$B:$B,$B:$B,отчёт!J:J)</f>
        <v>0</v>
      </c>
      <c r="J246" s="3" t="s">
        <v>66</v>
      </c>
      <c r="K246" s="105">
        <v>8</v>
      </c>
      <c r="L246" s="105" t="s">
        <v>81</v>
      </c>
      <c r="M246" s="12">
        <v>19.940000000000001</v>
      </c>
      <c r="N246" s="8">
        <v>2.86</v>
      </c>
      <c r="O246" s="8">
        <v>3.7399999999999998</v>
      </c>
      <c r="P246" s="8">
        <v>6.5</v>
      </c>
      <c r="Q246" s="8">
        <v>4.17</v>
      </c>
      <c r="R246" s="8">
        <v>2.67</v>
      </c>
      <c r="S246" s="8">
        <v>0</v>
      </c>
      <c r="T246" s="8">
        <v>0</v>
      </c>
      <c r="U246" s="8">
        <v>0</v>
      </c>
      <c r="V246" s="9">
        <v>0</v>
      </c>
      <c r="W246" s="9">
        <v>0</v>
      </c>
      <c r="X246" s="9">
        <v>0</v>
      </c>
      <c r="Y246" s="8">
        <v>0</v>
      </c>
      <c r="Z246" s="9">
        <v>0</v>
      </c>
      <c r="AA246" s="9">
        <v>2604.04</v>
      </c>
      <c r="AB246" s="8">
        <v>0</v>
      </c>
      <c r="AC246" s="10">
        <v>0</v>
      </c>
      <c r="AD246" s="8">
        <v>4.71</v>
      </c>
      <c r="AE246" s="8">
        <v>10.67</v>
      </c>
      <c r="AF246" s="8">
        <v>14</v>
      </c>
      <c r="AG246" s="7">
        <v>20996.82</v>
      </c>
      <c r="AH246" s="8">
        <v>3011.58</v>
      </c>
      <c r="AI246" s="8">
        <v>3938.2200000000003</v>
      </c>
      <c r="AJ246" s="8">
        <v>6844.5</v>
      </c>
      <c r="AK246" s="8">
        <v>4391.01</v>
      </c>
      <c r="AL246" s="8">
        <v>2811.5099999999998</v>
      </c>
      <c r="AM246" s="8">
        <v>0</v>
      </c>
      <c r="AN246" s="8">
        <v>0</v>
      </c>
      <c r="AO246" s="8">
        <v>0</v>
      </c>
      <c r="AP246" s="16" t="s">
        <v>82</v>
      </c>
      <c r="AQ246" s="104">
        <v>19.940000000000001</v>
      </c>
      <c r="AR246" s="104">
        <v>2.86</v>
      </c>
      <c r="AS246" s="104">
        <v>3.7399999999999998</v>
      </c>
      <c r="AT246" s="104">
        <v>6.5000000000000009</v>
      </c>
      <c r="AU246" s="104"/>
      <c r="AV246" s="104"/>
      <c r="AW246" s="104"/>
      <c r="AX246" s="104">
        <v>4.17</v>
      </c>
      <c r="AY246" s="104">
        <v>2.67</v>
      </c>
      <c r="AZ246" s="104">
        <v>0</v>
      </c>
      <c r="BA246" s="104">
        <v>0</v>
      </c>
      <c r="BB246" s="104"/>
      <c r="BC246" s="101">
        <v>0</v>
      </c>
      <c r="BD246" s="104">
        <v>19.940000000000001</v>
      </c>
      <c r="BE246" s="104">
        <v>2.86</v>
      </c>
      <c r="BF246" s="104">
        <v>3.7399999999999993</v>
      </c>
      <c r="BG246" s="104">
        <v>6.5</v>
      </c>
      <c r="BH246" s="104">
        <v>0</v>
      </c>
      <c r="BI246" s="104">
        <v>0</v>
      </c>
      <c r="BJ246" s="104">
        <v>0</v>
      </c>
      <c r="BK246" s="104">
        <v>4.17</v>
      </c>
      <c r="BL246" s="104">
        <v>2.67</v>
      </c>
      <c r="BM246" s="104">
        <v>0</v>
      </c>
      <c r="BN246" s="104">
        <v>0</v>
      </c>
      <c r="BO246" s="104">
        <v>0</v>
      </c>
      <c r="BP246" s="101">
        <v>0</v>
      </c>
      <c r="BQ246" s="103">
        <v>41993.639999999992</v>
      </c>
      <c r="BR246" s="103">
        <v>6023.16</v>
      </c>
      <c r="BS246" s="103">
        <v>7876.4399999999978</v>
      </c>
      <c r="BT246" s="103">
        <v>13689</v>
      </c>
      <c r="BU246" s="103">
        <v>0</v>
      </c>
      <c r="BV246" s="103">
        <v>0</v>
      </c>
      <c r="BW246" s="103">
        <v>0</v>
      </c>
      <c r="BX246" s="103">
        <v>8782.02</v>
      </c>
      <c r="BY246" s="103">
        <v>5623.0199999999995</v>
      </c>
      <c r="BZ246" s="103">
        <v>0</v>
      </c>
      <c r="CA246" s="103">
        <v>0</v>
      </c>
      <c r="CB246" s="103">
        <v>0</v>
      </c>
      <c r="CC246" s="103">
        <v>0</v>
      </c>
      <c r="CD246" s="13">
        <v>2</v>
      </c>
      <c r="CF246" s="277">
        <f>SUMIF(Оборот!$A:$A,$B:$B,Оборот!H:H)</f>
        <v>41993.52</v>
      </c>
      <c r="CG246" s="277">
        <f>SUMIF(Оборот!$A:$A,$B:$B,Оборот!I:I)</f>
        <v>13159.840000000002</v>
      </c>
      <c r="CH246" s="277">
        <f t="shared" si="38"/>
        <v>69508.800770773465</v>
      </c>
      <c r="CI246" s="239">
        <f t="shared" si="42"/>
        <v>1543.581267666915</v>
      </c>
      <c r="CJ246" s="276">
        <f>SUMIF('20Ф'!$H:$H,$B:$B,'20Ф'!M:M)*1.2</f>
        <v>0</v>
      </c>
      <c r="CK246" s="276">
        <f>SUMIF('20Ф'!$H:$H,$B:$B,'20Ф'!O:O)*1.2</f>
        <v>0</v>
      </c>
      <c r="CL246" s="276">
        <f>SUMIF('20Ф'!$H:$H,$B:$B,'20Ф'!Q:Q)*1.2</f>
        <v>0</v>
      </c>
      <c r="CM246" s="276">
        <f>SUMIF('20Ф'!$H:$H,$B:$B,'20Ф'!R:R)*1.2</f>
        <v>0</v>
      </c>
      <c r="CN246" s="276">
        <f>SUMIF('20Ф'!$H:$H,$B:$B,'20Ф'!S:S)*1.2</f>
        <v>0</v>
      </c>
      <c r="CO246" s="276">
        <f>SUMIF('20Ф'!$H:$H,$B:$B,'20Ф'!W:W)*1.2</f>
        <v>0</v>
      </c>
      <c r="CP246" s="276">
        <f>SUMIF('20Ф'!$H:$H,$B:$B,'20Ф'!P:P)*1.2</f>
        <v>0</v>
      </c>
      <c r="CQ246" s="276">
        <f>SUMIF('20Ф'!$H:$H,$B:$B,'20Ф'!Y:Y)*1.2</f>
        <v>0</v>
      </c>
      <c r="CR246" s="276">
        <f>SUMIF('20Ф'!$H:$H,$B:$B,'20Ф'!Z:Z)*1.2</f>
        <v>0</v>
      </c>
      <c r="CS246" s="276">
        <f>SUMIF('20Ф'!$H:$H,$B:$B,'20Ф'!AB:AB)*1.2</f>
        <v>0</v>
      </c>
      <c r="CT246" s="276">
        <f>SUMIF('20Ф'!$H:$H,$B:$B,'20Ф'!AC:AC)*1.2</f>
        <v>0</v>
      </c>
      <c r="CU246" s="276">
        <f>SUMIF('20Ф'!$H:$H,$B:$B,'20Ф'!AD:AD)*1.2</f>
        <v>0</v>
      </c>
      <c r="CV246" s="276">
        <f>SUMIF('20Ф'!$H:$H,$B:$B,'20Ф'!AE:AE)*1.2</f>
        <v>0</v>
      </c>
      <c r="CW246" s="276">
        <f>SUMIF('20Ф'!$H:$H,$B:$B,'20Ф'!AF:AF)*1.2</f>
        <v>0</v>
      </c>
      <c r="CX246" s="276">
        <f>SUMIF('20Ф'!$H:$H,$B:$B,'20Ф'!AG:AG)*1.2</f>
        <v>0</v>
      </c>
      <c r="CY246" s="276">
        <f>SUMIF('20Ф'!$H:$H,$B:$B,'20Ф'!AH:AH)*1.2</f>
        <v>0</v>
      </c>
      <c r="CZ246" s="276">
        <f>SUMIF('20Ф'!$H:$H,$B:$B,'20Ф'!AI:AI)*1.2</f>
        <v>0</v>
      </c>
      <c r="DA246" s="276">
        <f>SUMIF('20Ф'!$H:$H,$B:$B,'20Ф'!AJ:AJ)*1.2</f>
        <v>0</v>
      </c>
      <c r="DB246" s="276">
        <f>SUMIF('20Ф'!$H:$H,$B:$B,'20Ф'!AK:AK)*1.2</f>
        <v>0</v>
      </c>
      <c r="DC246" s="276">
        <f>SUMIF('20Ф'!$H:$H,$B:$B,'20Ф'!AL:AL)*1.2</f>
        <v>0</v>
      </c>
      <c r="DD246" s="276">
        <f>SUMIF('20Ф'!$H:$H,$B:$B,'20Ф'!AM:AM)*1.2</f>
        <v>0</v>
      </c>
      <c r="DE246" s="276">
        <f>SUMIF('20Ф'!$H:$H,$B:$B,'20Ф'!AN:AN)*1.2</f>
        <v>0</v>
      </c>
      <c r="DF246" s="276">
        <f>SUMIF('20Ф'!$H:$H,$B:$B,'20Ф'!AO:AO)*1.2</f>
        <v>0</v>
      </c>
      <c r="DG246" s="276">
        <f>SUMIF('20Ф'!$H:$H,$B:$B,'20Ф'!AP:AP)*1.2</f>
        <v>0</v>
      </c>
      <c r="DH246" s="276">
        <f>SUMIF('20Ф'!$H:$H,$B:$B,'20Ф'!AQ:AQ)*1.2</f>
        <v>0</v>
      </c>
      <c r="DI246" s="276">
        <f>SUMIF('20Ф'!$H:$H,$B:$B,'20Ф'!BA:BA)*1.2</f>
        <v>0</v>
      </c>
      <c r="DJ246" s="276">
        <f>SUMIF('20Ф'!$H:$H,$B:$B,'20Ф'!BB:BB)*1.2</f>
        <v>0</v>
      </c>
      <c r="DK246" s="276">
        <f>SUMIF('20Ф'!$H:$H,$B:$B,'20Ф'!BC:BC)*1.2</f>
        <v>0</v>
      </c>
      <c r="DL246" s="276">
        <f>$D246/$D$281*'20Ф'!$H$218</f>
        <v>1543.581267666915</v>
      </c>
      <c r="DM246" s="240">
        <f t="shared" si="39"/>
        <v>29331.861517849909</v>
      </c>
      <c r="DN246" s="276">
        <f>SUMIF('20Ф'!$H:$H,$B:$B,'20Ф'!AV:AV)*1.2</f>
        <v>0</v>
      </c>
      <c r="DO246" s="276">
        <f>SUMIF('20Ф'!$H:$H,$B:$B,'20Ф'!AW:AW)*1.2+$D246/$D$281*'26Ф'!$D$42</f>
        <v>821.41404851473794</v>
      </c>
      <c r="DP246" s="276">
        <f>SUMIF('20Ф'!$H:$H,$B:$B,'20Ф'!AX:AX)*1.2</f>
        <v>0</v>
      </c>
      <c r="DQ246" s="276">
        <f>SUMIF('20Ф'!$H:$H,$B:$B,'20Ф'!AY:AY)*1.2</f>
        <v>0</v>
      </c>
      <c r="DR246" s="276">
        <f>SUMIF('20Ф'!$H:$H,$B:$B,'20Ф'!AU:AU)*1.2</f>
        <v>0</v>
      </c>
      <c r="DS246" s="276">
        <f>SUMIF('20Ф'!$H:$H,$B:$B,'20Ф'!AS:AS)*1.2</f>
        <v>5981.0039999999999</v>
      </c>
      <c r="DT246" s="276">
        <f>SUMIF('20Ф'!$H:$H,$B:$B,'20Ф'!AR:AR)*1.2</f>
        <v>0</v>
      </c>
      <c r="DU246" s="276">
        <f>SUMIF('20Ф'!$H:$H,$B:$B,'20Ф'!X:X)*1.2</f>
        <v>8039.8319999999994</v>
      </c>
      <c r="DV246" s="276">
        <f>SUMIF('20Ф'!$H:$H,$B:$B,'20Ф'!AA:AA)*1.2</f>
        <v>0</v>
      </c>
      <c r="DW246" s="276">
        <f>SUMIF('20Ф'!$H:$H,$B:$B,'20Ф'!N:N)*1.2</f>
        <v>0</v>
      </c>
      <c r="DX246" s="276">
        <f>$D246/$D$281*('25Ф'!$D$37)</f>
        <v>13806.942547309563</v>
      </c>
      <c r="DY246" s="276">
        <f>$D246/$D$281*'25Ф'!$D$30</f>
        <v>440.67426364554569</v>
      </c>
      <c r="DZ246" s="276">
        <f>$D246/$D$281*'25Ф'!$D$31</f>
        <v>241.99465838006421</v>
      </c>
      <c r="EA246" s="276"/>
      <c r="EB246" s="276">
        <f t="shared" si="40"/>
        <v>8698.5905055792773</v>
      </c>
      <c r="EC246" s="276">
        <f>$D246/$D$281*'26Ф'!$D$36</f>
        <v>4527.8964941852837</v>
      </c>
      <c r="ED246" s="276">
        <f>$D246/$D$281*'26Ф'!$D$37</f>
        <v>544.02192788863215</v>
      </c>
      <c r="EE246" s="276">
        <f>$D246/$D$281*'26Ф'!$D$38</f>
        <v>549.6014080841594</v>
      </c>
      <c r="EF246" s="276">
        <f>$D246/$D$281*'26Ф'!$D$39</f>
        <v>385.54488616280821</v>
      </c>
      <c r="EG246" s="276">
        <f>$D246/$D$281*'91Ф'!$D$10</f>
        <v>118.94043703525782</v>
      </c>
      <c r="EH246" s="276">
        <f>$D246/$D$281*('20Ф'!$I$509+'26Ф'!$D$41+'20Ф'!$I$507)</f>
        <v>841.46442679242489</v>
      </c>
      <c r="EI246" s="276">
        <f>$D246/$D$281*'91Ф'!$D$31</f>
        <v>1542.5278883537248</v>
      </c>
      <c r="EJ246" s="276">
        <f>$D246/$D$281*'20Ф'!$I$1316</f>
        <v>188.5930370769851</v>
      </c>
      <c r="EK246" s="276">
        <f>$D246/$D$281*('20Ф'!$I$1105+'20Ф'!$I$1282+'91Ф'!$D$17+'91Ф'!$D$41)</f>
        <v>6193.6054491387231</v>
      </c>
      <c r="EL246" s="276">
        <f>$D246/$D$281*отчёт!BX$294</f>
        <v>10353.819408723</v>
      </c>
      <c r="EM246" s="276">
        <f>$D246/$D$281*отчёт!BY$294</f>
        <v>9105.6283972414203</v>
      </c>
      <c r="EN246" s="276">
        <f>SUMIF(отчёт!$B:$B,$B:$B,отчёт!BZ:BZ)/отчёт!BZ$281*('60Ф'!$O$151+'60Ф'!$P$151)*отчёт!BZ$293</f>
        <v>0</v>
      </c>
      <c r="EO246" s="240">
        <f t="shared" si="45"/>
        <v>0</v>
      </c>
      <c r="EP246" s="276">
        <f>SUMIF('20Ф'!$H:$H,$B:$B,'20Ф'!T:T)*1.2</f>
        <v>0</v>
      </c>
      <c r="EQ246" s="276">
        <f>SUMIF('20Ф'!$H:$H,$B:$B,'20Ф'!U:U)*1.2</f>
        <v>0</v>
      </c>
      <c r="ER246" s="238"/>
      <c r="ES246" s="239">
        <f t="shared" si="43"/>
        <v>3465.4272995196488</v>
      </c>
      <c r="ET246" s="276">
        <f>$D246/$D$282*'20Ф'!$I$381</f>
        <v>264.86592880730217</v>
      </c>
      <c r="EU246" s="276">
        <f>$D246/$D$282*('20Ф'!$I$75+'20Ф'!$I$1098)*1.2</f>
        <v>3059.3190589694073</v>
      </c>
      <c r="EV246" s="276">
        <f>$D246/$D$282*('20Ф'!$I$1286)</f>
        <v>141.24231174293934</v>
      </c>
      <c r="EW246" s="276">
        <f>SUMIF('91.1Ф'!$N:$N,$B:$B,'91.1Ф'!$F:$F)+$D246/$D$281*('91Ф'!$D$12+'91Ф'!$D$11+'91Ф'!$D$19+'91Ф'!$D$20)</f>
        <v>816.28692505456911</v>
      </c>
      <c r="EX246" s="276">
        <f t="shared" si="41"/>
        <v>0</v>
      </c>
      <c r="EY246" s="276">
        <f>SUMIF('20Ф'!$H:$H,$B:$B,'20Ф'!$AY:$AY)*1.2</f>
        <v>0</v>
      </c>
      <c r="EZ246" s="238"/>
      <c r="FA246" s="277">
        <f>SUMIF(отчёт!$B:$B,$B:$B,отчёт!$CU:$CU)/отчёт!$CU$281*'20Ф'!$I$1341</f>
        <v>0</v>
      </c>
      <c r="FB246" s="276">
        <f>SUMIF(Сальдо!$A:$A,$B:$B,Сальдо!$H:$H)-SUMIF(Сальдо!$A:$A,$B:$B,Сальдо!$I:$I)</f>
        <v>107902.81</v>
      </c>
    </row>
    <row r="247" spans="1:158" s="13" customFormat="1" ht="12" customHeight="1" x14ac:dyDescent="0.25">
      <c r="A247" s="3">
        <f t="shared" si="44"/>
        <v>243</v>
      </c>
      <c r="B247" s="4" t="s">
        <v>320</v>
      </c>
      <c r="C247" s="56"/>
      <c r="D247" s="233">
        <v>9973.7999999999993</v>
      </c>
      <c r="E247" s="234">
        <v>8448.7999999999993</v>
      </c>
      <c r="F247" s="235">
        <v>1525</v>
      </c>
      <c r="G247" s="234">
        <v>3194.06</v>
      </c>
      <c r="H247" s="5">
        <f>SUMIF(отчёт!$B:$B,$B:$B,отчёт!I:I)</f>
        <v>0</v>
      </c>
      <c r="I247" s="5">
        <f>SUMIF(отчёт!$B:$B,$B:$B,отчёт!J:J)</f>
        <v>3</v>
      </c>
      <c r="J247" s="3" t="s">
        <v>321</v>
      </c>
      <c r="K247" s="105">
        <v>1</v>
      </c>
      <c r="L247" s="105"/>
      <c r="M247" s="12"/>
      <c r="N247" s="8"/>
      <c r="O247" s="8"/>
      <c r="P247" s="8"/>
      <c r="Q247" s="8"/>
      <c r="R247" s="8"/>
      <c r="S247" s="8"/>
      <c r="T247" s="8"/>
      <c r="U247" s="8"/>
      <c r="V247" s="9"/>
      <c r="W247" s="9"/>
      <c r="X247" s="9"/>
      <c r="Y247" s="8"/>
      <c r="Z247" s="9"/>
      <c r="AA247" s="9"/>
      <c r="AB247" s="8"/>
      <c r="AC247" s="10"/>
      <c r="AD247" s="8"/>
      <c r="AE247" s="8"/>
      <c r="AF247" s="8"/>
      <c r="AG247" s="7"/>
      <c r="AH247" s="8"/>
      <c r="AI247" s="8"/>
      <c r="AJ247" s="8"/>
      <c r="AK247" s="8"/>
      <c r="AL247" s="8"/>
      <c r="AM247" s="8"/>
      <c r="AN247" s="8"/>
      <c r="AO247" s="8"/>
      <c r="AP247" s="16"/>
      <c r="AQ247" s="7">
        <v>41.47</v>
      </c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F247" s="277">
        <f>SUMIF(Оборот!$A:$A,$B:$B,Оборот!H:H)</f>
        <v>4152123.4000000004</v>
      </c>
      <c r="CG247" s="277">
        <f>SUMIF(Оборот!$A:$A,$B:$B,Оборот!I:I)</f>
        <v>4072407.3099999996</v>
      </c>
      <c r="CH247" s="277">
        <f t="shared" si="38"/>
        <v>4820422.6750825532</v>
      </c>
      <c r="CI247" s="239">
        <f t="shared" si="42"/>
        <v>1084563.7868117166</v>
      </c>
      <c r="CJ247" s="276">
        <f>SUMIF('20Ф'!$H:$H,$B:$B,'20Ф'!M:M)*1.2</f>
        <v>0</v>
      </c>
      <c r="CK247" s="276">
        <f>SUMIF('20Ф'!$H:$H,$B:$B,'20Ф'!O:O)*1.2</f>
        <v>321916.272</v>
      </c>
      <c r="CL247" s="276">
        <f>SUMIF('20Ф'!$H:$H,$B:$B,'20Ф'!Q:Q)*1.2</f>
        <v>9600</v>
      </c>
      <c r="CM247" s="276">
        <f>SUMIF('20Ф'!$H:$H,$B:$B,'20Ф'!R:R)*1.2</f>
        <v>0</v>
      </c>
      <c r="CN247" s="276">
        <f>SUMIF('20Ф'!$H:$H,$B:$B,'20Ф'!S:S)*1.2</f>
        <v>0</v>
      </c>
      <c r="CO247" s="276">
        <f>SUMIF('20Ф'!$H:$H,$B:$B,'20Ф'!W:W)*1.2</f>
        <v>0</v>
      </c>
      <c r="CP247" s="276">
        <f>SUMIF('20Ф'!$H:$H,$B:$B,'20Ф'!P:P)*1.2</f>
        <v>0</v>
      </c>
      <c r="CQ247" s="276">
        <f>SUMIF('20Ф'!$H:$H,$B:$B,'20Ф'!Y:Y)*1.2</f>
        <v>0</v>
      </c>
      <c r="CR247" s="276">
        <f>SUMIF('20Ф'!$H:$H,$B:$B,'20Ф'!Z:Z)*1.2</f>
        <v>0</v>
      </c>
      <c r="CS247" s="276">
        <f>SUMIF('20Ф'!$H:$H,$B:$B,'20Ф'!AB:AB)*1.2</f>
        <v>0</v>
      </c>
      <c r="CT247" s="276">
        <f>SUMIF('20Ф'!$H:$H,$B:$B,'20Ф'!AC:AC)*1.2</f>
        <v>0</v>
      </c>
      <c r="CU247" s="276">
        <f>SUMIF('20Ф'!$H:$H,$B:$B,'20Ф'!AD:AD)*1.2</f>
        <v>120735.38400000001</v>
      </c>
      <c r="CV247" s="276">
        <f>SUMIF('20Ф'!$H:$H,$B:$B,'20Ф'!AE:AE)*1.2</f>
        <v>0</v>
      </c>
      <c r="CW247" s="276">
        <f>SUMIF('20Ф'!$H:$H,$B:$B,'20Ф'!AF:AF)*1.2</f>
        <v>0</v>
      </c>
      <c r="CX247" s="276">
        <f>SUMIF('20Ф'!$H:$H,$B:$B,'20Ф'!AG:AG)*1.2</f>
        <v>0</v>
      </c>
      <c r="CY247" s="276">
        <f>SUMIF('20Ф'!$H:$H,$B:$B,'20Ф'!AH:AH)*1.2</f>
        <v>0</v>
      </c>
      <c r="CZ247" s="276">
        <f>SUMIF('20Ф'!$H:$H,$B:$B,'20Ф'!AI:AI)*1.2</f>
        <v>544589.22</v>
      </c>
      <c r="DA247" s="276">
        <f>SUMIF('20Ф'!$H:$H,$B:$B,'20Ф'!AJ:AJ)*1.2</f>
        <v>0</v>
      </c>
      <c r="DB247" s="276">
        <f>SUMIF('20Ф'!$H:$H,$B:$B,'20Ф'!AK:AK)*1.2</f>
        <v>0</v>
      </c>
      <c r="DC247" s="276">
        <f>SUMIF('20Ф'!$H:$H,$B:$B,'20Ф'!AL:AL)*1.2</f>
        <v>0</v>
      </c>
      <c r="DD247" s="276">
        <f>SUMIF('20Ф'!$H:$H,$B:$B,'20Ф'!AM:AM)*1.2</f>
        <v>0</v>
      </c>
      <c r="DE247" s="276">
        <f>SUMIF('20Ф'!$H:$H,$B:$B,'20Ф'!AN:AN)*1.2</f>
        <v>0</v>
      </c>
      <c r="DF247" s="276">
        <f>SUMIF('20Ф'!$H:$H,$B:$B,'20Ф'!AO:AO)*1.2</f>
        <v>0</v>
      </c>
      <c r="DG247" s="276">
        <f>SUMIF('20Ф'!$H:$H,$B:$B,'20Ф'!AP:AP)*1.2</f>
        <v>0</v>
      </c>
      <c r="DH247" s="276">
        <f>SUMIF('20Ф'!$H:$H,$B:$B,'20Ф'!AQ:AQ)*1.2</f>
        <v>0</v>
      </c>
      <c r="DI247" s="276">
        <f>SUMIF('20Ф'!$H:$H,$B:$B,'20Ф'!BA:BA)*1.2</f>
        <v>0</v>
      </c>
      <c r="DJ247" s="276">
        <f>SUMIF('20Ф'!$H:$H,$B:$B,'20Ф'!BB:BB)*1.2</f>
        <v>0</v>
      </c>
      <c r="DK247" s="276">
        <f>SUMIF('20Ф'!$H:$H,$B:$B,'20Ф'!BC:BC)*1.2</f>
        <v>0</v>
      </c>
      <c r="DL247" s="276">
        <f>$D247/$D$281*'20Ф'!$H$218</f>
        <v>87722.910811716676</v>
      </c>
      <c r="DM247" s="240">
        <f t="shared" si="39"/>
        <v>1172840.4418913473</v>
      </c>
      <c r="DN247" s="276">
        <f>SUMIF('20Ф'!$H:$H,$B:$B,'20Ф'!AV:AV)*1.2</f>
        <v>0</v>
      </c>
      <c r="DO247" s="276">
        <f>SUMIF('20Ф'!$H:$H,$B:$B,'20Ф'!AW:AW)*1.2+$D247/$D$281*'26Ф'!$D$42</f>
        <v>226681.54423405294</v>
      </c>
      <c r="DP247" s="276">
        <f>SUMIF('20Ф'!$H:$H,$B:$B,'20Ф'!AX:AX)*1.2</f>
        <v>0</v>
      </c>
      <c r="DQ247" s="276">
        <f>SUMIF('20Ф'!$H:$H,$B:$B,'20Ф'!AY:AY)*1.2</f>
        <v>0</v>
      </c>
      <c r="DR247" s="276">
        <f>SUMIF('20Ф'!$H:$H,$B:$B,'20Ф'!AU:AU)*1.2</f>
        <v>0</v>
      </c>
      <c r="DS247" s="276">
        <f>SUMIF('20Ф'!$H:$H,$B:$B,'20Ф'!AS:AS)*1.2</f>
        <v>119203.128</v>
      </c>
      <c r="DT247" s="276">
        <f>SUMIF('20Ф'!$H:$H,$B:$B,'20Ф'!AR:AR)*1.2</f>
        <v>3500.0039999999999</v>
      </c>
      <c r="DU247" s="276">
        <f>SUMIF('20Ф'!$H:$H,$B:$B,'20Ф'!X:X)*1.2</f>
        <v>0</v>
      </c>
      <c r="DV247" s="276">
        <f>SUMIF('20Ф'!$H:$H,$B:$B,'20Ф'!AA:AA)*1.2</f>
        <v>0</v>
      </c>
      <c r="DW247" s="276">
        <f>SUMIF('20Ф'!$H:$H,$B:$B,'20Ф'!N:N)*1.2</f>
        <v>0</v>
      </c>
      <c r="DX247" s="276">
        <f>$D247/$D$281*('25Ф'!$D$37)</f>
        <v>784659.16568863881</v>
      </c>
      <c r="DY247" s="276">
        <f>$D247/$D$281*'25Ф'!$D$30</f>
        <v>25043.857383179165</v>
      </c>
      <c r="DZ247" s="276">
        <f>$D247/$D$281*'25Ф'!$D$31</f>
        <v>13752.742585476264</v>
      </c>
      <c r="EA247" s="276"/>
      <c r="EB247" s="276">
        <f t="shared" si="40"/>
        <v>494347.58965553599</v>
      </c>
      <c r="EC247" s="276">
        <f>$D247/$D$281*'26Ф'!$D$36</f>
        <v>257323.84076185286</v>
      </c>
      <c r="ED247" s="276">
        <f>$D247/$D$281*'26Ф'!$D$37</f>
        <v>30917.184640317035</v>
      </c>
      <c r="EE247" s="276">
        <f>$D247/$D$281*'26Ф'!$D$38</f>
        <v>31234.27079173669</v>
      </c>
      <c r="EF247" s="276">
        <f>$D247/$D$281*'26Ф'!$D$39</f>
        <v>21910.812453621744</v>
      </c>
      <c r="EG247" s="276">
        <f>$D247/$D$281*'91Ф'!$D$10</f>
        <v>6759.4765293575747</v>
      </c>
      <c r="EH247" s="276">
        <f>$D247/$D$281*('20Ф'!$I$509+'26Ф'!$D$41+'20Ф'!$I$507)</f>
        <v>47821.07065494181</v>
      </c>
      <c r="EI247" s="276">
        <f>$D247/$D$281*'91Ф'!$D$31</f>
        <v>87663.046455056305</v>
      </c>
      <c r="EJ247" s="276">
        <f>$D247/$D$281*'20Ф'!$I$1316</f>
        <v>10717.887368652046</v>
      </c>
      <c r="EK247" s="276">
        <f>$D247/$D$281*('20Ф'!$I$1105+'20Ф'!$I$1282+'91Ф'!$D$17+'91Ф'!$D$41)</f>
        <v>351987.36198643752</v>
      </c>
      <c r="EL247" s="276">
        <f>$D247/$D$281*отчёт!BX$294</f>
        <v>588415.52147419634</v>
      </c>
      <c r="EM247" s="276">
        <f>$D247/$D$281*отчёт!BY$294</f>
        <v>517479.86614476627</v>
      </c>
      <c r="EN247" s="276">
        <f>$D247/$D$283*отчёт!BZ$294</f>
        <v>92871.459858177201</v>
      </c>
      <c r="EO247" s="240">
        <f t="shared" ref="EO247:EO257" si="49">SUBTOTAL(9,EP247:ER247)</f>
        <v>274583.53425149701</v>
      </c>
      <c r="EP247" s="276">
        <f>SUMIF('20Ф'!$H:$H,$B:$B,'20Ф'!T:T)*1.2</f>
        <v>7788.42</v>
      </c>
      <c r="EQ247" s="276">
        <f>SUM(H247:I247)/SUM($H$284:$I$284)*SUM('60Ф'!$O$155:$P$155)</f>
        <v>258765.39263473055</v>
      </c>
      <c r="ER247" s="276">
        <f>SUM($H247:$I247)/SUM($H$284:$I$284)*SUM('60Ф'!$P$227)</f>
        <v>8029.7216167664674</v>
      </c>
      <c r="ES247" s="239">
        <f t="shared" si="43"/>
        <v>196942.89914500894</v>
      </c>
      <c r="ET247" s="276">
        <f>$D247/$D$282*'20Ф'!$I$381</f>
        <v>15052.53447714114</v>
      </c>
      <c r="EU247" s="276">
        <f>$D247/$D$282*('20Ф'!$I$75+'20Ф'!$I$1098)*1.2</f>
        <v>173863.45544358445</v>
      </c>
      <c r="EV247" s="276">
        <f>$D247/$D$282*('20Ф'!$I$1286)</f>
        <v>8026.9092242833522</v>
      </c>
      <c r="EW247" s="276">
        <f>SUMIF('91.1Ф'!$N:$N,$B:$B,'91.1Ф'!$F:$F)+$D247/$D$281*('91Ф'!$D$12+'91Ф'!$D$11+'91Ф'!$D$19+'91Ф'!$D$20)</f>
        <v>46390.213863870427</v>
      </c>
      <c r="EX247" s="276">
        <f t="shared" si="41"/>
        <v>0</v>
      </c>
      <c r="EY247" s="276">
        <f>SUMIF('20Ф'!$H:$H,$B:$B,'20Ф'!$AY:$AY)*1.2</f>
        <v>0</v>
      </c>
      <c r="EZ247" s="238"/>
      <c r="FA247" s="277">
        <f>SUMIF(отчёт!$B:$B,$B:$B,отчёт!$CU:$CU)/отчёт!$CU$281*'20Ф'!$I$1341</f>
        <v>0</v>
      </c>
      <c r="FB247" s="276">
        <f>SUMIF(Сальдо!$A:$A,$B:$B,Сальдо!$H:$H)-SUMIF(Сальдо!$A:$A,$B:$B,Сальдо!$I:$I)</f>
        <v>356965.05000000005</v>
      </c>
    </row>
    <row r="248" spans="1:158" s="13" customFormat="1" ht="12" customHeight="1" x14ac:dyDescent="0.25">
      <c r="A248" s="3">
        <f t="shared" si="44"/>
        <v>244</v>
      </c>
      <c r="B248" s="4" t="s">
        <v>323</v>
      </c>
      <c r="C248" s="56"/>
      <c r="D248" s="233">
        <v>12175.86</v>
      </c>
      <c r="E248" s="234">
        <v>11590.86</v>
      </c>
      <c r="F248" s="235">
        <v>585</v>
      </c>
      <c r="G248" s="234">
        <v>2337.1999999999998</v>
      </c>
      <c r="H248" s="5">
        <f>SUMIF(отчёт!$B:$B,$B:$B,отчёт!I:I)</f>
        <v>3</v>
      </c>
      <c r="I248" s="5">
        <f>SUMIF(отчёт!$B:$B,$B:$B,отчёт!J:J)</f>
        <v>3</v>
      </c>
      <c r="J248" s="3" t="s">
        <v>321</v>
      </c>
      <c r="K248" s="105">
        <v>1</v>
      </c>
      <c r="L248" s="105"/>
      <c r="M248" s="12"/>
      <c r="N248" s="8"/>
      <c r="O248" s="8"/>
      <c r="P248" s="8"/>
      <c r="Q248" s="8"/>
      <c r="R248" s="8"/>
      <c r="S248" s="8"/>
      <c r="T248" s="8"/>
      <c r="U248" s="8"/>
      <c r="V248" s="9"/>
      <c r="W248" s="9"/>
      <c r="X248" s="9"/>
      <c r="Y248" s="8"/>
      <c r="Z248" s="9"/>
      <c r="AA248" s="9"/>
      <c r="AB248" s="8"/>
      <c r="AC248" s="10"/>
      <c r="AD248" s="8"/>
      <c r="AE248" s="8"/>
      <c r="AF248" s="8"/>
      <c r="AG248" s="7"/>
      <c r="AH248" s="8"/>
      <c r="AI248" s="8"/>
      <c r="AJ248" s="8"/>
      <c r="AK248" s="8"/>
      <c r="AL248" s="8"/>
      <c r="AM248" s="8"/>
      <c r="AN248" s="8"/>
      <c r="AO248" s="8"/>
      <c r="AP248" s="16"/>
      <c r="AQ248" s="7">
        <v>41.47</v>
      </c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F248" s="277">
        <f>SUMIF(Оборот!$A:$A,$B:$B,Оборот!H:H)</f>
        <v>5616374.8999999985</v>
      </c>
      <c r="CG248" s="277">
        <f>SUMIF(Оборот!$A:$A,$B:$B,Оборот!I:I)</f>
        <v>5251272.93</v>
      </c>
      <c r="CH248" s="277">
        <f t="shared" si="38"/>
        <v>7413405.0704886001</v>
      </c>
      <c r="CI248" s="239">
        <f t="shared" si="42"/>
        <v>2728888.7938902271</v>
      </c>
      <c r="CJ248" s="276">
        <f>SUMIF('20Ф'!$H:$H,$B:$B,'20Ф'!M:M)*1.2</f>
        <v>0</v>
      </c>
      <c r="CK248" s="276">
        <f>SUMIF('20Ф'!$H:$H,$B:$B,'20Ф'!O:O)*1.2</f>
        <v>1137790.2720000001</v>
      </c>
      <c r="CL248" s="276">
        <f>SUMIF('20Ф'!$H:$H,$B:$B,'20Ф'!Q:Q)*1.2</f>
        <v>0</v>
      </c>
      <c r="CM248" s="276">
        <f>SUMIF('20Ф'!$H:$H,$B:$B,'20Ф'!R:R)*1.2</f>
        <v>0</v>
      </c>
      <c r="CN248" s="276">
        <f>SUMIF('20Ф'!$H:$H,$B:$B,'20Ф'!S:S)*1.2</f>
        <v>0</v>
      </c>
      <c r="CO248" s="276">
        <f>SUMIF('20Ф'!$H:$H,$B:$B,'20Ф'!W:W)*1.2</f>
        <v>0</v>
      </c>
      <c r="CP248" s="276">
        <f>SUMIF('20Ф'!$H:$H,$B:$B,'20Ф'!P:P)*1.2</f>
        <v>0</v>
      </c>
      <c r="CQ248" s="276">
        <f>SUMIF('20Ф'!$H:$H,$B:$B,'20Ф'!Y:Y)*1.2</f>
        <v>0</v>
      </c>
      <c r="CR248" s="276">
        <f>SUMIF('20Ф'!$H:$H,$B:$B,'20Ф'!Z:Z)*1.2</f>
        <v>0</v>
      </c>
      <c r="CS248" s="276">
        <f>SUMIF('20Ф'!$H:$H,$B:$B,'20Ф'!AB:AB)*1.2</f>
        <v>0</v>
      </c>
      <c r="CT248" s="276">
        <f>SUMIF('20Ф'!$H:$H,$B:$B,'20Ф'!AC:AC)*1.2</f>
        <v>0</v>
      </c>
      <c r="CU248" s="276">
        <f>SUMIF('20Ф'!$H:$H,$B:$B,'20Ф'!AD:AD)*1.2</f>
        <v>0</v>
      </c>
      <c r="CV248" s="276">
        <f>SUMIF('20Ф'!$H:$H,$B:$B,'20Ф'!AE:AE)*1.2</f>
        <v>0</v>
      </c>
      <c r="CW248" s="276">
        <f>SUMIF('20Ф'!$H:$H,$B:$B,'20Ф'!AF:AF)*1.2</f>
        <v>0</v>
      </c>
      <c r="CX248" s="276">
        <f>SUMIF('20Ф'!$H:$H,$B:$B,'20Ф'!AG:AG)*1.2</f>
        <v>0</v>
      </c>
      <c r="CY248" s="276">
        <f>SUMIF('20Ф'!$H:$H,$B:$B,'20Ф'!AH:AH)*1.2</f>
        <v>0</v>
      </c>
      <c r="CZ248" s="276">
        <f>SUMIF('20Ф'!$H:$H,$B:$B,'20Ф'!AI:AI)*1.2</f>
        <v>761534.14800000004</v>
      </c>
      <c r="DA248" s="276">
        <f>SUMIF('20Ф'!$H:$H,$B:$B,'20Ф'!AJ:AJ)*1.2</f>
        <v>15698.255999999998</v>
      </c>
      <c r="DB248" s="276">
        <f>SUMIF('20Ф'!$H:$H,$B:$B,'20Ф'!AK:AK)*1.2</f>
        <v>0</v>
      </c>
      <c r="DC248" s="276">
        <f>SUMIF('20Ф'!$H:$H,$B:$B,'20Ф'!AL:AL)*1.2</f>
        <v>706775.35199999996</v>
      </c>
      <c r="DD248" s="276">
        <f>SUMIF('20Ф'!$H:$H,$B:$B,'20Ф'!AM:AM)*1.2</f>
        <v>0</v>
      </c>
      <c r="DE248" s="276">
        <f>SUMIF('20Ф'!$H:$H,$B:$B,'20Ф'!AN:AN)*1.2</f>
        <v>0</v>
      </c>
      <c r="DF248" s="276">
        <f>SUMIF('20Ф'!$H:$H,$B:$B,'20Ф'!AO:AO)*1.2</f>
        <v>0</v>
      </c>
      <c r="DG248" s="276">
        <f>SUMIF('20Ф'!$H:$H,$B:$B,'20Ф'!AP:AP)*1.2</f>
        <v>0</v>
      </c>
      <c r="DH248" s="276">
        <f>SUMIF('20Ф'!$H:$H,$B:$B,'20Ф'!AQ:AQ)*1.2</f>
        <v>0</v>
      </c>
      <c r="DI248" s="276">
        <f>SUMIF('20Ф'!$H:$H,$B:$B,'20Ф'!BA:BA)*1.2</f>
        <v>0</v>
      </c>
      <c r="DJ248" s="276">
        <f>SUMIF('20Ф'!$H:$H,$B:$B,'20Ф'!BB:BB)*1.2</f>
        <v>0</v>
      </c>
      <c r="DK248" s="276">
        <f>SUMIF('20Ф'!$H:$H,$B:$B,'20Ф'!BC:BC)*1.2</f>
        <v>0</v>
      </c>
      <c r="DL248" s="276">
        <f>$D248/$D$281*'20Ф'!$H$218</f>
        <v>107090.76589022728</v>
      </c>
      <c r="DM248" s="240">
        <f t="shared" si="39"/>
        <v>1339202.4804659148</v>
      </c>
      <c r="DN248" s="276">
        <f>SUMIF('20Ф'!$H:$H,$B:$B,'20Ф'!AV:AV)*1.2</f>
        <v>0</v>
      </c>
      <c r="DO248" s="276">
        <f>SUMIF('20Ф'!$H:$H,$B:$B,'20Ф'!AW:AW)*1.2+$D248/$D$281*'26Ф'!$D$42</f>
        <v>236988.11414671599</v>
      </c>
      <c r="DP248" s="276">
        <f>SUMIF('20Ф'!$H:$H,$B:$B,'20Ф'!AX:AX)*1.2</f>
        <v>0</v>
      </c>
      <c r="DQ248" s="276">
        <f>SUMIF('20Ф'!$H:$H,$B:$B,'20Ф'!AY:AY)*1.2</f>
        <v>0</v>
      </c>
      <c r="DR248" s="276">
        <f>SUMIF('20Ф'!$H:$H,$B:$B,'20Ф'!AU:AU)*1.2</f>
        <v>0</v>
      </c>
      <c r="DS248" s="276">
        <f>SUMIF('20Ф'!$H:$H,$B:$B,'20Ф'!AS:AS)*1.2</f>
        <v>96952.368000000002</v>
      </c>
      <c r="DT248" s="276">
        <f>SUMIF('20Ф'!$H:$H,$B:$B,'20Ф'!AR:AR)*1.2</f>
        <v>0</v>
      </c>
      <c r="DU248" s="276">
        <f>SUMIF('20Ф'!$H:$H,$B:$B,'20Ф'!X:X)*1.2</f>
        <v>0</v>
      </c>
      <c r="DV248" s="276">
        <f>SUMIF('20Ф'!$H:$H,$B:$B,'20Ф'!AA:AA)*1.2</f>
        <v>0</v>
      </c>
      <c r="DW248" s="276">
        <f>SUMIF('20Ф'!$H:$H,$B:$B,'20Ф'!N:N)*1.2</f>
        <v>0</v>
      </c>
      <c r="DX248" s="276">
        <f>$D248/$D$281*('25Ф'!$D$37)</f>
        <v>957899.71216002642</v>
      </c>
      <c r="DY248" s="276">
        <f>$D248/$D$281*'25Ф'!$D$30</f>
        <v>30573.151793454443</v>
      </c>
      <c r="DZ248" s="276">
        <f>$D248/$D$281*'25Ф'!$D$31</f>
        <v>16789.134365717884</v>
      </c>
      <c r="EA248" s="276"/>
      <c r="EB248" s="276">
        <f t="shared" si="40"/>
        <v>603491.85295306263</v>
      </c>
      <c r="EC248" s="276">
        <f>$D248/$D$281*'26Ф'!$D$36</f>
        <v>314136.94477316714</v>
      </c>
      <c r="ED248" s="276">
        <f>$D248/$D$281*'26Ф'!$D$37</f>
        <v>37743.218409698471</v>
      </c>
      <c r="EE248" s="276">
        <f>$D248/$D$281*'26Ф'!$D$38</f>
        <v>38130.312254333869</v>
      </c>
      <c r="EF248" s="276">
        <f>$D248/$D$281*'26Ф'!$D$39</f>
        <v>26748.379245779433</v>
      </c>
      <c r="EG248" s="276">
        <f>$D248/$D$281*'91Ф'!$D$10</f>
        <v>8251.8638728211645</v>
      </c>
      <c r="EH248" s="276">
        <f>$D248/$D$281*('20Ф'!$I$509+'26Ф'!$D$41+'20Ф'!$I$507)</f>
        <v>58379.219690055936</v>
      </c>
      <c r="EI248" s="276">
        <f>$D248/$D$281*'91Ф'!$D$31</f>
        <v>107017.68441419138</v>
      </c>
      <c r="EJ248" s="276">
        <f>$D248/$D$281*'20Ф'!$I$1316</f>
        <v>13084.230293015271</v>
      </c>
      <c r="EK248" s="276">
        <f>$D248/$D$281*('20Ф'!$I$1105+'20Ф'!$I$1282+'91Ф'!$D$17+'91Ф'!$D$41)</f>
        <v>429700.69996552833</v>
      </c>
      <c r="EL248" s="276">
        <f>$D248/$D$281*отчёт!BX$294</f>
        <v>718328.52185694606</v>
      </c>
      <c r="EM248" s="276">
        <f>$D248/$D$281*отчёт!BY$294</f>
        <v>631731.37650618772</v>
      </c>
      <c r="EN248" s="276">
        <f>$D248/$D$283*отчёт!BZ$294</f>
        <v>113376.03453335597</v>
      </c>
      <c r="EO248" s="240">
        <f t="shared" si="49"/>
        <v>551628.0285029941</v>
      </c>
      <c r="EP248" s="276">
        <f>SUMIF('20Ф'!$H:$H,$B:$B,'20Ф'!T:T)*1.2</f>
        <v>18037.8</v>
      </c>
      <c r="EQ248" s="276">
        <f>SUM(H248:I248)/SUM($H$284:$I$284)*SUM('60Ф'!$O$155:$P$155)</f>
        <v>517530.78526946111</v>
      </c>
      <c r="ER248" s="276">
        <f>SUM($H248:$I248)/SUM($H$284:$I$284)*SUM('60Ф'!$P$227)</f>
        <v>16059.443233532935</v>
      </c>
      <c r="ES248" s="239">
        <f t="shared" si="43"/>
        <v>240424.82985258871</v>
      </c>
      <c r="ET248" s="276">
        <f>$D248/$D$282*'20Ф'!$I$381</f>
        <v>18375.900102152013</v>
      </c>
      <c r="EU248" s="276">
        <f>$D248/$D$282*('20Ф'!$I$75+'20Ф'!$I$1098)*1.2</f>
        <v>212249.80374554559</v>
      </c>
      <c r="EV248" s="276">
        <f>$D248/$D$282*('20Ф'!$I$1286)</f>
        <v>9799.1260048910863</v>
      </c>
      <c r="EW248" s="276">
        <f>SUMIF('91.1Ф'!$N:$N,$B:$B,'91.1Ф'!$F:$F)+$D248/$D$281*('91Ф'!$D$12+'91Ф'!$D$11+'91Ф'!$D$19+'91Ф'!$D$20)</f>
        <v>56632.451961794453</v>
      </c>
      <c r="EX248" s="276">
        <f t="shared" si="41"/>
        <v>0</v>
      </c>
      <c r="EY248" s="276">
        <f>SUMIF('20Ф'!$H:$H,$B:$B,'20Ф'!$AY:$AY)*1.2</f>
        <v>0</v>
      </c>
      <c r="EZ248" s="238"/>
      <c r="FA248" s="277">
        <f>SUMIF(отчёт!$B:$B,$B:$B,отчёт!$CU:$CU)/отчёт!$CU$281*'20Ф'!$I$1341</f>
        <v>0</v>
      </c>
      <c r="FB248" s="276">
        <f>SUMIF(Сальдо!$A:$A,$B:$B,Сальдо!$H:$H)-SUMIF(Сальдо!$A:$A,$B:$B,Сальдо!$I:$I)</f>
        <v>732807.23</v>
      </c>
    </row>
    <row r="249" spans="1:158" s="13" customFormat="1" ht="12" customHeight="1" x14ac:dyDescent="0.25">
      <c r="A249" s="3">
        <f t="shared" si="44"/>
        <v>245</v>
      </c>
      <c r="B249" s="4" t="s">
        <v>324</v>
      </c>
      <c r="C249" s="56"/>
      <c r="D249" s="233">
        <v>14598.6</v>
      </c>
      <c r="E249" s="234">
        <v>13541.4</v>
      </c>
      <c r="F249" s="235">
        <v>1057.2</v>
      </c>
      <c r="G249" s="234">
        <v>2911.1</v>
      </c>
      <c r="H249" s="5">
        <f>SUMIF(отчёт!$B:$B,$B:$B,отчёт!I:I)</f>
        <v>3</v>
      </c>
      <c r="I249" s="5">
        <f>SUMIF(отчёт!$B:$B,$B:$B,отчёт!J:J)</f>
        <v>3</v>
      </c>
      <c r="J249" s="3" t="s">
        <v>321</v>
      </c>
      <c r="K249" s="105">
        <v>1</v>
      </c>
      <c r="L249" s="105"/>
      <c r="M249" s="12"/>
      <c r="N249" s="8"/>
      <c r="O249" s="8"/>
      <c r="P249" s="8"/>
      <c r="Q249" s="8"/>
      <c r="R249" s="8"/>
      <c r="S249" s="8"/>
      <c r="T249" s="8"/>
      <c r="U249" s="8"/>
      <c r="V249" s="9"/>
      <c r="W249" s="9"/>
      <c r="X249" s="9"/>
      <c r="Y249" s="8"/>
      <c r="Z249" s="9"/>
      <c r="AA249" s="9"/>
      <c r="AB249" s="8"/>
      <c r="AC249" s="10"/>
      <c r="AD249" s="8"/>
      <c r="AE249" s="8"/>
      <c r="AF249" s="8"/>
      <c r="AG249" s="7"/>
      <c r="AH249" s="8"/>
      <c r="AI249" s="8"/>
      <c r="AJ249" s="8"/>
      <c r="AK249" s="8"/>
      <c r="AL249" s="8"/>
      <c r="AM249" s="8"/>
      <c r="AN249" s="8"/>
      <c r="AO249" s="8"/>
      <c r="AP249" s="16"/>
      <c r="AQ249" s="7">
        <v>41.47</v>
      </c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F249" s="277">
        <f>SUMIF(Оборот!$A:$A,$B:$B,Оборот!H:H)</f>
        <v>6355958.6099999975</v>
      </c>
      <c r="CG249" s="277">
        <f>SUMIF(Оборот!$A:$A,$B:$B,Оборот!I:I)</f>
        <v>5769271.2299999995</v>
      </c>
      <c r="CH249" s="277">
        <f t="shared" si="38"/>
        <v>8144097.1575601101</v>
      </c>
      <c r="CI249" s="239">
        <f t="shared" si="42"/>
        <v>2468031.9674653118</v>
      </c>
      <c r="CJ249" s="276">
        <f>SUMIF('20Ф'!$H:$H,$B:$B,'20Ф'!M:M)*1.2</f>
        <v>310009.848</v>
      </c>
      <c r="CK249" s="276">
        <f>SUMIF('20Ф'!$H:$H,$B:$B,'20Ф'!O:O)*1.2</f>
        <v>1274671.0679999997</v>
      </c>
      <c r="CL249" s="276">
        <f>SUMIF('20Ф'!$H:$H,$B:$B,'20Ф'!Q:Q)*1.2</f>
        <v>0</v>
      </c>
      <c r="CM249" s="276">
        <f>SUMIF('20Ф'!$H:$H,$B:$B,'20Ф'!R:R)*1.2</f>
        <v>0</v>
      </c>
      <c r="CN249" s="276">
        <f>SUMIF('20Ф'!$H:$H,$B:$B,'20Ф'!S:S)*1.2</f>
        <v>0</v>
      </c>
      <c r="CO249" s="276">
        <f>SUMIF('20Ф'!$H:$H,$B:$B,'20Ф'!W:W)*1.2</f>
        <v>0</v>
      </c>
      <c r="CP249" s="276">
        <f>SUMIF('20Ф'!$H:$H,$B:$B,'20Ф'!P:P)*1.2</f>
        <v>0</v>
      </c>
      <c r="CQ249" s="276">
        <f>SUMIF('20Ф'!$H:$H,$B:$B,'20Ф'!Y:Y)*1.2</f>
        <v>0</v>
      </c>
      <c r="CR249" s="276">
        <f>SUMIF('20Ф'!$H:$H,$B:$B,'20Ф'!Z:Z)*1.2</f>
        <v>0</v>
      </c>
      <c r="CS249" s="276">
        <f>SUMIF('20Ф'!$H:$H,$B:$B,'20Ф'!AB:AB)*1.2</f>
        <v>0</v>
      </c>
      <c r="CT249" s="276">
        <f>SUMIF('20Ф'!$H:$H,$B:$B,'20Ф'!AC:AC)*1.2</f>
        <v>0</v>
      </c>
      <c r="CU249" s="276">
        <f>SUMIF('20Ф'!$H:$H,$B:$B,'20Ф'!AD:AD)*1.2</f>
        <v>110144.004</v>
      </c>
      <c r="CV249" s="276">
        <f>SUMIF('20Ф'!$H:$H,$B:$B,'20Ф'!AE:AE)*1.2</f>
        <v>0</v>
      </c>
      <c r="CW249" s="276">
        <f>SUMIF('20Ф'!$H:$H,$B:$B,'20Ф'!AF:AF)*1.2</f>
        <v>0</v>
      </c>
      <c r="CX249" s="276">
        <f>SUMIF('20Ф'!$H:$H,$B:$B,'20Ф'!AG:AG)*1.2</f>
        <v>0</v>
      </c>
      <c r="CY249" s="276">
        <f>SUMIF('20Ф'!$H:$H,$B:$B,'20Ф'!AH:AH)*1.2</f>
        <v>0</v>
      </c>
      <c r="CZ249" s="276">
        <f>SUMIF('20Ф'!$H:$H,$B:$B,'20Ф'!AI:AI)*1.2</f>
        <v>508312.53599999996</v>
      </c>
      <c r="DA249" s="276">
        <f>SUMIF('20Ф'!$H:$H,$B:$B,'20Ф'!AJ:AJ)*1.2</f>
        <v>136494.93599999999</v>
      </c>
      <c r="DB249" s="276">
        <f>SUMIF('20Ф'!$H:$H,$B:$B,'20Ф'!AK:AK)*1.2</f>
        <v>0</v>
      </c>
      <c r="DC249" s="276">
        <f>SUMIF('20Ф'!$H:$H,$B:$B,'20Ф'!AL:AL)*1.2</f>
        <v>0</v>
      </c>
      <c r="DD249" s="276">
        <f>SUMIF('20Ф'!$H:$H,$B:$B,'20Ф'!AM:AM)*1.2</f>
        <v>0</v>
      </c>
      <c r="DE249" s="276">
        <f>SUMIF('20Ф'!$H:$H,$B:$B,'20Ф'!AN:AN)*1.2</f>
        <v>0</v>
      </c>
      <c r="DF249" s="276">
        <f>SUMIF('20Ф'!$H:$H,$B:$B,'20Ф'!AO:AO)*1.2</f>
        <v>0</v>
      </c>
      <c r="DG249" s="276">
        <f>SUMIF('20Ф'!$H:$H,$B:$B,'20Ф'!AP:AP)*1.2</f>
        <v>0</v>
      </c>
      <c r="DH249" s="276">
        <f>SUMIF('20Ф'!$H:$H,$B:$B,'20Ф'!AQ:AQ)*1.2</f>
        <v>0</v>
      </c>
      <c r="DI249" s="276">
        <f>SUMIF('20Ф'!$H:$H,$B:$B,'20Ф'!BA:BA)*1.2</f>
        <v>0</v>
      </c>
      <c r="DJ249" s="276">
        <f>SUMIF('20Ф'!$H:$H,$B:$B,'20Ф'!BB:BB)*1.2</f>
        <v>0</v>
      </c>
      <c r="DK249" s="276">
        <f>SUMIF('20Ф'!$H:$H,$B:$B,'20Ф'!BC:BC)*1.2</f>
        <v>0</v>
      </c>
      <c r="DL249" s="276">
        <f>$D249/$D$281*'20Ф'!$H$218</f>
        <v>128399.57546531183</v>
      </c>
      <c r="DM249" s="240">
        <f t="shared" si="39"/>
        <v>1773226.0321531834</v>
      </c>
      <c r="DN249" s="276">
        <f>SUMIF('20Ф'!$H:$H,$B:$B,'20Ф'!AV:AV)*1.2</f>
        <v>0</v>
      </c>
      <c r="DO249" s="276">
        <f>SUMIF('20Ф'!$H:$H,$B:$B,'20Ф'!AW:AW)*1.2+$D249/$D$281*'26Ф'!$D$42</f>
        <v>248327.55957063963</v>
      </c>
      <c r="DP249" s="276">
        <f>SUMIF('20Ф'!$H:$H,$B:$B,'20Ф'!AX:AX)*1.2</f>
        <v>0</v>
      </c>
      <c r="DQ249" s="276">
        <f>SUMIF('20Ф'!$H:$H,$B:$B,'20Ф'!AY:AY)*1.2</f>
        <v>0</v>
      </c>
      <c r="DR249" s="276">
        <f>SUMIF('20Ф'!$H:$H,$B:$B,'20Ф'!AU:AU)*1.2</f>
        <v>0</v>
      </c>
      <c r="DS249" s="276">
        <f>SUMIF('20Ф'!$H:$H,$B:$B,'20Ф'!AS:AS)*1.2</f>
        <v>319610.484</v>
      </c>
      <c r="DT249" s="276">
        <f>SUMIF('20Ф'!$H:$H,$B:$B,'20Ф'!AR:AR)*1.2</f>
        <v>0</v>
      </c>
      <c r="DU249" s="276">
        <f>SUMIF('20Ф'!$H:$H,$B:$B,'20Ф'!X:X)*1.2</f>
        <v>0</v>
      </c>
      <c r="DV249" s="276">
        <f>SUMIF('20Ф'!$H:$H,$B:$B,'20Ф'!AA:AA)*1.2</f>
        <v>0</v>
      </c>
      <c r="DW249" s="276">
        <f>SUMIF('20Ф'!$H:$H,$B:$B,'20Ф'!N:N)*1.2</f>
        <v>0</v>
      </c>
      <c r="DX249" s="276">
        <f>$D249/$D$281*('25Ф'!$D$37)</f>
        <v>1148501.6038242357</v>
      </c>
      <c r="DY249" s="276">
        <f>$D249/$D$281*'25Ф'!$D$30</f>
        <v>36656.565841913754</v>
      </c>
      <c r="DZ249" s="276">
        <f>$D249/$D$281*'25Ф'!$D$31</f>
        <v>20129.818916394332</v>
      </c>
      <c r="EA249" s="276"/>
      <c r="EB249" s="276">
        <f t="shared" si="40"/>
        <v>723574.03620939958</v>
      </c>
      <c r="EC249" s="276">
        <f>$D249/$D$281*'26Ф'!$D$36</f>
        <v>376643.58837614401</v>
      </c>
      <c r="ED249" s="276">
        <f>$D249/$D$281*'26Ф'!$D$37</f>
        <v>45253.324880199347</v>
      </c>
      <c r="EE249" s="276">
        <f>$D249/$D$281*'26Ф'!$D$38</f>
        <v>45717.442256737377</v>
      </c>
      <c r="EF249" s="276">
        <f>$D249/$D$281*'26Ф'!$D$39</f>
        <v>32070.744017871064</v>
      </c>
      <c r="EG249" s="276">
        <f>$D249/$D$281*'91Ф'!$D$10</f>
        <v>9893.8111914696001</v>
      </c>
      <c r="EH249" s="276">
        <f>$D249/$D$281*('20Ф'!$I$509+'26Ф'!$D$41+'20Ф'!$I$507)</f>
        <v>69995.456301834158</v>
      </c>
      <c r="EI249" s="276">
        <f>$D249/$D$281*'91Ф'!$D$31</f>
        <v>128311.95231293839</v>
      </c>
      <c r="EJ249" s="276">
        <f>$D249/$D$281*'20Ф'!$I$1316</f>
        <v>15687.716872205554</v>
      </c>
      <c r="EK249" s="276">
        <f>$D249/$D$281*('20Ф'!$I$1105+'20Ф'!$I$1282+'91Ф'!$D$17+'91Ф'!$D$41)</f>
        <v>515202.09977092053</v>
      </c>
      <c r="EL249" s="276">
        <f>$D249/$D$281*отчёт!BX$294</f>
        <v>861260.78643979249</v>
      </c>
      <c r="EM249" s="276">
        <f>$D249/$D$281*отчёт!BY$294</f>
        <v>757432.63088301197</v>
      </c>
      <c r="EN249" s="276">
        <f>$D249/$D$283*отчёт!BZ$294</f>
        <v>135935.48034706793</v>
      </c>
      <c r="EO249" s="240">
        <f t="shared" si="49"/>
        <v>553268.69250299409</v>
      </c>
      <c r="EP249" s="276">
        <f>SUMIF('20Ф'!$H:$H,$B:$B,'20Ф'!T:T)*1.2</f>
        <v>19678.464</v>
      </c>
      <c r="EQ249" s="276">
        <f>SUM(H249:I249)/SUM($H$284:$I$284)*SUM('60Ф'!$O$155:$P$155)</f>
        <v>517530.78526946111</v>
      </c>
      <c r="ER249" s="276">
        <f>SUM($H249:$I249)/SUM($H$284:$I$284)*SUM('60Ф'!$P$227)</f>
        <v>16059.443233532935</v>
      </c>
      <c r="ES249" s="239">
        <f t="shared" si="43"/>
        <v>288264.31324653875</v>
      </c>
      <c r="ET249" s="276">
        <f>$D249/$D$282*'20Ф'!$I$381</f>
        <v>22032.317654052888</v>
      </c>
      <c r="EU249" s="276">
        <f>$D249/$D$282*('20Ф'!$I$75+'20Ф'!$I$1098)*1.2</f>
        <v>254483.04965396464</v>
      </c>
      <c r="EV249" s="276">
        <f>$D249/$D$282*('20Ф'!$I$1286)</f>
        <v>11748.945938521221</v>
      </c>
      <c r="EW249" s="276">
        <f>SUMIF('91.1Ф'!$N:$N,$B:$B,'91.1Ф'!$F:$F)+$D249/$D$281*('91Ф'!$D$12+'91Ф'!$D$11+'91Ф'!$D$19+'91Ф'!$D$20)</f>
        <v>67901.118541889635</v>
      </c>
      <c r="EX249" s="276">
        <f t="shared" si="41"/>
        <v>0</v>
      </c>
      <c r="EY249" s="276">
        <f>SUMIF('20Ф'!$H:$H,$B:$B,'20Ф'!$AY:$AY)*1.2</f>
        <v>0</v>
      </c>
      <c r="EZ249" s="238"/>
      <c r="FA249" s="277">
        <f>SUMIF(отчёт!$B:$B,$B:$B,отчёт!$CU:$CU)/отчёт!$CU$281*'20Ф'!$I$1341</f>
        <v>0</v>
      </c>
      <c r="FB249" s="276">
        <f>SUMIF(Сальдо!$A:$A,$B:$B,Сальдо!$H:$H)-SUMIF(Сальдо!$A:$A,$B:$B,Сальдо!$I:$I)</f>
        <v>1007630.5</v>
      </c>
    </row>
    <row r="250" spans="1:158" s="13" customFormat="1" ht="12" customHeight="1" x14ac:dyDescent="0.25">
      <c r="A250" s="3">
        <f t="shared" si="44"/>
        <v>246</v>
      </c>
      <c r="B250" s="4" t="s">
        <v>325</v>
      </c>
      <c r="C250" s="56"/>
      <c r="D250" s="233">
        <v>11182.47</v>
      </c>
      <c r="E250" s="234">
        <v>11182.47</v>
      </c>
      <c r="F250" s="235">
        <v>0</v>
      </c>
      <c r="G250" s="234">
        <v>3223.4</v>
      </c>
      <c r="H250" s="5">
        <f>SUMIF(отчёт!$B:$B,$B:$B,отчёт!I:I)</f>
        <v>3</v>
      </c>
      <c r="I250" s="5">
        <f>SUMIF(отчёт!$B:$B,$B:$B,отчёт!J:J)</f>
        <v>3</v>
      </c>
      <c r="J250" s="3" t="s">
        <v>321</v>
      </c>
      <c r="K250" s="105">
        <v>1</v>
      </c>
      <c r="L250" s="105"/>
      <c r="M250" s="12"/>
      <c r="N250" s="8"/>
      <c r="O250" s="8"/>
      <c r="P250" s="8"/>
      <c r="Q250" s="8"/>
      <c r="R250" s="8"/>
      <c r="S250" s="8"/>
      <c r="T250" s="8"/>
      <c r="U250" s="8"/>
      <c r="V250" s="9"/>
      <c r="W250" s="9"/>
      <c r="X250" s="9"/>
      <c r="Y250" s="8"/>
      <c r="Z250" s="9"/>
      <c r="AA250" s="9"/>
      <c r="AB250" s="8"/>
      <c r="AC250" s="10"/>
      <c r="AD250" s="8"/>
      <c r="AE250" s="8"/>
      <c r="AF250" s="8"/>
      <c r="AG250" s="7"/>
      <c r="AH250" s="8"/>
      <c r="AI250" s="8"/>
      <c r="AJ250" s="8"/>
      <c r="AK250" s="8"/>
      <c r="AL250" s="8"/>
      <c r="AM250" s="8"/>
      <c r="AN250" s="8"/>
      <c r="AO250" s="8"/>
      <c r="AP250" s="16"/>
      <c r="AQ250" s="7">
        <v>41.47</v>
      </c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F250" s="277">
        <f>SUMIF(Оборот!$A:$A,$B:$B,Оборот!H:H)</f>
        <v>5560580.2800000012</v>
      </c>
      <c r="CG250" s="277">
        <f>SUMIF(Оборот!$A:$A,$B:$B,Оборот!I:I)</f>
        <v>5145123.01</v>
      </c>
      <c r="CH250" s="277">
        <f t="shared" si="38"/>
        <v>5838907.0067093205</v>
      </c>
      <c r="CI250" s="239">
        <f t="shared" si="42"/>
        <v>1480673.5881951409</v>
      </c>
      <c r="CJ250" s="276">
        <f>SUMIF('20Ф'!$H:$H,$B:$B,'20Ф'!M:M)*1.2</f>
        <v>243182.91599999997</v>
      </c>
      <c r="CK250" s="276">
        <f>SUMIF('20Ф'!$H:$H,$B:$B,'20Ф'!O:O)*1.2</f>
        <v>569809.68000000005</v>
      </c>
      <c r="CL250" s="276">
        <f>SUMIF('20Ф'!$H:$H,$B:$B,'20Ф'!Q:Q)*1.2</f>
        <v>22980</v>
      </c>
      <c r="CM250" s="276">
        <f>SUMIF('20Ф'!$H:$H,$B:$B,'20Ф'!R:R)*1.2</f>
        <v>0</v>
      </c>
      <c r="CN250" s="276">
        <f>SUMIF('20Ф'!$H:$H,$B:$B,'20Ф'!S:S)*1.2</f>
        <v>0</v>
      </c>
      <c r="CO250" s="276">
        <f>SUMIF('20Ф'!$H:$H,$B:$B,'20Ф'!W:W)*1.2</f>
        <v>0</v>
      </c>
      <c r="CP250" s="276">
        <f>SUMIF('20Ф'!$H:$H,$B:$B,'20Ф'!P:P)*1.2</f>
        <v>0</v>
      </c>
      <c r="CQ250" s="276">
        <f>SUMIF('20Ф'!$H:$H,$B:$B,'20Ф'!Y:Y)*1.2</f>
        <v>0</v>
      </c>
      <c r="CR250" s="276">
        <f>SUMIF('20Ф'!$H:$H,$B:$B,'20Ф'!Z:Z)*1.2</f>
        <v>0</v>
      </c>
      <c r="CS250" s="276">
        <f>SUMIF('20Ф'!$H:$H,$B:$B,'20Ф'!AB:AB)*1.2</f>
        <v>0</v>
      </c>
      <c r="CT250" s="276">
        <f>SUMIF('20Ф'!$H:$H,$B:$B,'20Ф'!AC:AC)*1.2</f>
        <v>0</v>
      </c>
      <c r="CU250" s="276">
        <f>SUMIF('20Ф'!$H:$H,$B:$B,'20Ф'!AD:AD)*1.2</f>
        <v>119721.64799999999</v>
      </c>
      <c r="CV250" s="276">
        <f>SUMIF('20Ф'!$H:$H,$B:$B,'20Ф'!AE:AE)*1.2</f>
        <v>0</v>
      </c>
      <c r="CW250" s="276">
        <f>SUMIF('20Ф'!$H:$H,$B:$B,'20Ф'!AF:AF)*1.2</f>
        <v>0</v>
      </c>
      <c r="CX250" s="276">
        <f>SUMIF('20Ф'!$H:$H,$B:$B,'20Ф'!AG:AG)*1.2</f>
        <v>0</v>
      </c>
      <c r="CY250" s="276">
        <f>SUMIF('20Ф'!$H:$H,$B:$B,'20Ф'!AH:AH)*1.2</f>
        <v>0</v>
      </c>
      <c r="CZ250" s="276">
        <f>SUMIF('20Ф'!$H:$H,$B:$B,'20Ф'!AI:AI)*1.2</f>
        <v>426625.77599999995</v>
      </c>
      <c r="DA250" s="276">
        <f>SUMIF('20Ф'!$H:$H,$B:$B,'20Ф'!AJ:AJ)*1.2</f>
        <v>0</v>
      </c>
      <c r="DB250" s="276">
        <f>SUMIF('20Ф'!$H:$H,$B:$B,'20Ф'!AK:AK)*1.2</f>
        <v>0</v>
      </c>
      <c r="DC250" s="276">
        <f>SUMIF('20Ф'!$H:$H,$B:$B,'20Ф'!AL:AL)*1.2</f>
        <v>0</v>
      </c>
      <c r="DD250" s="276">
        <f>SUMIF('20Ф'!$H:$H,$B:$B,'20Ф'!AM:AM)*1.2</f>
        <v>0</v>
      </c>
      <c r="DE250" s="276">
        <f>SUMIF('20Ф'!$H:$H,$B:$B,'20Ф'!AN:AN)*1.2</f>
        <v>0</v>
      </c>
      <c r="DF250" s="276">
        <f>SUMIF('20Ф'!$H:$H,$B:$B,'20Ф'!AO:AO)*1.2</f>
        <v>0</v>
      </c>
      <c r="DG250" s="276">
        <f>SUMIF('20Ф'!$H:$H,$B:$B,'20Ф'!AP:AP)*1.2</f>
        <v>0</v>
      </c>
      <c r="DH250" s="276">
        <f>SUMIF('20Ф'!$H:$H,$B:$B,'20Ф'!AQ:AQ)*1.2</f>
        <v>0</v>
      </c>
      <c r="DI250" s="276">
        <f>SUMIF('20Ф'!$H:$H,$B:$B,'20Ф'!BA:BA)*1.2</f>
        <v>0</v>
      </c>
      <c r="DJ250" s="276">
        <f>SUMIF('20Ф'!$H:$H,$B:$B,'20Ф'!BB:BB)*1.2</f>
        <v>0</v>
      </c>
      <c r="DK250" s="276">
        <f>SUMIF('20Ф'!$H:$H,$B:$B,'20Ф'!BC:BC)*1.2</f>
        <v>0</v>
      </c>
      <c r="DL250" s="276">
        <f>$D250/$D$281*'20Ф'!$H$218</f>
        <v>98353.568195140993</v>
      </c>
      <c r="DM250" s="240">
        <f t="shared" si="39"/>
        <v>1239206.9654962455</v>
      </c>
      <c r="DN250" s="276">
        <f>SUMIF('20Ф'!$H:$H,$B:$B,'20Ф'!AV:AV)*1.2</f>
        <v>0</v>
      </c>
      <c r="DO250" s="276">
        <f>SUMIF('20Ф'!$H:$H,$B:$B,'20Ф'!AW:AW)*1.2+$D250/$D$281*'26Ф'!$D$42</f>
        <v>232338.62980680683</v>
      </c>
      <c r="DP250" s="276">
        <f>SUMIF('20Ф'!$H:$H,$B:$B,'20Ф'!AX:AX)*1.2</f>
        <v>0</v>
      </c>
      <c r="DQ250" s="276">
        <f>SUMIF('20Ф'!$H:$H,$B:$B,'20Ф'!AY:AY)*1.2</f>
        <v>0</v>
      </c>
      <c r="DR250" s="276">
        <f>SUMIF('20Ф'!$H:$H,$B:$B,'20Ф'!AU:AU)*1.2</f>
        <v>0</v>
      </c>
      <c r="DS250" s="276">
        <f>SUMIF('20Ф'!$H:$H,$B:$B,'20Ф'!AS:AS)*1.2</f>
        <v>83622.491999999998</v>
      </c>
      <c r="DT250" s="276">
        <f>SUMIF('20Ф'!$H:$H,$B:$B,'20Ф'!AR:AR)*1.2</f>
        <v>0</v>
      </c>
      <c r="DU250" s="276">
        <f>SUMIF('20Ф'!$H:$H,$B:$B,'20Ф'!X:X)*1.2</f>
        <v>0</v>
      </c>
      <c r="DV250" s="276">
        <f>SUMIF('20Ф'!$H:$H,$B:$B,'20Ф'!AA:AA)*1.2</f>
        <v>0</v>
      </c>
      <c r="DW250" s="276">
        <f>SUMIF('20Ф'!$H:$H,$B:$B,'20Ф'!N:N)*1.2</f>
        <v>0</v>
      </c>
      <c r="DX250" s="276">
        <f>$D250/$D$281*('25Ф'!$D$37)</f>
        <v>879747.69702001568</v>
      </c>
      <c r="DY250" s="276">
        <f>$D250/$D$281*'25Ф'!$D$30</f>
        <v>28078.784803352733</v>
      </c>
      <c r="DZ250" s="276">
        <f>$D250/$D$281*'25Ф'!$D$31</f>
        <v>15419.361866070178</v>
      </c>
      <c r="EA250" s="276"/>
      <c r="EB250" s="276">
        <f t="shared" si="40"/>
        <v>554254.85681438795</v>
      </c>
      <c r="EC250" s="276">
        <f>$D250/$D$281*'26Ф'!$D$36</f>
        <v>288507.50261727691</v>
      </c>
      <c r="ED250" s="276">
        <f>$D250/$D$281*'26Ф'!$D$37</f>
        <v>34663.868307446108</v>
      </c>
      <c r="EE250" s="276">
        <f>$D250/$D$281*'26Ф'!$D$38</f>
        <v>35019.380386660225</v>
      </c>
      <c r="EF250" s="276">
        <f>$D250/$D$281*'26Ф'!$D$39</f>
        <v>24566.063379880441</v>
      </c>
      <c r="EG250" s="276">
        <f>$D250/$D$281*'91Ф'!$D$10</f>
        <v>7578.6203358043267</v>
      </c>
      <c r="EH250" s="276">
        <f>$D250/$D$281*('20Ф'!$I$509+'26Ф'!$D$41+'20Ф'!$I$507)</f>
        <v>53616.24335426488</v>
      </c>
      <c r="EI250" s="276">
        <f>$D250/$D$281*'91Ф'!$D$31</f>
        <v>98286.449206147445</v>
      </c>
      <c r="EJ250" s="276">
        <f>$D250/$D$281*'20Ф'!$I$1316</f>
        <v>12016.729226907541</v>
      </c>
      <c r="EK250" s="276">
        <f>$D250/$D$281*('20Ф'!$I$1105+'20Ф'!$I$1282+'91Ф'!$D$17+'91Ф'!$D$41)</f>
        <v>394642.77565145458</v>
      </c>
      <c r="EL250" s="276">
        <f>$D250/$D$281*отчёт!BX$294</f>
        <v>659722.36423625448</v>
      </c>
      <c r="EM250" s="276">
        <f>$D250/$D$281*отчёт!BY$294</f>
        <v>580190.4067424516</v>
      </c>
      <c r="EN250" s="276">
        <f>$D250/$D$283*отчёт!BZ$294</f>
        <v>104126.04160102177</v>
      </c>
      <c r="EO250" s="240">
        <f t="shared" si="49"/>
        <v>553268.69250299409</v>
      </c>
      <c r="EP250" s="276">
        <f>SUMIF('20Ф'!$H:$H,$B:$B,'20Ф'!T:T)*1.2</f>
        <v>19678.464</v>
      </c>
      <c r="EQ250" s="276">
        <f>SUM(H250:I250)/SUM($H$284:$I$284)*SUM('60Ф'!$O$155:$P$155)</f>
        <v>517530.78526946111</v>
      </c>
      <c r="ER250" s="276">
        <f>SUM($H250:$I250)/SUM($H$284:$I$284)*SUM('60Ф'!$P$227)</f>
        <v>16059.443233532935</v>
      </c>
      <c r="ES250" s="239">
        <f t="shared" si="43"/>
        <v>220809.32657583753</v>
      </c>
      <c r="ET250" s="276">
        <f>$D250/$D$282*'20Ф'!$I$381</f>
        <v>16876.668392648386</v>
      </c>
      <c r="EU250" s="276">
        <f>$D250/$D$282*('20Ф'!$I$75+'20Ф'!$I$1098)*1.2</f>
        <v>194933.01195073291</v>
      </c>
      <c r="EV250" s="276">
        <f>$D250/$D$282*('20Ф'!$I$1286)</f>
        <v>8999.6462324562199</v>
      </c>
      <c r="EW250" s="276">
        <f>SUMIF('91.1Ф'!$N:$N,$B:$B,'91.1Ф'!$F:$F)+$D250/$D$281*('91Ф'!$D$12+'91Ф'!$D$11+'91Ф'!$D$19+'91Ф'!$D$20)</f>
        <v>52011.988893532565</v>
      </c>
      <c r="EX250" s="276">
        <f t="shared" si="41"/>
        <v>0</v>
      </c>
      <c r="EY250" s="276">
        <f>SUMIF('20Ф'!$H:$H,$B:$B,'20Ф'!$AY:$AY)*1.2</f>
        <v>0</v>
      </c>
      <c r="EZ250" s="238"/>
      <c r="FA250" s="277">
        <f>SUMIF(отчёт!$B:$B,$B:$B,отчёт!$CU:$CU)/отчёт!$CU$281*'20Ф'!$I$1341</f>
        <v>0</v>
      </c>
      <c r="FB250" s="276">
        <f>SUMIF(Сальдо!$A:$A,$B:$B,Сальдо!$H:$H)-SUMIF(Сальдо!$A:$A,$B:$B,Сальдо!$I:$I)</f>
        <v>763152.99</v>
      </c>
    </row>
    <row r="251" spans="1:158" s="16" customFormat="1" ht="12" customHeight="1" x14ac:dyDescent="0.25">
      <c r="A251" s="304">
        <f t="shared" si="44"/>
        <v>247</v>
      </c>
      <c r="B251" s="305" t="s">
        <v>326</v>
      </c>
      <c r="C251" s="306"/>
      <c r="D251" s="233">
        <f>SUM(E251:F251)</f>
        <v>20455.900000000001</v>
      </c>
      <c r="E251" s="325">
        <v>19568.400000000001</v>
      </c>
      <c r="F251" s="325">
        <v>887.5</v>
      </c>
      <c r="G251" s="234">
        <v>8057.8</v>
      </c>
      <c r="H251" s="241">
        <f>SUMIF(отчёт!$B:$B,$B:$B,отчёт!I:I)</f>
        <v>5</v>
      </c>
      <c r="I251" s="241">
        <f>SUMIF(отчёт!$B:$B,$B:$B,отчёт!J:J)</f>
        <v>5</v>
      </c>
      <c r="J251" s="304" t="s">
        <v>321</v>
      </c>
      <c r="K251" s="304">
        <v>1</v>
      </c>
      <c r="L251" s="304"/>
      <c r="M251" s="18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307"/>
      <c r="AD251" s="19"/>
      <c r="AE251" s="19"/>
      <c r="AF251" s="19"/>
      <c r="AG251" s="18"/>
      <c r="AH251" s="19"/>
      <c r="AI251" s="19"/>
      <c r="AJ251" s="19"/>
      <c r="AK251" s="19"/>
      <c r="AL251" s="19"/>
      <c r="AM251" s="19"/>
      <c r="AN251" s="19"/>
      <c r="AO251" s="19"/>
      <c r="AQ251" s="18">
        <v>41.47</v>
      </c>
      <c r="AR251" s="308"/>
      <c r="AS251" s="308"/>
      <c r="AT251" s="308"/>
      <c r="AU251" s="308"/>
      <c r="AV251" s="308"/>
      <c r="AW251" s="308"/>
      <c r="AX251" s="308"/>
      <c r="AY251" s="308"/>
      <c r="AZ251" s="308"/>
      <c r="BA251" s="308"/>
      <c r="BB251" s="308"/>
      <c r="BC251" s="308"/>
      <c r="BD251" s="308"/>
      <c r="BE251" s="308"/>
      <c r="BF251" s="308"/>
      <c r="BG251" s="308"/>
      <c r="BH251" s="308"/>
      <c r="BI251" s="308"/>
      <c r="BJ251" s="308"/>
      <c r="BK251" s="308"/>
      <c r="BL251" s="308"/>
      <c r="BM251" s="308"/>
      <c r="BN251" s="308"/>
      <c r="BO251" s="308"/>
      <c r="BP251" s="308"/>
      <c r="BQ251" s="309"/>
      <c r="BR251" s="309"/>
      <c r="BS251" s="309"/>
      <c r="BT251" s="309"/>
      <c r="BU251" s="309"/>
      <c r="BV251" s="309"/>
      <c r="BW251" s="309"/>
      <c r="BX251" s="309"/>
      <c r="BY251" s="309"/>
      <c r="BZ251" s="309"/>
      <c r="CA251" s="309"/>
      <c r="CB251" s="309"/>
      <c r="CC251" s="309"/>
      <c r="CF251" s="294">
        <f>SUMIF(Оборот!$A:$A,$B:$B,Оборот!H:H)</f>
        <v>9722494.1499999985</v>
      </c>
      <c r="CG251" s="294">
        <f>SUMIF(Оборот!$A:$A,$B:$B,Оборот!I:I)</f>
        <v>9157854.2300000004</v>
      </c>
      <c r="CH251" s="294">
        <f t="shared" si="38"/>
        <v>10110467.75693542</v>
      </c>
      <c r="CI251" s="310">
        <f t="shared" si="42"/>
        <v>2325940.9903320093</v>
      </c>
      <c r="CJ251" s="311">
        <f>SUMIF('20Ф'!$H:$H,$B:$B,'20Ф'!M:M)*1.2</f>
        <v>0</v>
      </c>
      <c r="CK251" s="311">
        <f>SUMIF('20Ф'!$H:$H,$B:$B,'20Ф'!O:O)*1.2</f>
        <v>1137382.632</v>
      </c>
      <c r="CL251" s="311">
        <f>SUMIF('20Ф'!$H:$H,$B:$B,'20Ф'!Q:Q)*1.2</f>
        <v>3158.0039999999999</v>
      </c>
      <c r="CM251" s="311">
        <f>SUMIF('20Ф'!$H:$H,$B:$B,'20Ф'!R:R)*1.2</f>
        <v>0</v>
      </c>
      <c r="CN251" s="311">
        <f>SUMIF('20Ф'!$H:$H,$B:$B,'20Ф'!S:S)*1.2</f>
        <v>0</v>
      </c>
      <c r="CO251" s="311">
        <f>SUMIF('20Ф'!$H:$H,$B:$B,'20Ф'!W:W)*1.2</f>
        <v>0</v>
      </c>
      <c r="CP251" s="311">
        <f>SUMIF('20Ф'!$H:$H,$B:$B,'20Ф'!P:P)*1.2</f>
        <v>0</v>
      </c>
      <c r="CQ251" s="311">
        <f>SUMIF('20Ф'!$H:$H,$B:$B,'20Ф'!Y:Y)*1.2</f>
        <v>0</v>
      </c>
      <c r="CR251" s="311">
        <f>SUMIF('20Ф'!$H:$H,$B:$B,'20Ф'!Z:Z)*1.2</f>
        <v>0</v>
      </c>
      <c r="CS251" s="311">
        <f>SUMIF('20Ф'!$H:$H,$B:$B,'20Ф'!AB:AB)*1.2</f>
        <v>0</v>
      </c>
      <c r="CT251" s="311">
        <f>SUMIF('20Ф'!$H:$H,$B:$B,'20Ф'!AC:AC)*1.2</f>
        <v>0</v>
      </c>
      <c r="CU251" s="311">
        <f>SUMIF('20Ф'!$H:$H,$B:$B,'20Ф'!AD:AD)*1.2</f>
        <v>0</v>
      </c>
      <c r="CV251" s="311">
        <f>SUMIF('20Ф'!$H:$H,$B:$B,'20Ф'!AE:AE)*1.2</f>
        <v>0</v>
      </c>
      <c r="CW251" s="311">
        <f>SUMIF('20Ф'!$H:$H,$B:$B,'20Ф'!AF:AF)*1.2</f>
        <v>0</v>
      </c>
      <c r="CX251" s="311">
        <f>SUMIF('20Ф'!$H:$H,$B:$B,'20Ф'!AG:AG)*1.2</f>
        <v>0</v>
      </c>
      <c r="CY251" s="311">
        <f>SUMIF('20Ф'!$H:$H,$B:$B,'20Ф'!AH:AH)*1.2</f>
        <v>0</v>
      </c>
      <c r="CZ251" s="311">
        <f>SUMIF('20Ф'!$H:$H,$B:$B,'20Ф'!AI:AI)*1.2</f>
        <v>706379.46000000008</v>
      </c>
      <c r="DA251" s="311">
        <f>SUMIF('20Ф'!$H:$H,$B:$B,'20Ф'!AJ:AJ)*1.2</f>
        <v>0</v>
      </c>
      <c r="DB251" s="311">
        <f>SUMIF('20Ф'!$H:$H,$B:$B,'20Ф'!AK:AK)*1.2</f>
        <v>0</v>
      </c>
      <c r="DC251" s="311">
        <f>SUMIF('20Ф'!$H:$H,$B:$B,'20Ф'!AL:AL)*1.2</f>
        <v>0</v>
      </c>
      <c r="DD251" s="311">
        <f>SUMIF('20Ф'!$H:$H,$B:$B,'20Ф'!AM:AM)*1.2</f>
        <v>299104.40399999998</v>
      </c>
      <c r="DE251" s="311">
        <f>SUMIF('20Ф'!$H:$H,$B:$B,'20Ф'!AN:AN)*1.2</f>
        <v>0</v>
      </c>
      <c r="DF251" s="311">
        <f>SUMIF('20Ф'!$H:$H,$B:$B,'20Ф'!AO:AO)*1.2</f>
        <v>0</v>
      </c>
      <c r="DG251" s="311">
        <f>SUMIF('20Ф'!$H:$H,$B:$B,'20Ф'!AP:AP)*1.2</f>
        <v>0</v>
      </c>
      <c r="DH251" s="311">
        <f>SUMIF('20Ф'!$H:$H,$B:$B,'20Ф'!AQ:AQ)*1.2</f>
        <v>0</v>
      </c>
      <c r="DI251" s="311">
        <f>SUMIF('20Ф'!$H:$H,$B:$B,'20Ф'!BA:BA)*1.2</f>
        <v>0</v>
      </c>
      <c r="DJ251" s="311">
        <f>SUMIF('20Ф'!$H:$H,$B:$B,'20Ф'!BB:BB)*1.2</f>
        <v>0</v>
      </c>
      <c r="DK251" s="311">
        <f>SUMIF('20Ф'!$H:$H,$B:$B,'20Ф'!BC:BC)*1.2</f>
        <v>0</v>
      </c>
      <c r="DL251" s="311">
        <f>$D251/$D$281*'20Ф'!$H$218</f>
        <v>179916.49033200942</v>
      </c>
      <c r="DM251" s="310">
        <f t="shared" si="39"/>
        <v>2168915.7462825412</v>
      </c>
      <c r="DN251" s="311">
        <f>SUMIF('20Ф'!$H:$H,$B:$B,'20Ф'!AV:AV)*1.2</f>
        <v>0</v>
      </c>
      <c r="DO251" s="311">
        <f>SUMIF('20Ф'!$H:$H,$B:$B,'20Ф'!AW:AW)*1.2+$D251/$D$281*'26Ф'!$D$42</f>
        <v>275742.19493454485</v>
      </c>
      <c r="DP251" s="311">
        <f>SUMIF('20Ф'!$H:$H,$B:$B,'20Ф'!AX:AX)*1.2</f>
        <v>0</v>
      </c>
      <c r="DQ251" s="311">
        <f>SUMIF('20Ф'!$H:$H,$B:$B,'20Ф'!AY:AY)*1.2</f>
        <v>0</v>
      </c>
      <c r="DR251" s="311">
        <f>SUMIF('20Ф'!$H:$H,$B:$B,'20Ф'!AU:AU)*1.2</f>
        <v>0</v>
      </c>
      <c r="DS251" s="311">
        <f>SUMIF('20Ф'!$H:$H,$B:$B,'20Ф'!AS:AS)*1.2</f>
        <v>204295.81200000001</v>
      </c>
      <c r="DT251" s="311">
        <f>SUMIF('20Ф'!$H:$H,$B:$B,'20Ф'!AR:AR)*1.2</f>
        <v>0</v>
      </c>
      <c r="DU251" s="311">
        <f>SUMIF('20Ф'!$H:$H,$B:$B,'20Ф'!X:X)*1.2</f>
        <v>0</v>
      </c>
      <c r="DV251" s="311">
        <f>SUMIF('20Ф'!$H:$H,$B:$B,'20Ф'!AA:AA)*1.2</f>
        <v>0</v>
      </c>
      <c r="DW251" s="311">
        <f>SUMIF('20Ф'!$H:$H,$B:$B,'20Ф'!N:N)*1.2</f>
        <v>0</v>
      </c>
      <c r="DX251" s="311">
        <f>$D251/$D$281*('25Ф'!$D$37)</f>
        <v>1609307.3279402263</v>
      </c>
      <c r="DY251" s="311">
        <f>$D251/$D$281*'25Ф'!$D$30</f>
        <v>51364.038004028029</v>
      </c>
      <c r="DZ251" s="311">
        <f>$D251/$D$281*'25Ф'!$D$31</f>
        <v>28206.373403742196</v>
      </c>
      <c r="EA251" s="311"/>
      <c r="EB251" s="311">
        <f t="shared" si="40"/>
        <v>1013888.8747753797</v>
      </c>
      <c r="EC251" s="311">
        <f>$D251/$D$281*'26Ф'!$D$36</f>
        <v>527761.8113698276</v>
      </c>
      <c r="ED251" s="311">
        <f>$D251/$D$281*'26Ф'!$D$37</f>
        <v>63410.017975481889</v>
      </c>
      <c r="EE251" s="311">
        <f>$D251/$D$281*'26Ф'!$D$38</f>
        <v>64060.350106146761</v>
      </c>
      <c r="EF251" s="311">
        <f>$D251/$D$281*'26Ф'!$D$39</f>
        <v>44938.277133092815</v>
      </c>
      <c r="EG251" s="311">
        <f>$D251/$D$281*'91Ф'!$D$10</f>
        <v>13863.439805980232</v>
      </c>
      <c r="EH251" s="311">
        <f>$D251/$D$281*('20Ф'!$I$509+'26Ф'!$D$41+'20Ф'!$I$507)</f>
        <v>98079.27161266761</v>
      </c>
      <c r="EI251" s="311">
        <f>$D251/$D$281*'91Ф'!$D$31</f>
        <v>179793.71072008528</v>
      </c>
      <c r="EJ251" s="311">
        <f>$D251/$D$281*'20Ф'!$I$1316</f>
        <v>21981.996052097435</v>
      </c>
      <c r="EK251" s="311">
        <f>$D251/$D$281*('20Ф'!$I$1105+'20Ф'!$I$1282+'91Ф'!$D$17+'91Ф'!$D$41)</f>
        <v>721913.24049593625</v>
      </c>
      <c r="EL251" s="311">
        <f>$D251/$D$281*отчёт!BX$294</f>
        <v>1206818.7717543978</v>
      </c>
      <c r="EM251" s="311">
        <f>$D251/$D$281*отчёт!BY$294</f>
        <v>1061332.3300919135</v>
      </c>
      <c r="EN251" s="311">
        <f>$D251/$D$283*отчёт!BZ$294</f>
        <v>190475.97663005951</v>
      </c>
      <c r="EO251" s="310">
        <f t="shared" si="49"/>
        <v>922114.48750499007</v>
      </c>
      <c r="EP251" s="311">
        <f>SUMIF('20Ф'!$H:$H,$B:$B,'20Ф'!T:T)*1.2</f>
        <v>32797.440000000002</v>
      </c>
      <c r="EQ251" s="311">
        <f>SUM(H251:I251)/SUM($H$284:$I$284)*SUM('60Ф'!$O$155:$P$155)</f>
        <v>862551.30878243514</v>
      </c>
      <c r="ER251" s="311">
        <f>SUM($H251:$I251)/SUM($H$284:$I$284)*SUM('60Ф'!$P$227)</f>
        <v>26765.738722554892</v>
      </c>
      <c r="ES251" s="310">
        <f t="shared" si="43"/>
        <v>403922.7025427008</v>
      </c>
      <c r="ET251" s="311">
        <f>$D251/$D$282*'20Ф'!$I$381</f>
        <v>30872.199162901954</v>
      </c>
      <c r="EU251" s="311">
        <f>$D251/$D$282*('20Ф'!$I$75+'20Ф'!$I$1098)*1.2</f>
        <v>356587.60534685076</v>
      </c>
      <c r="EV251" s="311">
        <f>$D251/$D$282*('20Ф'!$I$1286)</f>
        <v>16462.898032948109</v>
      </c>
      <c r="EW251" s="311">
        <f>SUMIF('91.1Ф'!$N:$N,$B:$B,'91.1Ф'!$F:$F)+$D251/$D$281*('91Ф'!$D$12+'91Ф'!$D$11+'91Ф'!$D$19+'91Ф'!$D$20)</f>
        <v>95144.636525491514</v>
      </c>
      <c r="EX251" s="311">
        <f t="shared" si="41"/>
        <v>0</v>
      </c>
      <c r="EY251" s="311">
        <f>SUMIF('20Ф'!$H:$H,$B:$B,'20Ф'!$AY:$AY)*1.2</f>
        <v>0</v>
      </c>
      <c r="EZ251" s="312"/>
      <c r="FA251" s="294">
        <f>SUMIF(отчёт!$B:$B,$B:$B,отчёт!$CU:$CU)/отчёт!$CU$281*'20Ф'!$I$1341</f>
        <v>0</v>
      </c>
      <c r="FB251" s="311">
        <f>SUMIF(Сальдо!$A:$A,$B:$B,Сальдо!$H:$H)-SUMIF(Сальдо!$A:$A,$B:$B,Сальдо!$I:$I)</f>
        <v>1219003.24</v>
      </c>
    </row>
    <row r="252" spans="1:158" s="13" customFormat="1" ht="12" customHeight="1" x14ac:dyDescent="0.25">
      <c r="A252" s="3">
        <f t="shared" si="44"/>
        <v>248</v>
      </c>
      <c r="B252" s="4" t="s">
        <v>327</v>
      </c>
      <c r="C252" s="56"/>
      <c r="D252" s="233">
        <v>11173.2</v>
      </c>
      <c r="E252" s="234">
        <v>11173.2</v>
      </c>
      <c r="F252" s="235">
        <v>0</v>
      </c>
      <c r="G252" s="234">
        <v>3618.4</v>
      </c>
      <c r="H252" s="5">
        <f>SUMIF(отчёт!$B:$B,$B:$B,отчёт!I:I)</f>
        <v>3</v>
      </c>
      <c r="I252" s="5">
        <f>SUMIF(отчёт!$B:$B,$B:$B,отчёт!J:J)</f>
        <v>3</v>
      </c>
      <c r="J252" s="3" t="s">
        <v>321</v>
      </c>
      <c r="K252" s="105">
        <v>1</v>
      </c>
      <c r="L252" s="105"/>
      <c r="M252" s="12"/>
      <c r="N252" s="8"/>
      <c r="O252" s="8"/>
      <c r="P252" s="8"/>
      <c r="Q252" s="8"/>
      <c r="R252" s="8"/>
      <c r="S252" s="8"/>
      <c r="T252" s="8"/>
      <c r="U252" s="8"/>
      <c r="V252" s="9"/>
      <c r="W252" s="9"/>
      <c r="X252" s="9"/>
      <c r="Y252" s="8"/>
      <c r="Z252" s="9"/>
      <c r="AA252" s="9"/>
      <c r="AB252" s="8"/>
      <c r="AC252" s="10"/>
      <c r="AD252" s="8"/>
      <c r="AE252" s="8"/>
      <c r="AF252" s="8"/>
      <c r="AG252" s="7"/>
      <c r="AH252" s="8"/>
      <c r="AI252" s="8"/>
      <c r="AJ252" s="8"/>
      <c r="AK252" s="8"/>
      <c r="AL252" s="8"/>
      <c r="AM252" s="8"/>
      <c r="AN252" s="8"/>
      <c r="AO252" s="8"/>
      <c r="AP252" s="16"/>
      <c r="AQ252" s="7">
        <v>41.47</v>
      </c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F252" s="277">
        <f>SUMIF(Оборот!$A:$A,$B:$B,Оборот!H:H)</f>
        <v>5545700.8800000018</v>
      </c>
      <c r="CG252" s="277">
        <f>SUMIF(Оборот!$A:$A,$B:$B,Оборот!I:I)</f>
        <v>5447994.0899999999</v>
      </c>
      <c r="CH252" s="277">
        <f t="shared" si="38"/>
        <v>6320722.509958324</v>
      </c>
      <c r="CI252" s="239">
        <f t="shared" si="42"/>
        <v>1964302.6114410029</v>
      </c>
      <c r="CJ252" s="276">
        <f>SUMIF('20Ф'!$H:$H,$B:$B,'20Ф'!M:M)*1.2</f>
        <v>0</v>
      </c>
      <c r="CK252" s="276">
        <f>SUMIF('20Ф'!$H:$H,$B:$B,'20Ф'!O:O)*1.2</f>
        <v>982135.41599999997</v>
      </c>
      <c r="CL252" s="276">
        <f>SUMIF('20Ф'!$H:$H,$B:$B,'20Ф'!Q:Q)*1.2</f>
        <v>0</v>
      </c>
      <c r="CM252" s="276">
        <f>SUMIF('20Ф'!$H:$H,$B:$B,'20Ф'!R:R)*1.2</f>
        <v>0</v>
      </c>
      <c r="CN252" s="276">
        <f>SUMIF('20Ф'!$H:$H,$B:$B,'20Ф'!S:S)*1.2</f>
        <v>0</v>
      </c>
      <c r="CO252" s="276">
        <f>SUMIF('20Ф'!$H:$H,$B:$B,'20Ф'!W:W)*1.2</f>
        <v>0</v>
      </c>
      <c r="CP252" s="276">
        <f>SUMIF('20Ф'!$H:$H,$B:$B,'20Ф'!P:P)*1.2</f>
        <v>0</v>
      </c>
      <c r="CQ252" s="276">
        <f>SUMIF('20Ф'!$H:$H,$B:$B,'20Ф'!Y:Y)*1.2</f>
        <v>0</v>
      </c>
      <c r="CR252" s="276">
        <f>SUMIF('20Ф'!$H:$H,$B:$B,'20Ф'!Z:Z)*1.2</f>
        <v>0</v>
      </c>
      <c r="CS252" s="276">
        <f>SUMIF('20Ф'!$H:$H,$B:$B,'20Ф'!AB:AB)*1.2</f>
        <v>0</v>
      </c>
      <c r="CT252" s="276">
        <f>SUMIF('20Ф'!$H:$H,$B:$B,'20Ф'!AC:AC)*1.2</f>
        <v>0</v>
      </c>
      <c r="CU252" s="276">
        <f>SUMIF('20Ф'!$H:$H,$B:$B,'20Ф'!AD:AD)*1.2</f>
        <v>0</v>
      </c>
      <c r="CV252" s="276">
        <f>SUMIF('20Ф'!$H:$H,$B:$B,'20Ф'!AE:AE)*1.2</f>
        <v>0</v>
      </c>
      <c r="CW252" s="276">
        <f>SUMIF('20Ф'!$H:$H,$B:$B,'20Ф'!AF:AF)*1.2</f>
        <v>0</v>
      </c>
      <c r="CX252" s="276">
        <f>SUMIF('20Ф'!$H:$H,$B:$B,'20Ф'!AG:AG)*1.2</f>
        <v>0</v>
      </c>
      <c r="CY252" s="276">
        <f>SUMIF('20Ф'!$H:$H,$B:$B,'20Ф'!AH:AH)*1.2</f>
        <v>0</v>
      </c>
      <c r="CZ252" s="276">
        <f>SUMIF('20Ф'!$H:$H,$B:$B,'20Ф'!AI:AI)*1.2</f>
        <v>733401.96000000008</v>
      </c>
      <c r="DA252" s="276">
        <f>SUMIF('20Ф'!$H:$H,$B:$B,'20Ф'!AJ:AJ)*1.2</f>
        <v>0</v>
      </c>
      <c r="DB252" s="276">
        <f>SUMIF('20Ф'!$H:$H,$B:$B,'20Ф'!AK:AK)*1.2</f>
        <v>0</v>
      </c>
      <c r="DC252" s="276">
        <f>SUMIF('20Ф'!$H:$H,$B:$B,'20Ф'!AL:AL)*1.2</f>
        <v>0</v>
      </c>
      <c r="DD252" s="276">
        <f>SUMIF('20Ф'!$H:$H,$B:$B,'20Ф'!AM:AM)*1.2</f>
        <v>150493.19999999998</v>
      </c>
      <c r="DE252" s="276">
        <f>SUMIF('20Ф'!$H:$H,$B:$B,'20Ф'!AN:AN)*1.2</f>
        <v>0</v>
      </c>
      <c r="DF252" s="276">
        <f>SUMIF('20Ф'!$H:$H,$B:$B,'20Ф'!AO:AO)*1.2</f>
        <v>0</v>
      </c>
      <c r="DG252" s="276">
        <f>SUMIF('20Ф'!$H:$H,$B:$B,'20Ф'!AP:AP)*1.2</f>
        <v>0</v>
      </c>
      <c r="DH252" s="276">
        <f>SUMIF('20Ф'!$H:$H,$B:$B,'20Ф'!AQ:AQ)*1.2</f>
        <v>0</v>
      </c>
      <c r="DI252" s="276">
        <f>SUMIF('20Ф'!$H:$H,$B:$B,'20Ф'!BA:BA)*1.2</f>
        <v>0</v>
      </c>
      <c r="DJ252" s="276">
        <f>SUMIF('20Ф'!$H:$H,$B:$B,'20Ф'!BB:BB)*1.2</f>
        <v>0</v>
      </c>
      <c r="DK252" s="276">
        <f>SUMIF('20Ф'!$H:$H,$B:$B,'20Ф'!BC:BC)*1.2</f>
        <v>0</v>
      </c>
      <c r="DL252" s="276">
        <f>$D252/$D$281*'20Ф'!$H$218</f>
        <v>98272.035441002707</v>
      </c>
      <c r="DM252" s="240">
        <f t="shared" si="39"/>
        <v>1239520.3972765848</v>
      </c>
      <c r="DN252" s="276">
        <f>SUMIF('20Ф'!$H:$H,$B:$B,'20Ф'!AV:AV)*1.2</f>
        <v>0</v>
      </c>
      <c r="DO252" s="276">
        <f>SUMIF('20Ф'!$H:$H,$B:$B,'20Ф'!AW:AW)*1.2+$D252/$D$281*'26Ф'!$D$42</f>
        <v>232295.24229552632</v>
      </c>
      <c r="DP252" s="276">
        <f>SUMIF('20Ф'!$H:$H,$B:$B,'20Ф'!AX:AX)*1.2</f>
        <v>0</v>
      </c>
      <c r="DQ252" s="276">
        <f>SUMIF('20Ф'!$H:$H,$B:$B,'20Ф'!AY:AY)*1.2</f>
        <v>0</v>
      </c>
      <c r="DR252" s="276">
        <f>SUMIF('20Ф'!$H:$H,$B:$B,'20Ф'!AU:AU)*1.2</f>
        <v>0</v>
      </c>
      <c r="DS252" s="276">
        <f>SUMIF('20Ф'!$H:$H,$B:$B,'20Ф'!AS:AS)*1.2</f>
        <v>84744.66</v>
      </c>
      <c r="DT252" s="276">
        <f>SUMIF('20Ф'!$H:$H,$B:$B,'20Ф'!AR:AR)*1.2</f>
        <v>0</v>
      </c>
      <c r="DU252" s="276">
        <f>SUMIF('20Ф'!$H:$H,$B:$B,'20Ф'!X:X)*1.2</f>
        <v>0</v>
      </c>
      <c r="DV252" s="276">
        <f>SUMIF('20Ф'!$H:$H,$B:$B,'20Ф'!AA:AA)*1.2</f>
        <v>0</v>
      </c>
      <c r="DW252" s="276">
        <f>SUMIF('20Ф'!$H:$H,$B:$B,'20Ф'!N:N)*1.2</f>
        <v>0</v>
      </c>
      <c r="DX252" s="276">
        <f>$D252/$D$281*('25Ф'!$D$37)</f>
        <v>879018.40723418351</v>
      </c>
      <c r="DY252" s="276">
        <f>$D252/$D$281*'25Ф'!$D$30</f>
        <v>28055.508162760176</v>
      </c>
      <c r="DZ252" s="276">
        <f>$D252/$D$281*'25Ф'!$D$31</f>
        <v>15406.579584114719</v>
      </c>
      <c r="EA252" s="276"/>
      <c r="EB252" s="276">
        <f t="shared" si="40"/>
        <v>553795.39280306769</v>
      </c>
      <c r="EC252" s="276">
        <f>$D252/$D$281*'26Ф'!$D$36</f>
        <v>288268.33680245589</v>
      </c>
      <c r="ED252" s="276">
        <f>$D252/$D$281*'26Ф'!$D$37</f>
        <v>34635.132790229429</v>
      </c>
      <c r="EE252" s="276">
        <f>$D252/$D$281*'26Ф'!$D$38</f>
        <v>34990.350158438348</v>
      </c>
      <c r="EF252" s="276">
        <f>$D252/$D$281*'26Ф'!$D$39</f>
        <v>24545.698701277997</v>
      </c>
      <c r="EG252" s="276">
        <f>$D252/$D$281*'91Ф'!$D$10</f>
        <v>7572.337840925029</v>
      </c>
      <c r="EH252" s="276">
        <f>$D252/$D$281*('20Ф'!$I$509+'26Ф'!$D$41+'20Ф'!$I$507)</f>
        <v>53571.796771721492</v>
      </c>
      <c r="EI252" s="276">
        <f>$D252/$D$281*'91Ф'!$D$31</f>
        <v>98204.972092044671</v>
      </c>
      <c r="EJ252" s="276">
        <f>$D252/$D$281*'20Ф'!$I$1316</f>
        <v>12006.767645974758</v>
      </c>
      <c r="EK252" s="276">
        <f>$D252/$D$281*('20Ф'!$I$1105+'20Ф'!$I$1282+'91Ф'!$D$17+'91Ф'!$D$41)</f>
        <v>394315.6262354232</v>
      </c>
      <c r="EL252" s="276">
        <f>$D252/$D$281*отчёт!BX$294</f>
        <v>659175.47018543491</v>
      </c>
      <c r="EM252" s="276">
        <f>$D252/$D$281*отчёт!BY$294</f>
        <v>579709.44278095639</v>
      </c>
      <c r="EN252" s="276">
        <f>$D252/$D$283*отчёт!BZ$294</f>
        <v>104039.72360458257</v>
      </c>
      <c r="EO252" s="240">
        <f t="shared" si="49"/>
        <v>553268.69250299409</v>
      </c>
      <c r="EP252" s="276">
        <f>SUMIF('20Ф'!$H:$H,$B:$B,'20Ф'!T:T)*1.2</f>
        <v>19678.464</v>
      </c>
      <c r="EQ252" s="276">
        <f>SUM(H252:I252)/SUM($H$284:$I$284)*SUM('60Ф'!$O$155:$P$155)</f>
        <v>517530.78526946111</v>
      </c>
      <c r="ER252" s="276">
        <f>SUM($H252:$I252)/SUM($H$284:$I$284)*SUM('60Ф'!$P$227)</f>
        <v>16059.443233532935</v>
      </c>
      <c r="ES252" s="239">
        <f t="shared" si="43"/>
        <v>220626.28092873478</v>
      </c>
      <c r="ET252" s="276">
        <f>$D252/$D$282*'20Ф'!$I$381</f>
        <v>16862.678038460108</v>
      </c>
      <c r="EU252" s="276">
        <f>$D252/$D$282*('20Ф'!$I$75+'20Ф'!$I$1098)*1.2</f>
        <v>194771.41714915665</v>
      </c>
      <c r="EV252" s="276">
        <f>$D252/$D$282*('20Ф'!$I$1286)</f>
        <v>8992.1857411180063</v>
      </c>
      <c r="EW252" s="276">
        <f>SUMIF('91.1Ф'!$N:$N,$B:$B,'91.1Ф'!$F:$F)+$D252/$D$281*('91Ф'!$D$12+'91Ф'!$D$11+'91Ф'!$D$19+'91Ф'!$D$20)</f>
        <v>51968.872199542515</v>
      </c>
      <c r="EX252" s="276">
        <f t="shared" si="41"/>
        <v>0</v>
      </c>
      <c r="EY252" s="276">
        <f>SUMIF('20Ф'!$H:$H,$B:$B,'20Ф'!$AY:$AY)*1.2</f>
        <v>0</v>
      </c>
      <c r="EZ252" s="238"/>
      <c r="FA252" s="277">
        <f>SUMIF(отчёт!$B:$B,$B:$B,отчёт!$CU:$CU)/отчёт!$CU$281*'20Ф'!$I$1341</f>
        <v>0</v>
      </c>
      <c r="FB252" s="276">
        <f>SUMIF(Сальдо!$A:$A,$B:$B,Сальдо!$H:$H)-SUMIF(Сальдо!$A:$A,$B:$B,Сальдо!$I:$I)</f>
        <v>481164.95</v>
      </c>
    </row>
    <row r="253" spans="1:158" s="13" customFormat="1" ht="12" customHeight="1" x14ac:dyDescent="0.25">
      <c r="A253" s="3">
        <f t="shared" si="44"/>
        <v>249</v>
      </c>
      <c r="B253" s="4" t="s">
        <v>328</v>
      </c>
      <c r="C253" s="56"/>
      <c r="D253" s="233">
        <v>20369.2</v>
      </c>
      <c r="E253" s="234">
        <v>19781.400000000001</v>
      </c>
      <c r="F253" s="235">
        <v>587.79999999999995</v>
      </c>
      <c r="G253" s="234">
        <v>4227.8999999999996</v>
      </c>
      <c r="H253" s="5">
        <f>SUMIF(отчёт!$B:$B,$B:$B,отчёт!I:I)</f>
        <v>5</v>
      </c>
      <c r="I253" s="5">
        <f>SUMIF(отчёт!$B:$B,$B:$B,отчёт!J:J)</f>
        <v>5</v>
      </c>
      <c r="J253" s="3" t="s">
        <v>321</v>
      </c>
      <c r="K253" s="105">
        <v>1</v>
      </c>
      <c r="L253" s="105"/>
      <c r="M253" s="12"/>
      <c r="N253" s="8"/>
      <c r="O253" s="8"/>
      <c r="P253" s="8"/>
      <c r="Q253" s="8"/>
      <c r="R253" s="8"/>
      <c r="S253" s="8"/>
      <c r="T253" s="8"/>
      <c r="U253" s="8"/>
      <c r="V253" s="9"/>
      <c r="W253" s="9"/>
      <c r="X253" s="9"/>
      <c r="Y253" s="8"/>
      <c r="Z253" s="9"/>
      <c r="AA253" s="9"/>
      <c r="AB253" s="8"/>
      <c r="AC253" s="10"/>
      <c r="AD253" s="8"/>
      <c r="AE253" s="8"/>
      <c r="AF253" s="8"/>
      <c r="AG253" s="7"/>
      <c r="AH253" s="8"/>
      <c r="AI253" s="8"/>
      <c r="AJ253" s="8"/>
      <c r="AK253" s="8"/>
      <c r="AL253" s="8"/>
      <c r="AM253" s="8"/>
      <c r="AN253" s="8"/>
      <c r="AO253" s="8"/>
      <c r="AP253" s="16"/>
      <c r="AQ253" s="7">
        <v>41.47</v>
      </c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F253" s="277">
        <f>SUMIF(Оборот!$A:$A,$B:$B,Оборот!H:H)</f>
        <v>9840906.4400000013</v>
      </c>
      <c r="CG253" s="277">
        <f>SUMIF(Оборот!$A:$A,$B:$B,Оборот!I:I)</f>
        <v>9467083.6100000013</v>
      </c>
      <c r="CH253" s="277">
        <f t="shared" si="38"/>
        <v>9729284.331115406</v>
      </c>
      <c r="CI253" s="239">
        <f t="shared" si="42"/>
        <v>1590666.8467997774</v>
      </c>
      <c r="CJ253" s="276">
        <f>SUMIF('20Ф'!$H:$H,$B:$B,'20Ф'!M:M)*1.2</f>
        <v>405787.69199999998</v>
      </c>
      <c r="CK253" s="276">
        <f>SUMIF('20Ф'!$H:$H,$B:$B,'20Ф'!O:O)*1.2</f>
        <v>961305.37199999997</v>
      </c>
      <c r="CL253" s="276">
        <f>SUMIF('20Ф'!$H:$H,$B:$B,'20Ф'!Q:Q)*1.2</f>
        <v>0</v>
      </c>
      <c r="CM253" s="276">
        <f>SUMIF('20Ф'!$H:$H,$B:$B,'20Ф'!R:R)*1.2</f>
        <v>0</v>
      </c>
      <c r="CN253" s="276">
        <f>SUMIF('20Ф'!$H:$H,$B:$B,'20Ф'!S:S)*1.2</f>
        <v>0</v>
      </c>
      <c r="CO253" s="276">
        <f>SUMIF('20Ф'!$H:$H,$B:$B,'20Ф'!W:W)*1.2</f>
        <v>0</v>
      </c>
      <c r="CP253" s="276">
        <f>SUMIF('20Ф'!$H:$H,$B:$B,'20Ф'!P:P)*1.2</f>
        <v>0</v>
      </c>
      <c r="CQ253" s="276">
        <f>SUMIF('20Ф'!$H:$H,$B:$B,'20Ф'!Y:Y)*1.2</f>
        <v>0</v>
      </c>
      <c r="CR253" s="276">
        <f>SUMIF('20Ф'!$H:$H,$B:$B,'20Ф'!Z:Z)*1.2</f>
        <v>0</v>
      </c>
      <c r="CS253" s="276">
        <f>SUMIF('20Ф'!$H:$H,$B:$B,'20Ф'!AB:AB)*1.2</f>
        <v>0</v>
      </c>
      <c r="CT253" s="276">
        <f>SUMIF('20Ф'!$H:$H,$B:$B,'20Ф'!AC:AC)*1.2</f>
        <v>0</v>
      </c>
      <c r="CU253" s="276">
        <f>SUMIF('20Ф'!$H:$H,$B:$B,'20Ф'!AD:AD)*1.2</f>
        <v>0</v>
      </c>
      <c r="CV253" s="276">
        <f>SUMIF('20Ф'!$H:$H,$B:$B,'20Ф'!AE:AE)*1.2</f>
        <v>0</v>
      </c>
      <c r="CW253" s="276">
        <f>SUMIF('20Ф'!$H:$H,$B:$B,'20Ф'!AF:AF)*1.2</f>
        <v>0</v>
      </c>
      <c r="CX253" s="276">
        <f>SUMIF('20Ф'!$H:$H,$B:$B,'20Ф'!AG:AG)*1.2</f>
        <v>0</v>
      </c>
      <c r="CY253" s="276">
        <f>SUMIF('20Ф'!$H:$H,$B:$B,'20Ф'!AH:AH)*1.2</f>
        <v>0</v>
      </c>
      <c r="CZ253" s="276">
        <f>SUMIF('20Ф'!$H:$H,$B:$B,'20Ф'!AI:AI)*1.2</f>
        <v>44419.847999999998</v>
      </c>
      <c r="DA253" s="276">
        <f>SUMIF('20Ф'!$H:$H,$B:$B,'20Ф'!AJ:AJ)*1.2</f>
        <v>0</v>
      </c>
      <c r="DB253" s="276">
        <f>SUMIF('20Ф'!$H:$H,$B:$B,'20Ф'!AK:AK)*1.2</f>
        <v>0</v>
      </c>
      <c r="DC253" s="276">
        <f>SUMIF('20Ф'!$H:$H,$B:$B,'20Ф'!AL:AL)*1.2</f>
        <v>0</v>
      </c>
      <c r="DD253" s="276">
        <f>SUMIF('20Ф'!$H:$H,$B:$B,'20Ф'!AM:AM)*1.2</f>
        <v>0</v>
      </c>
      <c r="DE253" s="276">
        <f>SUMIF('20Ф'!$H:$H,$B:$B,'20Ф'!AN:AN)*1.2</f>
        <v>0</v>
      </c>
      <c r="DF253" s="276">
        <f>SUMIF('20Ф'!$H:$H,$B:$B,'20Ф'!AO:AO)*1.2</f>
        <v>0</v>
      </c>
      <c r="DG253" s="276">
        <f>SUMIF('20Ф'!$H:$H,$B:$B,'20Ф'!AP:AP)*1.2</f>
        <v>0</v>
      </c>
      <c r="DH253" s="276">
        <f>SUMIF('20Ф'!$H:$H,$B:$B,'20Ф'!AQ:AQ)*1.2</f>
        <v>0</v>
      </c>
      <c r="DI253" s="276">
        <f>SUMIF('20Ф'!$H:$H,$B:$B,'20Ф'!BA:BA)*1.2</f>
        <v>0</v>
      </c>
      <c r="DJ253" s="276">
        <f>SUMIF('20Ф'!$H:$H,$B:$B,'20Ф'!BB:BB)*1.2</f>
        <v>0</v>
      </c>
      <c r="DK253" s="276">
        <f>SUMIF('20Ф'!$H:$H,$B:$B,'20Ф'!BC:BC)*1.2</f>
        <v>0</v>
      </c>
      <c r="DL253" s="276">
        <f>$D253/$D$281*'20Ф'!$H$218</f>
        <v>179153.93479977737</v>
      </c>
      <c r="DM253" s="240">
        <f t="shared" si="39"/>
        <v>2542899.3139497912</v>
      </c>
      <c r="DN253" s="276">
        <f>SUMIF('20Ф'!$H:$H,$B:$B,'20Ф'!AV:AV)*1.2</f>
        <v>0</v>
      </c>
      <c r="DO253" s="276">
        <f>SUMIF('20Ф'!$H:$H,$B:$B,'20Ф'!AW:AW)*1.2+$D253/$D$281*'26Ф'!$D$42</f>
        <v>275336.40235331282</v>
      </c>
      <c r="DP253" s="276">
        <f>SUMIF('20Ф'!$H:$H,$B:$B,'20Ф'!AX:AX)*1.2</f>
        <v>0</v>
      </c>
      <c r="DQ253" s="276">
        <f>SUMIF('20Ф'!$H:$H,$B:$B,'20Ф'!AY:AY)*1.2</f>
        <v>0</v>
      </c>
      <c r="DR253" s="276">
        <f>SUMIF('20Ф'!$H:$H,$B:$B,'20Ф'!AU:AU)*1.2</f>
        <v>0</v>
      </c>
      <c r="DS253" s="276">
        <f>SUMIF('20Ф'!$H:$H,$B:$B,'20Ф'!AS:AS)*1.2</f>
        <v>285166.40399999998</v>
      </c>
      <c r="DT253" s="276">
        <f>SUMIF('20Ф'!$H:$H,$B:$B,'20Ф'!AR:AR)*1.2</f>
        <v>0</v>
      </c>
      <c r="DU253" s="276">
        <f>SUMIF('20Ф'!$H:$H,$B:$B,'20Ф'!X:X)*1.2</f>
        <v>0</v>
      </c>
      <c r="DV253" s="276">
        <f>SUMIF('20Ф'!$H:$H,$B:$B,'20Ф'!AA:AA)*1.2</f>
        <v>300676.88400000002</v>
      </c>
      <c r="DW253" s="276">
        <f>SUMIF('20Ф'!$H:$H,$B:$B,'20Ф'!N:N)*1.2</f>
        <v>0</v>
      </c>
      <c r="DX253" s="276">
        <f>$D253/$D$281*('25Ф'!$D$37)</f>
        <v>1602486.4623057435</v>
      </c>
      <c r="DY253" s="276">
        <f>$D253/$D$281*'25Ф'!$D$30</f>
        <v>51146.337384893726</v>
      </c>
      <c r="DZ253" s="276">
        <f>$D253/$D$281*'25Ф'!$D$31</f>
        <v>28086.823905841618</v>
      </c>
      <c r="EA253" s="276"/>
      <c r="EB253" s="276">
        <f t="shared" si="40"/>
        <v>1009591.6223717686</v>
      </c>
      <c r="EC253" s="276">
        <f>$D253/$D$281*'26Ф'!$D$36</f>
        <v>525524.95310176001</v>
      </c>
      <c r="ED253" s="276">
        <f>$D253/$D$281*'26Ф'!$D$37</f>
        <v>63141.261843584769</v>
      </c>
      <c r="EE253" s="276">
        <f>$D253/$D$281*'26Ф'!$D$38</f>
        <v>63788.837615657321</v>
      </c>
      <c r="EF253" s="276">
        <f>$D253/$D$281*'26Ф'!$D$39</f>
        <v>44747.811368817507</v>
      </c>
      <c r="EG253" s="276">
        <f>$D253/$D$281*'91Ф'!$D$10</f>
        <v>13804.681196914949</v>
      </c>
      <c r="EH253" s="276">
        <f>$D253/$D$281*('20Ф'!$I$509+'26Ф'!$D$41+'20Ф'!$I$507)</f>
        <v>97663.573801824852</v>
      </c>
      <c r="EI253" s="276">
        <f>$D253/$D$281*'91Ф'!$D$31</f>
        <v>179031.67557524043</v>
      </c>
      <c r="EJ253" s="276">
        <f>$D253/$D$281*'20Ф'!$I$1316</f>
        <v>21888.827867968805</v>
      </c>
      <c r="EK253" s="276">
        <f>$D253/$D$281*('20Ф'!$I$1105+'20Ф'!$I$1282+'91Ф'!$D$17+'91Ф'!$D$41)</f>
        <v>718853.49353046424</v>
      </c>
      <c r="EL253" s="276">
        <f>$D253/$D$281*отчёт!BX$294</f>
        <v>1201703.8079781227</v>
      </c>
      <c r="EM253" s="276">
        <f>$D253/$D$281*отчёт!BY$294</f>
        <v>1056833.9940119085</v>
      </c>
      <c r="EN253" s="276">
        <f>$D253/$D$283*отчёт!BZ$294</f>
        <v>189668.66591902619</v>
      </c>
      <c r="EO253" s="240">
        <f t="shared" si="49"/>
        <v>922114.48750499007</v>
      </c>
      <c r="EP253" s="276">
        <f>SUMIF('20Ф'!$H:$H,$B:$B,'20Ф'!T:T)*1.2</f>
        <v>32797.440000000002</v>
      </c>
      <c r="EQ253" s="276">
        <f>SUM(H253:I253)/SUM($H$284:$I$284)*SUM('60Ф'!$O$155:$P$155)</f>
        <v>862551.30878243514</v>
      </c>
      <c r="ER253" s="276">
        <f>SUM($H253:$I253)/SUM($H$284:$I$284)*SUM('60Ф'!$P$227)</f>
        <v>26765.738722554892</v>
      </c>
      <c r="ES253" s="239">
        <f t="shared" si="43"/>
        <v>402210.72221866454</v>
      </c>
      <c r="ET253" s="276">
        <f>$D253/$D$282*'20Ф'!$I$381</f>
        <v>30741.350866448429</v>
      </c>
      <c r="EU253" s="276">
        <f>$D253/$D$282*('20Ф'!$I$75+'20Ф'!$I$1098)*1.2</f>
        <v>355076.24943566753</v>
      </c>
      <c r="EV253" s="276">
        <f>$D253/$D$282*('20Ф'!$I$1286)</f>
        <v>16393.121916548604</v>
      </c>
      <c r="EW253" s="276">
        <f>SUMIF('91.1Ф'!$N:$N,$B:$B,'91.1Ф'!$F:$F)+$D253/$D$281*('91Ф'!$D$12+'91Ф'!$D$11+'91Ф'!$D$19+'91Ф'!$D$20)</f>
        <v>94741.376830891895</v>
      </c>
      <c r="EX253" s="276">
        <f t="shared" si="41"/>
        <v>0</v>
      </c>
      <c r="EY253" s="276">
        <f>SUMIF('20Ф'!$H:$H,$B:$B,'20Ф'!$AY:$AY)*1.2</f>
        <v>0</v>
      </c>
      <c r="EZ253" s="238"/>
      <c r="FA253" s="277">
        <f>SUMIF(отчёт!$B:$B,$B:$B,отчёт!$CU:$CU)/отчёт!$CU$281*'20Ф'!$I$1341</f>
        <v>0</v>
      </c>
      <c r="FB253" s="276">
        <f>SUMIF(Сальдо!$A:$A,$B:$B,Сальдо!$H:$H)-SUMIF(Сальдо!$A:$A,$B:$B,Сальдо!$I:$I)</f>
        <v>1036122.45</v>
      </c>
    </row>
    <row r="254" spans="1:158" s="13" customFormat="1" ht="12" customHeight="1" x14ac:dyDescent="0.25">
      <c r="A254" s="3">
        <f t="shared" si="44"/>
        <v>250</v>
      </c>
      <c r="B254" s="4" t="s">
        <v>329</v>
      </c>
      <c r="C254" s="56"/>
      <c r="D254" s="233">
        <v>11104.1</v>
      </c>
      <c r="E254" s="234">
        <v>11104.1</v>
      </c>
      <c r="F254" s="235">
        <v>0</v>
      </c>
      <c r="G254" s="234">
        <v>4403.6000000000004</v>
      </c>
      <c r="H254" s="5">
        <f>SUMIF(отчёт!$B:$B,$B:$B,отчёт!I:I)</f>
        <v>3</v>
      </c>
      <c r="I254" s="5">
        <f>SUMIF(отчёт!$B:$B,$B:$B,отчёт!J:J)</f>
        <v>3</v>
      </c>
      <c r="J254" s="3" t="s">
        <v>321</v>
      </c>
      <c r="K254" s="105">
        <v>1</v>
      </c>
      <c r="L254" s="105"/>
      <c r="M254" s="12"/>
      <c r="N254" s="8"/>
      <c r="O254" s="8"/>
      <c r="P254" s="8"/>
      <c r="Q254" s="8"/>
      <c r="R254" s="8"/>
      <c r="S254" s="8"/>
      <c r="T254" s="8"/>
      <c r="U254" s="8"/>
      <c r="V254" s="9"/>
      <c r="W254" s="9"/>
      <c r="X254" s="9"/>
      <c r="Y254" s="8"/>
      <c r="Z254" s="9"/>
      <c r="AA254" s="9"/>
      <c r="AB254" s="8"/>
      <c r="AC254" s="10"/>
      <c r="AD254" s="8"/>
      <c r="AE254" s="8"/>
      <c r="AF254" s="8"/>
      <c r="AG254" s="7"/>
      <c r="AH254" s="8"/>
      <c r="AI254" s="8"/>
      <c r="AJ254" s="8"/>
      <c r="AK254" s="8"/>
      <c r="AL254" s="8"/>
      <c r="AM254" s="8"/>
      <c r="AN254" s="8"/>
      <c r="AO254" s="8"/>
      <c r="AP254" s="16"/>
      <c r="AQ254" s="7">
        <v>41.47</v>
      </c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F254" s="277">
        <f>SUMIF(Оборот!$A:$A,$B:$B,Оборот!H:H)</f>
        <v>5528698.8000000007</v>
      </c>
      <c r="CG254" s="277">
        <f>SUMIF(Оборот!$A:$A,$B:$B,Оборот!I:I)</f>
        <v>5407357.8800000008</v>
      </c>
      <c r="CH254" s="277">
        <f t="shared" si="38"/>
        <v>6506937.1722955443</v>
      </c>
      <c r="CI254" s="239">
        <f t="shared" si="42"/>
        <v>2091174.6098022803</v>
      </c>
      <c r="CJ254" s="276">
        <f>SUMIF('20Ф'!$H:$H,$B:$B,'20Ф'!M:M)*1.2</f>
        <v>0</v>
      </c>
      <c r="CK254" s="276">
        <f>SUMIF('20Ф'!$H:$H,$B:$B,'20Ф'!O:O)*1.2</f>
        <v>1217691.9239999999</v>
      </c>
      <c r="CL254" s="276">
        <f>SUMIF('20Ф'!$H:$H,$B:$B,'20Ф'!Q:Q)*1.2</f>
        <v>0</v>
      </c>
      <c r="CM254" s="276">
        <f>SUMIF('20Ф'!$H:$H,$B:$B,'20Ф'!R:R)*1.2</f>
        <v>0</v>
      </c>
      <c r="CN254" s="276">
        <f>SUMIF('20Ф'!$H:$H,$B:$B,'20Ф'!S:S)*1.2</f>
        <v>0</v>
      </c>
      <c r="CO254" s="276">
        <f>SUMIF('20Ф'!$H:$H,$B:$B,'20Ф'!W:W)*1.2</f>
        <v>0</v>
      </c>
      <c r="CP254" s="276">
        <f>SUMIF('20Ф'!$H:$H,$B:$B,'20Ф'!P:P)*1.2</f>
        <v>0</v>
      </c>
      <c r="CQ254" s="276">
        <f>SUMIF('20Ф'!$H:$H,$B:$B,'20Ф'!Y:Y)*1.2</f>
        <v>0</v>
      </c>
      <c r="CR254" s="276">
        <f>SUMIF('20Ф'!$H:$H,$B:$B,'20Ф'!Z:Z)*1.2</f>
        <v>0</v>
      </c>
      <c r="CS254" s="276">
        <f>SUMIF('20Ф'!$H:$H,$B:$B,'20Ф'!AB:AB)*1.2</f>
        <v>0</v>
      </c>
      <c r="CT254" s="276">
        <f>SUMIF('20Ф'!$H:$H,$B:$B,'20Ф'!AC:AC)*1.2</f>
        <v>0</v>
      </c>
      <c r="CU254" s="276">
        <f>SUMIF('20Ф'!$H:$H,$B:$B,'20Ф'!AD:AD)*1.2</f>
        <v>64649.735999999997</v>
      </c>
      <c r="CV254" s="276">
        <f>SUMIF('20Ф'!$H:$H,$B:$B,'20Ф'!AE:AE)*1.2</f>
        <v>0</v>
      </c>
      <c r="CW254" s="276">
        <f>SUMIF('20Ф'!$H:$H,$B:$B,'20Ф'!AF:AF)*1.2</f>
        <v>0</v>
      </c>
      <c r="CX254" s="276">
        <f>SUMIF('20Ф'!$H:$H,$B:$B,'20Ф'!AG:AG)*1.2</f>
        <v>0</v>
      </c>
      <c r="CY254" s="276">
        <f>SUMIF('20Ф'!$H:$H,$B:$B,'20Ф'!AH:AH)*1.2</f>
        <v>0</v>
      </c>
      <c r="CZ254" s="276">
        <f>SUMIF('20Ф'!$H:$H,$B:$B,'20Ф'!AI:AI)*1.2</f>
        <v>378048.62400000001</v>
      </c>
      <c r="DA254" s="276">
        <f>SUMIF('20Ф'!$H:$H,$B:$B,'20Ф'!AJ:AJ)*1.2</f>
        <v>333120.04799999995</v>
      </c>
      <c r="DB254" s="276">
        <f>SUMIF('20Ф'!$H:$H,$B:$B,'20Ф'!AK:AK)*1.2</f>
        <v>0</v>
      </c>
      <c r="DC254" s="276">
        <f>SUMIF('20Ф'!$H:$H,$B:$B,'20Ф'!AL:AL)*1.2</f>
        <v>0</v>
      </c>
      <c r="DD254" s="276">
        <f>SUMIF('20Ф'!$H:$H,$B:$B,'20Ф'!AM:AM)*1.2</f>
        <v>0</v>
      </c>
      <c r="DE254" s="276">
        <f>SUMIF('20Ф'!$H:$H,$B:$B,'20Ф'!AN:AN)*1.2</f>
        <v>0</v>
      </c>
      <c r="DF254" s="276">
        <f>SUMIF('20Ф'!$H:$H,$B:$B,'20Ф'!AO:AO)*1.2</f>
        <v>0</v>
      </c>
      <c r="DG254" s="276">
        <f>SUMIF('20Ф'!$H:$H,$B:$B,'20Ф'!AP:AP)*1.2</f>
        <v>0</v>
      </c>
      <c r="DH254" s="276">
        <f>SUMIF('20Ф'!$H:$H,$B:$B,'20Ф'!AQ:AQ)*1.2</f>
        <v>0</v>
      </c>
      <c r="DI254" s="276">
        <f>SUMIF('20Ф'!$H:$H,$B:$B,'20Ф'!BA:BA)*1.2</f>
        <v>0</v>
      </c>
      <c r="DJ254" s="276">
        <f>SUMIF('20Ф'!$H:$H,$B:$B,'20Ф'!BB:BB)*1.2</f>
        <v>0</v>
      </c>
      <c r="DK254" s="276">
        <f>SUMIF('20Ф'!$H:$H,$B:$B,'20Ф'!BC:BC)*1.2</f>
        <v>0</v>
      </c>
      <c r="DL254" s="276">
        <f>$D254/$D$281*'20Ф'!$H$218</f>
        <v>97664.277802280296</v>
      </c>
      <c r="DM254" s="240">
        <f t="shared" si="39"/>
        <v>1314717.6856111521</v>
      </c>
      <c r="DN254" s="276">
        <f>SUMIF('20Ф'!$H:$H,$B:$B,'20Ф'!AV:AV)*1.2</f>
        <v>0</v>
      </c>
      <c r="DO254" s="276">
        <f>SUMIF('20Ф'!$H:$H,$B:$B,'20Ф'!AW:AW)*1.2+$D254/$D$281*'26Ф'!$D$42</f>
        <v>231971.82514024217</v>
      </c>
      <c r="DP254" s="276">
        <f>SUMIF('20Ф'!$H:$H,$B:$B,'20Ф'!AX:AX)*1.2</f>
        <v>0</v>
      </c>
      <c r="DQ254" s="276">
        <f>SUMIF('20Ф'!$H:$H,$B:$B,'20Ф'!AY:AY)*1.2</f>
        <v>0</v>
      </c>
      <c r="DR254" s="276">
        <f>SUMIF('20Ф'!$H:$H,$B:$B,'20Ф'!AU:AU)*1.2</f>
        <v>0</v>
      </c>
      <c r="DS254" s="276">
        <f>SUMIF('20Ф'!$H:$H,$B:$B,'20Ф'!AS:AS)*1.2</f>
        <v>165970.39199999999</v>
      </c>
      <c r="DT254" s="276">
        <f>SUMIF('20Ф'!$H:$H,$B:$B,'20Ф'!AR:AR)*1.2</f>
        <v>0</v>
      </c>
      <c r="DU254" s="276">
        <f>SUMIF('20Ф'!$H:$H,$B:$B,'20Ф'!X:X)*1.2</f>
        <v>0</v>
      </c>
      <c r="DV254" s="276">
        <f>SUMIF('20Ф'!$H:$H,$B:$B,'20Ф'!AA:AA)*1.2</f>
        <v>0</v>
      </c>
      <c r="DW254" s="276">
        <f>SUMIF('20Ф'!$H:$H,$B:$B,'20Ф'!N:N)*1.2</f>
        <v>0</v>
      </c>
      <c r="DX254" s="276">
        <f>$D254/$D$281*('25Ф'!$D$37)</f>
        <v>873582.16945629695</v>
      </c>
      <c r="DY254" s="276">
        <f>$D254/$D$281*'25Ф'!$D$30</f>
        <v>27882.000518213696</v>
      </c>
      <c r="DZ254" s="276">
        <f>$D254/$D$281*'25Ф'!$D$31</f>
        <v>15311.298496399264</v>
      </c>
      <c r="EA254" s="276"/>
      <c r="EB254" s="276">
        <f t="shared" si="40"/>
        <v>550370.47768092784</v>
      </c>
      <c r="EC254" s="276">
        <f>$D254/$D$281*'26Ф'!$D$36</f>
        <v>286485.55818280799</v>
      </c>
      <c r="ED254" s="276">
        <f>$D254/$D$281*'26Ф'!$D$37</f>
        <v>34420.933843123421</v>
      </c>
      <c r="EE254" s="276">
        <f>$D254/$D$281*'26Ф'!$D$38</f>
        <v>34773.954390355066</v>
      </c>
      <c r="EF254" s="276">
        <f>$D254/$D$281*'26Ф'!$D$39</f>
        <v>24393.897267466884</v>
      </c>
      <c r="EG254" s="276">
        <f>$D254/$D$281*'91Ф'!$D$10</f>
        <v>7525.5071617276708</v>
      </c>
      <c r="EH254" s="276">
        <f>$D254/$D$281*('20Ф'!$I$509+'26Ф'!$D$41+'20Ф'!$I$507)</f>
        <v>53240.485137012911</v>
      </c>
      <c r="EI254" s="276">
        <f>$D254/$D$281*'91Ф'!$D$31</f>
        <v>97597.629202670068</v>
      </c>
      <c r="EJ254" s="276">
        <f>$D254/$D$281*'20Ф'!$I$1316</f>
        <v>11932.512495763818</v>
      </c>
      <c r="EK254" s="276">
        <f>$D254/$D$281*('20Ф'!$I$1105+'20Ф'!$I$1282+'91Ф'!$D$17+'91Ф'!$D$41)</f>
        <v>391877.00437482214</v>
      </c>
      <c r="EL254" s="276">
        <f>$D254/$D$281*отчёт!BX$294</f>
        <v>655098.83815613133</v>
      </c>
      <c r="EM254" s="276">
        <f>$D254/$D$281*отчёт!BY$294</f>
        <v>576124.26373680029</v>
      </c>
      <c r="EN254" s="276">
        <f>$D254/$D$283*отчёт!BZ$294</f>
        <v>103396.29603673483</v>
      </c>
      <c r="EO254" s="240">
        <f t="shared" si="49"/>
        <v>553268.69250299409</v>
      </c>
      <c r="EP254" s="276">
        <f>SUMIF('20Ф'!$H:$H,$B:$B,'20Ф'!T:T)*1.2</f>
        <v>19678.464</v>
      </c>
      <c r="EQ254" s="276">
        <f>SUM(H254:I254)/SUM($H$284:$I$284)*SUM('60Ф'!$O$155:$P$155)</f>
        <v>517530.78526946111</v>
      </c>
      <c r="ER254" s="276">
        <f>SUM($H254:$I254)/SUM($H$284:$I$284)*SUM('60Ф'!$P$227)</f>
        <v>16059.443233532935</v>
      </c>
      <c r="ES254" s="239">
        <f t="shared" si="43"/>
        <v>219261.83063587546</v>
      </c>
      <c r="ET254" s="276">
        <f>$D254/$D$282*'20Ф'!$I$381</f>
        <v>16758.391795265892</v>
      </c>
      <c r="EU254" s="276">
        <f>$D254/$D$282*('20Ф'!$I$75+'20Ф'!$I$1098)*1.2</f>
        <v>193566.86474474191</v>
      </c>
      <c r="EV254" s="276">
        <f>$D254/$D$282*('20Ф'!$I$1286)</f>
        <v>8936.5740958676524</v>
      </c>
      <c r="EW254" s="276">
        <f>SUMIF('91.1Ф'!$N:$N,$B:$B,'91.1Ф'!$F:$F)+$D254/$D$281*('91Ф'!$D$12+'91Ф'!$D$11+'91Ф'!$D$19+'91Ф'!$D$20)</f>
        <v>51647.473757825872</v>
      </c>
      <c r="EX254" s="276">
        <f t="shared" si="41"/>
        <v>0</v>
      </c>
      <c r="EY254" s="276">
        <f>SUMIF('20Ф'!$H:$H,$B:$B,'20Ф'!$AY:$AY)*1.2</f>
        <v>0</v>
      </c>
      <c r="EZ254" s="238"/>
      <c r="FA254" s="277">
        <f>SUMIF(отчёт!$B:$B,$B:$B,отчёт!$CU:$CU)/отчёт!$CU$281*'20Ф'!$I$1341</f>
        <v>0</v>
      </c>
      <c r="FB254" s="276">
        <f>SUMIF(Сальдо!$A:$A,$B:$B,Сальдо!$H:$H)-SUMIF(Сальдо!$A:$A,$B:$B,Сальдо!$I:$I)</f>
        <v>520737.69000000006</v>
      </c>
    </row>
    <row r="255" spans="1:158" s="13" customFormat="1" ht="12" customHeight="1" x14ac:dyDescent="0.25">
      <c r="A255" s="3">
        <f t="shared" si="44"/>
        <v>251</v>
      </c>
      <c r="B255" s="4" t="s">
        <v>330</v>
      </c>
      <c r="C255" s="56"/>
      <c r="D255" s="233">
        <v>11161.5</v>
      </c>
      <c r="E255" s="234">
        <v>11078.7</v>
      </c>
      <c r="F255" s="235">
        <v>82.8</v>
      </c>
      <c r="G255" s="234">
        <v>2389.9</v>
      </c>
      <c r="H255" s="5">
        <f>SUMIF(отчёт!$B:$B,$B:$B,отчёт!I:I)</f>
        <v>3</v>
      </c>
      <c r="I255" s="5">
        <f>SUMIF(отчёт!$B:$B,$B:$B,отчёт!J:J)</f>
        <v>3</v>
      </c>
      <c r="J255" s="3" t="s">
        <v>321</v>
      </c>
      <c r="K255" s="105">
        <v>1</v>
      </c>
      <c r="L255" s="105"/>
      <c r="M255" s="12"/>
      <c r="N255" s="8"/>
      <c r="O255" s="8"/>
      <c r="P255" s="8"/>
      <c r="Q255" s="8"/>
      <c r="R255" s="8"/>
      <c r="S255" s="8"/>
      <c r="T255" s="8"/>
      <c r="U255" s="8"/>
      <c r="V255" s="9"/>
      <c r="W255" s="9"/>
      <c r="X255" s="9"/>
      <c r="Y255" s="8"/>
      <c r="Z255" s="9"/>
      <c r="AA255" s="9"/>
      <c r="AB255" s="8"/>
      <c r="AC255" s="10"/>
      <c r="AD255" s="8"/>
      <c r="AE255" s="8"/>
      <c r="AF255" s="8"/>
      <c r="AG255" s="7"/>
      <c r="AH255" s="8"/>
      <c r="AI255" s="8"/>
      <c r="AJ255" s="8"/>
      <c r="AK255" s="8"/>
      <c r="AL255" s="8"/>
      <c r="AM255" s="8"/>
      <c r="AN255" s="8"/>
      <c r="AO255" s="8"/>
      <c r="AP255" s="16"/>
      <c r="AQ255" s="7">
        <v>41.47</v>
      </c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F255" s="277">
        <f>SUMIF(Оборот!$A:$A,$B:$B,Оборот!H:H)</f>
        <v>5510716.3399999999</v>
      </c>
      <c r="CG255" s="277">
        <f>SUMIF(Оборот!$A:$A,$B:$B,Оборот!I:I)</f>
        <v>5148214.6199999992</v>
      </c>
      <c r="CH255" s="277">
        <f t="shared" si="38"/>
        <v>5654475.5952628888</v>
      </c>
      <c r="CI255" s="239">
        <f t="shared" si="42"/>
        <v>1260532.2700231581</v>
      </c>
      <c r="CJ255" s="276">
        <f>SUMIF('20Ф'!$H:$H,$B:$B,'20Ф'!M:M)*1.2</f>
        <v>253443.12</v>
      </c>
      <c r="CK255" s="276">
        <f>SUMIF('20Ф'!$H:$H,$B:$B,'20Ф'!O:O)*1.2</f>
        <v>560656.21199999994</v>
      </c>
      <c r="CL255" s="276">
        <f>SUMIF('20Ф'!$H:$H,$B:$B,'20Ф'!Q:Q)*1.2</f>
        <v>8814</v>
      </c>
      <c r="CM255" s="276">
        <f>SUMIF('20Ф'!$H:$H,$B:$B,'20Ф'!R:R)*1.2</f>
        <v>0</v>
      </c>
      <c r="CN255" s="276">
        <f>SUMIF('20Ф'!$H:$H,$B:$B,'20Ф'!S:S)*1.2</f>
        <v>0</v>
      </c>
      <c r="CO255" s="276">
        <f>SUMIF('20Ф'!$H:$H,$B:$B,'20Ф'!W:W)*1.2</f>
        <v>0</v>
      </c>
      <c r="CP255" s="276">
        <f>SUMIF('20Ф'!$H:$H,$B:$B,'20Ф'!P:P)*1.2</f>
        <v>0</v>
      </c>
      <c r="CQ255" s="276">
        <f>SUMIF('20Ф'!$H:$H,$B:$B,'20Ф'!Y:Y)*1.2</f>
        <v>0</v>
      </c>
      <c r="CR255" s="276">
        <f>SUMIF('20Ф'!$H:$H,$B:$B,'20Ф'!Z:Z)*1.2</f>
        <v>0</v>
      </c>
      <c r="CS255" s="276">
        <f>SUMIF('20Ф'!$H:$H,$B:$B,'20Ф'!AB:AB)*1.2</f>
        <v>0</v>
      </c>
      <c r="CT255" s="276">
        <f>SUMIF('20Ф'!$H:$H,$B:$B,'20Ф'!AC:AC)*1.2</f>
        <v>0</v>
      </c>
      <c r="CU255" s="276">
        <f>SUMIF('20Ф'!$H:$H,$B:$B,'20Ф'!AD:AD)*1.2</f>
        <v>0</v>
      </c>
      <c r="CV255" s="276">
        <f>SUMIF('20Ф'!$H:$H,$B:$B,'20Ф'!AE:AE)*1.2</f>
        <v>0</v>
      </c>
      <c r="CW255" s="276">
        <f>SUMIF('20Ф'!$H:$H,$B:$B,'20Ф'!AF:AF)*1.2</f>
        <v>0</v>
      </c>
      <c r="CX255" s="276">
        <f>SUMIF('20Ф'!$H:$H,$B:$B,'20Ф'!AG:AG)*1.2</f>
        <v>0</v>
      </c>
      <c r="CY255" s="276">
        <f>SUMIF('20Ф'!$H:$H,$B:$B,'20Ф'!AH:AH)*1.2</f>
        <v>0</v>
      </c>
      <c r="CZ255" s="276">
        <f>SUMIF('20Ф'!$H:$H,$B:$B,'20Ф'!AI:AI)*1.2</f>
        <v>311849.80799999996</v>
      </c>
      <c r="DA255" s="276">
        <f>SUMIF('20Ф'!$H:$H,$B:$B,'20Ф'!AJ:AJ)*1.2</f>
        <v>0</v>
      </c>
      <c r="DB255" s="276">
        <f>SUMIF('20Ф'!$H:$H,$B:$B,'20Ф'!AK:AK)*1.2</f>
        <v>0</v>
      </c>
      <c r="DC255" s="276">
        <f>SUMIF('20Ф'!$H:$H,$B:$B,'20Ф'!AL:AL)*1.2</f>
        <v>0</v>
      </c>
      <c r="DD255" s="276">
        <f>SUMIF('20Ф'!$H:$H,$B:$B,'20Ф'!AM:AM)*1.2</f>
        <v>0</v>
      </c>
      <c r="DE255" s="276">
        <f>SUMIF('20Ф'!$H:$H,$B:$B,'20Ф'!AN:AN)*1.2</f>
        <v>0</v>
      </c>
      <c r="DF255" s="276">
        <f>SUMIF('20Ф'!$H:$H,$B:$B,'20Ф'!AO:AO)*1.2</f>
        <v>0</v>
      </c>
      <c r="DG255" s="276">
        <f>SUMIF('20Ф'!$H:$H,$B:$B,'20Ф'!AP:AP)*1.2</f>
        <v>0</v>
      </c>
      <c r="DH255" s="276">
        <f>SUMIF('20Ф'!$H:$H,$B:$B,'20Ф'!AQ:AQ)*1.2</f>
        <v>0</v>
      </c>
      <c r="DI255" s="276">
        <f>SUMIF('20Ф'!$H:$H,$B:$B,'20Ф'!BA:BA)*1.2</f>
        <v>27600</v>
      </c>
      <c r="DJ255" s="276">
        <f>SUMIF('20Ф'!$H:$H,$B:$B,'20Ф'!BB:BB)*1.2</f>
        <v>0</v>
      </c>
      <c r="DK255" s="276">
        <f>SUMIF('20Ф'!$H:$H,$B:$B,'20Ф'!BC:BC)*1.2</f>
        <v>0</v>
      </c>
      <c r="DL255" s="276">
        <f>$D255/$D$281*'20Ф'!$H$218</f>
        <v>98169.130023158243</v>
      </c>
      <c r="DM255" s="240">
        <f t="shared" si="39"/>
        <v>1279728.3262420613</v>
      </c>
      <c r="DN255" s="276">
        <f>SUMIF('20Ф'!$H:$H,$B:$B,'20Ф'!AV:AV)*1.2</f>
        <v>0</v>
      </c>
      <c r="DO255" s="276">
        <f>SUMIF('20Ф'!$H:$H,$B:$B,'20Ф'!AW:AW)*1.2+$D255/$D$281*'26Ф'!$D$42</f>
        <v>232241.00935895866</v>
      </c>
      <c r="DP255" s="276">
        <f>SUMIF('20Ф'!$H:$H,$B:$B,'20Ф'!AX:AX)*1.2</f>
        <v>0</v>
      </c>
      <c r="DQ255" s="276">
        <f>SUMIF('20Ф'!$H:$H,$B:$B,'20Ф'!AY:AY)*1.2</f>
        <v>0</v>
      </c>
      <c r="DR255" s="276">
        <f>SUMIF('20Ф'!$H:$H,$B:$B,'20Ф'!AU:AU)*1.2</f>
        <v>0</v>
      </c>
      <c r="DS255" s="276">
        <f>SUMIF('20Ф'!$H:$H,$B:$B,'20Ф'!AS:AS)*1.2</f>
        <v>125972.796</v>
      </c>
      <c r="DT255" s="276">
        <f>SUMIF('20Ф'!$H:$H,$B:$B,'20Ф'!AR:AR)*1.2</f>
        <v>0</v>
      </c>
      <c r="DU255" s="276">
        <f>SUMIF('20Ф'!$H:$H,$B:$B,'20Ф'!X:X)*1.2</f>
        <v>0</v>
      </c>
      <c r="DV255" s="276">
        <f>SUMIF('20Ф'!$H:$H,$B:$B,'20Ф'!AA:AA)*1.2</f>
        <v>0</v>
      </c>
      <c r="DW255" s="276">
        <f>SUMIF('20Ф'!$H:$H,$B:$B,'20Ф'!N:N)*1.2</f>
        <v>0</v>
      </c>
      <c r="DX255" s="276">
        <f>$D255/$D$281*('25Ф'!$D$37)</f>
        <v>878097.94439769618</v>
      </c>
      <c r="DY255" s="276">
        <f>$D255/$D$281*'25Ф'!$D$30</f>
        <v>28026.129878517138</v>
      </c>
      <c r="DZ255" s="276">
        <f>$D255/$D$281*'25Ф'!$D$31</f>
        <v>15390.446606889382</v>
      </c>
      <c r="EA255" s="276"/>
      <c r="EB255" s="276">
        <f t="shared" si="40"/>
        <v>553215.48676936224</v>
      </c>
      <c r="EC255" s="276">
        <f>$D255/$D$281*'26Ф'!$D$36</f>
        <v>287966.47703617683</v>
      </c>
      <c r="ED255" s="276">
        <f>$D255/$D$281*'26Ф'!$D$37</f>
        <v>34598.864661703519</v>
      </c>
      <c r="EE255" s="276">
        <f>$D255/$D$281*'26Ф'!$D$38</f>
        <v>34953.710064566068</v>
      </c>
      <c r="EF255" s="276">
        <f>$D255/$D$281*'26Ф'!$D$39</f>
        <v>24519.995708867144</v>
      </c>
      <c r="EG255" s="276">
        <f>$D255/$D$281*'91Ф'!$D$10</f>
        <v>7564.4084784560118</v>
      </c>
      <c r="EH255" s="276">
        <f>$D255/$D$281*('20Ф'!$I$509+'26Ф'!$D$41+'20Ф'!$I$507)</f>
        <v>53515.699143268663</v>
      </c>
      <c r="EI255" s="276">
        <f>$D255/$D$281*'91Ф'!$D$31</f>
        <v>98102.136899487741</v>
      </c>
      <c r="EJ255" s="276">
        <f>$D255/$D$281*'20Ф'!$I$1316</f>
        <v>11994.194776836292</v>
      </c>
      <c r="EK255" s="276">
        <f>$D255/$D$281*('20Ф'!$I$1105+'20Ф'!$I$1282+'91Ф'!$D$17+'91Ф'!$D$41)</f>
        <v>393902.71920548065</v>
      </c>
      <c r="EL255" s="276">
        <f>$D255/$D$281*отчёт!BX$294</f>
        <v>658485.21555818664</v>
      </c>
      <c r="EM255" s="276">
        <f>$D255/$D$281*отчёт!BY$294</f>
        <v>579102.4008878069</v>
      </c>
      <c r="EN255" s="276">
        <f>$D255/$D$283*отчёт!BZ$294</f>
        <v>103930.7785605331</v>
      </c>
      <c r="EO255" s="240">
        <f t="shared" si="49"/>
        <v>553268.69250299409</v>
      </c>
      <c r="EP255" s="276">
        <f>SUMIF('20Ф'!$H:$H,$B:$B,'20Ф'!T:T)*1.2</f>
        <v>19678.464</v>
      </c>
      <c r="EQ255" s="276">
        <f>SUM(H255:I255)/SUM($H$284:$I$284)*SUM('60Ф'!$O$155:$P$155)</f>
        <v>517530.78526946111</v>
      </c>
      <c r="ER255" s="276">
        <f>SUM($H255:$I255)/SUM($H$284:$I$284)*SUM('60Ф'!$P$227)</f>
        <v>16059.443233532935</v>
      </c>
      <c r="ES255" s="239">
        <f t="shared" si="43"/>
        <v>220395.25244210011</v>
      </c>
      <c r="ET255" s="276">
        <f>$D255/$D$282*'20Ф'!$I$381</f>
        <v>16845.020309872954</v>
      </c>
      <c r="EU255" s="276">
        <f>$D255/$D$282*('20Ф'!$I$75+'20Ф'!$I$1098)*1.2</f>
        <v>194567.46254522534</v>
      </c>
      <c r="EV255" s="276">
        <f>$D255/$D$282*('20Ф'!$I$1286)</f>
        <v>8982.7695870018106</v>
      </c>
      <c r="EW255" s="276">
        <f>SUMIF('91.1Ф'!$N:$N,$B:$B,'91.1Ф'!$F:$F)+$D255/$D$281*('91Ф'!$D$12+'91Ф'!$D$11+'91Ф'!$D$19+'91Ф'!$D$20)</f>
        <v>51914.453071205542</v>
      </c>
      <c r="EX255" s="276">
        <f t="shared" si="41"/>
        <v>0</v>
      </c>
      <c r="EY255" s="276">
        <f>SUMIF('20Ф'!$H:$H,$B:$B,'20Ф'!$AY:$AY)*1.2</f>
        <v>0</v>
      </c>
      <c r="EZ255" s="238"/>
      <c r="FA255" s="277">
        <f>SUMIF(отчёт!$B:$B,$B:$B,отчёт!$CU:$CU)/отчёт!$CU$281*'20Ф'!$I$1341</f>
        <v>0</v>
      </c>
      <c r="FB255" s="276">
        <f>SUMIF(Сальдо!$A:$A,$B:$B,Сальдо!$H:$H)-SUMIF(Сальдо!$A:$A,$B:$B,Сальдо!$I:$I)</f>
        <v>749065.77</v>
      </c>
    </row>
    <row r="256" spans="1:158" s="13" customFormat="1" ht="12" customHeight="1" x14ac:dyDescent="0.25">
      <c r="A256" s="3">
        <f t="shared" si="44"/>
        <v>252</v>
      </c>
      <c r="B256" s="4" t="s">
        <v>331</v>
      </c>
      <c r="C256" s="56"/>
      <c r="D256" s="233">
        <v>6448.65</v>
      </c>
      <c r="E256" s="234">
        <v>4375.55</v>
      </c>
      <c r="F256" s="235">
        <v>2073.1</v>
      </c>
      <c r="G256" s="234">
        <v>1381.8</v>
      </c>
      <c r="H256" s="5">
        <f>SUMIF(отчёт!$B:$B,$B:$B,отчёт!I:I)</f>
        <v>1</v>
      </c>
      <c r="I256" s="5">
        <f>SUMIF(отчёт!$B:$B,$B:$B,отчёт!J:J)</f>
        <v>0</v>
      </c>
      <c r="J256" s="3" t="s">
        <v>321</v>
      </c>
      <c r="K256" s="105">
        <v>1</v>
      </c>
      <c r="L256" s="105"/>
      <c r="M256" s="12"/>
      <c r="N256" s="8"/>
      <c r="O256" s="8"/>
      <c r="P256" s="8"/>
      <c r="Q256" s="8"/>
      <c r="R256" s="8"/>
      <c r="S256" s="8"/>
      <c r="T256" s="8"/>
      <c r="U256" s="8"/>
      <c r="V256" s="9"/>
      <c r="W256" s="9"/>
      <c r="X256" s="9"/>
      <c r="Y256" s="8"/>
      <c r="Z256" s="9"/>
      <c r="AA256" s="9"/>
      <c r="AB256" s="8"/>
      <c r="AC256" s="10"/>
      <c r="AD256" s="8"/>
      <c r="AE256" s="8"/>
      <c r="AF256" s="8"/>
      <c r="AG256" s="7"/>
      <c r="AH256" s="8"/>
      <c r="AI256" s="8"/>
      <c r="AJ256" s="8"/>
      <c r="AK256" s="8"/>
      <c r="AL256" s="8"/>
      <c r="AM256" s="8"/>
      <c r="AN256" s="8"/>
      <c r="AO256" s="8"/>
      <c r="AP256" s="16"/>
      <c r="AQ256" s="7">
        <v>34.979999999999997</v>
      </c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F256" s="277">
        <f>SUMIF(Оборот!$A:$A,$B:$B,Оборот!H:H)</f>
        <v>1492648.11</v>
      </c>
      <c r="CG256" s="277">
        <f>SUMIF(Оборот!$A:$A,$B:$B,Оборот!I:I)</f>
        <v>1161865.42</v>
      </c>
      <c r="CH256" s="277">
        <f t="shared" si="38"/>
        <v>2278915.5483840783</v>
      </c>
      <c r="CI256" s="239">
        <f t="shared" si="42"/>
        <v>103921.23613527209</v>
      </c>
      <c r="CJ256" s="276">
        <f>SUMIF('20Ф'!$H:$H,$B:$B,'20Ф'!M:M)*1.2</f>
        <v>0</v>
      </c>
      <c r="CK256" s="276">
        <f>SUMIF('20Ф'!$H:$H,$B:$B,'20Ф'!O:O)*1.2</f>
        <v>17254.428</v>
      </c>
      <c r="CL256" s="276">
        <f>SUMIF('20Ф'!$H:$H,$B:$B,'20Ф'!Q:Q)*1.2</f>
        <v>0</v>
      </c>
      <c r="CM256" s="276">
        <f>SUMIF('20Ф'!$H:$H,$B:$B,'20Ф'!R:R)*1.2</f>
        <v>0</v>
      </c>
      <c r="CN256" s="276">
        <f>SUMIF('20Ф'!$H:$H,$B:$B,'20Ф'!S:S)*1.2</f>
        <v>0</v>
      </c>
      <c r="CO256" s="276">
        <f>SUMIF('20Ф'!$H:$H,$B:$B,'20Ф'!W:W)*1.2</f>
        <v>0</v>
      </c>
      <c r="CP256" s="276">
        <f>SUMIF('20Ф'!$H:$H,$B:$B,'20Ф'!P:P)*1.2</f>
        <v>0</v>
      </c>
      <c r="CQ256" s="276">
        <f>SUMIF('20Ф'!$H:$H,$B:$B,'20Ф'!Y:Y)*1.2</f>
        <v>0</v>
      </c>
      <c r="CR256" s="276">
        <f>SUMIF('20Ф'!$H:$H,$B:$B,'20Ф'!Z:Z)*1.2</f>
        <v>0</v>
      </c>
      <c r="CS256" s="276">
        <f>SUMIF('20Ф'!$H:$H,$B:$B,'20Ф'!AB:AB)*1.2</f>
        <v>0</v>
      </c>
      <c r="CT256" s="276">
        <f>SUMIF('20Ф'!$H:$H,$B:$B,'20Ф'!AC:AC)*1.2</f>
        <v>0</v>
      </c>
      <c r="CU256" s="276">
        <f>SUMIF('20Ф'!$H:$H,$B:$B,'20Ф'!AD:AD)*1.2</f>
        <v>0</v>
      </c>
      <c r="CV256" s="276">
        <f>SUMIF('20Ф'!$H:$H,$B:$B,'20Ф'!AE:AE)*1.2</f>
        <v>0</v>
      </c>
      <c r="CW256" s="276">
        <f>SUMIF('20Ф'!$H:$H,$B:$B,'20Ф'!AF:AF)*1.2</f>
        <v>0</v>
      </c>
      <c r="CX256" s="276">
        <f>SUMIF('20Ф'!$H:$H,$B:$B,'20Ф'!AG:AG)*1.2</f>
        <v>5118.2039999999997</v>
      </c>
      <c r="CY256" s="276">
        <f>SUMIF('20Ф'!$H:$H,$B:$B,'20Ф'!AH:AH)*1.2</f>
        <v>0</v>
      </c>
      <c r="CZ256" s="276">
        <f>SUMIF('20Ф'!$H:$H,$B:$B,'20Ф'!AI:AI)*1.2</f>
        <v>0</v>
      </c>
      <c r="DA256" s="276">
        <f>SUMIF('20Ф'!$H:$H,$B:$B,'20Ф'!AJ:AJ)*1.2</f>
        <v>24830.567999999999</v>
      </c>
      <c r="DB256" s="276">
        <f>SUMIF('20Ф'!$H:$H,$B:$B,'20Ф'!AK:AK)*1.2</f>
        <v>0</v>
      </c>
      <c r="DC256" s="276">
        <f>SUMIF('20Ф'!$H:$H,$B:$B,'20Ф'!AL:AL)*1.2</f>
        <v>0</v>
      </c>
      <c r="DD256" s="276">
        <f>SUMIF('20Ф'!$H:$H,$B:$B,'20Ф'!AM:AM)*1.2</f>
        <v>0</v>
      </c>
      <c r="DE256" s="276">
        <f>SUMIF('20Ф'!$H:$H,$B:$B,'20Ф'!AN:AN)*1.2</f>
        <v>0</v>
      </c>
      <c r="DF256" s="276">
        <f>SUMIF('20Ф'!$H:$H,$B:$B,'20Ф'!AO:AO)*1.2</f>
        <v>0</v>
      </c>
      <c r="DG256" s="276">
        <f>SUMIF('20Ф'!$H:$H,$B:$B,'20Ф'!AP:AP)*1.2</f>
        <v>0</v>
      </c>
      <c r="DH256" s="276">
        <f>SUMIF('20Ф'!$H:$H,$B:$B,'20Ф'!AQ:AQ)*1.2</f>
        <v>0</v>
      </c>
      <c r="DI256" s="276">
        <f>SUMIF('20Ф'!$H:$H,$B:$B,'20Ф'!BA:BA)*1.2</f>
        <v>0</v>
      </c>
      <c r="DJ256" s="276">
        <f>SUMIF('20Ф'!$H:$H,$B:$B,'20Ф'!BB:BB)*1.2</f>
        <v>0</v>
      </c>
      <c r="DK256" s="276">
        <f>SUMIF('20Ф'!$H:$H,$B:$B,'20Ф'!BC:BC)*1.2</f>
        <v>0</v>
      </c>
      <c r="DL256" s="276">
        <f>$D256/$D$281*'20Ф'!$H$218</f>
        <v>56718.036135272094</v>
      </c>
      <c r="DM256" s="240">
        <f t="shared" si="39"/>
        <v>603858.31452810729</v>
      </c>
      <c r="DN256" s="276">
        <f>SUMIF('20Ф'!$H:$H,$B:$B,'20Ф'!AV:AV)*1.2</f>
        <v>0</v>
      </c>
      <c r="DO256" s="276">
        <f>SUMIF('20Ф'!$H:$H,$B:$B,'20Ф'!AW:AW)*1.2+$D256/$D$281*'26Ф'!$D$42</f>
        <v>30182.402871535985</v>
      </c>
      <c r="DP256" s="276">
        <f>SUMIF('20Ф'!$H:$H,$B:$B,'20Ф'!AX:AX)*1.2</f>
        <v>0</v>
      </c>
      <c r="DQ256" s="276">
        <f>SUMIF('20Ф'!$H:$H,$B:$B,'20Ф'!AY:AY)*1.2</f>
        <v>0</v>
      </c>
      <c r="DR256" s="276">
        <f>SUMIF('20Ф'!$H:$H,$B:$B,'20Ф'!AU:AU)*1.2</f>
        <v>0</v>
      </c>
      <c r="DS256" s="276">
        <f>SUMIF('20Ф'!$H:$H,$B:$B,'20Ф'!AS:AS)*1.2</f>
        <v>41263.187999999995</v>
      </c>
      <c r="DT256" s="276">
        <f>SUMIF('20Ф'!$H:$H,$B:$B,'20Ф'!AR:AR)*1.2</f>
        <v>0</v>
      </c>
      <c r="DU256" s="276">
        <f>SUMIF('20Ф'!$H:$H,$B:$B,'20Ф'!X:X)*1.2</f>
        <v>0</v>
      </c>
      <c r="DV256" s="276">
        <f>SUMIF('20Ф'!$H:$H,$B:$B,'20Ф'!AA:AA)*1.2</f>
        <v>0</v>
      </c>
      <c r="DW256" s="276">
        <f>SUMIF('20Ф'!$H:$H,$B:$B,'20Ф'!N:N)*1.2</f>
        <v>0</v>
      </c>
      <c r="DX256" s="276">
        <f>$D256/$D$281*('25Ф'!$D$37)</f>
        <v>507328.43337725254</v>
      </c>
      <c r="DY256" s="276">
        <f>$D256/$D$281*'25Ф'!$D$30</f>
        <v>16192.330998620218</v>
      </c>
      <c r="DZ256" s="276">
        <f>$D256/$D$281*'25Ф'!$D$31</f>
        <v>8891.959280698582</v>
      </c>
      <c r="EA256" s="276"/>
      <c r="EB256" s="276">
        <f t="shared" si="40"/>
        <v>319624.8755772296</v>
      </c>
      <c r="EC256" s="276">
        <f>$D256/$D$281*'26Ф'!$D$36</f>
        <v>166375.04118078592</v>
      </c>
      <c r="ED256" s="276">
        <f>$D256/$D$281*'26Ф'!$D$37</f>
        <v>19989.783505863408</v>
      </c>
      <c r="EE256" s="276">
        <f>$D256/$D$281*'26Ф'!$D$38</f>
        <v>20194.798405936835</v>
      </c>
      <c r="EF256" s="276">
        <f>$D256/$D$281*'26Ф'!$D$39</f>
        <v>14166.632650448964</v>
      </c>
      <c r="EG256" s="276">
        <f>$D256/$D$281*'91Ф'!$D$10</f>
        <v>4370.4002808399737</v>
      </c>
      <c r="EH256" s="276">
        <f>$D256/$D$281*('20Ф'!$I$509+'26Ф'!$D$41+'20Ф'!$I$507)</f>
        <v>30919.142882250548</v>
      </c>
      <c r="EI256" s="276">
        <f>$D256/$D$281*'91Ф'!$D$31</f>
        <v>56679.33029761965</v>
      </c>
      <c r="EJ256" s="276">
        <f>$D256/$D$281*'20Ф'!$I$1316</f>
        <v>6929.7463734843304</v>
      </c>
      <c r="EK256" s="276">
        <f>$D256/$D$281*('20Ф'!$I$1105+'20Ф'!$I$1282+'91Ф'!$D$17+'91Ф'!$D$41)</f>
        <v>227580.59133668619</v>
      </c>
      <c r="EL256" s="276">
        <f>$D256/$D$281*отчёт!BX$294</f>
        <v>380445.34205163294</v>
      </c>
      <c r="EM256" s="276">
        <f>$D256/$D$281*отчёт!BY$294</f>
        <v>334581.25677419314</v>
      </c>
      <c r="EN256" s="276">
        <f>$D256/$D$283*отчёт!BZ$294</f>
        <v>60046.876778603386</v>
      </c>
      <c r="EO256" s="240">
        <f t="shared" si="49"/>
        <v>91527.844750499004</v>
      </c>
      <c r="EP256" s="276">
        <f>SUMIF('20Ф'!$H:$H,$B:$B,'20Ф'!T:T)*1.2</f>
        <v>2596.14</v>
      </c>
      <c r="EQ256" s="276">
        <f>SUM(H256:I256)/SUM($H$284:$I$284)*SUM('60Ф'!$O$155:$P$155)</f>
        <v>86255.130878243508</v>
      </c>
      <c r="ER256" s="276">
        <f>SUM($H256:$I256)/SUM($H$284:$I$284)*SUM('60Ф'!$P$227)</f>
        <v>2676.5738722554888</v>
      </c>
      <c r="ES256" s="239">
        <f t="shared" si="43"/>
        <v>127335.20088346087</v>
      </c>
      <c r="ET256" s="276">
        <f>$D256/$D$282*'20Ф'!$I$381</f>
        <v>9732.3514062860904</v>
      </c>
      <c r="EU256" s="276">
        <f>$D256/$D$282*('20Ф'!$I$75+'20Ф'!$I$1098)*1.2</f>
        <v>112412.97920013145</v>
      </c>
      <c r="EV256" s="276">
        <f>$D256/$D$282*('20Ф'!$I$1286)</f>
        <v>5189.8702770433374</v>
      </c>
      <c r="EW256" s="276">
        <f>SUMIF('91.1Ф'!$N:$N,$B:$B,'91.1Ф'!$F:$F)+$D256/$D$281*('91Ф'!$D$12+'91Ф'!$D$11+'91Ф'!$D$19+'91Ф'!$D$20)</f>
        <v>29994.009568394002</v>
      </c>
      <c r="EX256" s="276">
        <f t="shared" si="41"/>
        <v>0</v>
      </c>
      <c r="EY256" s="276">
        <f>SUMIF('20Ф'!$H:$H,$B:$B,'20Ф'!$AY:$AY)*1.2</f>
        <v>0</v>
      </c>
      <c r="EZ256" s="238"/>
      <c r="FA256" s="277">
        <f>SUMIF(отчёт!$B:$B,$B:$B,отчёт!$CU:$CU)/отчёт!$CU$281*'20Ф'!$I$1341</f>
        <v>0</v>
      </c>
      <c r="FB256" s="276">
        <f>SUMIF(Сальдо!$A:$A,$B:$B,Сальдо!$H:$H)-SUMIF(Сальдо!$A:$A,$B:$B,Сальдо!$I:$I)</f>
        <v>457996.74</v>
      </c>
    </row>
    <row r="257" spans="1:158" s="13" customFormat="1" ht="12" customHeight="1" x14ac:dyDescent="0.25">
      <c r="A257" s="3">
        <f t="shared" si="44"/>
        <v>253</v>
      </c>
      <c r="B257" s="4" t="s">
        <v>332</v>
      </c>
      <c r="C257" s="56"/>
      <c r="D257" s="233">
        <v>3124.7</v>
      </c>
      <c r="E257" s="234">
        <v>3124.7</v>
      </c>
      <c r="F257" s="235">
        <v>0</v>
      </c>
      <c r="G257" s="234">
        <v>1469.5</v>
      </c>
      <c r="H257" s="5">
        <f>SUMIF(отчёт!$B:$B,$B:$B,отчёт!I:I)</f>
        <v>1</v>
      </c>
      <c r="I257" s="5">
        <f>SUMIF(отчёт!$B:$B,$B:$B,отчёт!J:J)</f>
        <v>0</v>
      </c>
      <c r="J257" s="3" t="s">
        <v>321</v>
      </c>
      <c r="K257" s="105">
        <v>3</v>
      </c>
      <c r="L257" s="105"/>
      <c r="M257" s="12"/>
      <c r="N257" s="8"/>
      <c r="O257" s="8"/>
      <c r="P257" s="8"/>
      <c r="Q257" s="8"/>
      <c r="R257" s="8"/>
      <c r="S257" s="8"/>
      <c r="T257" s="8"/>
      <c r="U257" s="8"/>
      <c r="V257" s="9"/>
      <c r="W257" s="9"/>
      <c r="X257" s="9"/>
      <c r="Y257" s="8"/>
      <c r="Z257" s="9"/>
      <c r="AA257" s="9"/>
      <c r="AB257" s="8"/>
      <c r="AC257" s="10"/>
      <c r="AD257" s="8"/>
      <c r="AE257" s="8"/>
      <c r="AF257" s="8"/>
      <c r="AG257" s="7"/>
      <c r="AH257" s="8"/>
      <c r="AI257" s="8"/>
      <c r="AJ257" s="8"/>
      <c r="AK257" s="8"/>
      <c r="AL257" s="8"/>
      <c r="AM257" s="8"/>
      <c r="AN257" s="8"/>
      <c r="AO257" s="8"/>
      <c r="AP257" s="16"/>
      <c r="AQ257" s="7">
        <v>40.33</v>
      </c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>
        <v>0.24</v>
      </c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F257" s="277">
        <f>SUMIF(Оборот!$A:$A,$B:$B,Оборот!H:H)</f>
        <v>1514359.3200000003</v>
      </c>
      <c r="CG257" s="277">
        <f>SUMIF(Оборот!$A:$A,$B:$B,Оборот!I:I)</f>
        <v>1460611.0100000002</v>
      </c>
      <c r="CH257" s="277">
        <f t="shared" si="38"/>
        <v>1223566.0406371627</v>
      </c>
      <c r="CI257" s="239">
        <f t="shared" si="42"/>
        <v>36162.382832357885</v>
      </c>
      <c r="CJ257" s="276">
        <f>SUMIF('20Ф'!$H:$H,$B:$B,'20Ф'!M:M)*1.2</f>
        <v>0</v>
      </c>
      <c r="CK257" s="276">
        <f>SUMIF('20Ф'!$H:$H,$B:$B,'20Ф'!O:O)*1.2</f>
        <v>0</v>
      </c>
      <c r="CL257" s="276">
        <f>SUMIF('20Ф'!$H:$H,$B:$B,'20Ф'!Q:Q)*1.2</f>
        <v>0</v>
      </c>
      <c r="CM257" s="276">
        <f>SUMIF('20Ф'!$H:$H,$B:$B,'20Ф'!R:R)*1.2</f>
        <v>0</v>
      </c>
      <c r="CN257" s="276">
        <f>SUMIF('20Ф'!$H:$H,$B:$B,'20Ф'!S:S)*1.2</f>
        <v>0</v>
      </c>
      <c r="CO257" s="276">
        <f>SUMIF('20Ф'!$H:$H,$B:$B,'20Ф'!W:W)*1.2</f>
        <v>0</v>
      </c>
      <c r="CP257" s="276">
        <f>SUMIF('20Ф'!$H:$H,$B:$B,'20Ф'!P:P)*1.2</f>
        <v>0</v>
      </c>
      <c r="CQ257" s="276">
        <f>SUMIF('20Ф'!$H:$H,$B:$B,'20Ф'!Y:Y)*1.2</f>
        <v>0</v>
      </c>
      <c r="CR257" s="276">
        <f>SUMIF('20Ф'!$H:$H,$B:$B,'20Ф'!Z:Z)*1.2</f>
        <v>0</v>
      </c>
      <c r="CS257" s="276">
        <f>SUMIF('20Ф'!$H:$H,$B:$B,'20Ф'!AB:AB)*1.2</f>
        <v>0</v>
      </c>
      <c r="CT257" s="276">
        <f>SUMIF('20Ф'!$H:$H,$B:$B,'20Ф'!AC:AC)*1.2</f>
        <v>0</v>
      </c>
      <c r="CU257" s="276">
        <f>SUMIF('20Ф'!$H:$H,$B:$B,'20Ф'!AD:AD)*1.2</f>
        <v>0</v>
      </c>
      <c r="CV257" s="276">
        <f>SUMIF('20Ф'!$H:$H,$B:$B,'20Ф'!AE:AE)*1.2</f>
        <v>0</v>
      </c>
      <c r="CW257" s="276">
        <f>SUMIF('20Ф'!$H:$H,$B:$B,'20Ф'!AF:AF)*1.2</f>
        <v>0</v>
      </c>
      <c r="CX257" s="276">
        <f>SUMIF('20Ф'!$H:$H,$B:$B,'20Ф'!AG:AG)*1.2</f>
        <v>0</v>
      </c>
      <c r="CY257" s="276">
        <f>SUMIF('20Ф'!$H:$H,$B:$B,'20Ф'!AH:AH)*1.2</f>
        <v>0</v>
      </c>
      <c r="CZ257" s="276">
        <f>SUMIF('20Ф'!$H:$H,$B:$B,'20Ф'!AI:AI)*1.2</f>
        <v>0</v>
      </c>
      <c r="DA257" s="276">
        <f>SUMIF('20Ф'!$H:$H,$B:$B,'20Ф'!AJ:AJ)*1.2</f>
        <v>0</v>
      </c>
      <c r="DB257" s="276">
        <f>SUMIF('20Ф'!$H:$H,$B:$B,'20Ф'!AK:AK)*1.2</f>
        <v>0</v>
      </c>
      <c r="DC257" s="276">
        <f>SUMIF('20Ф'!$H:$H,$B:$B,'20Ф'!AL:AL)*1.2</f>
        <v>0</v>
      </c>
      <c r="DD257" s="276">
        <f>SUMIF('20Ф'!$H:$H,$B:$B,'20Ф'!AM:AM)*1.2</f>
        <v>0</v>
      </c>
      <c r="DE257" s="276">
        <f>SUMIF('20Ф'!$H:$H,$B:$B,'20Ф'!AN:AN)*1.2</f>
        <v>0</v>
      </c>
      <c r="DF257" s="276">
        <f>SUMIF('20Ф'!$H:$H,$B:$B,'20Ф'!AO:AO)*1.2</f>
        <v>0</v>
      </c>
      <c r="DG257" s="276">
        <f>SUMIF('20Ф'!$H:$H,$B:$B,'20Ф'!AP:AP)*1.2</f>
        <v>0</v>
      </c>
      <c r="DH257" s="276">
        <f>SUMIF('20Ф'!$H:$H,$B:$B,'20Ф'!AQ:AQ)*1.2</f>
        <v>0</v>
      </c>
      <c r="DI257" s="276">
        <f>SUMIF('20Ф'!$H:$H,$B:$B,'20Ф'!BA:BA)*1.2</f>
        <v>0</v>
      </c>
      <c r="DJ257" s="276">
        <f>SUMIF('20Ф'!$H:$H,$B:$B,'20Ф'!BB:BB)*1.2</f>
        <v>8679.6</v>
      </c>
      <c r="DK257" s="276">
        <f>SUMIF('20Ф'!$H:$H,$B:$B,'20Ф'!BC:BC)*1.2</f>
        <v>0</v>
      </c>
      <c r="DL257" s="276">
        <f>$D257/$D$281*'20Ф'!$H$218</f>
        <v>27482.782832357887</v>
      </c>
      <c r="DM257" s="240">
        <f t="shared" si="39"/>
        <v>341985.38006624283</v>
      </c>
      <c r="DN257" s="276">
        <f>SUMIF('20Ф'!$H:$H,$B:$B,'20Ф'!AV:AV)*1.2</f>
        <v>0</v>
      </c>
      <c r="DO257" s="276">
        <f>SUMIF('20Ф'!$H:$H,$B:$B,'20Ф'!AW:AW)*1.2+$D257/$D$281*'26Ф'!$D$42</f>
        <v>14624.914401105421</v>
      </c>
      <c r="DP257" s="276">
        <f>SUMIF('20Ф'!$H:$H,$B:$B,'20Ф'!AX:AX)*1.2</f>
        <v>0</v>
      </c>
      <c r="DQ257" s="276">
        <f>SUMIF('20Ф'!$H:$H,$B:$B,'20Ф'!AY:AY)*1.2</f>
        <v>34740.6</v>
      </c>
      <c r="DR257" s="276">
        <f>SUMIF('20Ф'!$H:$H,$B:$B,'20Ф'!AU:AU)*1.2</f>
        <v>0</v>
      </c>
      <c r="DS257" s="276">
        <f>SUMIF('20Ф'!$H:$H,$B:$B,'20Ф'!AS:AS)*1.2</f>
        <v>34638.731999999996</v>
      </c>
      <c r="DT257" s="276">
        <f>SUMIF('20Ф'!$H:$H,$B:$B,'20Ф'!AR:AR)*1.2</f>
        <v>0</v>
      </c>
      <c r="DU257" s="276">
        <f>SUMIF('20Ф'!$H:$H,$B:$B,'20Ф'!X:X)*1.2</f>
        <v>0</v>
      </c>
      <c r="DV257" s="276">
        <f>SUMIF('20Ф'!$H:$H,$B:$B,'20Ф'!AA:AA)*1.2</f>
        <v>0</v>
      </c>
      <c r="DW257" s="276">
        <f>SUMIF('20Ф'!$H:$H,$B:$B,'20Ф'!N:N)*1.2</f>
        <v>0</v>
      </c>
      <c r="DX257" s="276">
        <f>$D257/$D$281*('25Ф'!$D$37)</f>
        <v>245826.5149719555</v>
      </c>
      <c r="DY257" s="276">
        <f>$D257/$D$281*'25Ф'!$D$30</f>
        <v>7846.0106644628859</v>
      </c>
      <c r="DZ257" s="276">
        <f>$D257/$D$281*'25Ф'!$D$31</f>
        <v>4308.6080287190116</v>
      </c>
      <c r="EA257" s="276"/>
      <c r="EB257" s="276">
        <f t="shared" si="40"/>
        <v>154874.56269392342</v>
      </c>
      <c r="EC257" s="276">
        <f>$D257/$D$281*'26Ф'!$D$36</f>
        <v>80617.197580517124</v>
      </c>
      <c r="ED257" s="276">
        <f>$D257/$D$281*'26Ф'!$D$37</f>
        <v>9686.070188453612</v>
      </c>
      <c r="EE257" s="276">
        <f>$D257/$D$281*'26Ф'!$D$38</f>
        <v>9785.4103694619535</v>
      </c>
      <c r="EF257" s="276">
        <f>$D257/$D$281*'26Ф'!$D$39</f>
        <v>6864.4564432645393</v>
      </c>
      <c r="EG257" s="276">
        <f>$D257/$D$281*'91Ф'!$D$10</f>
        <v>2117.6819578579493</v>
      </c>
      <c r="EH257" s="276">
        <f>$D257/$D$281*('20Ф'!$I$509+'26Ф'!$D$41+'20Ф'!$I$507)</f>
        <v>14981.902532183989</v>
      </c>
      <c r="EI257" s="276">
        <f>$D257/$D$281*'91Ф'!$D$31</f>
        <v>27464.027878854038</v>
      </c>
      <c r="EJ257" s="276">
        <f>$D257/$D$281*'20Ф'!$I$1316</f>
        <v>3357.8157433302299</v>
      </c>
      <c r="EK257" s="276">
        <f>$D257/$D$281*('20Ф'!$I$1105+'20Ф'!$I$1282+'91Ф'!$D$17+'91Ф'!$D$41)</f>
        <v>110274.40995398157</v>
      </c>
      <c r="EL257" s="276">
        <f>$D257/$D$281*отчёт!BX$294</f>
        <v>184345.18237285901</v>
      </c>
      <c r="EM257" s="276">
        <f>$D257/$D$281*отчёт!BY$294</f>
        <v>162121.69260889041</v>
      </c>
      <c r="EN257" s="276">
        <f>$D257/$D$283*отчёт!BZ$294</f>
        <v>29095.775994991513</v>
      </c>
      <c r="EO257" s="240">
        <f t="shared" si="49"/>
        <v>91527.844750499004</v>
      </c>
      <c r="EP257" s="276">
        <f>SUMIF('20Ф'!$H:$H,$B:$B,'20Ф'!T:T)*1.2</f>
        <v>2596.14</v>
      </c>
      <c r="EQ257" s="276">
        <f>SUM(H257:I257)/SUM($H$284:$I$284)*SUM('60Ф'!$O$155:$P$155)</f>
        <v>86255.130878243508</v>
      </c>
      <c r="ER257" s="276">
        <f>SUM($H257:$I257)/SUM($H$284:$I$284)*SUM('60Ф'!$P$227)</f>
        <v>2676.5738722554888</v>
      </c>
      <c r="ES257" s="239">
        <f t="shared" si="43"/>
        <v>61700.402751048699</v>
      </c>
      <c r="ET257" s="276">
        <f>$D257/$D$282*'20Ф'!$I$381</f>
        <v>4715.8208988272199</v>
      </c>
      <c r="EU257" s="276">
        <f>$D257/$D$282*('20Ф'!$I$75+'20Ф'!$I$1098)*1.2</f>
        <v>54469.824863599475</v>
      </c>
      <c r="EV257" s="276">
        <f>$D257/$D$282*('20Ф'!$I$1286)</f>
        <v>2514.756988622009</v>
      </c>
      <c r="EW257" s="276">
        <f>SUMIF('91.1Ф'!$N:$N,$B:$B,'91.1Ф'!$F:$F)+$D257/$D$281*('91Ф'!$D$12+'91Ф'!$D$11+'91Ф'!$D$19+'91Ф'!$D$20)</f>
        <v>14533.628232011462</v>
      </c>
      <c r="EX257" s="276">
        <f t="shared" si="41"/>
        <v>36944.778380356664</v>
      </c>
      <c r="EY257" s="276">
        <f>SUMIF('20Ф'!$H:$H,$B:$B,'20Ф'!$AY:$AY)*1.2</f>
        <v>34740.6</v>
      </c>
      <c r="EZ257" s="295">
        <f>D257/$D$286*'20Ф'!$I$1163</f>
        <v>2204.1783803566659</v>
      </c>
      <c r="FA257" s="277">
        <f>SUMIF(отчёт!$B:$B,$B:$B,отчёт!$CU:$CU)/отчёт!$CU$281*'20Ф'!$I$1341</f>
        <v>0</v>
      </c>
      <c r="FB257" s="276">
        <f>SUMIF(Сальдо!$A:$A,$B:$B,Сальдо!$H:$H)-SUMIF(Сальдо!$A:$A,$B:$B,Сальдо!$I:$I)</f>
        <v>159304.01999999999</v>
      </c>
    </row>
    <row r="258" spans="1:158" s="13" customFormat="1" ht="12" customHeight="1" x14ac:dyDescent="0.25">
      <c r="A258" s="3">
        <f t="shared" si="44"/>
        <v>254</v>
      </c>
      <c r="B258" s="4" t="s">
        <v>333</v>
      </c>
      <c r="C258" s="56"/>
      <c r="D258" s="233">
        <v>595.5</v>
      </c>
      <c r="E258" s="234">
        <v>595.5</v>
      </c>
      <c r="F258" s="235">
        <v>0</v>
      </c>
      <c r="G258" s="234">
        <v>314.5</v>
      </c>
      <c r="H258" s="5">
        <f>SUMIF(отчёт!$B:$B,$B:$B,отчёт!I:I)</f>
        <v>0</v>
      </c>
      <c r="I258" s="5">
        <f>SUMIF(отчёт!$B:$B,$B:$B,отчёт!J:J)</f>
        <v>0</v>
      </c>
      <c r="J258" s="3" t="s">
        <v>321</v>
      </c>
      <c r="K258" s="105">
        <v>6</v>
      </c>
      <c r="L258" s="105"/>
      <c r="M258" s="12"/>
      <c r="N258" s="8"/>
      <c r="O258" s="8"/>
      <c r="P258" s="8"/>
      <c r="Q258" s="8"/>
      <c r="R258" s="8"/>
      <c r="S258" s="8"/>
      <c r="T258" s="8"/>
      <c r="U258" s="8"/>
      <c r="V258" s="9"/>
      <c r="W258" s="9"/>
      <c r="X258" s="9"/>
      <c r="Y258" s="8"/>
      <c r="Z258" s="9"/>
      <c r="AA258" s="9"/>
      <c r="AB258" s="8"/>
      <c r="AC258" s="10"/>
      <c r="AD258" s="8"/>
      <c r="AE258" s="8"/>
      <c r="AF258" s="8"/>
      <c r="AG258" s="7"/>
      <c r="AH258" s="8"/>
      <c r="AI258" s="8"/>
      <c r="AJ258" s="8"/>
      <c r="AK258" s="8"/>
      <c r="AL258" s="8"/>
      <c r="AM258" s="8"/>
      <c r="AN258" s="8"/>
      <c r="AO258" s="8"/>
      <c r="AP258" s="16"/>
      <c r="AQ258" s="7">
        <v>23.78</v>
      </c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>
        <v>0.24</v>
      </c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F258" s="277">
        <f>SUMIF(Оборот!$A:$A,$B:$B,Оборот!H:H)</f>
        <v>140568.36000000002</v>
      </c>
      <c r="CG258" s="277">
        <f>SUMIF(Оборот!$A:$A,$B:$B,Оборот!I:I)</f>
        <v>108837.99999999997</v>
      </c>
      <c r="CH258" s="277">
        <f t="shared" si="38"/>
        <v>509193.88389205071</v>
      </c>
      <c r="CI258" s="239">
        <f t="shared" si="42"/>
        <v>234528.36590823732</v>
      </c>
      <c r="CJ258" s="276">
        <f>SUMIF('20Ф'!$H:$H,$B:$B,'20Ф'!M:M)*1.2</f>
        <v>0</v>
      </c>
      <c r="CK258" s="276">
        <f>SUMIF('20Ф'!$H:$H,$B:$B,'20Ф'!O:O)*1.2</f>
        <v>0</v>
      </c>
      <c r="CL258" s="276">
        <f>SUMIF('20Ф'!$H:$H,$B:$B,'20Ф'!Q:Q)*1.2</f>
        <v>135519</v>
      </c>
      <c r="CM258" s="276">
        <f>SUMIF('20Ф'!$H:$H,$B:$B,'20Ф'!R:R)*1.2</f>
        <v>0</v>
      </c>
      <c r="CN258" s="276">
        <f>SUMIF('20Ф'!$H:$H,$B:$B,'20Ф'!S:S)*1.2</f>
        <v>0</v>
      </c>
      <c r="CO258" s="276">
        <f>SUMIF('20Ф'!$H:$H,$B:$B,'20Ф'!W:W)*1.2</f>
        <v>0</v>
      </c>
      <c r="CP258" s="276">
        <f>SUMIF('20Ф'!$H:$H,$B:$B,'20Ф'!P:P)*1.2</f>
        <v>0</v>
      </c>
      <c r="CQ258" s="276">
        <f>SUMIF('20Ф'!$H:$H,$B:$B,'20Ф'!Y:Y)*1.2</f>
        <v>0</v>
      </c>
      <c r="CR258" s="276">
        <f>SUMIF('20Ф'!$H:$H,$B:$B,'20Ф'!Z:Z)*1.2</f>
        <v>0</v>
      </c>
      <c r="CS258" s="276">
        <f>SUMIF('20Ф'!$H:$H,$B:$B,'20Ф'!AB:AB)*1.2</f>
        <v>0</v>
      </c>
      <c r="CT258" s="276">
        <f>SUMIF('20Ф'!$H:$H,$B:$B,'20Ф'!AC:AC)*1.2</f>
        <v>0</v>
      </c>
      <c r="CU258" s="276">
        <f>SUMIF('20Ф'!$H:$H,$B:$B,'20Ф'!AD:AD)*1.2</f>
        <v>0</v>
      </c>
      <c r="CV258" s="276">
        <f>SUMIF('20Ф'!$H:$H,$B:$B,'20Ф'!AE:AE)*1.2</f>
        <v>0</v>
      </c>
      <c r="CW258" s="276">
        <f>SUMIF('20Ф'!$H:$H,$B:$B,'20Ф'!AF:AF)*1.2</f>
        <v>0</v>
      </c>
      <c r="CX258" s="276">
        <f>SUMIF('20Ф'!$H:$H,$B:$B,'20Ф'!AG:AG)*1.2</f>
        <v>0</v>
      </c>
      <c r="CY258" s="276">
        <f>SUMIF('20Ф'!$H:$H,$B:$B,'20Ф'!AH:AH)*1.2</f>
        <v>0</v>
      </c>
      <c r="CZ258" s="276">
        <f>SUMIF('20Ф'!$H:$H,$B:$B,'20Ф'!AI:AI)*1.2</f>
        <v>0</v>
      </c>
      <c r="DA258" s="276">
        <f>SUMIF('20Ф'!$H:$H,$B:$B,'20Ф'!AJ:AJ)*1.2</f>
        <v>40700.544000000002</v>
      </c>
      <c r="DB258" s="276">
        <f>SUMIF('20Ф'!$H:$H,$B:$B,'20Ф'!AK:AK)*1.2</f>
        <v>0</v>
      </c>
      <c r="DC258" s="276">
        <f>SUMIF('20Ф'!$H:$H,$B:$B,'20Ф'!AL:AL)*1.2</f>
        <v>0</v>
      </c>
      <c r="DD258" s="276">
        <f>SUMIF('20Ф'!$H:$H,$B:$B,'20Ф'!AM:AM)*1.2</f>
        <v>0</v>
      </c>
      <c r="DE258" s="276">
        <f>SUMIF('20Ф'!$H:$H,$B:$B,'20Ф'!AN:AN)*1.2</f>
        <v>0</v>
      </c>
      <c r="DF258" s="276">
        <f>SUMIF('20Ф'!$H:$H,$B:$B,'20Ф'!AO:AO)*1.2</f>
        <v>0</v>
      </c>
      <c r="DG258" s="276">
        <f>SUMIF('20Ф'!$H:$H,$B:$B,'20Ф'!AP:AP)*1.2</f>
        <v>0</v>
      </c>
      <c r="DH258" s="276">
        <f>SUMIF('20Ф'!$H:$H,$B:$B,'20Ф'!AQ:AQ)*1.2</f>
        <v>0</v>
      </c>
      <c r="DI258" s="276">
        <f>SUMIF('20Ф'!$H:$H,$B:$B,'20Ф'!BA:BA)*1.2</f>
        <v>53071.199999999997</v>
      </c>
      <c r="DJ258" s="276">
        <f>SUMIF('20Ф'!$H:$H,$B:$B,'20Ф'!BB:BB)*1.2</f>
        <v>0</v>
      </c>
      <c r="DK258" s="276">
        <f>SUMIF('20Ф'!$H:$H,$B:$B,'20Ф'!BC:BC)*1.2</f>
        <v>0</v>
      </c>
      <c r="DL258" s="276">
        <f>$D258/$D$281*'20Ф'!$H$218</f>
        <v>5237.62190823731</v>
      </c>
      <c r="DM258" s="240">
        <f t="shared" si="39"/>
        <v>132425.19198791805</v>
      </c>
      <c r="DN258" s="276">
        <f>SUMIF('20Ф'!$H:$H,$B:$B,'20Ф'!AV:AV)*1.2</f>
        <v>0</v>
      </c>
      <c r="DO258" s="276">
        <f>SUMIF('20Ф'!$H:$H,$B:$B,'20Ф'!AW:AW)*1.2+$D258/$D$281*'26Ф'!$D$42</f>
        <v>2787.1912586354783</v>
      </c>
      <c r="DP258" s="276">
        <f>SUMIF('20Ф'!$H:$H,$B:$B,'20Ф'!AX:AX)*1.2</f>
        <v>0</v>
      </c>
      <c r="DQ258" s="276">
        <f>SUMIF('20Ф'!$H:$H,$B:$B,'20Ф'!AY:AY)*1.2</f>
        <v>10731</v>
      </c>
      <c r="DR258" s="276">
        <f>SUMIF('20Ф'!$H:$H,$B:$B,'20Ф'!AU:AU)*1.2</f>
        <v>0</v>
      </c>
      <c r="DS258" s="276">
        <f>SUMIF('20Ф'!$H:$H,$B:$B,'20Ф'!AS:AS)*1.2</f>
        <v>23653.296000000002</v>
      </c>
      <c r="DT258" s="276">
        <f>SUMIF('20Ф'!$H:$H,$B:$B,'20Ф'!AR:AR)*1.2</f>
        <v>0</v>
      </c>
      <c r="DU258" s="276">
        <f>SUMIF('20Ф'!$H:$H,$B:$B,'20Ф'!X:X)*1.2</f>
        <v>46088.1</v>
      </c>
      <c r="DV258" s="276">
        <f>SUMIF('20Ф'!$H:$H,$B:$B,'20Ф'!AA:AA)*1.2</f>
        <v>0</v>
      </c>
      <c r="DW258" s="276">
        <f>SUMIF('20Ф'!$H:$H,$B:$B,'20Ф'!N:N)*1.2</f>
        <v>0</v>
      </c>
      <c r="DX258" s="276">
        <f>$D258/$D$281*('25Ф'!$D$37)</f>
        <v>46849.198216084587</v>
      </c>
      <c r="DY258" s="276">
        <f>$D258/$D$281*'25Ф'!$D$30</f>
        <v>1495.2793390365953</v>
      </c>
      <c r="DZ258" s="276">
        <f>$D258/$D$281*'25Ф'!$D$31</f>
        <v>821.12717416141436</v>
      </c>
      <c r="EA258" s="276"/>
      <c r="EB258" s="276">
        <f t="shared" si="40"/>
        <v>29515.730177051046</v>
      </c>
      <c r="EC258" s="276">
        <f>$D258/$D$281*'26Ф'!$D$36</f>
        <v>15363.888104201345</v>
      </c>
      <c r="ED258" s="276">
        <f>$D258/$D$281*'26Ф'!$D$37</f>
        <v>1845.9547467674099</v>
      </c>
      <c r="EE258" s="276">
        <f>$D258/$D$281*'26Ф'!$D$38</f>
        <v>1864.8868291402673</v>
      </c>
      <c r="EF258" s="276">
        <f>$D258/$D$281*'26Ф'!$D$39</f>
        <v>1308.2164086037167</v>
      </c>
      <c r="EG258" s="276">
        <f>$D258/$D$281*'91Ф'!$D$10</f>
        <v>403.58421797433635</v>
      </c>
      <c r="EH258" s="276">
        <f>$D258/$D$281*('20Ф'!$I$509+'26Ф'!$D$41+'20Ф'!$I$507)</f>
        <v>2855.225448176006</v>
      </c>
      <c r="EI258" s="276">
        <f>$D258/$D$281*'91Ф'!$D$31</f>
        <v>5234.047621166058</v>
      </c>
      <c r="EJ258" s="276">
        <f>$D258/$D$281*'20Ф'!$I$1316</f>
        <v>639.92680102190673</v>
      </c>
      <c r="EK258" s="276">
        <f>$D258/$D$281*('20Ф'!$I$1105+'20Ф'!$I$1282+'91Ф'!$D$17+'91Ф'!$D$41)</f>
        <v>21015.909088103188</v>
      </c>
      <c r="EL258" s="276">
        <f>$D258/$D$281*отчёт!BX$294</f>
        <v>35132.190643273767</v>
      </c>
      <c r="EM258" s="276">
        <f>$D258/$D$281*отчёт!BY$294</f>
        <v>30896.875843631144</v>
      </c>
      <c r="EN258" s="276">
        <f>SUMIF(отчёт!$B:$B,$B:$B,отчёт!BZ:BZ)/отчёт!BZ$281*('60Ф'!$O$151+'60Ф'!$P$151)*отчёт!BZ$293</f>
        <v>0</v>
      </c>
      <c r="EO258" s="240">
        <f t="shared" si="45"/>
        <v>0</v>
      </c>
      <c r="EP258" s="276">
        <f>SUMIF('20Ф'!$H:$H,$B:$B,'20Ф'!T:T)*1.2</f>
        <v>0</v>
      </c>
      <c r="EQ258" s="276">
        <f>SUMIF('20Ф'!$H:$H,$B:$B,'20Ф'!U:U)*1.2</f>
        <v>0</v>
      </c>
      <c r="ER258" s="238"/>
      <c r="ES258" s="239">
        <f t="shared" si="43"/>
        <v>11758.757588968383</v>
      </c>
      <c r="ET258" s="276">
        <f>$D258/$D$282*'20Ф'!$I$381</f>
        <v>898.73310885896547</v>
      </c>
      <c r="EU258" s="276">
        <f>$D258/$D$282*('20Ф'!$I$75+'20Ф'!$I$1098)*1.2</f>
        <v>10380.766379579956</v>
      </c>
      <c r="EV258" s="276">
        <f>$D258/$D$282*('20Ф'!$I$1286)</f>
        <v>479.25810052946088</v>
      </c>
      <c r="EW258" s="276">
        <f>SUMIF('91.1Ф'!$N:$N,$B:$B,'91.1Ф'!$F:$F)+$D258/$D$281*('91Ф'!$D$12+'91Ф'!$D$11+'91Ф'!$D$19+'91Ф'!$D$20)</f>
        <v>2769.7940961253325</v>
      </c>
      <c r="EX258" s="276">
        <f t="shared" si="41"/>
        <v>11151.068558742405</v>
      </c>
      <c r="EY258" s="276">
        <f>SUMIF('20Ф'!$H:$H,$B:$B,'20Ф'!$AY:$AY)*1.2</f>
        <v>10731</v>
      </c>
      <c r="EZ258" s="295">
        <f>D258/$D$286*'20Ф'!$I$1163</f>
        <v>420.06855874240546</v>
      </c>
      <c r="FA258" s="277">
        <f>SUMIF(отчёт!$B:$B,$B:$B,отчёт!$CU:$CU)/отчёт!$CU$281*'20Ф'!$I$1341</f>
        <v>0</v>
      </c>
      <c r="FB258" s="276">
        <f>SUMIF(Сальдо!$A:$A,$B:$B,Сальдо!$H:$H)-SUMIF(Сальдо!$A:$A,$B:$B,Сальдо!$I:$I)</f>
        <v>41492.959999999999</v>
      </c>
    </row>
    <row r="259" spans="1:158" s="13" customFormat="1" ht="12" customHeight="1" x14ac:dyDescent="0.25">
      <c r="A259" s="3">
        <f t="shared" si="44"/>
        <v>255</v>
      </c>
      <c r="B259" s="4" t="s">
        <v>334</v>
      </c>
      <c r="C259" s="56"/>
      <c r="D259" s="233">
        <v>9375.2000000000007</v>
      </c>
      <c r="E259" s="234">
        <v>9375.2000000000007</v>
      </c>
      <c r="F259" s="235">
        <v>0</v>
      </c>
      <c r="G259" s="234">
        <v>2984.9</v>
      </c>
      <c r="H259" s="5">
        <f>SUMIF(отчёт!$B:$B,$B:$B,отчёт!I:I)</f>
        <v>2</v>
      </c>
      <c r="I259" s="5">
        <f>SUMIF(отчёт!$B:$B,$B:$B,отчёт!J:J)</f>
        <v>2</v>
      </c>
      <c r="J259" s="3" t="s">
        <v>321</v>
      </c>
      <c r="K259" s="105">
        <v>1</v>
      </c>
      <c r="L259" s="105"/>
      <c r="M259" s="12"/>
      <c r="N259" s="8"/>
      <c r="O259" s="8"/>
      <c r="P259" s="8"/>
      <c r="Q259" s="8"/>
      <c r="R259" s="8"/>
      <c r="S259" s="8"/>
      <c r="T259" s="8"/>
      <c r="U259" s="8"/>
      <c r="V259" s="9"/>
      <c r="W259" s="9"/>
      <c r="X259" s="9"/>
      <c r="Y259" s="8"/>
      <c r="Z259" s="9"/>
      <c r="AA259" s="9"/>
      <c r="AB259" s="8"/>
      <c r="AC259" s="10"/>
      <c r="AD259" s="8"/>
      <c r="AE259" s="8"/>
      <c r="AF259" s="8"/>
      <c r="AG259" s="7"/>
      <c r="AH259" s="8"/>
      <c r="AI259" s="8"/>
      <c r="AJ259" s="8"/>
      <c r="AK259" s="8"/>
      <c r="AL259" s="8"/>
      <c r="AM259" s="8"/>
      <c r="AN259" s="8"/>
      <c r="AO259" s="8"/>
      <c r="AP259" s="16"/>
      <c r="AQ259" s="7">
        <v>41.47</v>
      </c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F259" s="277">
        <f>SUMIF(Оборот!$A:$A,$B:$B,Оборот!H:H)</f>
        <v>4666619.8900000006</v>
      </c>
      <c r="CG259" s="277">
        <f>SUMIF(Оборот!$A:$A,$B:$B,Оборот!I:I)</f>
        <v>4506487.41</v>
      </c>
      <c r="CH259" s="277">
        <f t="shared" si="38"/>
        <v>5509108.6300307428</v>
      </c>
      <c r="CI259" s="239">
        <f t="shared" si="42"/>
        <v>1918386.9833654179</v>
      </c>
      <c r="CJ259" s="276">
        <f>SUMIF('20Ф'!$H:$H,$B:$B,'20Ф'!M:M)*1.2</f>
        <v>0</v>
      </c>
      <c r="CK259" s="276">
        <f>SUMIF('20Ф'!$H:$H,$B:$B,'20Ф'!O:O)*1.2</f>
        <v>1097418</v>
      </c>
      <c r="CL259" s="276">
        <f>SUMIF('20Ф'!$H:$H,$B:$B,'20Ф'!Q:Q)*1.2</f>
        <v>0</v>
      </c>
      <c r="CM259" s="276">
        <f>SUMIF('20Ф'!$H:$H,$B:$B,'20Ф'!R:R)*1.2</f>
        <v>0</v>
      </c>
      <c r="CN259" s="276">
        <f>SUMIF('20Ф'!$H:$H,$B:$B,'20Ф'!S:S)*1.2</f>
        <v>0</v>
      </c>
      <c r="CO259" s="276">
        <f>SUMIF('20Ф'!$H:$H,$B:$B,'20Ф'!W:W)*1.2</f>
        <v>0</v>
      </c>
      <c r="CP259" s="276">
        <f>SUMIF('20Ф'!$H:$H,$B:$B,'20Ф'!P:P)*1.2</f>
        <v>0</v>
      </c>
      <c r="CQ259" s="276">
        <f>SUMIF('20Ф'!$H:$H,$B:$B,'20Ф'!Y:Y)*1.2</f>
        <v>0</v>
      </c>
      <c r="CR259" s="276">
        <f>SUMIF('20Ф'!$H:$H,$B:$B,'20Ф'!Z:Z)*1.2</f>
        <v>0</v>
      </c>
      <c r="CS259" s="276">
        <f>SUMIF('20Ф'!$H:$H,$B:$B,'20Ф'!AB:AB)*1.2</f>
        <v>0</v>
      </c>
      <c r="CT259" s="276">
        <f>SUMIF('20Ф'!$H:$H,$B:$B,'20Ф'!AC:AC)*1.2</f>
        <v>0</v>
      </c>
      <c r="CU259" s="276">
        <f>SUMIF('20Ф'!$H:$H,$B:$B,'20Ф'!AD:AD)*1.2</f>
        <v>0</v>
      </c>
      <c r="CV259" s="276">
        <f>SUMIF('20Ф'!$H:$H,$B:$B,'20Ф'!AE:AE)*1.2</f>
        <v>0</v>
      </c>
      <c r="CW259" s="276">
        <f>SUMIF('20Ф'!$H:$H,$B:$B,'20Ф'!AF:AF)*1.2</f>
        <v>0</v>
      </c>
      <c r="CX259" s="276">
        <f>SUMIF('20Ф'!$H:$H,$B:$B,'20Ф'!AG:AG)*1.2</f>
        <v>0</v>
      </c>
      <c r="CY259" s="276">
        <f>SUMIF('20Ф'!$H:$H,$B:$B,'20Ф'!AH:AH)*1.2</f>
        <v>0</v>
      </c>
      <c r="CZ259" s="276">
        <f>SUMIF('20Ф'!$H:$H,$B:$B,'20Ф'!AI:AI)*1.2</f>
        <v>37586.207999999999</v>
      </c>
      <c r="DA259" s="276">
        <f>SUMIF('20Ф'!$H:$H,$B:$B,'20Ф'!AJ:AJ)*1.2</f>
        <v>700924.75199999998</v>
      </c>
      <c r="DB259" s="276">
        <f>SUMIF('20Ф'!$H:$H,$B:$B,'20Ф'!AK:AK)*1.2</f>
        <v>0</v>
      </c>
      <c r="DC259" s="276">
        <f>SUMIF('20Ф'!$H:$H,$B:$B,'20Ф'!AL:AL)*1.2</f>
        <v>0</v>
      </c>
      <c r="DD259" s="276">
        <f>SUMIF('20Ф'!$H:$H,$B:$B,'20Ф'!AM:AM)*1.2</f>
        <v>0</v>
      </c>
      <c r="DE259" s="276">
        <f>SUMIF('20Ф'!$H:$H,$B:$B,'20Ф'!AN:AN)*1.2</f>
        <v>0</v>
      </c>
      <c r="DF259" s="276">
        <f>SUMIF('20Ф'!$H:$H,$B:$B,'20Ф'!AO:AO)*1.2</f>
        <v>0</v>
      </c>
      <c r="DG259" s="276">
        <f>SUMIF('20Ф'!$H:$H,$B:$B,'20Ф'!AP:AP)*1.2</f>
        <v>0</v>
      </c>
      <c r="DH259" s="276">
        <f>SUMIF('20Ф'!$H:$H,$B:$B,'20Ф'!AQ:AQ)*1.2</f>
        <v>0</v>
      </c>
      <c r="DI259" s="276">
        <f>SUMIF('20Ф'!$H:$H,$B:$B,'20Ф'!BA:BA)*1.2</f>
        <v>0</v>
      </c>
      <c r="DJ259" s="276">
        <f>SUMIF('20Ф'!$H:$H,$B:$B,'20Ф'!BB:BB)*1.2</f>
        <v>0</v>
      </c>
      <c r="DK259" s="276">
        <f>SUMIF('20Ф'!$H:$H,$B:$B,'20Ф'!BC:BC)*1.2</f>
        <v>0</v>
      </c>
      <c r="DL259" s="276">
        <f>$D259/$D$281*'20Ф'!$H$218</f>
        <v>82458.023365418019</v>
      </c>
      <c r="DM259" s="240">
        <f t="shared" si="39"/>
        <v>1069145.8587404357</v>
      </c>
      <c r="DN259" s="276">
        <f>SUMIF('20Ф'!$H:$H,$B:$B,'20Ф'!AV:AV)*1.2</f>
        <v>0</v>
      </c>
      <c r="DO259" s="276">
        <f>SUMIF('20Ф'!$H:$H,$B:$B,'20Ф'!AW:AW)*1.2+$D259/$D$281*'26Ф'!$D$42</f>
        <v>60243.523667438014</v>
      </c>
      <c r="DP259" s="276">
        <f>SUMIF('20Ф'!$H:$H,$B:$B,'20Ф'!AX:AX)*1.2</f>
        <v>0</v>
      </c>
      <c r="DQ259" s="276">
        <f>SUMIF('20Ф'!$H:$H,$B:$B,'20Ф'!AY:AY)*1.2</f>
        <v>0</v>
      </c>
      <c r="DR259" s="276">
        <f>SUMIF('20Ф'!$H:$H,$B:$B,'20Ф'!AU:AU)*1.2</f>
        <v>0</v>
      </c>
      <c r="DS259" s="276">
        <f>SUMIF('20Ф'!$H:$H,$B:$B,'20Ф'!AS:AS)*1.2</f>
        <v>234868.11599999998</v>
      </c>
      <c r="DT259" s="276">
        <f>SUMIF('20Ф'!$H:$H,$B:$B,'20Ф'!AR:AR)*1.2</f>
        <v>0</v>
      </c>
      <c r="DU259" s="276">
        <f>SUMIF('20Ф'!$H:$H,$B:$B,'20Ф'!X:X)*1.2</f>
        <v>0</v>
      </c>
      <c r="DV259" s="276">
        <f>SUMIF('20Ф'!$H:$H,$B:$B,'20Ф'!AA:AA)*1.2</f>
        <v>0</v>
      </c>
      <c r="DW259" s="276">
        <f>SUMIF('20Ф'!$H:$H,$B:$B,'20Ф'!N:N)*1.2</f>
        <v>0</v>
      </c>
      <c r="DX259" s="276">
        <f>$D259/$D$281*('25Ф'!$D$37)</f>
        <v>737566.08415690379</v>
      </c>
      <c r="DY259" s="276">
        <f>$D259/$D$281*'25Ф'!$D$30</f>
        <v>23540.794054300401</v>
      </c>
      <c r="DZ259" s="276">
        <f>$D259/$D$281*'25Ф'!$D$31</f>
        <v>12927.340861793607</v>
      </c>
      <c r="EA259" s="276"/>
      <c r="EB259" s="276">
        <f t="shared" si="40"/>
        <v>464678.20916186232</v>
      </c>
      <c r="EC259" s="276">
        <f>$D259/$D$281*'26Ф'!$D$36</f>
        <v>241879.97271957761</v>
      </c>
      <c r="ED259" s="276">
        <f>$D259/$D$281*'26Ф'!$D$37</f>
        <v>29061.620389410284</v>
      </c>
      <c r="EE259" s="276">
        <f>$D259/$D$281*'26Ф'!$D$38</f>
        <v>29359.675903536248</v>
      </c>
      <c r="EF259" s="276">
        <f>$D259/$D$281*'26Ф'!$D$39</f>
        <v>20595.785850447632</v>
      </c>
      <c r="EG259" s="276">
        <f>$D259/$D$281*'91Ф'!$D$10</f>
        <v>6353.7913691905933</v>
      </c>
      <c r="EH259" s="276">
        <f>$D259/$D$281*('20Ф'!$I$509+'26Ф'!$D$41+'20Ф'!$I$507)</f>
        <v>44950.981732560358</v>
      </c>
      <c r="EI259" s="276">
        <f>$D259/$D$281*'91Ф'!$D$31</f>
        <v>82401.751902529009</v>
      </c>
      <c r="EJ259" s="276">
        <f>$D259/$D$281*'20Ф'!$I$1316</f>
        <v>10074.629294610546</v>
      </c>
      <c r="EK259" s="276">
        <f>$D259/$D$281*('20Ф'!$I$1105+'20Ф'!$I$1282+'91Ф'!$D$17+'91Ф'!$D$41)</f>
        <v>330862.05018099915</v>
      </c>
      <c r="EL259" s="276">
        <f>$D259/$D$281*отчёт!BX$294</f>
        <v>553100.44285276276</v>
      </c>
      <c r="EM259" s="276">
        <f>$D259/$D$281*отчёт!BY$294</f>
        <v>486422.15014141181</v>
      </c>
      <c r="EN259" s="276">
        <f>$D259/$D$283*отчёт!BZ$294</f>
        <v>87297.570681423647</v>
      </c>
      <c r="EO259" s="240">
        <f t="shared" ref="EO259:EO279" si="50">SUBTOTAL(9,EP259:ER259)</f>
        <v>370486.435001996</v>
      </c>
      <c r="EP259" s="276">
        <f>SUMIF('20Ф'!$H:$H,$B:$B,'20Ф'!T:T)*1.2</f>
        <v>14759.616</v>
      </c>
      <c r="EQ259" s="276">
        <f>SUM(H259:I259)/SUM($H$284:$I$284)*SUM('60Ф'!$O$155:$P$155)</f>
        <v>345020.52351297403</v>
      </c>
      <c r="ER259" s="276">
        <f>SUM($H259:$I259)/SUM($H$284:$I$284)*SUM('60Ф'!$P$227)</f>
        <v>10706.295489021955</v>
      </c>
      <c r="ES259" s="239">
        <f t="shared" si="43"/>
        <v>185122.92888009467</v>
      </c>
      <c r="ET259" s="276">
        <f>$D259/$D$282*'20Ф'!$I$381</f>
        <v>14149.122824810367</v>
      </c>
      <c r="EU259" s="276">
        <f>$D259/$D$282*('20Ф'!$I$75+'20Ф'!$I$1098)*1.2</f>
        <v>163428.64980997145</v>
      </c>
      <c r="EV259" s="276">
        <f>$D259/$D$282*('20Ф'!$I$1286)</f>
        <v>7545.156245312849</v>
      </c>
      <c r="EW259" s="276">
        <f>SUMIF('91.1Ф'!$N:$N,$B:$B,'91.1Ф'!$F:$F)+$D259/$D$281*('91Ф'!$D$12+'91Ф'!$D$11+'91Ф'!$D$19+'91Ф'!$D$20)</f>
        <v>43606.001024339581</v>
      </c>
      <c r="EX259" s="276">
        <f t="shared" si="41"/>
        <v>0</v>
      </c>
      <c r="EY259" s="276">
        <f>SUMIF('20Ф'!$H:$H,$B:$B,'20Ф'!$AY:$AY)*1.2</f>
        <v>0</v>
      </c>
      <c r="EZ259" s="238"/>
      <c r="FA259" s="277">
        <f>SUMIF(отчёт!$B:$B,$B:$B,отчёт!$CU:$CU)/отчёт!$CU$281*'20Ф'!$I$1341</f>
        <v>0</v>
      </c>
      <c r="FB259" s="276">
        <f>SUMIF(Сальдо!$A:$A,$B:$B,Сальдо!$H:$H)-SUMIF(Сальдо!$A:$A,$B:$B,Сальдо!$I:$I)</f>
        <v>498335.22</v>
      </c>
    </row>
    <row r="260" spans="1:158" s="13" customFormat="1" ht="12" customHeight="1" x14ac:dyDescent="0.25">
      <c r="A260" s="3">
        <f t="shared" si="44"/>
        <v>256</v>
      </c>
      <c r="B260" s="4" t="s">
        <v>335</v>
      </c>
      <c r="C260" s="56"/>
      <c r="D260" s="233">
        <v>6810.3</v>
      </c>
      <c r="E260" s="234">
        <v>5657.3</v>
      </c>
      <c r="F260" s="235">
        <v>1153</v>
      </c>
      <c r="G260" s="234">
        <v>1542.1</v>
      </c>
      <c r="H260" s="5">
        <f>SUMIF(отчёт!$B:$B,$B:$B,отчёт!I:I)</f>
        <v>1</v>
      </c>
      <c r="I260" s="5">
        <f>SUMIF(отчёт!$B:$B,$B:$B,отчёт!J:J)</f>
        <v>1</v>
      </c>
      <c r="J260" s="3" t="s">
        <v>321</v>
      </c>
      <c r="K260" s="105">
        <v>1</v>
      </c>
      <c r="L260" s="105"/>
      <c r="M260" s="12"/>
      <c r="N260" s="8"/>
      <c r="O260" s="8"/>
      <c r="P260" s="8"/>
      <c r="Q260" s="8"/>
      <c r="R260" s="8"/>
      <c r="S260" s="8"/>
      <c r="T260" s="8"/>
      <c r="U260" s="8"/>
      <c r="V260" s="9"/>
      <c r="W260" s="9"/>
      <c r="X260" s="9"/>
      <c r="Y260" s="8"/>
      <c r="Z260" s="9"/>
      <c r="AA260" s="9"/>
      <c r="AB260" s="8"/>
      <c r="AC260" s="10"/>
      <c r="AD260" s="8"/>
      <c r="AE260" s="8"/>
      <c r="AF260" s="8"/>
      <c r="AG260" s="7"/>
      <c r="AH260" s="8"/>
      <c r="AI260" s="8"/>
      <c r="AJ260" s="8"/>
      <c r="AK260" s="8"/>
      <c r="AL260" s="8"/>
      <c r="AM260" s="8"/>
      <c r="AN260" s="8"/>
      <c r="AO260" s="8"/>
      <c r="AP260" s="16"/>
      <c r="AQ260" s="7">
        <v>41.47</v>
      </c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F260" s="277">
        <f>SUMIF(Оборот!$A:$A,$B:$B,Оборот!H:H)</f>
        <v>2768877.5200000005</v>
      </c>
      <c r="CG260" s="277">
        <f>SUMIF(Оборот!$A:$A,$B:$B,Оборот!I:I)</f>
        <v>2593907.4799999995</v>
      </c>
      <c r="CH260" s="277">
        <f t="shared" si="38"/>
        <v>2928166.1002972992</v>
      </c>
      <c r="CI260" s="239">
        <f t="shared" si="42"/>
        <v>460652.59698684898</v>
      </c>
      <c r="CJ260" s="276">
        <f>SUMIF('20Ф'!$H:$H,$B:$B,'20Ф'!M:M)*1.2</f>
        <v>169813.848</v>
      </c>
      <c r="CK260" s="276">
        <f>SUMIF('20Ф'!$H:$H,$B:$B,'20Ф'!O:O)*1.2</f>
        <v>0</v>
      </c>
      <c r="CL260" s="276">
        <f>SUMIF('20Ф'!$H:$H,$B:$B,'20Ф'!Q:Q)*1.2</f>
        <v>0</v>
      </c>
      <c r="CM260" s="276">
        <f>SUMIF('20Ф'!$H:$H,$B:$B,'20Ф'!R:R)*1.2</f>
        <v>0</v>
      </c>
      <c r="CN260" s="276">
        <f>SUMIF('20Ф'!$H:$H,$B:$B,'20Ф'!S:S)*1.2</f>
        <v>0</v>
      </c>
      <c r="CO260" s="276">
        <f>SUMIF('20Ф'!$H:$H,$B:$B,'20Ф'!W:W)*1.2</f>
        <v>0</v>
      </c>
      <c r="CP260" s="276">
        <f>SUMIF('20Ф'!$H:$H,$B:$B,'20Ф'!P:P)*1.2</f>
        <v>0</v>
      </c>
      <c r="CQ260" s="276">
        <f>SUMIF('20Ф'!$H:$H,$B:$B,'20Ф'!Y:Y)*1.2</f>
        <v>0</v>
      </c>
      <c r="CR260" s="276">
        <f>SUMIF('20Ф'!$H:$H,$B:$B,'20Ф'!Z:Z)*1.2</f>
        <v>0</v>
      </c>
      <c r="CS260" s="276">
        <f>SUMIF('20Ф'!$H:$H,$B:$B,'20Ф'!AB:AB)*1.2</f>
        <v>0</v>
      </c>
      <c r="CT260" s="276">
        <f>SUMIF('20Ф'!$H:$H,$B:$B,'20Ф'!AC:AC)*1.2</f>
        <v>0</v>
      </c>
      <c r="CU260" s="276">
        <f>SUMIF('20Ф'!$H:$H,$B:$B,'20Ф'!AD:AD)*1.2</f>
        <v>0</v>
      </c>
      <c r="CV260" s="276">
        <f>SUMIF('20Ф'!$H:$H,$B:$B,'20Ф'!AE:AE)*1.2</f>
        <v>29715.359999999997</v>
      </c>
      <c r="CW260" s="276">
        <f>SUMIF('20Ф'!$H:$H,$B:$B,'20Ф'!AF:AF)*1.2</f>
        <v>0</v>
      </c>
      <c r="CX260" s="276">
        <f>SUMIF('20Ф'!$H:$H,$B:$B,'20Ф'!AG:AG)*1.2</f>
        <v>0</v>
      </c>
      <c r="CY260" s="276">
        <f>SUMIF('20Ф'!$H:$H,$B:$B,'20Ф'!AH:AH)*1.2</f>
        <v>0</v>
      </c>
      <c r="CZ260" s="276">
        <f>SUMIF('20Ф'!$H:$H,$B:$B,'20Ф'!AI:AI)*1.2</f>
        <v>0</v>
      </c>
      <c r="DA260" s="276">
        <f>SUMIF('20Ф'!$H:$H,$B:$B,'20Ф'!AJ:AJ)*1.2</f>
        <v>108946.152</v>
      </c>
      <c r="DB260" s="276">
        <f>SUMIF('20Ф'!$H:$H,$B:$B,'20Ф'!AK:AK)*1.2</f>
        <v>0</v>
      </c>
      <c r="DC260" s="276">
        <f>SUMIF('20Ф'!$H:$H,$B:$B,'20Ф'!AL:AL)*1.2</f>
        <v>0</v>
      </c>
      <c r="DD260" s="276">
        <f>SUMIF('20Ф'!$H:$H,$B:$B,'20Ф'!AM:AM)*1.2</f>
        <v>0</v>
      </c>
      <c r="DE260" s="276">
        <f>SUMIF('20Ф'!$H:$H,$B:$B,'20Ф'!AN:AN)*1.2</f>
        <v>92278.368000000002</v>
      </c>
      <c r="DF260" s="276">
        <f>SUMIF('20Ф'!$H:$H,$B:$B,'20Ф'!AO:AO)*1.2</f>
        <v>0</v>
      </c>
      <c r="DG260" s="276">
        <f>SUMIF('20Ф'!$H:$H,$B:$B,'20Ф'!AP:AP)*1.2</f>
        <v>0</v>
      </c>
      <c r="DH260" s="276">
        <f>SUMIF('20Ф'!$H:$H,$B:$B,'20Ф'!AQ:AQ)*1.2</f>
        <v>0</v>
      </c>
      <c r="DI260" s="276">
        <f>SUMIF('20Ф'!$H:$H,$B:$B,'20Ф'!BA:BA)*1.2</f>
        <v>0</v>
      </c>
      <c r="DJ260" s="276">
        <f>SUMIF('20Ф'!$H:$H,$B:$B,'20Ф'!BB:BB)*1.2</f>
        <v>0</v>
      </c>
      <c r="DK260" s="276">
        <f>SUMIF('20Ф'!$H:$H,$B:$B,'20Ф'!BC:BC)*1.2</f>
        <v>0</v>
      </c>
      <c r="DL260" s="276">
        <f>$D260/$D$281*'20Ф'!$H$218</f>
        <v>59898.868986848953</v>
      </c>
      <c r="DM260" s="240">
        <f t="shared" si="39"/>
        <v>719683.48017215531</v>
      </c>
      <c r="DN260" s="276">
        <f>SUMIF('20Ф'!$H:$H,$B:$B,'20Ф'!AV:AV)*1.2</f>
        <v>0</v>
      </c>
      <c r="DO260" s="276">
        <f>SUMIF('20Ф'!$H:$H,$B:$B,'20Ф'!AW:AW)*1.2+$D260/$D$281*'26Ф'!$D$42</f>
        <v>48238.709462107807</v>
      </c>
      <c r="DP260" s="276">
        <f>SUMIF('20Ф'!$H:$H,$B:$B,'20Ф'!AX:AX)*1.2</f>
        <v>0</v>
      </c>
      <c r="DQ260" s="276">
        <f>SUMIF('20Ф'!$H:$H,$B:$B,'20Ф'!AY:AY)*1.2</f>
        <v>0</v>
      </c>
      <c r="DR260" s="276">
        <f>SUMIF('20Ф'!$H:$H,$B:$B,'20Ф'!AU:AU)*1.2</f>
        <v>0</v>
      </c>
      <c r="DS260" s="276">
        <f>SUMIF('20Ф'!$H:$H,$B:$B,'20Ф'!AS:AS)*1.2</f>
        <v>109173.54</v>
      </c>
      <c r="DT260" s="276">
        <f>SUMIF('20Ф'!$H:$H,$B:$B,'20Ф'!AR:AR)*1.2</f>
        <v>0</v>
      </c>
      <c r="DU260" s="276">
        <f>SUMIF('20Ф'!$H:$H,$B:$B,'20Ф'!X:X)*1.2</f>
        <v>0</v>
      </c>
      <c r="DV260" s="276">
        <f>SUMIF('20Ф'!$H:$H,$B:$B,'20Ф'!AA:AA)*1.2</f>
        <v>0</v>
      </c>
      <c r="DW260" s="276">
        <f>SUMIF('20Ф'!$H:$H,$B:$B,'20Ф'!N:N)*1.2</f>
        <v>0</v>
      </c>
      <c r="DX260" s="276">
        <f>$D260/$D$281*('25Ф'!$D$37)</f>
        <v>535780.17566918698</v>
      </c>
      <c r="DY260" s="276">
        <f>$D260/$D$281*'25Ф'!$D$30</f>
        <v>17100.421297465866</v>
      </c>
      <c r="DZ260" s="276">
        <f>$D260/$D$281*'25Ф'!$D$31</f>
        <v>9390.6337433945937</v>
      </c>
      <c r="EA260" s="276"/>
      <c r="EB260" s="276">
        <f t="shared" si="40"/>
        <v>337549.91977291479</v>
      </c>
      <c r="EC260" s="276">
        <f>$D260/$D$281*'26Ф'!$D$36</f>
        <v>175705.60395641046</v>
      </c>
      <c r="ED260" s="276">
        <f>$D260/$D$281*'26Ф'!$D$37</f>
        <v>21110.840658119381</v>
      </c>
      <c r="EE260" s="276">
        <f>$D260/$D$281*'26Ф'!$D$38</f>
        <v>21327.35310242479</v>
      </c>
      <c r="EF260" s="276">
        <f>$D260/$D$281*'26Ф'!$D$39</f>
        <v>14961.118736379331</v>
      </c>
      <c r="EG260" s="276">
        <f>$D260/$D$281*'91Ф'!$D$10</f>
        <v>4615.4989079271581</v>
      </c>
      <c r="EH260" s="276">
        <f>$D260/$D$281*('20Ф'!$I$509+'26Ф'!$D$41+'20Ф'!$I$507)</f>
        <v>32653.134961734766</v>
      </c>
      <c r="EI260" s="276">
        <f>$D260/$D$281*'91Ф'!$D$31</f>
        <v>59857.99246755198</v>
      </c>
      <c r="EJ260" s="276">
        <f>$D260/$D$281*'20Ф'!$I$1316</f>
        <v>7318.3769823669036</v>
      </c>
      <c r="EK260" s="276">
        <f>$D260/$D$281*('20Ф'!$I$1105+'20Ф'!$I$1282+'91Ф'!$D$17+'91Ф'!$D$41)</f>
        <v>240343.65350580879</v>
      </c>
      <c r="EL260" s="276">
        <f>$D260/$D$281*отчёт!BX$294</f>
        <v>401781.2895682407</v>
      </c>
      <c r="EM260" s="276">
        <f>$D260/$D$281*отчёт!BY$294</f>
        <v>353345.07734320941</v>
      </c>
      <c r="EN260" s="276">
        <f>$D260/$D$283*отчёт!BZ$294</f>
        <v>63414.396024799404</v>
      </c>
      <c r="EO260" s="240">
        <f t="shared" si="50"/>
        <v>185243.217500998</v>
      </c>
      <c r="EP260" s="276">
        <f>SUMIF('20Ф'!$H:$H,$B:$B,'20Ф'!T:T)*1.2</f>
        <v>7379.808</v>
      </c>
      <c r="EQ260" s="276">
        <f>SUM(H260:I260)/SUM($H$284:$I$284)*SUM('60Ф'!$O$155:$P$155)</f>
        <v>172510.26175648702</v>
      </c>
      <c r="ER260" s="276">
        <f>SUM($H260:$I260)/SUM($H$284:$I$284)*SUM('60Ф'!$P$227)</f>
        <v>5353.1477445109776</v>
      </c>
      <c r="ES260" s="239">
        <f t="shared" si="43"/>
        <v>134476.35064341119</v>
      </c>
      <c r="ET260" s="276">
        <f>$D260/$D$282*'20Ф'!$I$381</f>
        <v>10278.15632453772</v>
      </c>
      <c r="EU260" s="276">
        <f>$D260/$D$282*('20Ф'!$I$75+'20Ф'!$I$1098)*1.2</f>
        <v>118717.26830370002</v>
      </c>
      <c r="EV260" s="276">
        <f>$D260/$D$282*('20Ф'!$I$1286)</f>
        <v>5480.9260151734461</v>
      </c>
      <c r="EW260" s="276">
        <f>SUMIF('91.1Ф'!$N:$N,$B:$B,'91.1Ф'!$F:$F)+$D260/$D$281*('91Ф'!$D$12+'91Ф'!$D$11+'91Ф'!$D$19+'91Ф'!$D$20)</f>
        <v>31676.118778912431</v>
      </c>
      <c r="EX260" s="276">
        <f t="shared" si="41"/>
        <v>0</v>
      </c>
      <c r="EY260" s="276">
        <f>SUMIF('20Ф'!$H:$H,$B:$B,'20Ф'!$AY:$AY)*1.2</f>
        <v>0</v>
      </c>
      <c r="EZ260" s="238"/>
      <c r="FA260" s="277">
        <f>SUMIF(отчёт!$B:$B,$B:$B,отчёт!$CU:$CU)/отчёт!$CU$281*'20Ф'!$I$1341</f>
        <v>0</v>
      </c>
      <c r="FB260" s="276">
        <f>SUMIF(Сальдо!$A:$A,$B:$B,Сальдо!$H:$H)-SUMIF(Сальдо!$A:$A,$B:$B,Сальдо!$I:$I)</f>
        <v>362707.76</v>
      </c>
    </row>
    <row r="261" spans="1:158" s="13" customFormat="1" ht="12" customHeight="1" x14ac:dyDescent="0.25">
      <c r="A261" s="3">
        <f t="shared" si="44"/>
        <v>257</v>
      </c>
      <c r="B261" s="4" t="s">
        <v>336</v>
      </c>
      <c r="C261" s="56"/>
      <c r="D261" s="233">
        <v>12320.1</v>
      </c>
      <c r="E261" s="234">
        <v>12320.1</v>
      </c>
      <c r="F261" s="235">
        <v>0</v>
      </c>
      <c r="G261" s="234">
        <v>2861.6</v>
      </c>
      <c r="H261" s="5">
        <f>SUMIF(отчёт!$B:$B,$B:$B,отчёт!I:I)</f>
        <v>3</v>
      </c>
      <c r="I261" s="5">
        <f>SUMIF(отчёт!$B:$B,$B:$B,отчёт!J:J)</f>
        <v>3</v>
      </c>
      <c r="J261" s="3" t="s">
        <v>321</v>
      </c>
      <c r="K261" s="105">
        <v>1</v>
      </c>
      <c r="L261" s="105"/>
      <c r="M261" s="12"/>
      <c r="N261" s="8"/>
      <c r="O261" s="8"/>
      <c r="P261" s="8"/>
      <c r="Q261" s="8"/>
      <c r="R261" s="8"/>
      <c r="S261" s="8"/>
      <c r="T261" s="8"/>
      <c r="U261" s="8"/>
      <c r="V261" s="9"/>
      <c r="W261" s="9"/>
      <c r="X261" s="9"/>
      <c r="Y261" s="8"/>
      <c r="Z261" s="9"/>
      <c r="AA261" s="9"/>
      <c r="AB261" s="8"/>
      <c r="AC261" s="10"/>
      <c r="AD261" s="8"/>
      <c r="AE261" s="8"/>
      <c r="AF261" s="8"/>
      <c r="AG261" s="7"/>
      <c r="AH261" s="8"/>
      <c r="AI261" s="8"/>
      <c r="AJ261" s="8"/>
      <c r="AK261" s="8"/>
      <c r="AL261" s="8"/>
      <c r="AM261" s="8"/>
      <c r="AN261" s="8"/>
      <c r="AO261" s="8"/>
      <c r="AP261" s="16"/>
      <c r="AQ261" s="7">
        <v>41.47</v>
      </c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F261" s="277">
        <f>SUMIF(Оборот!$A:$A,$B:$B,Оборот!H:H)</f>
        <v>6021992.4200000018</v>
      </c>
      <c r="CG261" s="277">
        <f>SUMIF(Оборот!$A:$A,$B:$B,Оборот!I:I)</f>
        <v>5804749.9199999999</v>
      </c>
      <c r="CH261" s="277">
        <f t="shared" ref="CH261:CH280" si="51">CI261+DM261+EB261+EK261+EL261+EM261+EN261+EO261+ES261+EW261+EX261</f>
        <v>7062241.2467953898</v>
      </c>
      <c r="CI261" s="239">
        <f t="shared" si="42"/>
        <v>2261817.0649902178</v>
      </c>
      <c r="CJ261" s="276">
        <f>SUMIF('20Ф'!$H:$H,$B:$B,'20Ф'!M:M)*1.2</f>
        <v>0</v>
      </c>
      <c r="CK261" s="276">
        <f>SUMIF('20Ф'!$H:$H,$B:$B,'20Ф'!O:O)*1.2</f>
        <v>726205.09200000006</v>
      </c>
      <c r="CL261" s="276">
        <f>SUMIF('20Ф'!$H:$H,$B:$B,'20Ф'!Q:Q)*1.2</f>
        <v>0</v>
      </c>
      <c r="CM261" s="276">
        <f>SUMIF('20Ф'!$H:$H,$B:$B,'20Ф'!R:R)*1.2</f>
        <v>0</v>
      </c>
      <c r="CN261" s="276">
        <f>SUMIF('20Ф'!$H:$H,$B:$B,'20Ф'!S:S)*1.2</f>
        <v>0</v>
      </c>
      <c r="CO261" s="276">
        <f>SUMIF('20Ф'!$H:$H,$B:$B,'20Ф'!W:W)*1.2</f>
        <v>0</v>
      </c>
      <c r="CP261" s="276">
        <f>SUMIF('20Ф'!$H:$H,$B:$B,'20Ф'!P:P)*1.2</f>
        <v>0</v>
      </c>
      <c r="CQ261" s="276">
        <f>SUMIF('20Ф'!$H:$H,$B:$B,'20Ф'!Y:Y)*1.2</f>
        <v>0</v>
      </c>
      <c r="CR261" s="276">
        <f>SUMIF('20Ф'!$H:$H,$B:$B,'20Ф'!Z:Z)*1.2</f>
        <v>0</v>
      </c>
      <c r="CS261" s="276">
        <f>SUMIF('20Ф'!$H:$H,$B:$B,'20Ф'!AB:AB)*1.2</f>
        <v>0</v>
      </c>
      <c r="CT261" s="276">
        <f>SUMIF('20Ф'!$H:$H,$B:$B,'20Ф'!AC:AC)*1.2</f>
        <v>0</v>
      </c>
      <c r="CU261" s="276">
        <f>SUMIF('20Ф'!$H:$H,$B:$B,'20Ф'!AD:AD)*1.2</f>
        <v>0</v>
      </c>
      <c r="CV261" s="276">
        <f>SUMIF('20Ф'!$H:$H,$B:$B,'20Ф'!AE:AE)*1.2</f>
        <v>0</v>
      </c>
      <c r="CW261" s="276">
        <f>SUMIF('20Ф'!$H:$H,$B:$B,'20Ф'!AF:AF)*1.2</f>
        <v>0</v>
      </c>
      <c r="CX261" s="276">
        <f>SUMIF('20Ф'!$H:$H,$B:$B,'20Ф'!AG:AG)*1.2</f>
        <v>0</v>
      </c>
      <c r="CY261" s="276">
        <f>SUMIF('20Ф'!$H:$H,$B:$B,'20Ф'!AH:AH)*1.2</f>
        <v>95768.22</v>
      </c>
      <c r="CZ261" s="276">
        <f>SUMIF('20Ф'!$H:$H,$B:$B,'20Ф'!AI:AI)*1.2</f>
        <v>484819.65599999996</v>
      </c>
      <c r="DA261" s="276">
        <f>SUMIF('20Ф'!$H:$H,$B:$B,'20Ф'!AJ:AJ)*1.2</f>
        <v>781323.66</v>
      </c>
      <c r="DB261" s="276">
        <f>SUMIF('20Ф'!$H:$H,$B:$B,'20Ф'!AK:AK)*1.2</f>
        <v>0</v>
      </c>
      <c r="DC261" s="276">
        <f>SUMIF('20Ф'!$H:$H,$B:$B,'20Ф'!AL:AL)*1.2</f>
        <v>0</v>
      </c>
      <c r="DD261" s="276">
        <f>SUMIF('20Ф'!$H:$H,$B:$B,'20Ф'!AM:AM)*1.2</f>
        <v>0</v>
      </c>
      <c r="DE261" s="276">
        <f>SUMIF('20Ф'!$H:$H,$B:$B,'20Ф'!AN:AN)*1.2</f>
        <v>0</v>
      </c>
      <c r="DF261" s="276">
        <f>SUMIF('20Ф'!$H:$H,$B:$B,'20Ф'!AO:AO)*1.2</f>
        <v>0</v>
      </c>
      <c r="DG261" s="276">
        <f>SUMIF('20Ф'!$H:$H,$B:$B,'20Ф'!AP:AP)*1.2</f>
        <v>0</v>
      </c>
      <c r="DH261" s="276">
        <f>SUMIF('20Ф'!$H:$H,$B:$B,'20Ф'!AQ:AQ)*1.2</f>
        <v>0</v>
      </c>
      <c r="DI261" s="276">
        <f>SUMIF('20Ф'!$H:$H,$B:$B,'20Ф'!BA:BA)*1.2</f>
        <v>0</v>
      </c>
      <c r="DJ261" s="276">
        <f>SUMIF('20Ф'!$H:$H,$B:$B,'20Ф'!BB:BB)*1.2</f>
        <v>0</v>
      </c>
      <c r="DK261" s="276">
        <f>SUMIF('20Ф'!$H:$H,$B:$B,'20Ф'!BC:BC)*1.2</f>
        <v>65341.031999999999</v>
      </c>
      <c r="DL261" s="276">
        <f>$D261/$D$281*'20Ф'!$H$218</f>
        <v>108359.40499021744</v>
      </c>
      <c r="DM261" s="240">
        <f t="shared" ref="DM261:DM279" si="52">SUM(DN261:DZ261)</f>
        <v>1417913.6673530638</v>
      </c>
      <c r="DN261" s="276">
        <f>SUMIF('20Ф'!$H:$H,$B:$B,'20Ф'!AV:AV)*1.2</f>
        <v>0</v>
      </c>
      <c r="DO261" s="276">
        <f>SUMIF('20Ф'!$H:$H,$B:$B,'20Ф'!AW:AW)*1.2+$D261/$D$281*'26Ф'!$D$42</f>
        <v>74026.8982057346</v>
      </c>
      <c r="DP261" s="276">
        <f>SUMIF('20Ф'!$H:$H,$B:$B,'20Ф'!AX:AX)*1.2</f>
        <v>0</v>
      </c>
      <c r="DQ261" s="276">
        <f>SUMIF('20Ф'!$H:$H,$B:$B,'20Ф'!AY:AY)*1.2</f>
        <v>0</v>
      </c>
      <c r="DR261" s="276">
        <f>SUMIF('20Ф'!$H:$H,$B:$B,'20Ф'!AU:AU)*1.2</f>
        <v>0</v>
      </c>
      <c r="DS261" s="276">
        <f>SUMIF('20Ф'!$H:$H,$B:$B,'20Ф'!AS:AS)*1.2</f>
        <v>326716.04399999999</v>
      </c>
      <c r="DT261" s="276">
        <f>SUMIF('20Ф'!$H:$H,$B:$B,'20Ф'!AR:AR)*1.2</f>
        <v>0</v>
      </c>
      <c r="DU261" s="276">
        <f>SUMIF('20Ф'!$H:$H,$B:$B,'20Ф'!X:X)*1.2</f>
        <v>0</v>
      </c>
      <c r="DV261" s="276">
        <f>SUMIF('20Ф'!$H:$H,$B:$B,'20Ф'!AA:AA)*1.2</f>
        <v>0</v>
      </c>
      <c r="DW261" s="276">
        <f>SUMIF('20Ф'!$H:$H,$B:$B,'20Ф'!N:N)*1.2</f>
        <v>0</v>
      </c>
      <c r="DX261" s="276">
        <f>$D261/$D$281*('25Ф'!$D$37)</f>
        <v>969247.36682113132</v>
      </c>
      <c r="DY261" s="276">
        <f>$D261/$D$281*'25Ф'!$D$30</f>
        <v>30935.333307917306</v>
      </c>
      <c r="DZ261" s="276">
        <f>$D261/$D$281*'25Ф'!$D$31</f>
        <v>16988.025018280507</v>
      </c>
      <c r="EA261" s="276"/>
      <c r="EB261" s="276">
        <f t="shared" ref="EB261:EB280" si="53">SUM(EC261:EJ261)</f>
        <v>610641.05349166528</v>
      </c>
      <c r="EC261" s="276">
        <f>$D261/$D$281*'26Ф'!$D$36</f>
        <v>317858.33389180689</v>
      </c>
      <c r="ED261" s="276">
        <f>$D261/$D$281*'26Ф'!$D$37</f>
        <v>38190.339337781981</v>
      </c>
      <c r="EE261" s="276">
        <f>$D261/$D$281*'26Ф'!$D$38</f>
        <v>38582.018847507992</v>
      </c>
      <c r="EF261" s="276">
        <f>$D261/$D$281*'26Ф'!$D$39</f>
        <v>27065.251008629133</v>
      </c>
      <c r="EG261" s="276">
        <f>$D261/$D$281*'91Ф'!$D$10</f>
        <v>8349.6186798750987</v>
      </c>
      <c r="EH261" s="276">
        <f>$D261/$D$281*('20Ф'!$I$509+'26Ф'!$D$41+'20Ф'!$I$507)</f>
        <v>59070.802760828228</v>
      </c>
      <c r="EI261" s="276">
        <f>$D261/$D$281*'91Ф'!$D$31</f>
        <v>108285.45776243148</v>
      </c>
      <c r="EJ261" s="276">
        <f>$D261/$D$281*'20Ф'!$I$1316</f>
        <v>13239.231202804354</v>
      </c>
      <c r="EK261" s="276">
        <f>$D261/$D$281*('20Ф'!$I$1105+'20Ф'!$I$1282+'91Ф'!$D$17+'91Ф'!$D$41)</f>
        <v>434791.10252953833</v>
      </c>
      <c r="EL261" s="276">
        <f>$D261/$D$281*отчёт!BX$294</f>
        <v>726838.1224923546</v>
      </c>
      <c r="EM261" s="276">
        <f>$D261/$D$281*отчёт!BY$294</f>
        <v>639215.11348634772</v>
      </c>
      <c r="EN261" s="276">
        <f>$D261/$D$283*отчёт!BZ$294</f>
        <v>114719.13138409925</v>
      </c>
      <c r="EO261" s="240">
        <f t="shared" si="50"/>
        <v>555729.65250299405</v>
      </c>
      <c r="EP261" s="276">
        <f>SUMIF('20Ф'!$H:$H,$B:$B,'20Ф'!T:T)*1.2</f>
        <v>22139.423999999999</v>
      </c>
      <c r="EQ261" s="276">
        <f>SUM(H261:I261)/SUM($H$284:$I$284)*SUM('60Ф'!$O$155:$P$155)</f>
        <v>517530.78526946111</v>
      </c>
      <c r="ER261" s="276">
        <f>SUM($H261:$I261)/SUM($H$284:$I$284)*SUM('60Ф'!$P$227)</f>
        <v>16059.443233532935</v>
      </c>
      <c r="ES261" s="239">
        <f t="shared" si="43"/>
        <v>243272.99642627934</v>
      </c>
      <c r="ET261" s="276">
        <f>$D261/$D$282*'20Ф'!$I$381</f>
        <v>18593.588202272611</v>
      </c>
      <c r="EU261" s="276">
        <f>$D261/$D$282*('20Ф'!$I$75+'20Ф'!$I$1098)*1.2</f>
        <v>214764.1979396524</v>
      </c>
      <c r="EV261" s="276">
        <f>$D261/$D$282*('20Ф'!$I$1286)</f>
        <v>9915.2102843543416</v>
      </c>
      <c r="EW261" s="276">
        <f>SUMIF('91.1Ф'!$N:$N,$B:$B,'91.1Ф'!$F:$F)+$D261/$D$281*('91Ф'!$D$12+'91Ф'!$D$11+'91Ф'!$D$19+'91Ф'!$D$20)</f>
        <v>57303.342138830747</v>
      </c>
      <c r="EX261" s="276">
        <f t="shared" ref="EX261:EX279" si="54">SUM(EY261:EZ261)</f>
        <v>0</v>
      </c>
      <c r="EY261" s="276">
        <f>SUMIF('20Ф'!$H:$H,$B:$B,'20Ф'!$AY:$AY)*1.2</f>
        <v>0</v>
      </c>
      <c r="EZ261" s="238"/>
      <c r="FA261" s="277">
        <f>SUMIF(отчёт!$B:$B,$B:$B,отчёт!$CU:$CU)/отчёт!$CU$281*'20Ф'!$I$1341</f>
        <v>0</v>
      </c>
      <c r="FB261" s="276">
        <f>SUMIF(Сальдо!$A:$A,$B:$B,Сальдо!$H:$H)-SUMIF(Сальдо!$A:$A,$B:$B,Сальдо!$I:$I)</f>
        <v>640944.5199999999</v>
      </c>
    </row>
    <row r="262" spans="1:158" s="13" customFormat="1" ht="12" customHeight="1" x14ac:dyDescent="0.25">
      <c r="A262" s="3">
        <f t="shared" si="44"/>
        <v>258</v>
      </c>
      <c r="B262" s="4" t="s">
        <v>337</v>
      </c>
      <c r="C262" s="56"/>
      <c r="D262" s="233">
        <v>17962.04</v>
      </c>
      <c r="E262" s="234">
        <v>17849.54</v>
      </c>
      <c r="F262" s="235">
        <v>112.5</v>
      </c>
      <c r="G262" s="234">
        <v>4722.8999999999996</v>
      </c>
      <c r="H262" s="5">
        <f>SUMIF(отчёт!$B:$B,$B:$B,отчёт!I:I)</f>
        <v>4</v>
      </c>
      <c r="I262" s="5">
        <f>SUMIF(отчёт!$B:$B,$B:$B,отчёт!J:J)</f>
        <v>4</v>
      </c>
      <c r="J262" s="3" t="s">
        <v>321</v>
      </c>
      <c r="K262" s="105">
        <v>1</v>
      </c>
      <c r="L262" s="105"/>
      <c r="M262" s="12"/>
      <c r="N262" s="8"/>
      <c r="O262" s="8"/>
      <c r="P262" s="8"/>
      <c r="Q262" s="8"/>
      <c r="R262" s="8"/>
      <c r="S262" s="8"/>
      <c r="T262" s="8"/>
      <c r="U262" s="8"/>
      <c r="V262" s="9"/>
      <c r="W262" s="9"/>
      <c r="X262" s="9"/>
      <c r="Y262" s="8"/>
      <c r="Z262" s="9"/>
      <c r="AA262" s="9"/>
      <c r="AB262" s="8"/>
      <c r="AC262" s="10"/>
      <c r="AD262" s="8"/>
      <c r="AE262" s="8"/>
      <c r="AF262" s="8"/>
      <c r="AG262" s="7"/>
      <c r="AH262" s="8"/>
      <c r="AI262" s="8"/>
      <c r="AJ262" s="8"/>
      <c r="AK262" s="8"/>
      <c r="AL262" s="8"/>
      <c r="AM262" s="8"/>
      <c r="AN262" s="8"/>
      <c r="AO262" s="8"/>
      <c r="AP262" s="16"/>
      <c r="AQ262" s="7">
        <v>41.47</v>
      </c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F262" s="277">
        <f>SUMIF(Оборот!$A:$A,$B:$B,Оборот!H:H)</f>
        <v>8854759.459999999</v>
      </c>
      <c r="CG262" s="277">
        <f>SUMIF(Оборот!$A:$A,$B:$B,Оборот!I:I)</f>
        <v>8363392.6599999983</v>
      </c>
      <c r="CH262" s="277">
        <f t="shared" si="51"/>
        <v>9750363.8604911752</v>
      </c>
      <c r="CI262" s="239">
        <f t="shared" ref="CI262:CI280" si="55">SUM(CJ262:DL262)</f>
        <v>3060410.0845417874</v>
      </c>
      <c r="CJ262" s="276">
        <f>SUMIF('20Ф'!$H:$H,$B:$B,'20Ф'!M:M)*1.2</f>
        <v>398758.74</v>
      </c>
      <c r="CK262" s="276">
        <f>SUMIF('20Ф'!$H:$H,$B:$B,'20Ф'!O:O)*1.2</f>
        <v>972681.10799999989</v>
      </c>
      <c r="CL262" s="276">
        <f>SUMIF('20Ф'!$H:$H,$B:$B,'20Ф'!Q:Q)*1.2</f>
        <v>0</v>
      </c>
      <c r="CM262" s="276">
        <f>SUMIF('20Ф'!$H:$H,$B:$B,'20Ф'!R:R)*1.2</f>
        <v>0</v>
      </c>
      <c r="CN262" s="276">
        <f>SUMIF('20Ф'!$H:$H,$B:$B,'20Ф'!S:S)*1.2</f>
        <v>0</v>
      </c>
      <c r="CO262" s="276">
        <f>SUMIF('20Ф'!$H:$H,$B:$B,'20Ф'!W:W)*1.2</f>
        <v>0</v>
      </c>
      <c r="CP262" s="276">
        <f>SUMIF('20Ф'!$H:$H,$B:$B,'20Ф'!P:P)*1.2</f>
        <v>0</v>
      </c>
      <c r="CQ262" s="276">
        <f>SUMIF('20Ф'!$H:$H,$B:$B,'20Ф'!Y:Y)*1.2</f>
        <v>0</v>
      </c>
      <c r="CR262" s="276">
        <f>SUMIF('20Ф'!$H:$H,$B:$B,'20Ф'!Z:Z)*1.2</f>
        <v>0</v>
      </c>
      <c r="CS262" s="276">
        <f>SUMIF('20Ф'!$H:$H,$B:$B,'20Ф'!AB:AB)*1.2</f>
        <v>0</v>
      </c>
      <c r="CT262" s="276">
        <f>SUMIF('20Ф'!$H:$H,$B:$B,'20Ф'!AC:AC)*1.2</f>
        <v>0</v>
      </c>
      <c r="CU262" s="276">
        <f>SUMIF('20Ф'!$H:$H,$B:$B,'20Ф'!AD:AD)*1.2</f>
        <v>0</v>
      </c>
      <c r="CV262" s="276">
        <f>SUMIF('20Ф'!$H:$H,$B:$B,'20Ф'!AE:AE)*1.2</f>
        <v>0</v>
      </c>
      <c r="CW262" s="276">
        <f>SUMIF('20Ф'!$H:$H,$B:$B,'20Ф'!AF:AF)*1.2</f>
        <v>0</v>
      </c>
      <c r="CX262" s="276">
        <f>SUMIF('20Ф'!$H:$H,$B:$B,'20Ф'!AG:AG)*1.2</f>
        <v>0</v>
      </c>
      <c r="CY262" s="276">
        <f>SUMIF('20Ф'!$H:$H,$B:$B,'20Ф'!AH:AH)*1.2</f>
        <v>0</v>
      </c>
      <c r="CZ262" s="276">
        <f>SUMIF('20Ф'!$H:$H,$B:$B,'20Ф'!AI:AI)*1.2</f>
        <v>480818.44799999997</v>
      </c>
      <c r="DA262" s="276">
        <f>SUMIF('20Ф'!$H:$H,$B:$B,'20Ф'!AJ:AJ)*1.2</f>
        <v>1050169.632</v>
      </c>
      <c r="DB262" s="276">
        <f>SUMIF('20Ф'!$H:$H,$B:$B,'20Ф'!AK:AK)*1.2</f>
        <v>0</v>
      </c>
      <c r="DC262" s="276">
        <f>SUMIF('20Ф'!$H:$H,$B:$B,'20Ф'!AL:AL)*1.2</f>
        <v>0</v>
      </c>
      <c r="DD262" s="276">
        <f>SUMIF('20Ф'!$H:$H,$B:$B,'20Ф'!AM:AM)*1.2</f>
        <v>0</v>
      </c>
      <c r="DE262" s="276">
        <f>SUMIF('20Ф'!$H:$H,$B:$B,'20Ф'!AN:AN)*1.2</f>
        <v>0</v>
      </c>
      <c r="DF262" s="276">
        <f>SUMIF('20Ф'!$H:$H,$B:$B,'20Ф'!AO:AO)*1.2</f>
        <v>0</v>
      </c>
      <c r="DG262" s="276">
        <f>SUMIF('20Ф'!$H:$H,$B:$B,'20Ф'!AP:AP)*1.2</f>
        <v>0</v>
      </c>
      <c r="DH262" s="276">
        <f>SUMIF('20Ф'!$H:$H,$B:$B,'20Ф'!AQ:AQ)*1.2</f>
        <v>0</v>
      </c>
      <c r="DI262" s="276">
        <f>SUMIF('20Ф'!$H:$H,$B:$B,'20Ф'!BA:BA)*1.2</f>
        <v>0</v>
      </c>
      <c r="DJ262" s="276">
        <f>SUMIF('20Ф'!$H:$H,$B:$B,'20Ф'!BB:BB)*1.2</f>
        <v>0</v>
      </c>
      <c r="DK262" s="276">
        <f>SUMIF('20Ф'!$H:$H,$B:$B,'20Ф'!BC:BC)*1.2</f>
        <v>0</v>
      </c>
      <c r="DL262" s="276">
        <f>$D262/$D$281*'20Ф'!$H$218</f>
        <v>157982.15654178825</v>
      </c>
      <c r="DM262" s="240">
        <f t="shared" si="52"/>
        <v>1827687.1734623408</v>
      </c>
      <c r="DN262" s="276">
        <f>SUMIF('20Ф'!$H:$H,$B:$B,'20Ф'!AV:AV)*1.2</f>
        <v>0</v>
      </c>
      <c r="DO262" s="276">
        <f>SUMIF('20Ф'!$H:$H,$B:$B,'20Ф'!AW:AW)*1.2+$D262/$D$281*'26Ф'!$D$42</f>
        <v>100433.55790304083</v>
      </c>
      <c r="DP262" s="276">
        <f>SUMIF('20Ф'!$H:$H,$B:$B,'20Ф'!AX:AX)*1.2</f>
        <v>0</v>
      </c>
      <c r="DQ262" s="276">
        <f>SUMIF('20Ф'!$H:$H,$B:$B,'20Ф'!AY:AY)*1.2</f>
        <v>0</v>
      </c>
      <c r="DR262" s="276">
        <f>SUMIF('20Ф'!$H:$H,$B:$B,'20Ф'!AU:AU)*1.2</f>
        <v>0</v>
      </c>
      <c r="DS262" s="276">
        <f>SUMIF('20Ф'!$H:$H,$B:$B,'20Ф'!AS:AS)*1.2</f>
        <v>244273.66800000001</v>
      </c>
      <c r="DT262" s="276">
        <f>SUMIF('20Ф'!$H:$H,$B:$B,'20Ф'!AR:AR)*1.2</f>
        <v>0</v>
      </c>
      <c r="DU262" s="276">
        <f>SUMIF('20Ф'!$H:$H,$B:$B,'20Ф'!X:X)*1.2</f>
        <v>0</v>
      </c>
      <c r="DV262" s="276">
        <f>SUMIF('20Ф'!$H:$H,$B:$B,'20Ф'!AA:AA)*1.2</f>
        <v>0</v>
      </c>
      <c r="DW262" s="276">
        <f>SUMIF('20Ф'!$H:$H,$B:$B,'20Ф'!N:N)*1.2</f>
        <v>0</v>
      </c>
      <c r="DX262" s="276">
        <f>$D262/$D$281*('25Ф'!$D$37)</f>
        <v>1413110.280982771</v>
      </c>
      <c r="DY262" s="276">
        <f>$D262/$D$281*'25Ф'!$D$30</f>
        <v>45102.0441628025</v>
      </c>
      <c r="DZ262" s="276">
        <f>$D262/$D$281*'25Ф'!$D$31</f>
        <v>24767.622413726775</v>
      </c>
      <c r="EA262" s="276"/>
      <c r="EB262" s="276">
        <f t="shared" si="53"/>
        <v>890281.65586800687</v>
      </c>
      <c r="EC262" s="276">
        <f>$D262/$D$281*'26Ф'!$D$36</f>
        <v>463420.27318755462</v>
      </c>
      <c r="ED262" s="276">
        <f>$D262/$D$281*'26Ф'!$D$37</f>
        <v>55679.450880984201</v>
      </c>
      <c r="EE262" s="276">
        <f>$D262/$D$281*'26Ф'!$D$38</f>
        <v>56250.498439111085</v>
      </c>
      <c r="EF262" s="276">
        <f>$D262/$D$281*'26Ф'!$D$39</f>
        <v>39459.673316534521</v>
      </c>
      <c r="EG262" s="276">
        <f>$D262/$D$281*'91Ф'!$D$10</f>
        <v>12173.292807092777</v>
      </c>
      <c r="EH262" s="276">
        <f>$D262/$D$281*('20Ф'!$I$509+'26Ф'!$D$41+'20Ф'!$I$507)</f>
        <v>86122.038134601768</v>
      </c>
      <c r="EI262" s="276">
        <f>$D262/$D$281*'91Ф'!$D$31</f>
        <v>157874.34547991536</v>
      </c>
      <c r="EJ262" s="276">
        <f>$D262/$D$281*'20Ф'!$I$1316</f>
        <v>19302.083622212478</v>
      </c>
      <c r="EK262" s="276">
        <f>$D262/$D$281*('20Ф'!$I$1105+'20Ф'!$I$1282+'91Ф'!$D$17+'91Ф'!$D$41)</f>
        <v>633901.9306076793</v>
      </c>
      <c r="EL262" s="276">
        <f>$D262/$D$281*отчёт!BX$294</f>
        <v>1059690.7029758343</v>
      </c>
      <c r="EM262" s="276">
        <f>$D262/$D$281*отчёт!BY$294</f>
        <v>931941.09114750032</v>
      </c>
      <c r="EN262" s="276">
        <f>$D262/$D$283*отчёт!BZ$294</f>
        <v>167254.29393320237</v>
      </c>
      <c r="EO262" s="240">
        <f t="shared" si="50"/>
        <v>740972.87000399199</v>
      </c>
      <c r="EP262" s="276">
        <f>SUMIF('20Ф'!$H:$H,$B:$B,'20Ф'!T:T)*1.2</f>
        <v>29519.232</v>
      </c>
      <c r="EQ262" s="276">
        <f>SUM(H262:I262)/SUM($H$284:$I$284)*SUM('60Ф'!$O$155:$P$155)</f>
        <v>690041.04702594806</v>
      </c>
      <c r="ER262" s="276">
        <f>SUM($H262:$I262)/SUM($H$284:$I$284)*SUM('60Ф'!$P$227)</f>
        <v>21412.590978043911</v>
      </c>
      <c r="ES262" s="239">
        <f t="shared" ref="ES262:ES280" si="56">SUM(ET262:EV262)</f>
        <v>354678.88188640407</v>
      </c>
      <c r="ET262" s="276">
        <f>$D262/$D$282*'20Ф'!$I$381</f>
        <v>27108.446768512331</v>
      </c>
      <c r="EU262" s="276">
        <f>$D262/$D$282*('20Ф'!$I$75+'20Ф'!$I$1098)*1.2</f>
        <v>313114.5943588083</v>
      </c>
      <c r="EV262" s="276">
        <f>$D262/$D$282*('20Ф'!$I$1286)</f>
        <v>14455.840759083456</v>
      </c>
      <c r="EW262" s="276">
        <f>SUMIF('91.1Ф'!$N:$N,$B:$B,'91.1Ф'!$F:$F)+$D262/$D$281*('91Ф'!$D$12+'91Ф'!$D$11+'91Ф'!$D$19+'91Ф'!$D$20)</f>
        <v>83545.176064428335</v>
      </c>
      <c r="EX262" s="276">
        <f t="shared" si="54"/>
        <v>0</v>
      </c>
      <c r="EY262" s="276">
        <f>SUMIF('20Ф'!$H:$H,$B:$B,'20Ф'!$AY:$AY)*1.2</f>
        <v>0</v>
      </c>
      <c r="EZ262" s="238"/>
      <c r="FA262" s="277">
        <f>SUMIF(отчёт!$B:$B,$B:$B,отчёт!$CU:$CU)/отчёт!$CU$281*'20Ф'!$I$1341</f>
        <v>0</v>
      </c>
      <c r="FB262" s="276">
        <f>SUMIF(Сальдо!$A:$A,$B:$B,Сальдо!$H:$H)-SUMIF(Сальдо!$A:$A,$B:$B,Сальдо!$I:$I)</f>
        <v>1043172.6399999999</v>
      </c>
    </row>
    <row r="263" spans="1:158" s="13" customFormat="1" ht="12" customHeight="1" x14ac:dyDescent="0.25">
      <c r="A263" s="3">
        <f t="shared" ref="A263:A280" si="57">A262+1</f>
        <v>259</v>
      </c>
      <c r="B263" s="4" t="s">
        <v>338</v>
      </c>
      <c r="C263" s="56"/>
      <c r="D263" s="233">
        <v>2990.6</v>
      </c>
      <c r="E263" s="234">
        <v>2990.6</v>
      </c>
      <c r="F263" s="235">
        <v>0</v>
      </c>
      <c r="G263" s="234">
        <v>1123.4000000000001</v>
      </c>
      <c r="H263" s="5">
        <f>SUMIF(отчёт!$B:$B,$B:$B,отчёт!I:I)</f>
        <v>1</v>
      </c>
      <c r="I263" s="5">
        <f>SUMIF(отчёт!$B:$B,$B:$B,отчёт!J:J)</f>
        <v>1</v>
      </c>
      <c r="J263" s="3" t="s">
        <v>321</v>
      </c>
      <c r="K263" s="105">
        <v>1</v>
      </c>
      <c r="L263" s="105"/>
      <c r="M263" s="12"/>
      <c r="N263" s="8"/>
      <c r="O263" s="8"/>
      <c r="P263" s="8"/>
      <c r="Q263" s="8"/>
      <c r="R263" s="8"/>
      <c r="S263" s="8"/>
      <c r="T263" s="8"/>
      <c r="U263" s="8"/>
      <c r="V263" s="9"/>
      <c r="W263" s="9"/>
      <c r="X263" s="9"/>
      <c r="Y263" s="8"/>
      <c r="Z263" s="9"/>
      <c r="AA263" s="9"/>
      <c r="AB263" s="8"/>
      <c r="AC263" s="10"/>
      <c r="AD263" s="8"/>
      <c r="AE263" s="8"/>
      <c r="AF263" s="8"/>
      <c r="AG263" s="7"/>
      <c r="AH263" s="8"/>
      <c r="AI263" s="8"/>
      <c r="AJ263" s="8"/>
      <c r="AK263" s="8"/>
      <c r="AL263" s="8"/>
      <c r="AM263" s="8"/>
      <c r="AN263" s="8"/>
      <c r="AO263" s="8"/>
      <c r="AP263" s="16"/>
      <c r="AQ263" s="7">
        <v>41.47</v>
      </c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F263" s="277">
        <f>SUMIF(Оборот!$A:$A,$B:$B,Оборот!H:H)</f>
        <v>1493965.4400000004</v>
      </c>
      <c r="CG263" s="277">
        <f>SUMIF(Оборот!$A:$A,$B:$B,Оборот!I:I)</f>
        <v>1322402.8899999999</v>
      </c>
      <c r="CH263" s="277">
        <f t="shared" si="51"/>
        <v>1306924.0090365568</v>
      </c>
      <c r="CI263" s="239">
        <f t="shared" si="55"/>
        <v>99016.944427832903</v>
      </c>
      <c r="CJ263" s="276">
        <f>SUMIF('20Ф'!$H:$H,$B:$B,'20Ф'!M:M)*1.2</f>
        <v>0</v>
      </c>
      <c r="CK263" s="276">
        <f>SUMIF('20Ф'!$H:$H,$B:$B,'20Ф'!O:O)*1.2</f>
        <v>27720.059999999998</v>
      </c>
      <c r="CL263" s="276">
        <f>SUMIF('20Ф'!$H:$H,$B:$B,'20Ф'!Q:Q)*1.2</f>
        <v>0</v>
      </c>
      <c r="CM263" s="276">
        <f>SUMIF('20Ф'!$H:$H,$B:$B,'20Ф'!R:R)*1.2</f>
        <v>0</v>
      </c>
      <c r="CN263" s="276">
        <f>SUMIF('20Ф'!$H:$H,$B:$B,'20Ф'!S:S)*1.2</f>
        <v>0</v>
      </c>
      <c r="CO263" s="276">
        <f>SUMIF('20Ф'!$H:$H,$B:$B,'20Ф'!W:W)*1.2</f>
        <v>0</v>
      </c>
      <c r="CP263" s="276">
        <f>SUMIF('20Ф'!$H:$H,$B:$B,'20Ф'!P:P)*1.2</f>
        <v>0</v>
      </c>
      <c r="CQ263" s="276">
        <f>SUMIF('20Ф'!$H:$H,$B:$B,'20Ф'!Y:Y)*1.2</f>
        <v>0</v>
      </c>
      <c r="CR263" s="276">
        <f>SUMIF('20Ф'!$H:$H,$B:$B,'20Ф'!Z:Z)*1.2</f>
        <v>0</v>
      </c>
      <c r="CS263" s="276">
        <f>SUMIF('20Ф'!$H:$H,$B:$B,'20Ф'!AB:AB)*1.2</f>
        <v>0</v>
      </c>
      <c r="CT263" s="276">
        <f>SUMIF('20Ф'!$H:$H,$B:$B,'20Ф'!AC:AC)*1.2</f>
        <v>0</v>
      </c>
      <c r="CU263" s="276">
        <f>SUMIF('20Ф'!$H:$H,$B:$B,'20Ф'!AD:AD)*1.2</f>
        <v>0</v>
      </c>
      <c r="CV263" s="276">
        <f>SUMIF('20Ф'!$H:$H,$B:$B,'20Ф'!AE:AE)*1.2</f>
        <v>0</v>
      </c>
      <c r="CW263" s="276">
        <f>SUMIF('20Ф'!$H:$H,$B:$B,'20Ф'!AF:AF)*1.2</f>
        <v>0</v>
      </c>
      <c r="CX263" s="276">
        <f>SUMIF('20Ф'!$H:$H,$B:$B,'20Ф'!AG:AG)*1.2</f>
        <v>0</v>
      </c>
      <c r="CY263" s="276">
        <f>SUMIF('20Ф'!$H:$H,$B:$B,'20Ф'!AH:AH)*1.2</f>
        <v>0</v>
      </c>
      <c r="CZ263" s="276">
        <f>SUMIF('20Ф'!$H:$H,$B:$B,'20Ф'!AI:AI)*1.2</f>
        <v>0</v>
      </c>
      <c r="DA263" s="276">
        <f>SUMIF('20Ф'!$H:$H,$B:$B,'20Ф'!AJ:AJ)*1.2</f>
        <v>0</v>
      </c>
      <c r="DB263" s="276">
        <f>SUMIF('20Ф'!$H:$H,$B:$B,'20Ф'!AK:AK)*1.2</f>
        <v>0</v>
      </c>
      <c r="DC263" s="276">
        <f>SUMIF('20Ф'!$H:$H,$B:$B,'20Ф'!AL:AL)*1.2</f>
        <v>0</v>
      </c>
      <c r="DD263" s="276">
        <f>SUMIF('20Ф'!$H:$H,$B:$B,'20Ф'!AM:AM)*1.2</f>
        <v>0</v>
      </c>
      <c r="DE263" s="276">
        <f>SUMIF('20Ф'!$H:$H,$B:$B,'20Ф'!AN:AN)*1.2</f>
        <v>0</v>
      </c>
      <c r="DF263" s="276">
        <f>SUMIF('20Ф'!$H:$H,$B:$B,'20Ф'!AO:AO)*1.2</f>
        <v>0</v>
      </c>
      <c r="DG263" s="276">
        <f>SUMIF('20Ф'!$H:$H,$B:$B,'20Ф'!AP:AP)*1.2</f>
        <v>44993.555999999997</v>
      </c>
      <c r="DH263" s="276">
        <f>SUMIF('20Ф'!$H:$H,$B:$B,'20Ф'!AQ:AQ)*1.2</f>
        <v>0</v>
      </c>
      <c r="DI263" s="276">
        <f>SUMIF('20Ф'!$H:$H,$B:$B,'20Ф'!BA:BA)*1.2</f>
        <v>0</v>
      </c>
      <c r="DJ263" s="276">
        <f>SUMIF('20Ф'!$H:$H,$B:$B,'20Ф'!BB:BB)*1.2</f>
        <v>0</v>
      </c>
      <c r="DK263" s="276">
        <f>SUMIF('20Ф'!$H:$H,$B:$B,'20Ф'!BC:BC)*1.2</f>
        <v>0</v>
      </c>
      <c r="DL263" s="276">
        <f>$D263/$D$281*'20Ф'!$H$218</f>
        <v>26303.328427832916</v>
      </c>
      <c r="DM263" s="240">
        <f t="shared" si="52"/>
        <v>336486.71820901398</v>
      </c>
      <c r="DN263" s="276">
        <f>SUMIF('20Ф'!$H:$H,$B:$B,'20Ф'!AV:AV)*1.2</f>
        <v>0</v>
      </c>
      <c r="DO263" s="276">
        <f>SUMIF('20Ф'!$H:$H,$B:$B,'20Ф'!AW:AW)*1.2+$D263/$D$281*'26Ф'!$D$42</f>
        <v>30360.901820445444</v>
      </c>
      <c r="DP263" s="276">
        <f>SUMIF('20Ф'!$H:$H,$B:$B,'20Ф'!AX:AX)*1.2</f>
        <v>0</v>
      </c>
      <c r="DQ263" s="276">
        <f>SUMIF('20Ф'!$H:$H,$B:$B,'20Ф'!AY:AY)*1.2</f>
        <v>0</v>
      </c>
      <c r="DR263" s="276">
        <f>SUMIF('20Ф'!$H:$H,$B:$B,'20Ф'!AU:AU)*1.2</f>
        <v>0</v>
      </c>
      <c r="DS263" s="276">
        <f>SUMIF('20Ф'!$H:$H,$B:$B,'20Ф'!AS:AS)*1.2</f>
        <v>59216.231999999996</v>
      </c>
      <c r="DT263" s="276">
        <f>SUMIF('20Ф'!$H:$H,$B:$B,'20Ф'!AR:AR)*1.2</f>
        <v>0</v>
      </c>
      <c r="DU263" s="276">
        <f>SUMIF('20Ф'!$H:$H,$B:$B,'20Ф'!X:X)*1.2</f>
        <v>0</v>
      </c>
      <c r="DV263" s="276">
        <f>SUMIF('20Ф'!$H:$H,$B:$B,'20Ф'!AA:AA)*1.2</f>
        <v>0</v>
      </c>
      <c r="DW263" s="276">
        <f>SUMIF('20Ф'!$H:$H,$B:$B,'20Ф'!N:N)*1.2</f>
        <v>0</v>
      </c>
      <c r="DX263" s="276">
        <f>$D263/$D$281*('25Ф'!$D$37)</f>
        <v>235276.59476913951</v>
      </c>
      <c r="DY263" s="276">
        <f>$D263/$D$281*'25Ф'!$D$30</f>
        <v>7509.2903296773165</v>
      </c>
      <c r="DZ263" s="276">
        <f>$D263/$D$281*'25Ф'!$D$31</f>
        <v>4123.6992897516811</v>
      </c>
      <c r="EA263" s="276"/>
      <c r="EB263" s="276">
        <f t="shared" si="53"/>
        <v>148227.9473845321</v>
      </c>
      <c r="EC263" s="276">
        <f>$D263/$D$281*'26Ф'!$D$36</f>
        <v>77157.420259319144</v>
      </c>
      <c r="ED263" s="276">
        <f>$D263/$D$281*'26Ф'!$D$37</f>
        <v>9270.381638425888</v>
      </c>
      <c r="EE263" s="276">
        <f>$D263/$D$281*'26Ф'!$D$38</f>
        <v>9365.4585243104684</v>
      </c>
      <c r="EF263" s="276">
        <f>$D263/$D$281*'26Ф'!$D$39</f>
        <v>6569.8606071709073</v>
      </c>
      <c r="EG263" s="276">
        <f>$D263/$D$281*'91Ф'!$D$10</f>
        <v>2026.7992649438293</v>
      </c>
      <c r="EH263" s="276">
        <f>$D263/$D$281*('20Ф'!$I$509+'26Ф'!$D$41+'20Ф'!$I$507)</f>
        <v>14338.937406070803</v>
      </c>
      <c r="EI263" s="276">
        <f>$D263/$D$281*'91Ф'!$D$31</f>
        <v>26285.378364163247</v>
      </c>
      <c r="EJ263" s="276">
        <f>$D263/$D$281*'20Ф'!$I$1316</f>
        <v>3213.7113201278157</v>
      </c>
      <c r="EK263" s="276">
        <f>$D263/$D$281*('20Ф'!$I$1105+'20Ф'!$I$1282+'91Ф'!$D$17+'91Ф'!$D$41)</f>
        <v>105541.86014925507</v>
      </c>
      <c r="EL263" s="276">
        <f>$D263/$D$281*отчёт!BX$294</f>
        <v>176433.8024143989</v>
      </c>
      <c r="EM263" s="276">
        <f>$D263/$D$281*отчёт!BY$294</f>
        <v>155164.05860279314</v>
      </c>
      <c r="EN263" s="276">
        <f>$D263/$D$283*отчёт!BZ$294</f>
        <v>27847.09818242443</v>
      </c>
      <c r="EO263" s="240">
        <f t="shared" si="50"/>
        <v>185243.217500998</v>
      </c>
      <c r="EP263" s="276">
        <f>SUMIF('20Ф'!$H:$H,$B:$B,'20Ф'!T:T)*1.2</f>
        <v>7379.808</v>
      </c>
      <c r="EQ263" s="276">
        <f>SUM(H263:I263)/SUM($H$284:$I$284)*SUM('60Ф'!$O$155:$P$155)</f>
        <v>172510.26175648702</v>
      </c>
      <c r="ER263" s="276">
        <f>SUM($H263:$I263)/SUM($H$284:$I$284)*SUM('60Ф'!$P$227)</f>
        <v>5353.1477445109776</v>
      </c>
      <c r="ES263" s="239">
        <f t="shared" si="56"/>
        <v>59052.460865774716</v>
      </c>
      <c r="ET263" s="276">
        <f>$D263/$D$282*'20Ф'!$I$381</f>
        <v>4513.4361634821526</v>
      </c>
      <c r="EU263" s="276">
        <f>$D263/$D$282*('20Ф'!$I$75+'20Ф'!$I$1098)*1.2</f>
        <v>52132.191326233107</v>
      </c>
      <c r="EV263" s="276">
        <f>$D263/$D$282*('20Ф'!$I$1286)</f>
        <v>2406.8333760594551</v>
      </c>
      <c r="EW263" s="276">
        <f>SUMIF('91.1Ф'!$N:$N,$B:$B,'91.1Ф'!$F:$F)+$D263/$D$281*('91Ф'!$D$12+'91Ф'!$D$11+'91Ф'!$D$19+'91Ф'!$D$20)</f>
        <v>13909.901299533871</v>
      </c>
      <c r="EX263" s="276">
        <f t="shared" si="54"/>
        <v>0</v>
      </c>
      <c r="EY263" s="276">
        <f>SUMIF('20Ф'!$H:$H,$B:$B,'20Ф'!$AY:$AY)*1.2</f>
        <v>0</v>
      </c>
      <c r="EZ263" s="238"/>
      <c r="FA263" s="277">
        <f>SUMIF(отчёт!$B:$B,$B:$B,отчёт!$CU:$CU)/отчёт!$CU$281*'20Ф'!$I$1341</f>
        <v>0</v>
      </c>
      <c r="FB263" s="276">
        <f>SUMIF(Сальдо!$A:$A,$B:$B,Сальдо!$H:$H)-SUMIF(Сальдо!$A:$A,$B:$B,Сальдо!$I:$I)</f>
        <v>287693.93999999994</v>
      </c>
    </row>
    <row r="264" spans="1:158" s="13" customFormat="1" ht="12" customHeight="1" x14ac:dyDescent="0.25">
      <c r="A264" s="3">
        <f t="shared" si="57"/>
        <v>260</v>
      </c>
      <c r="B264" s="4" t="s">
        <v>339</v>
      </c>
      <c r="C264" s="56"/>
      <c r="D264" s="233">
        <v>8629.7999999999993</v>
      </c>
      <c r="E264" s="234">
        <v>6852.2</v>
      </c>
      <c r="F264" s="235">
        <v>1777.6</v>
      </c>
      <c r="G264" s="234">
        <v>2040</v>
      </c>
      <c r="H264" s="5">
        <f>SUMIF(отчёт!$B:$B,$B:$B,отчёт!I:I)</f>
        <v>1</v>
      </c>
      <c r="I264" s="5">
        <f>SUMIF(отчёт!$B:$B,$B:$B,отчёт!J:J)</f>
        <v>1</v>
      </c>
      <c r="J264" s="3" t="s">
        <v>321</v>
      </c>
      <c r="K264" s="105">
        <v>1</v>
      </c>
      <c r="L264" s="105"/>
      <c r="M264" s="12"/>
      <c r="N264" s="8"/>
      <c r="O264" s="8"/>
      <c r="P264" s="8"/>
      <c r="Q264" s="8"/>
      <c r="R264" s="8"/>
      <c r="S264" s="8"/>
      <c r="T264" s="8"/>
      <c r="U264" s="8"/>
      <c r="V264" s="9"/>
      <c r="W264" s="9"/>
      <c r="X264" s="9"/>
      <c r="Y264" s="8"/>
      <c r="Z264" s="9"/>
      <c r="AA264" s="9"/>
      <c r="AB264" s="8"/>
      <c r="AC264" s="10"/>
      <c r="AD264" s="8"/>
      <c r="AE264" s="8"/>
      <c r="AF264" s="8"/>
      <c r="AG264" s="7"/>
      <c r="AH264" s="8"/>
      <c r="AI264" s="8"/>
      <c r="AJ264" s="8"/>
      <c r="AK264" s="8"/>
      <c r="AL264" s="8"/>
      <c r="AM264" s="8"/>
      <c r="AN264" s="8"/>
      <c r="AO264" s="8"/>
      <c r="AP264" s="16"/>
      <c r="AQ264" s="7">
        <v>41.47</v>
      </c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F264" s="277">
        <f>SUMIF(Оборот!$A:$A,$B:$B,Оборот!H:H)</f>
        <v>3401896.74</v>
      </c>
      <c r="CG264" s="277">
        <f>SUMIF(Оборот!$A:$A,$B:$B,Оборот!I:I)</f>
        <v>3063787.1</v>
      </c>
      <c r="CH264" s="277">
        <f t="shared" si="51"/>
        <v>3382689.367779593</v>
      </c>
      <c r="CI264" s="239">
        <f t="shared" si="55"/>
        <v>320106.76876189141</v>
      </c>
      <c r="CJ264" s="276">
        <f>SUMIF('20Ф'!$H:$H,$B:$B,'20Ф'!M:M)*1.2</f>
        <v>176411.65199999997</v>
      </c>
      <c r="CK264" s="276">
        <f>SUMIF('20Ф'!$H:$H,$B:$B,'20Ф'!O:O)*1.2</f>
        <v>40841.796000000002</v>
      </c>
      <c r="CL264" s="276">
        <f>SUMIF('20Ф'!$H:$H,$B:$B,'20Ф'!Q:Q)*1.2</f>
        <v>0</v>
      </c>
      <c r="CM264" s="276">
        <f>SUMIF('20Ф'!$H:$H,$B:$B,'20Ф'!R:R)*1.2</f>
        <v>0</v>
      </c>
      <c r="CN264" s="276">
        <f>SUMIF('20Ф'!$H:$H,$B:$B,'20Ф'!S:S)*1.2</f>
        <v>0</v>
      </c>
      <c r="CO264" s="276">
        <f>SUMIF('20Ф'!$H:$H,$B:$B,'20Ф'!W:W)*1.2</f>
        <v>0</v>
      </c>
      <c r="CP264" s="276">
        <f>SUMIF('20Ф'!$H:$H,$B:$B,'20Ф'!P:P)*1.2</f>
        <v>0</v>
      </c>
      <c r="CQ264" s="276">
        <f>SUMIF('20Ф'!$H:$H,$B:$B,'20Ф'!Y:Y)*1.2</f>
        <v>0</v>
      </c>
      <c r="CR264" s="276">
        <f>SUMIF('20Ф'!$H:$H,$B:$B,'20Ф'!Z:Z)*1.2</f>
        <v>0</v>
      </c>
      <c r="CS264" s="276">
        <f>SUMIF('20Ф'!$H:$H,$B:$B,'20Ф'!AB:AB)*1.2</f>
        <v>0</v>
      </c>
      <c r="CT264" s="276">
        <f>SUMIF('20Ф'!$H:$H,$B:$B,'20Ф'!AC:AC)*1.2</f>
        <v>0</v>
      </c>
      <c r="CU264" s="276">
        <f>SUMIF('20Ф'!$H:$H,$B:$B,'20Ф'!AD:AD)*1.2</f>
        <v>0</v>
      </c>
      <c r="CV264" s="276">
        <f>SUMIF('20Ф'!$H:$H,$B:$B,'20Ф'!AE:AE)*1.2</f>
        <v>0</v>
      </c>
      <c r="CW264" s="276">
        <f>SUMIF('20Ф'!$H:$H,$B:$B,'20Ф'!AF:AF)*1.2</f>
        <v>0</v>
      </c>
      <c r="CX264" s="276">
        <f>SUMIF('20Ф'!$H:$H,$B:$B,'20Ф'!AG:AG)*1.2</f>
        <v>0</v>
      </c>
      <c r="CY264" s="276">
        <f>SUMIF('20Ф'!$H:$H,$B:$B,'20Ф'!AH:AH)*1.2</f>
        <v>0</v>
      </c>
      <c r="CZ264" s="276">
        <f>SUMIF('20Ф'!$H:$H,$B:$B,'20Ф'!AI:AI)*1.2</f>
        <v>0</v>
      </c>
      <c r="DA264" s="276">
        <f>SUMIF('20Ф'!$H:$H,$B:$B,'20Ф'!AJ:AJ)*1.2</f>
        <v>26951.34</v>
      </c>
      <c r="DB264" s="276">
        <f>SUMIF('20Ф'!$H:$H,$B:$B,'20Ф'!AK:AK)*1.2</f>
        <v>0</v>
      </c>
      <c r="DC264" s="276">
        <f>SUMIF('20Ф'!$H:$H,$B:$B,'20Ф'!AL:AL)*1.2</f>
        <v>0</v>
      </c>
      <c r="DD264" s="276">
        <f>SUMIF('20Ф'!$H:$H,$B:$B,'20Ф'!AM:AM)*1.2</f>
        <v>0</v>
      </c>
      <c r="DE264" s="276">
        <f>SUMIF('20Ф'!$H:$H,$B:$B,'20Ф'!AN:AN)*1.2</f>
        <v>0</v>
      </c>
      <c r="DF264" s="276">
        <f>SUMIF('20Ф'!$H:$H,$B:$B,'20Ф'!AO:AO)*1.2</f>
        <v>0</v>
      </c>
      <c r="DG264" s="276">
        <f>SUMIF('20Ф'!$H:$H,$B:$B,'20Ф'!AP:AP)*1.2</f>
        <v>0</v>
      </c>
      <c r="DH264" s="276">
        <f>SUMIF('20Ф'!$H:$H,$B:$B,'20Ф'!AQ:AQ)*1.2</f>
        <v>0</v>
      </c>
      <c r="DI264" s="276">
        <f>SUMIF('20Ф'!$H:$H,$B:$B,'20Ф'!BA:BA)*1.2</f>
        <v>0</v>
      </c>
      <c r="DJ264" s="276">
        <f>SUMIF('20Ф'!$H:$H,$B:$B,'20Ф'!BB:BB)*1.2</f>
        <v>0</v>
      </c>
      <c r="DK264" s="276">
        <f>SUMIF('20Ф'!$H:$H,$B:$B,'20Ф'!BC:BC)*1.2</f>
        <v>0</v>
      </c>
      <c r="DL264" s="276">
        <f>$D264/$D$281*'20Ф'!$H$218</f>
        <v>75901.980761891406</v>
      </c>
      <c r="DM264" s="240">
        <f t="shared" si="52"/>
        <v>897278.06038712896</v>
      </c>
      <c r="DN264" s="276">
        <f>SUMIF('20Ф'!$H:$H,$B:$B,'20Ф'!AV:AV)*1.2</f>
        <v>0</v>
      </c>
      <c r="DO264" s="276">
        <f>SUMIF('20Ф'!$H:$H,$B:$B,'20Ф'!AW:AW)*1.2+$D264/$D$281*'26Ф'!$D$42</f>
        <v>56754.737161666577</v>
      </c>
      <c r="DP264" s="276">
        <f>SUMIF('20Ф'!$H:$H,$B:$B,'20Ф'!AX:AX)*1.2</f>
        <v>0</v>
      </c>
      <c r="DQ264" s="276">
        <f>SUMIF('20Ф'!$H:$H,$B:$B,'20Ф'!AY:AY)*1.2</f>
        <v>0</v>
      </c>
      <c r="DR264" s="276">
        <f>SUMIF('20Ф'!$H:$H,$B:$B,'20Ф'!AU:AU)*1.2</f>
        <v>0</v>
      </c>
      <c r="DS264" s="276">
        <f>SUMIF('20Ф'!$H:$H,$B:$B,'20Ф'!AS:AS)*1.2</f>
        <v>128030.73599999999</v>
      </c>
      <c r="DT264" s="276">
        <f>SUMIF('20Ф'!$H:$H,$B:$B,'20Ф'!AR:AR)*1.2</f>
        <v>0</v>
      </c>
      <c r="DU264" s="276">
        <f>SUMIF('20Ф'!$H:$H,$B:$B,'20Ф'!X:X)*1.2</f>
        <v>0</v>
      </c>
      <c r="DV264" s="276">
        <f>SUMIF('20Ф'!$H:$H,$B:$B,'20Ф'!AA:AA)*1.2</f>
        <v>0</v>
      </c>
      <c r="DW264" s="276">
        <f>SUMIF('20Ф'!$H:$H,$B:$B,'20Ф'!N:N)*1.2</f>
        <v>0</v>
      </c>
      <c r="DX264" s="276">
        <f>$D264/$D$281*('25Ф'!$D$37)</f>
        <v>678923.9475485587</v>
      </c>
      <c r="DY264" s="276">
        <f>$D264/$D$281*'25Ф'!$D$30</f>
        <v>21669.121141927804</v>
      </c>
      <c r="DZ264" s="276">
        <f>$D264/$D$281*'25Ф'!$D$31</f>
        <v>11899.518534975941</v>
      </c>
      <c r="EA264" s="276"/>
      <c r="EB264" s="276">
        <f t="shared" si="53"/>
        <v>427732.74270682636</v>
      </c>
      <c r="EC264" s="276">
        <f>$D264/$D$281*'26Ф'!$D$36</f>
        <v>222648.66760980146</v>
      </c>
      <c r="ED264" s="276">
        <f>$D264/$D$281*'26Ф'!$D$37</f>
        <v>26750.999619904942</v>
      </c>
      <c r="EE264" s="276">
        <f>$D264/$D$281*'26Ф'!$D$38</f>
        <v>27025.357444357142</v>
      </c>
      <c r="EF264" s="276">
        <f>$D264/$D$281*'26Ф'!$D$39</f>
        <v>18958.263581810836</v>
      </c>
      <c r="EG264" s="276">
        <f>$D264/$D$281*'91Ф'!$D$10</f>
        <v>5848.6164303525229</v>
      </c>
      <c r="EH264" s="276">
        <f>$D264/$D$281*('20Ф'!$I$509+'26Ф'!$D$41+'20Ф'!$I$507)</f>
        <v>41377.035386514348</v>
      </c>
      <c r="EI264" s="276">
        <f>$D264/$D$281*'91Ф'!$D$31</f>
        <v>75850.183310056833</v>
      </c>
      <c r="EJ264" s="276">
        <f>$D264/$D$281*'20Ф'!$I$1316</f>
        <v>9273.6193240282955</v>
      </c>
      <c r="EK264" s="276">
        <f>$D264/$D$281*('20Ф'!$I$1105+'20Ф'!$I$1282+'91Ф'!$D$17+'91Ф'!$D$41)</f>
        <v>304555.99034175125</v>
      </c>
      <c r="EL264" s="276">
        <f>$D264/$D$281*отчёт!BX$294</f>
        <v>509124.7335236338</v>
      </c>
      <c r="EM264" s="276">
        <f>$D264/$D$281*отчёт!BY$294</f>
        <v>447747.87431631912</v>
      </c>
      <c r="EN264" s="276">
        <f>$D264/$D$283*отчёт!BZ$294</f>
        <v>80356.747105827031</v>
      </c>
      <c r="EO264" s="240">
        <f t="shared" si="50"/>
        <v>185243.217500998</v>
      </c>
      <c r="EP264" s="276">
        <f>SUMIF('20Ф'!$H:$H,$B:$B,'20Ф'!T:T)*1.2</f>
        <v>7379.808</v>
      </c>
      <c r="EQ264" s="276">
        <f>SUM(H264:I264)/SUM($H$284:$I$284)*SUM('60Ф'!$O$155:$P$155)</f>
        <v>172510.26175648702</v>
      </c>
      <c r="ER264" s="276">
        <f>SUM($H264:$I264)/SUM($H$284:$I$284)*SUM('60Ф'!$P$227)</f>
        <v>5353.1477445109776</v>
      </c>
      <c r="ES264" s="239">
        <f t="shared" si="56"/>
        <v>170404.24221877306</v>
      </c>
      <c r="ET264" s="276">
        <f>$D264/$D$282*'20Ф'!$I$381</f>
        <v>13024.159500975818</v>
      </c>
      <c r="EU264" s="276">
        <f>$D264/$D$282*('20Ф'!$I$75+'20Ф'!$I$1098)*1.2</f>
        <v>150434.82401763074</v>
      </c>
      <c r="EV264" s="276">
        <f>$D264/$D$282*('20Ф'!$I$1286)</f>
        <v>6945.2587001664833</v>
      </c>
      <c r="EW264" s="276">
        <f>SUMIF('91.1Ф'!$N:$N,$B:$B,'91.1Ф'!$F:$F)+$D264/$D$281*('91Ф'!$D$12+'91Ф'!$D$11+'91Ф'!$D$19+'91Ф'!$D$20)</f>
        <v>40138.990916443981</v>
      </c>
      <c r="EX264" s="276">
        <f t="shared" si="54"/>
        <v>0</v>
      </c>
      <c r="EY264" s="276">
        <f>SUMIF('20Ф'!$H:$H,$B:$B,'20Ф'!$AY:$AY)*1.2</f>
        <v>0</v>
      </c>
      <c r="EZ264" s="238"/>
      <c r="FA264" s="277">
        <f>SUMIF(отчёт!$B:$B,$B:$B,отчёт!$CU:$CU)/отчёт!$CU$281*'20Ф'!$I$1341</f>
        <v>0</v>
      </c>
      <c r="FB264" s="276">
        <f>SUMIF(Сальдо!$A:$A,$B:$B,Сальдо!$H:$H)-SUMIF(Сальдо!$A:$A,$B:$B,Сальдо!$I:$I)</f>
        <v>564467.64999999991</v>
      </c>
    </row>
    <row r="265" spans="1:158" s="13" customFormat="1" ht="12" customHeight="1" x14ac:dyDescent="0.25">
      <c r="A265" s="3">
        <f t="shared" si="57"/>
        <v>261</v>
      </c>
      <c r="B265" s="4" t="s">
        <v>340</v>
      </c>
      <c r="C265" s="56"/>
      <c r="D265" s="233">
        <v>9350.4</v>
      </c>
      <c r="E265" s="234">
        <v>9350.4</v>
      </c>
      <c r="F265" s="235">
        <v>0</v>
      </c>
      <c r="G265" s="234">
        <v>2655.2</v>
      </c>
      <c r="H265" s="5">
        <f>SUMIF(отчёт!$B:$B,$B:$B,отчёт!I:I)</f>
        <v>2</v>
      </c>
      <c r="I265" s="5">
        <f>SUMIF(отчёт!$B:$B,$B:$B,отчёт!J:J)</f>
        <v>2</v>
      </c>
      <c r="J265" s="3" t="s">
        <v>321</v>
      </c>
      <c r="K265" s="105">
        <v>1</v>
      </c>
      <c r="L265" s="105"/>
      <c r="M265" s="12"/>
      <c r="N265" s="8"/>
      <c r="O265" s="8"/>
      <c r="P265" s="8"/>
      <c r="Q265" s="8"/>
      <c r="R265" s="8"/>
      <c r="S265" s="8"/>
      <c r="T265" s="8"/>
      <c r="U265" s="8"/>
      <c r="V265" s="9"/>
      <c r="W265" s="9"/>
      <c r="X265" s="9"/>
      <c r="Y265" s="8"/>
      <c r="Z265" s="9"/>
      <c r="AA265" s="9"/>
      <c r="AB265" s="8"/>
      <c r="AC265" s="10"/>
      <c r="AD265" s="8"/>
      <c r="AE265" s="8"/>
      <c r="AF265" s="8"/>
      <c r="AG265" s="7"/>
      <c r="AH265" s="8"/>
      <c r="AI265" s="8"/>
      <c r="AJ265" s="8"/>
      <c r="AK265" s="8"/>
      <c r="AL265" s="8"/>
      <c r="AM265" s="8"/>
      <c r="AN265" s="8"/>
      <c r="AO265" s="8"/>
      <c r="AP265" s="16"/>
      <c r="AQ265" s="7">
        <v>41.47</v>
      </c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F265" s="277">
        <f>SUMIF(Оборот!$A:$A,$B:$B,Оборот!H:H)</f>
        <v>4651143.8299999991</v>
      </c>
      <c r="CG265" s="277">
        <f>SUMIF(Оборот!$A:$A,$B:$B,Оборот!I:I)</f>
        <v>4390257.5200000005</v>
      </c>
      <c r="CH265" s="277">
        <f t="shared" si="51"/>
        <v>4138383.2814455498</v>
      </c>
      <c r="CI265" s="239">
        <f t="shared" si="55"/>
        <v>688671.58706092718</v>
      </c>
      <c r="CJ265" s="276">
        <f>SUMIF('20Ф'!$H:$H,$B:$B,'20Ф'!M:M)*1.2</f>
        <v>0</v>
      </c>
      <c r="CK265" s="276">
        <f>SUMIF('20Ф'!$H:$H,$B:$B,'20Ф'!O:O)*1.2</f>
        <v>0</v>
      </c>
      <c r="CL265" s="276">
        <f>SUMIF('20Ф'!$H:$H,$B:$B,'20Ф'!Q:Q)*1.2</f>
        <v>0</v>
      </c>
      <c r="CM265" s="276">
        <f>SUMIF('20Ф'!$H:$H,$B:$B,'20Ф'!R:R)*1.2</f>
        <v>0</v>
      </c>
      <c r="CN265" s="276">
        <f>SUMIF('20Ф'!$H:$H,$B:$B,'20Ф'!S:S)*1.2</f>
        <v>0</v>
      </c>
      <c r="CO265" s="276">
        <f>SUMIF('20Ф'!$H:$H,$B:$B,'20Ф'!W:W)*1.2</f>
        <v>0</v>
      </c>
      <c r="CP265" s="276">
        <f>SUMIF('20Ф'!$H:$H,$B:$B,'20Ф'!P:P)*1.2</f>
        <v>0</v>
      </c>
      <c r="CQ265" s="276">
        <f>SUMIF('20Ф'!$H:$H,$B:$B,'20Ф'!Y:Y)*1.2</f>
        <v>0</v>
      </c>
      <c r="CR265" s="276">
        <f>SUMIF('20Ф'!$H:$H,$B:$B,'20Ф'!Z:Z)*1.2</f>
        <v>0</v>
      </c>
      <c r="CS265" s="276">
        <f>SUMIF('20Ф'!$H:$H,$B:$B,'20Ф'!AB:AB)*1.2</f>
        <v>0</v>
      </c>
      <c r="CT265" s="276">
        <f>SUMIF('20Ф'!$H:$H,$B:$B,'20Ф'!AC:AC)*1.2</f>
        <v>0</v>
      </c>
      <c r="CU265" s="276">
        <f>SUMIF('20Ф'!$H:$H,$B:$B,'20Ф'!AD:AD)*1.2</f>
        <v>0</v>
      </c>
      <c r="CV265" s="276">
        <f>SUMIF('20Ф'!$H:$H,$B:$B,'20Ф'!AE:AE)*1.2</f>
        <v>0</v>
      </c>
      <c r="CW265" s="276">
        <f>SUMIF('20Ф'!$H:$H,$B:$B,'20Ф'!AF:AF)*1.2</f>
        <v>0</v>
      </c>
      <c r="CX265" s="276">
        <f>SUMIF('20Ф'!$H:$H,$B:$B,'20Ф'!AG:AG)*1.2</f>
        <v>0</v>
      </c>
      <c r="CY265" s="276">
        <f>SUMIF('20Ф'!$H:$H,$B:$B,'20Ф'!AH:AH)*1.2</f>
        <v>0</v>
      </c>
      <c r="CZ265" s="276">
        <f>SUMIF('20Ф'!$H:$H,$B:$B,'20Ф'!AI:AI)*1.2</f>
        <v>0</v>
      </c>
      <c r="DA265" s="276">
        <f>SUMIF('20Ф'!$H:$H,$B:$B,'20Ф'!AJ:AJ)*1.2</f>
        <v>606431.68799999997</v>
      </c>
      <c r="DB265" s="276">
        <f>SUMIF('20Ф'!$H:$H,$B:$B,'20Ф'!AK:AK)*1.2</f>
        <v>0</v>
      </c>
      <c r="DC265" s="276">
        <f>SUMIF('20Ф'!$H:$H,$B:$B,'20Ф'!AL:AL)*1.2</f>
        <v>0</v>
      </c>
      <c r="DD265" s="276">
        <f>SUMIF('20Ф'!$H:$H,$B:$B,'20Ф'!AM:AM)*1.2</f>
        <v>0</v>
      </c>
      <c r="DE265" s="276">
        <f>SUMIF('20Ф'!$H:$H,$B:$B,'20Ф'!AN:AN)*1.2</f>
        <v>0</v>
      </c>
      <c r="DF265" s="276">
        <f>SUMIF('20Ф'!$H:$H,$B:$B,'20Ф'!AO:AO)*1.2</f>
        <v>0</v>
      </c>
      <c r="DG265" s="276">
        <f>SUMIF('20Ф'!$H:$H,$B:$B,'20Ф'!AP:AP)*1.2</f>
        <v>0</v>
      </c>
      <c r="DH265" s="276">
        <f>SUMIF('20Ф'!$H:$H,$B:$B,'20Ф'!AQ:AQ)*1.2</f>
        <v>0</v>
      </c>
      <c r="DI265" s="276">
        <f>SUMIF('20Ф'!$H:$H,$B:$B,'20Ф'!BA:BA)*1.2</f>
        <v>0</v>
      </c>
      <c r="DJ265" s="276">
        <f>SUMIF('20Ф'!$H:$H,$B:$B,'20Ф'!BB:BB)*1.2</f>
        <v>0</v>
      </c>
      <c r="DK265" s="276">
        <f>SUMIF('20Ф'!$H:$H,$B:$B,'20Ф'!BC:BC)*1.2</f>
        <v>0</v>
      </c>
      <c r="DL265" s="276">
        <f>$D265/$D$281*'20Ф'!$H$218</f>
        <v>82239.8990609272</v>
      </c>
      <c r="DM265" s="240">
        <f t="shared" si="52"/>
        <v>933826.13343648904</v>
      </c>
      <c r="DN265" s="276">
        <f>SUMIF('20Ф'!$H:$H,$B:$B,'20Ф'!AV:AV)*1.2</f>
        <v>0</v>
      </c>
      <c r="DO265" s="276">
        <f>SUMIF('20Ф'!$H:$H,$B:$B,'20Ф'!AW:AW)*1.2+$D265/$D$281*'26Ф'!$D$42</f>
        <v>60127.449203602308</v>
      </c>
      <c r="DP265" s="276">
        <f>SUMIF('20Ф'!$H:$H,$B:$B,'20Ф'!AX:AX)*1.2</f>
        <v>0</v>
      </c>
      <c r="DQ265" s="276">
        <f>SUMIF('20Ф'!$H:$H,$B:$B,'20Ф'!AY:AY)*1.2</f>
        <v>0</v>
      </c>
      <c r="DR265" s="276">
        <f>SUMIF('20Ф'!$H:$H,$B:$B,'20Ф'!AU:AU)*1.2</f>
        <v>0</v>
      </c>
      <c r="DS265" s="276">
        <f>SUMIF('20Ф'!$H:$H,$B:$B,'20Ф'!AS:AS)*1.2</f>
        <v>101712</v>
      </c>
      <c r="DT265" s="276">
        <f>SUMIF('20Ф'!$H:$H,$B:$B,'20Ф'!AR:AR)*1.2</f>
        <v>0</v>
      </c>
      <c r="DU265" s="276">
        <f>SUMIF('20Ф'!$H:$H,$B:$B,'20Ф'!X:X)*1.2</f>
        <v>0</v>
      </c>
      <c r="DV265" s="276">
        <f>SUMIF('20Ф'!$H:$H,$B:$B,'20Ф'!AA:AA)*1.2</f>
        <v>0</v>
      </c>
      <c r="DW265" s="276">
        <f>SUMIF('20Ф'!$H:$H,$B:$B,'20Ф'!N:N)*1.2</f>
        <v>0</v>
      </c>
      <c r="DX265" s="276">
        <f>$D265/$D$281*('25Ф'!$D$37)</f>
        <v>735615.01763170003</v>
      </c>
      <c r="DY265" s="276">
        <f>$D265/$D$281*'25Ф'!$D$30</f>
        <v>23478.522135563024</v>
      </c>
      <c r="DZ265" s="276">
        <f>$D265/$D$281*'25Ф'!$D$31</f>
        <v>12893.14446562366</v>
      </c>
      <c r="EA265" s="276"/>
      <c r="EB265" s="276">
        <f t="shared" si="53"/>
        <v>463449.0066288801</v>
      </c>
      <c r="EC265" s="276">
        <f>$D265/$D$281*'26Ф'!$D$36</f>
        <v>241240.13321498618</v>
      </c>
      <c r="ED265" s="276">
        <f>$D265/$D$281*'26Ф'!$D$37</f>
        <v>28984.744356295534</v>
      </c>
      <c r="EE265" s="276">
        <f>$D265/$D$281*'26Ф'!$D$38</f>
        <v>29282.011431054838</v>
      </c>
      <c r="EF265" s="276">
        <f>$D265/$D$281*'26Ф'!$D$39</f>
        <v>20541.304293884456</v>
      </c>
      <c r="EG265" s="276">
        <f>$D265/$D$281*'91Ф'!$D$10</f>
        <v>6336.9838316494288</v>
      </c>
      <c r="EH265" s="276">
        <f>$D265/$D$281*('20Ф'!$I$509+'26Ф'!$D$41+'20Ф'!$I$507)</f>
        <v>44832.07393891675</v>
      </c>
      <c r="EI265" s="276">
        <f>$D265/$D$281*'91Ф'!$D$31</f>
        <v>82183.776451639147</v>
      </c>
      <c r="EJ265" s="276">
        <f>$D265/$D$281*'20Ф'!$I$1316</f>
        <v>10047.979110453798</v>
      </c>
      <c r="EK265" s="276">
        <f>$D265/$D$281*('20Ф'!$I$1105+'20Ф'!$I$1282+'91Ф'!$D$17+'91Ф'!$D$41)</f>
        <v>329986.82844231743</v>
      </c>
      <c r="EL265" s="276">
        <f>$D265/$D$281*отчёт!BX$294</f>
        <v>551637.33902748453</v>
      </c>
      <c r="EM265" s="276">
        <f>$D265/$D$281*отчёт!BY$294</f>
        <v>485135.42886362498</v>
      </c>
      <c r="EN265" s="276">
        <f>$D265/$D$283*отчёт!BZ$294</f>
        <v>87066.644434207643</v>
      </c>
      <c r="EO265" s="240">
        <f t="shared" si="50"/>
        <v>370486.435001996</v>
      </c>
      <c r="EP265" s="276">
        <f>SUMIF('20Ф'!$H:$H,$B:$B,'20Ф'!T:T)*1.2</f>
        <v>14759.616</v>
      </c>
      <c r="EQ265" s="276">
        <f>SUM(H265:I265)/SUM($H$284:$I$284)*SUM('60Ф'!$O$155:$P$155)</f>
        <v>345020.52351297403</v>
      </c>
      <c r="ER265" s="276">
        <f>SUM($H265:$I265)/SUM($H$284:$I$284)*SUM('60Ф'!$P$227)</f>
        <v>10706.295489021955</v>
      </c>
      <c r="ES265" s="239">
        <f t="shared" si="56"/>
        <v>184633.22747252721</v>
      </c>
      <c r="ET265" s="276">
        <f>$D265/$D$282*'20Ф'!$I$381</f>
        <v>14111.694477035888</v>
      </c>
      <c r="EU265" s="276">
        <f>$D265/$D$282*('20Ф'!$I$75+'20Ф'!$I$1098)*1.2</f>
        <v>162996.33577770682</v>
      </c>
      <c r="EV265" s="276">
        <f>$D265/$D$282*('20Ф'!$I$1286)</f>
        <v>7525.1972177845018</v>
      </c>
      <c r="EW265" s="276">
        <f>SUMIF('91.1Ф'!$N:$N,$B:$B,'91.1Ф'!$F:$F)+$D265/$D$281*('91Ф'!$D$12+'91Ф'!$D$11+'91Ф'!$D$19+'91Ф'!$D$20)</f>
        <v>43490.651077095397</v>
      </c>
      <c r="EX265" s="276">
        <f t="shared" si="54"/>
        <v>0</v>
      </c>
      <c r="EY265" s="276">
        <f>SUMIF('20Ф'!$H:$H,$B:$B,'20Ф'!$AY:$AY)*1.2</f>
        <v>0</v>
      </c>
      <c r="EZ265" s="238"/>
      <c r="FA265" s="277">
        <f>SUMIF(отчёт!$B:$B,$B:$B,отчёт!$CU:$CU)/отчёт!$CU$281*'20Ф'!$I$1341</f>
        <v>0</v>
      </c>
      <c r="FB265" s="276">
        <f>SUMIF(Сальдо!$A:$A,$B:$B,Сальдо!$H:$H)-SUMIF(Сальдо!$A:$A,$B:$B,Сальдо!$I:$I)</f>
        <v>545788.65999999992</v>
      </c>
    </row>
    <row r="266" spans="1:158" s="13" customFormat="1" ht="12" customHeight="1" x14ac:dyDescent="0.25">
      <c r="A266" s="3">
        <f t="shared" si="57"/>
        <v>262</v>
      </c>
      <c r="B266" s="4" t="s">
        <v>341</v>
      </c>
      <c r="C266" s="56"/>
      <c r="D266" s="233">
        <v>5632.5</v>
      </c>
      <c r="E266" s="234">
        <v>5272.4</v>
      </c>
      <c r="F266" s="235">
        <v>360.1</v>
      </c>
      <c r="G266" s="234">
        <v>2075.1999999999998</v>
      </c>
      <c r="H266" s="5">
        <f>SUMIF(отчёт!$B:$B,$B:$B,отчёт!I:I)</f>
        <v>1</v>
      </c>
      <c r="I266" s="5">
        <f>SUMIF(отчёт!$B:$B,$B:$B,отчёт!J:J)</f>
        <v>1</v>
      </c>
      <c r="J266" s="3" t="s">
        <v>321</v>
      </c>
      <c r="K266" s="105">
        <v>1</v>
      </c>
      <c r="L266" s="105"/>
      <c r="M266" s="12"/>
      <c r="N266" s="8"/>
      <c r="O266" s="8"/>
      <c r="P266" s="8"/>
      <c r="Q266" s="8"/>
      <c r="R266" s="8"/>
      <c r="S266" s="8"/>
      <c r="T266" s="8"/>
      <c r="U266" s="8"/>
      <c r="V266" s="9"/>
      <c r="W266" s="9"/>
      <c r="X266" s="9"/>
      <c r="Y266" s="8"/>
      <c r="Z266" s="9"/>
      <c r="AA266" s="9"/>
      <c r="AB266" s="8"/>
      <c r="AC266" s="10"/>
      <c r="AD266" s="8"/>
      <c r="AE266" s="8"/>
      <c r="AF266" s="8"/>
      <c r="AG266" s="7"/>
      <c r="AH266" s="8"/>
      <c r="AI266" s="8"/>
      <c r="AJ266" s="8"/>
      <c r="AK266" s="8"/>
      <c r="AL266" s="8"/>
      <c r="AM266" s="8"/>
      <c r="AN266" s="8"/>
      <c r="AO266" s="8"/>
      <c r="AP266" s="16"/>
      <c r="AQ266" s="7">
        <v>41.47</v>
      </c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F266" s="277">
        <f>SUMIF(Оборот!$A:$A,$B:$B,Оборот!H:H)</f>
        <v>2768245.71</v>
      </c>
      <c r="CG266" s="277">
        <f>SUMIF(Оборот!$A:$A,$B:$B,Оборот!I:I)</f>
        <v>2614214.8499999996</v>
      </c>
      <c r="CH266" s="277">
        <f t="shared" si="51"/>
        <v>2462686.0169569058</v>
      </c>
      <c r="CI266" s="239">
        <f t="shared" si="55"/>
        <v>257900.07959050656</v>
      </c>
      <c r="CJ266" s="276">
        <f>SUMIF('20Ф'!$H:$H,$B:$B,'20Ф'!M:M)*1.2</f>
        <v>0</v>
      </c>
      <c r="CK266" s="276">
        <f>SUMIF('20Ф'!$H:$H,$B:$B,'20Ф'!O:O)*1.2</f>
        <v>58835.915999999997</v>
      </c>
      <c r="CL266" s="276">
        <f>SUMIF('20Ф'!$H:$H,$B:$B,'20Ф'!Q:Q)*1.2</f>
        <v>0</v>
      </c>
      <c r="CM266" s="276">
        <f>SUMIF('20Ф'!$H:$H,$B:$B,'20Ф'!R:R)*1.2</f>
        <v>0</v>
      </c>
      <c r="CN266" s="276">
        <f>SUMIF('20Ф'!$H:$H,$B:$B,'20Ф'!S:S)*1.2</f>
        <v>0</v>
      </c>
      <c r="CO266" s="276">
        <f>SUMIF('20Ф'!$H:$H,$B:$B,'20Ф'!W:W)*1.2</f>
        <v>0</v>
      </c>
      <c r="CP266" s="276">
        <f>SUMIF('20Ф'!$H:$H,$B:$B,'20Ф'!P:P)*1.2</f>
        <v>0</v>
      </c>
      <c r="CQ266" s="276">
        <f>SUMIF('20Ф'!$H:$H,$B:$B,'20Ф'!Y:Y)*1.2</f>
        <v>0</v>
      </c>
      <c r="CR266" s="276">
        <f>SUMIF('20Ф'!$H:$H,$B:$B,'20Ф'!Z:Z)*1.2</f>
        <v>0</v>
      </c>
      <c r="CS266" s="276">
        <f>SUMIF('20Ф'!$H:$H,$B:$B,'20Ф'!AB:AB)*1.2</f>
        <v>0</v>
      </c>
      <c r="CT266" s="276">
        <f>SUMIF('20Ф'!$H:$H,$B:$B,'20Ф'!AC:AC)*1.2</f>
        <v>0</v>
      </c>
      <c r="CU266" s="276">
        <f>SUMIF('20Ф'!$H:$H,$B:$B,'20Ф'!AD:AD)*1.2</f>
        <v>0</v>
      </c>
      <c r="CV266" s="276">
        <f>SUMIF('20Ф'!$H:$H,$B:$B,'20Ф'!AE:AE)*1.2</f>
        <v>0</v>
      </c>
      <c r="CW266" s="276">
        <f>SUMIF('20Ф'!$H:$H,$B:$B,'20Ф'!AF:AF)*1.2</f>
        <v>0</v>
      </c>
      <c r="CX266" s="276">
        <f>SUMIF('20Ф'!$H:$H,$B:$B,'20Ф'!AG:AG)*1.2</f>
        <v>0</v>
      </c>
      <c r="CY266" s="276">
        <f>SUMIF('20Ф'!$H:$H,$B:$B,'20Ф'!AH:AH)*1.2</f>
        <v>0</v>
      </c>
      <c r="CZ266" s="276">
        <f>SUMIF('20Ф'!$H:$H,$B:$B,'20Ф'!AI:AI)*1.2</f>
        <v>0</v>
      </c>
      <c r="DA266" s="276">
        <f>SUMIF('20Ф'!$H:$H,$B:$B,'20Ф'!AJ:AJ)*1.2</f>
        <v>0</v>
      </c>
      <c r="DB266" s="276">
        <f>SUMIF('20Ф'!$H:$H,$B:$B,'20Ф'!AK:AK)*1.2</f>
        <v>0</v>
      </c>
      <c r="DC266" s="276">
        <f>SUMIF('20Ф'!$H:$H,$B:$B,'20Ф'!AL:AL)*1.2</f>
        <v>149524.44</v>
      </c>
      <c r="DD266" s="276">
        <f>SUMIF('20Ф'!$H:$H,$B:$B,'20Ф'!AM:AM)*1.2</f>
        <v>0</v>
      </c>
      <c r="DE266" s="276">
        <f>SUMIF('20Ф'!$H:$H,$B:$B,'20Ф'!AN:AN)*1.2</f>
        <v>0</v>
      </c>
      <c r="DF266" s="276">
        <f>SUMIF('20Ф'!$H:$H,$B:$B,'20Ф'!AO:AO)*1.2</f>
        <v>0</v>
      </c>
      <c r="DG266" s="276">
        <f>SUMIF('20Ф'!$H:$H,$B:$B,'20Ф'!AP:AP)*1.2</f>
        <v>0</v>
      </c>
      <c r="DH266" s="276">
        <f>SUMIF('20Ф'!$H:$H,$B:$B,'20Ф'!AQ:AQ)*1.2</f>
        <v>0</v>
      </c>
      <c r="DI266" s="276">
        <f>SUMIF('20Ф'!$H:$H,$B:$B,'20Ф'!BA:BA)*1.2</f>
        <v>0</v>
      </c>
      <c r="DJ266" s="276">
        <f>SUMIF('20Ф'!$H:$H,$B:$B,'20Ф'!BB:BB)*1.2</f>
        <v>0</v>
      </c>
      <c r="DK266" s="276">
        <f>SUMIF('20Ф'!$H:$H,$B:$B,'20Ф'!BC:BC)*1.2</f>
        <v>0</v>
      </c>
      <c r="DL266" s="276">
        <f>$D266/$D$281*'20Ф'!$H$218</f>
        <v>49539.723590506546</v>
      </c>
      <c r="DM266" s="240">
        <f t="shared" si="52"/>
        <v>727195.80669680703</v>
      </c>
      <c r="DN266" s="276">
        <f>SUMIF('20Ф'!$H:$H,$B:$B,'20Ф'!AV:AV)*1.2</f>
        <v>0</v>
      </c>
      <c r="DO266" s="276">
        <f>SUMIF('20Ф'!$H:$H,$B:$B,'20Ф'!AW:AW)*1.2+$D266/$D$281*'26Ф'!$D$42</f>
        <v>42726.10851429779</v>
      </c>
      <c r="DP266" s="276">
        <f>SUMIF('20Ф'!$H:$H,$B:$B,'20Ф'!AX:AX)*1.2</f>
        <v>0</v>
      </c>
      <c r="DQ266" s="276">
        <f>SUMIF('20Ф'!$H:$H,$B:$B,'20Ф'!AY:AY)*1.2</f>
        <v>0</v>
      </c>
      <c r="DR266" s="276">
        <f>SUMIF('20Ф'!$H:$H,$B:$B,'20Ф'!AU:AU)*1.2</f>
        <v>0</v>
      </c>
      <c r="DS266" s="276">
        <f>SUMIF('20Ф'!$H:$H,$B:$B,'20Ф'!AS:AS)*1.2</f>
        <v>219439.86</v>
      </c>
      <c r="DT266" s="276">
        <f>SUMIF('20Ф'!$H:$H,$B:$B,'20Ф'!AR:AR)*1.2</f>
        <v>0</v>
      </c>
      <c r="DU266" s="276">
        <f>SUMIF('20Ф'!$H:$H,$B:$B,'20Ф'!X:X)*1.2</f>
        <v>0</v>
      </c>
      <c r="DV266" s="276">
        <f>SUMIF('20Ф'!$H:$H,$B:$B,'20Ф'!AA:AA)*1.2</f>
        <v>0</v>
      </c>
      <c r="DW266" s="276">
        <f>SUMIF('20Ф'!$H:$H,$B:$B,'20Ф'!N:N)*1.2</f>
        <v>0</v>
      </c>
      <c r="DX266" s="276">
        <f>$D266/$D$281*('25Ф'!$D$37)</f>
        <v>443120.25012946507</v>
      </c>
      <c r="DY266" s="276">
        <f>$D266/$D$281*'25Ф'!$D$30</f>
        <v>14143.007350333539</v>
      </c>
      <c r="DZ266" s="276">
        <f>$D266/$D$281*'25Ф'!$D$31</f>
        <v>7766.5807027106075</v>
      </c>
      <c r="EA266" s="276"/>
      <c r="EB266" s="276">
        <f t="shared" si="53"/>
        <v>279172.71237991611</v>
      </c>
      <c r="EC266" s="276">
        <f>$D266/$D$281*'26Ф'!$D$36</f>
        <v>145318.38748432256</v>
      </c>
      <c r="ED266" s="276">
        <f>$D266/$D$281*'26Ф'!$D$37</f>
        <v>17459.849053177895</v>
      </c>
      <c r="EE266" s="276">
        <f>$D266/$D$281*'26Ф'!$D$38</f>
        <v>17638.916985948876</v>
      </c>
      <c r="EF266" s="276">
        <f>$D266/$D$281*'26Ф'!$D$39</f>
        <v>12373.684167020041</v>
      </c>
      <c r="EG266" s="276">
        <f>$D266/$D$281*'91Ф'!$D$10</f>
        <v>3817.2764193794283</v>
      </c>
      <c r="EH266" s="276">
        <f>$D266/$D$281*('20Ф'!$I$509+'26Ф'!$D$41+'20Ф'!$I$507)</f>
        <v>27005.973697483383</v>
      </c>
      <c r="EI266" s="276">
        <f>$D266/$D$281*'91Ф'!$D$31</f>
        <v>49505.91641682254</v>
      </c>
      <c r="EJ266" s="276">
        <f>$D266/$D$281*'20Ф'!$I$1316</f>
        <v>6052.7081557613601</v>
      </c>
      <c r="EK266" s="276">
        <f>$D266/$D$281*('20Ф'!$I$1105+'20Ф'!$I$1282+'91Ф'!$D$17+'91Ф'!$D$41)</f>
        <v>198777.6791582556</v>
      </c>
      <c r="EL266" s="276">
        <f>$D266/$D$281*отчёт!BX$294</f>
        <v>332295.65709192195</v>
      </c>
      <c r="EM266" s="276">
        <f>$D266/$D$281*отчёт!BY$294</f>
        <v>292236.19343283365</v>
      </c>
      <c r="EN266" s="276">
        <f>$D266/$D$283*отчёт!BZ$294</f>
        <v>52447.261590485396</v>
      </c>
      <c r="EO266" s="240">
        <f t="shared" si="50"/>
        <v>185243.217500998</v>
      </c>
      <c r="EP266" s="276">
        <f>SUMIF('20Ф'!$H:$H,$B:$B,'20Ф'!T:T)*1.2</f>
        <v>7379.808</v>
      </c>
      <c r="EQ266" s="276">
        <f>SUM(H266:I266)/SUM($H$284:$I$284)*SUM('60Ф'!$O$155:$P$155)</f>
        <v>172510.26175648702</v>
      </c>
      <c r="ER266" s="276">
        <f>SUM($H266:$I266)/SUM($H$284:$I$284)*SUM('60Ф'!$P$227)</f>
        <v>5353.1477445109776</v>
      </c>
      <c r="ES266" s="239">
        <f t="shared" si="56"/>
        <v>111219.4829888571</v>
      </c>
      <c r="ET266" s="276">
        <f>$D266/$D$282*'20Ф'!$I$381</f>
        <v>8500.6116467642696</v>
      </c>
      <c r="EU266" s="276">
        <f>$D266/$D$282*('20Ф'!$I$75+'20Ф'!$I$1098)*1.2</f>
        <v>98185.838174616438</v>
      </c>
      <c r="EV266" s="276">
        <f>$D266/$D$282*('20Ф'!$I$1286)</f>
        <v>4533.0331674763856</v>
      </c>
      <c r="EW266" s="276">
        <f>SUMIF('91.1Ф'!$N:$N,$B:$B,'91.1Ф'!$F:$F)+$D266/$D$281*('91Ф'!$D$12+'91Ф'!$D$11+'91Ф'!$D$19+'91Ф'!$D$20)</f>
        <v>26197.92652632399</v>
      </c>
      <c r="EX266" s="276">
        <f t="shared" si="54"/>
        <v>0</v>
      </c>
      <c r="EY266" s="276">
        <f>SUMIF('20Ф'!$H:$H,$B:$B,'20Ф'!$AY:$AY)*1.2</f>
        <v>0</v>
      </c>
      <c r="EZ266" s="238"/>
      <c r="FA266" s="277">
        <f>SUMIF(отчёт!$B:$B,$B:$B,отчёт!$CU:$CU)/отчёт!$CU$281*'20Ф'!$I$1341</f>
        <v>0</v>
      </c>
      <c r="FB266" s="276">
        <f>SUMIF(Сальдо!$A:$A,$B:$B,Сальдо!$H:$H)-SUMIF(Сальдо!$A:$A,$B:$B,Сальдо!$I:$I)</f>
        <v>341230.5</v>
      </c>
    </row>
    <row r="267" spans="1:158" s="13" customFormat="1" ht="12" customHeight="1" x14ac:dyDescent="0.25">
      <c r="A267" s="3">
        <f t="shared" si="57"/>
        <v>263</v>
      </c>
      <c r="B267" s="4" t="s">
        <v>342</v>
      </c>
      <c r="C267" s="56"/>
      <c r="D267" s="233">
        <v>9440.6</v>
      </c>
      <c r="E267" s="234">
        <v>9320.2000000000007</v>
      </c>
      <c r="F267" s="235">
        <v>120.4</v>
      </c>
      <c r="G267" s="234">
        <v>1593.1</v>
      </c>
      <c r="H267" s="5">
        <f>SUMIF(отчёт!$B:$B,$B:$B,отчёт!I:I)</f>
        <v>2</v>
      </c>
      <c r="I267" s="5">
        <f>SUMIF(отчёт!$B:$B,$B:$B,отчёт!J:J)</f>
        <v>2</v>
      </c>
      <c r="J267" s="3" t="s">
        <v>321</v>
      </c>
      <c r="K267" s="105">
        <v>1</v>
      </c>
      <c r="L267" s="105"/>
      <c r="M267" s="12"/>
      <c r="N267" s="8"/>
      <c r="O267" s="8"/>
      <c r="P267" s="8"/>
      <c r="Q267" s="8"/>
      <c r="R267" s="8"/>
      <c r="S267" s="8"/>
      <c r="T267" s="8"/>
      <c r="U267" s="8"/>
      <c r="V267" s="9"/>
      <c r="W267" s="9"/>
      <c r="X267" s="9"/>
      <c r="Y267" s="8"/>
      <c r="Z267" s="9"/>
      <c r="AA267" s="9"/>
      <c r="AB267" s="8"/>
      <c r="AC267" s="10"/>
      <c r="AD267" s="8"/>
      <c r="AE267" s="8"/>
      <c r="AF267" s="8"/>
      <c r="AG267" s="7"/>
      <c r="AH267" s="8"/>
      <c r="AI267" s="8"/>
      <c r="AJ267" s="8"/>
      <c r="AK267" s="8"/>
      <c r="AL267" s="8"/>
      <c r="AM267" s="8"/>
      <c r="AN267" s="8"/>
      <c r="AO267" s="8"/>
      <c r="AP267" s="16"/>
      <c r="AQ267" s="7">
        <v>41.47</v>
      </c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F267" s="277">
        <f>SUMIF(Оборот!$A:$A,$B:$B,Оборот!H:H)</f>
        <v>4629608.3800000008</v>
      </c>
      <c r="CG267" s="277">
        <f>SUMIF(Оборот!$A:$A,$B:$B,Оборот!I:I)</f>
        <v>4377722.0999999996</v>
      </c>
      <c r="CH267" s="277">
        <f t="shared" si="51"/>
        <v>4200645.9032513769</v>
      </c>
      <c r="CI267" s="239">
        <f t="shared" si="55"/>
        <v>680215.03826516401</v>
      </c>
      <c r="CJ267" s="276">
        <f>SUMIF('20Ф'!$H:$H,$B:$B,'20Ф'!M:M)*1.2</f>
        <v>0</v>
      </c>
      <c r="CK267" s="276">
        <f>SUMIF('20Ф'!$H:$H,$B:$B,'20Ф'!O:O)*1.2</f>
        <v>445145.64</v>
      </c>
      <c r="CL267" s="276">
        <f>SUMIF('20Ф'!$H:$H,$B:$B,'20Ф'!Q:Q)*1.2</f>
        <v>0</v>
      </c>
      <c r="CM267" s="276">
        <f>SUMIF('20Ф'!$H:$H,$B:$B,'20Ф'!R:R)*1.2</f>
        <v>0</v>
      </c>
      <c r="CN267" s="276">
        <f>SUMIF('20Ф'!$H:$H,$B:$B,'20Ф'!S:S)*1.2</f>
        <v>0</v>
      </c>
      <c r="CO267" s="276">
        <f>SUMIF('20Ф'!$H:$H,$B:$B,'20Ф'!W:W)*1.2</f>
        <v>0</v>
      </c>
      <c r="CP267" s="276">
        <f>SUMIF('20Ф'!$H:$H,$B:$B,'20Ф'!P:P)*1.2</f>
        <v>0</v>
      </c>
      <c r="CQ267" s="276">
        <f>SUMIF('20Ф'!$H:$H,$B:$B,'20Ф'!Y:Y)*1.2</f>
        <v>0</v>
      </c>
      <c r="CR267" s="276">
        <f>SUMIF('20Ф'!$H:$H,$B:$B,'20Ф'!Z:Z)*1.2</f>
        <v>0</v>
      </c>
      <c r="CS267" s="276">
        <f>SUMIF('20Ф'!$H:$H,$B:$B,'20Ф'!AB:AB)*1.2</f>
        <v>0</v>
      </c>
      <c r="CT267" s="276">
        <f>SUMIF('20Ф'!$H:$H,$B:$B,'20Ф'!AC:AC)*1.2</f>
        <v>0</v>
      </c>
      <c r="CU267" s="276">
        <f>SUMIF('20Ф'!$H:$H,$B:$B,'20Ф'!AD:AD)*1.2</f>
        <v>0</v>
      </c>
      <c r="CV267" s="276">
        <f>SUMIF('20Ф'!$H:$H,$B:$B,'20Ф'!AE:AE)*1.2</f>
        <v>0</v>
      </c>
      <c r="CW267" s="276">
        <f>SUMIF('20Ф'!$H:$H,$B:$B,'20Ф'!AF:AF)*1.2</f>
        <v>0</v>
      </c>
      <c r="CX267" s="276">
        <f>SUMIF('20Ф'!$H:$H,$B:$B,'20Ф'!AG:AG)*1.2</f>
        <v>0</v>
      </c>
      <c r="CY267" s="276">
        <f>SUMIF('20Ф'!$H:$H,$B:$B,'20Ф'!AH:AH)*1.2</f>
        <v>0</v>
      </c>
      <c r="CZ267" s="276">
        <f>SUMIF('20Ф'!$H:$H,$B:$B,'20Ф'!AI:AI)*1.2</f>
        <v>152036.16</v>
      </c>
      <c r="DA267" s="276">
        <f>SUMIF('20Ф'!$H:$H,$B:$B,'20Ф'!AJ:AJ)*1.2</f>
        <v>0</v>
      </c>
      <c r="DB267" s="276">
        <f>SUMIF('20Ф'!$H:$H,$B:$B,'20Ф'!AK:AK)*1.2</f>
        <v>0</v>
      </c>
      <c r="DC267" s="276">
        <f>SUMIF('20Ф'!$H:$H,$B:$B,'20Ф'!AL:AL)*1.2</f>
        <v>0</v>
      </c>
      <c r="DD267" s="276">
        <f>SUMIF('20Ф'!$H:$H,$B:$B,'20Ф'!AM:AM)*1.2</f>
        <v>0</v>
      </c>
      <c r="DE267" s="276">
        <f>SUMIF('20Ф'!$H:$H,$B:$B,'20Ф'!AN:AN)*1.2</f>
        <v>0</v>
      </c>
      <c r="DF267" s="276">
        <f>SUMIF('20Ф'!$H:$H,$B:$B,'20Ф'!AO:AO)*1.2</f>
        <v>0</v>
      </c>
      <c r="DG267" s="276">
        <f>SUMIF('20Ф'!$H:$H,$B:$B,'20Ф'!AP:AP)*1.2</f>
        <v>0</v>
      </c>
      <c r="DH267" s="276">
        <f>SUMIF('20Ф'!$H:$H,$B:$B,'20Ф'!AQ:AQ)*1.2</f>
        <v>0</v>
      </c>
      <c r="DI267" s="276">
        <f>SUMIF('20Ф'!$H:$H,$B:$B,'20Ф'!BA:BA)*1.2</f>
        <v>0</v>
      </c>
      <c r="DJ267" s="276">
        <f>SUMIF('20Ф'!$H:$H,$B:$B,'20Ф'!BB:BB)*1.2</f>
        <v>0</v>
      </c>
      <c r="DK267" s="276">
        <f>SUMIF('20Ф'!$H:$H,$B:$B,'20Ф'!BC:BC)*1.2</f>
        <v>0</v>
      </c>
      <c r="DL267" s="276">
        <f>$D267/$D$281*'20Ф'!$H$218</f>
        <v>83033.238265163978</v>
      </c>
      <c r="DM267" s="240">
        <f t="shared" si="52"/>
        <v>983849.39785648941</v>
      </c>
      <c r="DN267" s="276">
        <f>SUMIF('20Ф'!$H:$H,$B:$B,'20Ф'!AV:AV)*1.2</f>
        <v>0</v>
      </c>
      <c r="DO267" s="276">
        <f>SUMIF('20Ф'!$H:$H,$B:$B,'20Ф'!AW:AW)*1.2+$D267/$D$281*'26Ф'!$D$42</f>
        <v>60549.623261585388</v>
      </c>
      <c r="DP267" s="276">
        <f>SUMIF('20Ф'!$H:$H,$B:$B,'20Ф'!AX:AX)*1.2</f>
        <v>0</v>
      </c>
      <c r="DQ267" s="276">
        <f>SUMIF('20Ф'!$H:$H,$B:$B,'20Ф'!AY:AY)*1.2</f>
        <v>0</v>
      </c>
      <c r="DR267" s="276">
        <f>SUMIF('20Ф'!$H:$H,$B:$B,'20Ф'!AU:AU)*1.2</f>
        <v>0</v>
      </c>
      <c r="DS267" s="276">
        <f>SUMIF('20Ф'!$H:$H,$B:$B,'20Ф'!AS:AS)*1.2</f>
        <v>143866.008</v>
      </c>
      <c r="DT267" s="276">
        <f>SUMIF('20Ф'!$H:$H,$B:$B,'20Ф'!AR:AR)*1.2</f>
        <v>0</v>
      </c>
      <c r="DU267" s="276">
        <f>SUMIF('20Ф'!$H:$H,$B:$B,'20Ф'!X:X)*1.2</f>
        <v>0</v>
      </c>
      <c r="DV267" s="276">
        <f>SUMIF('20Ф'!$H:$H,$B:$B,'20Ф'!AA:AA)*1.2</f>
        <v>0</v>
      </c>
      <c r="DW267" s="276">
        <f>SUMIF('20Ф'!$H:$H,$B:$B,'20Ф'!N:N)*1.2</f>
        <v>0</v>
      </c>
      <c r="DX267" s="276">
        <f>$D267/$D$281*('25Ф'!$D$37)</f>
        <v>742711.23539675598</v>
      </c>
      <c r="DY267" s="276">
        <f>$D267/$D$281*'25Ф'!$D$30</f>
        <v>23705.011130325576</v>
      </c>
      <c r="DZ267" s="276">
        <f>$D267/$D$281*'25Ф'!$D$31</f>
        <v>13017.520067822417</v>
      </c>
      <c r="EA267" s="276"/>
      <c r="EB267" s="276">
        <f t="shared" si="53"/>
        <v>467919.73519642005</v>
      </c>
      <c r="EC267" s="276">
        <f>$D267/$D$281*'26Ф'!$D$36</f>
        <v>243567.29141313725</v>
      </c>
      <c r="ED267" s="276">
        <f>$D267/$D$281*'26Ф'!$D$37</f>
        <v>29264.349928349977</v>
      </c>
      <c r="EE267" s="276">
        <f>$D267/$D$281*'26Ф'!$D$38</f>
        <v>29564.484633386412</v>
      </c>
      <c r="EF267" s="276">
        <f>$D267/$D$281*'26Ф'!$D$39</f>
        <v>20739.45898751343</v>
      </c>
      <c r="EG267" s="276">
        <f>$D267/$D$281*'91Ф'!$D$10</f>
        <v>6398.1144722225354</v>
      </c>
      <c r="EH267" s="276">
        <f>$D267/$D$281*('20Ф'!$I$509+'26Ф'!$D$41+'20Ф'!$I$507)</f>
        <v>45264.553091604372</v>
      </c>
      <c r="EI267" s="276">
        <f>$D267/$D$281*'91Ф'!$D$31</f>
        <v>82976.574260924084</v>
      </c>
      <c r="EJ267" s="276">
        <f>$D267/$D$281*'20Ф'!$I$1316</f>
        <v>10144.90840928197</v>
      </c>
      <c r="EK267" s="276">
        <f>$D267/$D$281*('20Ф'!$I$1105+'20Ф'!$I$1282+'91Ф'!$D$17+'91Ф'!$D$41)</f>
        <v>333170.09460478078</v>
      </c>
      <c r="EL267" s="276">
        <f>$D267/$D$281*отчёт!BX$294</f>
        <v>556958.78923071432</v>
      </c>
      <c r="EM267" s="276">
        <f>$D267/$D$281*отчёт!BY$294</f>
        <v>489815.35867234966</v>
      </c>
      <c r="EN267" s="276">
        <f>$D267/$D$283*отчёт!BZ$294</f>
        <v>87906.545543033542</v>
      </c>
      <c r="EO267" s="240">
        <f t="shared" si="50"/>
        <v>370486.435001996</v>
      </c>
      <c r="EP267" s="276">
        <f>SUMIF('20Ф'!$H:$H,$B:$B,'20Ф'!T:T)*1.2</f>
        <v>14759.616</v>
      </c>
      <c r="EQ267" s="276">
        <f>SUM(H267:I267)/SUM($H$284:$I$284)*SUM('60Ф'!$O$155:$P$155)</f>
        <v>345020.52351297403</v>
      </c>
      <c r="ER267" s="276">
        <f>SUM($H267:$I267)/SUM($H$284:$I$284)*SUM('60Ф'!$P$227)</f>
        <v>10706.295489021955</v>
      </c>
      <c r="ES267" s="239">
        <f t="shared" si="56"/>
        <v>186414.31888230881</v>
      </c>
      <c r="ET267" s="276">
        <f>$D267/$D$282*'20Ф'!$I$381</f>
        <v>14247.82499998984</v>
      </c>
      <c r="EU267" s="276">
        <f>$D267/$D$282*('20Ф'!$I$75+'20Ф'!$I$1098)*1.2</f>
        <v>164568.70374989507</v>
      </c>
      <c r="EV267" s="276">
        <f>$D267/$D$282*('20Ф'!$I$1286)</f>
        <v>7597.7901324238928</v>
      </c>
      <c r="EW267" s="276">
        <f>SUMIF('91.1Ф'!$N:$N,$B:$B,'91.1Ф'!$F:$F)+$D267/$D$281*('91Ф'!$D$12+'91Ф'!$D$11+'91Ф'!$D$19+'91Ф'!$D$20)</f>
        <v>43910.189998120601</v>
      </c>
      <c r="EX267" s="276">
        <f t="shared" si="54"/>
        <v>0</v>
      </c>
      <c r="EY267" s="276">
        <f>SUMIF('20Ф'!$H:$H,$B:$B,'20Ф'!$AY:$AY)*1.2</f>
        <v>0</v>
      </c>
      <c r="EZ267" s="238"/>
      <c r="FA267" s="277">
        <f>SUMIF(отчёт!$B:$B,$B:$B,отчёт!$CU:$CU)/отчёт!$CU$281*'20Ф'!$I$1341</f>
        <v>0</v>
      </c>
      <c r="FB267" s="276">
        <f>SUMIF(Сальдо!$A:$A,$B:$B,Сальдо!$H:$H)-SUMIF(Сальдо!$A:$A,$B:$B,Сальдо!$I:$I)</f>
        <v>562697.6399999999</v>
      </c>
    </row>
    <row r="268" spans="1:158" s="13" customFormat="1" ht="12" customHeight="1" x14ac:dyDescent="0.25">
      <c r="A268" s="3">
        <f t="shared" si="57"/>
        <v>264</v>
      </c>
      <c r="B268" s="4" t="s">
        <v>343</v>
      </c>
      <c r="C268" s="56"/>
      <c r="D268" s="233">
        <v>12637.5</v>
      </c>
      <c r="E268" s="234">
        <v>11922.8</v>
      </c>
      <c r="F268" s="235">
        <v>714.7</v>
      </c>
      <c r="G268" s="234">
        <v>4069.7</v>
      </c>
      <c r="H268" s="5">
        <f>SUMIF(отчёт!$B:$B,$B:$B,отчёт!I:I)</f>
        <v>3</v>
      </c>
      <c r="I268" s="5">
        <f>SUMIF(отчёт!$B:$B,$B:$B,отчёт!J:J)</f>
        <v>3</v>
      </c>
      <c r="J268" s="3" t="s">
        <v>321</v>
      </c>
      <c r="K268" s="105">
        <v>1</v>
      </c>
      <c r="L268" s="105"/>
      <c r="M268" s="12"/>
      <c r="N268" s="8"/>
      <c r="O268" s="8"/>
      <c r="P268" s="8"/>
      <c r="Q268" s="8"/>
      <c r="R268" s="8"/>
      <c r="S268" s="8"/>
      <c r="T268" s="8"/>
      <c r="U268" s="8"/>
      <c r="V268" s="9"/>
      <c r="W268" s="9"/>
      <c r="X268" s="9"/>
      <c r="Y268" s="8"/>
      <c r="Z268" s="9"/>
      <c r="AA268" s="9"/>
      <c r="AB268" s="8"/>
      <c r="AC268" s="10"/>
      <c r="AD268" s="8"/>
      <c r="AE268" s="8"/>
      <c r="AF268" s="8"/>
      <c r="AG268" s="7"/>
      <c r="AH268" s="8"/>
      <c r="AI268" s="8"/>
      <c r="AJ268" s="8"/>
      <c r="AK268" s="8"/>
      <c r="AL268" s="8"/>
      <c r="AM268" s="8"/>
      <c r="AN268" s="8"/>
      <c r="AO268" s="8"/>
      <c r="AP268" s="16"/>
      <c r="AQ268" s="7">
        <v>41.47</v>
      </c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F268" s="277">
        <f>SUMIF(Оборот!$A:$A,$B:$B,Оборот!H:H)</f>
        <v>5902990.2699999996</v>
      </c>
      <c r="CG268" s="277">
        <f>SUMIF(Оборот!$A:$A,$B:$B,Оборот!I:I)</f>
        <v>5369730.0600000005</v>
      </c>
      <c r="CH268" s="277">
        <f t="shared" si="51"/>
        <v>5874058.1069946103</v>
      </c>
      <c r="CI268" s="239">
        <f t="shared" si="55"/>
        <v>1193219.4122743057</v>
      </c>
      <c r="CJ268" s="276">
        <f>SUMIF('20Ф'!$H:$H,$B:$B,'20Ф'!M:M)*1.2</f>
        <v>0</v>
      </c>
      <c r="CK268" s="276">
        <f>SUMIF('20Ф'!$H:$H,$B:$B,'20Ф'!O:O)*1.2</f>
        <v>588797.67599999998</v>
      </c>
      <c r="CL268" s="276">
        <f>SUMIF('20Ф'!$H:$H,$B:$B,'20Ф'!Q:Q)*1.2</f>
        <v>0</v>
      </c>
      <c r="CM268" s="276">
        <f>SUMIF('20Ф'!$H:$H,$B:$B,'20Ф'!R:R)*1.2</f>
        <v>0</v>
      </c>
      <c r="CN268" s="276">
        <f>SUMIF('20Ф'!$H:$H,$B:$B,'20Ф'!S:S)*1.2</f>
        <v>0</v>
      </c>
      <c r="CO268" s="276">
        <f>SUMIF('20Ф'!$H:$H,$B:$B,'20Ф'!W:W)*1.2</f>
        <v>0</v>
      </c>
      <c r="CP268" s="276">
        <f>SUMIF('20Ф'!$H:$H,$B:$B,'20Ф'!P:P)*1.2</f>
        <v>0</v>
      </c>
      <c r="CQ268" s="276">
        <f>SUMIF('20Ф'!$H:$H,$B:$B,'20Ф'!Y:Y)*1.2</f>
        <v>0</v>
      </c>
      <c r="CR268" s="276">
        <f>SUMIF('20Ф'!$H:$H,$B:$B,'20Ф'!Z:Z)*1.2</f>
        <v>0</v>
      </c>
      <c r="CS268" s="276">
        <f>SUMIF('20Ф'!$H:$H,$B:$B,'20Ф'!AB:AB)*1.2</f>
        <v>0</v>
      </c>
      <c r="CT268" s="276">
        <f>SUMIF('20Ф'!$H:$H,$B:$B,'20Ф'!AC:AC)*1.2</f>
        <v>0</v>
      </c>
      <c r="CU268" s="276">
        <f>SUMIF('20Ф'!$H:$H,$B:$B,'20Ф'!AD:AD)*1.2</f>
        <v>0</v>
      </c>
      <c r="CV268" s="276">
        <f>SUMIF('20Ф'!$H:$H,$B:$B,'20Ф'!AE:AE)*1.2</f>
        <v>0</v>
      </c>
      <c r="CW268" s="276">
        <f>SUMIF('20Ф'!$H:$H,$B:$B,'20Ф'!AF:AF)*1.2</f>
        <v>0</v>
      </c>
      <c r="CX268" s="276">
        <f>SUMIF('20Ф'!$H:$H,$B:$B,'20Ф'!AG:AG)*1.2</f>
        <v>0</v>
      </c>
      <c r="CY268" s="276">
        <f>SUMIF('20Ф'!$H:$H,$B:$B,'20Ф'!AH:AH)*1.2</f>
        <v>0</v>
      </c>
      <c r="CZ268" s="276">
        <f>SUMIF('20Ф'!$H:$H,$B:$B,'20Ф'!AI:AI)*1.2</f>
        <v>456171.73199999996</v>
      </c>
      <c r="DA268" s="276">
        <f>SUMIF('20Ф'!$H:$H,$B:$B,'20Ф'!AJ:AJ)*1.2</f>
        <v>0</v>
      </c>
      <c r="DB268" s="276">
        <f>SUMIF('20Ф'!$H:$H,$B:$B,'20Ф'!AK:AK)*1.2</f>
        <v>0</v>
      </c>
      <c r="DC268" s="276">
        <f>SUMIF('20Ф'!$H:$H,$B:$B,'20Ф'!AL:AL)*1.2</f>
        <v>0</v>
      </c>
      <c r="DD268" s="276">
        <f>SUMIF('20Ф'!$H:$H,$B:$B,'20Ф'!AM:AM)*1.2</f>
        <v>0</v>
      </c>
      <c r="DE268" s="276">
        <f>SUMIF('20Ф'!$H:$H,$B:$B,'20Ф'!AN:AN)*1.2</f>
        <v>37098.959999999999</v>
      </c>
      <c r="DF268" s="276">
        <f>SUMIF('20Ф'!$H:$H,$B:$B,'20Ф'!AO:AO)*1.2</f>
        <v>0</v>
      </c>
      <c r="DG268" s="276">
        <f>SUMIF('20Ф'!$H:$H,$B:$B,'20Ф'!AP:AP)*1.2</f>
        <v>0</v>
      </c>
      <c r="DH268" s="276">
        <f>SUMIF('20Ф'!$H:$H,$B:$B,'20Ф'!AQ:AQ)*1.2</f>
        <v>0</v>
      </c>
      <c r="DI268" s="276">
        <f>SUMIF('20Ф'!$H:$H,$B:$B,'20Ф'!BA:BA)*1.2</f>
        <v>0</v>
      </c>
      <c r="DJ268" s="276">
        <f>SUMIF('20Ф'!$H:$H,$B:$B,'20Ф'!BB:BB)*1.2</f>
        <v>0</v>
      </c>
      <c r="DK268" s="276">
        <f>SUMIF('20Ф'!$H:$H,$B:$B,'20Ф'!BC:BC)*1.2</f>
        <v>0</v>
      </c>
      <c r="DL268" s="276">
        <f>$D268/$D$281*'20Ф'!$H$218</f>
        <v>111151.04427430563</v>
      </c>
      <c r="DM268" s="240">
        <f t="shared" si="52"/>
        <v>1225502.452751158</v>
      </c>
      <c r="DN268" s="276">
        <f>SUMIF('20Ф'!$H:$H,$B:$B,'20Ф'!AV:AV)*1.2</f>
        <v>0</v>
      </c>
      <c r="DO268" s="276">
        <f>SUMIF('20Ф'!$H:$H,$B:$B,'20Ф'!AW:AW)*1.2+$D268/$D$281*'26Ф'!$D$42</f>
        <v>75512.46412595443</v>
      </c>
      <c r="DP268" s="276">
        <f>SUMIF('20Ф'!$H:$H,$B:$B,'20Ф'!AX:AX)*1.2</f>
        <v>0</v>
      </c>
      <c r="DQ268" s="276">
        <f>SUMIF('20Ф'!$H:$H,$B:$B,'20Ф'!AY:AY)*1.2</f>
        <v>0</v>
      </c>
      <c r="DR268" s="276">
        <f>SUMIF('20Ф'!$H:$H,$B:$B,'20Ф'!AU:AU)*1.2</f>
        <v>0</v>
      </c>
      <c r="DS268" s="276">
        <f>SUMIF('20Ф'!$H:$H,$B:$B,'20Ф'!AS:AS)*1.2</f>
        <v>106614.12000000001</v>
      </c>
      <c r="DT268" s="276">
        <f>SUMIF('20Ф'!$H:$H,$B:$B,'20Ф'!AR:AR)*1.2</f>
        <v>0</v>
      </c>
      <c r="DU268" s="276">
        <f>SUMIF('20Ф'!$H:$H,$B:$B,'20Ф'!X:X)*1.2</f>
        <v>0</v>
      </c>
      <c r="DV268" s="276">
        <f>SUMIF('20Ф'!$H:$H,$B:$B,'20Ф'!AA:AA)*1.2</f>
        <v>0</v>
      </c>
      <c r="DW268" s="276">
        <f>SUMIF('20Ф'!$H:$H,$B:$B,'20Ф'!N:N)*1.2</f>
        <v>0</v>
      </c>
      <c r="DX268" s="276">
        <f>$D268/$D$281*('25Ф'!$D$37)</f>
        <v>994217.8714622485</v>
      </c>
      <c r="DY268" s="276">
        <f>$D268/$D$281*'25Ф'!$D$30</f>
        <v>31732.313429177117</v>
      </c>
      <c r="DZ268" s="276">
        <f>$D268/$D$281*'25Ф'!$D$31</f>
        <v>17425.683733778129</v>
      </c>
      <c r="EA268" s="276"/>
      <c r="EB268" s="276">
        <f t="shared" si="53"/>
        <v>626372.86332910601</v>
      </c>
      <c r="EC268" s="276">
        <f>$D268/$D$281*'26Ф'!$D$36</f>
        <v>326047.24755137617</v>
      </c>
      <c r="ED268" s="276">
        <f>$D268/$D$281*'26Ф'!$D$37</f>
        <v>39174.228568048944</v>
      </c>
      <c r="EE268" s="276">
        <f>$D268/$D$281*'26Ф'!$D$38</f>
        <v>39575.998829991819</v>
      </c>
      <c r="EF268" s="276">
        <f>$D268/$D$281*'26Ф'!$D$39</f>
        <v>27762.527059159478</v>
      </c>
      <c r="EG268" s="276">
        <f>$D268/$D$281*'91Ф'!$D$10</f>
        <v>8564.7280514704871</v>
      </c>
      <c r="EH268" s="276">
        <f>$D268/$D$281*('20Ф'!$I$509+'26Ф'!$D$41+'20Ф'!$I$507)</f>
        <v>60592.63073270239</v>
      </c>
      <c r="EI268" s="276">
        <f>$D268/$D$281*'91Ф'!$D$31</f>
        <v>111075.19196051396</v>
      </c>
      <c r="EJ268" s="276">
        <f>$D268/$D$281*'20Ф'!$I$1316</f>
        <v>13580.31057584273</v>
      </c>
      <c r="EK268" s="276">
        <f>$D268/$D$281*('20Ф'!$I$1105+'20Ф'!$I$1282+'91Ф'!$D$17+'91Ф'!$D$41)</f>
        <v>445992.52913669863</v>
      </c>
      <c r="EL268" s="276">
        <f>$D268/$D$281*отчёт!BX$294</f>
        <v>745563.49161103647</v>
      </c>
      <c r="EM268" s="276">
        <f>$D268/$D$281*отчёт!BY$294</f>
        <v>655683.07048511936</v>
      </c>
      <c r="EN268" s="276">
        <f>$D268/$D$283*отчёт!BZ$294</f>
        <v>117674.61488677481</v>
      </c>
      <c r="EO268" s="240">
        <f t="shared" si="50"/>
        <v>555729.65250299405</v>
      </c>
      <c r="EP268" s="276">
        <f>SUMIF('20Ф'!$H:$H,$B:$B,'20Ф'!T:T)*1.2</f>
        <v>22139.423999999999</v>
      </c>
      <c r="EQ268" s="276">
        <f>SUM(H268:I268)/SUM($H$284:$I$284)*SUM('60Ф'!$O$155:$P$155)</f>
        <v>517530.78526946111</v>
      </c>
      <c r="ER268" s="276">
        <f>SUM($H268:$I268)/SUM($H$284:$I$284)*SUM('60Ф'!$P$227)</f>
        <v>16059.443233532935</v>
      </c>
      <c r="ES268" s="239">
        <f t="shared" si="56"/>
        <v>249540.38460216278</v>
      </c>
      <c r="ET268" s="276">
        <f>$D268/$D$282*'20Ф'!$I$381</f>
        <v>19072.610685483083</v>
      </c>
      <c r="EU268" s="276">
        <f>$D268/$D$282*('20Ф'!$I$75+'20Ф'!$I$1098)*1.2</f>
        <v>220297.1202719424</v>
      </c>
      <c r="EV268" s="276">
        <f>$D268/$D$282*('20Ф'!$I$1286)</f>
        <v>10170.6536447373</v>
      </c>
      <c r="EW268" s="276">
        <f>SUMIF('91.1Ф'!$N:$N,$B:$B,'91.1Ф'!$F:$F)+$D268/$D$281*('91Ф'!$D$12+'91Ф'!$D$11+'91Ф'!$D$19+'91Ф'!$D$20)</f>
        <v>58779.635415254226</v>
      </c>
      <c r="EX268" s="276">
        <f t="shared" si="54"/>
        <v>0</v>
      </c>
      <c r="EY268" s="276">
        <f>SUMIF('20Ф'!$H:$H,$B:$B,'20Ф'!$AY:$AY)*1.2</f>
        <v>0</v>
      </c>
      <c r="EZ268" s="238"/>
      <c r="FA268" s="277">
        <f>SUMIF(отчёт!$B:$B,$B:$B,отчёт!$CU:$CU)/отчёт!$CU$281*'20Ф'!$I$1341</f>
        <v>0</v>
      </c>
      <c r="FB268" s="276">
        <f>SUMIF(Сальдо!$A:$A,$B:$B,Сальдо!$H:$H)-SUMIF(Сальдо!$A:$A,$B:$B,Сальдо!$I:$I)</f>
        <v>923574.41</v>
      </c>
    </row>
    <row r="269" spans="1:158" s="13" customFormat="1" ht="12" customHeight="1" x14ac:dyDescent="0.25">
      <c r="A269" s="3">
        <f t="shared" si="57"/>
        <v>265</v>
      </c>
      <c r="B269" s="4" t="s">
        <v>344</v>
      </c>
      <c r="C269" s="56"/>
      <c r="D269" s="233">
        <v>3763.4</v>
      </c>
      <c r="E269" s="234">
        <v>3533.9</v>
      </c>
      <c r="F269" s="235">
        <v>229.5</v>
      </c>
      <c r="G269" s="234">
        <v>1350.9</v>
      </c>
      <c r="H269" s="5">
        <f>SUMIF(отчёт!$B:$B,$B:$B,отчёт!I:I)</f>
        <v>1</v>
      </c>
      <c r="I269" s="5">
        <f>SUMIF(отчёт!$B:$B,$B:$B,отчёт!J:J)</f>
        <v>1</v>
      </c>
      <c r="J269" s="3" t="s">
        <v>321</v>
      </c>
      <c r="K269" s="105">
        <v>1</v>
      </c>
      <c r="L269" s="105"/>
      <c r="M269" s="12"/>
      <c r="N269" s="8"/>
      <c r="O269" s="8"/>
      <c r="P269" s="8"/>
      <c r="Q269" s="8"/>
      <c r="R269" s="8"/>
      <c r="S269" s="8"/>
      <c r="T269" s="8"/>
      <c r="U269" s="8"/>
      <c r="V269" s="9"/>
      <c r="W269" s="9"/>
      <c r="X269" s="9"/>
      <c r="Y269" s="8"/>
      <c r="Z269" s="9"/>
      <c r="AA269" s="9"/>
      <c r="AB269" s="8"/>
      <c r="AC269" s="10"/>
      <c r="AD269" s="8"/>
      <c r="AE269" s="8"/>
      <c r="AF269" s="8"/>
      <c r="AG269" s="7"/>
      <c r="AH269" s="8"/>
      <c r="AI269" s="8"/>
      <c r="AJ269" s="8"/>
      <c r="AK269" s="8"/>
      <c r="AL269" s="8"/>
      <c r="AM269" s="8"/>
      <c r="AN269" s="8"/>
      <c r="AO269" s="8"/>
      <c r="AP269" s="16"/>
      <c r="AQ269" s="7">
        <f>'Page 1'!S2545</f>
        <v>37.89</v>
      </c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F269" s="277">
        <f>SUMIF(Оборот!$A:$A,$B:$B,Оборот!H:H)</f>
        <v>1544509.5</v>
      </c>
      <c r="CG269" s="277">
        <f>SUMIF(Оборот!$A:$A,$B:$B,Оборот!I:I)</f>
        <v>1487056.46</v>
      </c>
      <c r="CH269" s="277">
        <f t="shared" si="51"/>
        <v>2807975.7262891964</v>
      </c>
      <c r="CI269" s="239">
        <f t="shared" si="55"/>
        <v>1400787.7632064824</v>
      </c>
      <c r="CJ269" s="276">
        <f>SUMIF('20Ф'!$H:$H,$B:$B,'20Ф'!M:M)*1.2</f>
        <v>0</v>
      </c>
      <c r="CK269" s="276">
        <f>SUMIF('20Ф'!$H:$H,$B:$B,'20Ф'!O:O)*1.2</f>
        <v>29805.203999999998</v>
      </c>
      <c r="CL269" s="276">
        <f>SUMIF('20Ф'!$H:$H,$B:$B,'20Ф'!Q:Q)*1.2</f>
        <v>0</v>
      </c>
      <c r="CM269" s="276">
        <f>SUMIF('20Ф'!$H:$H,$B:$B,'20Ф'!R:R)*1.2</f>
        <v>0</v>
      </c>
      <c r="CN269" s="276">
        <f>SUMIF('20Ф'!$H:$H,$B:$B,'20Ф'!S:S)*1.2</f>
        <v>0</v>
      </c>
      <c r="CO269" s="276">
        <f>SUMIF('20Ф'!$H:$H,$B:$B,'20Ф'!W:W)*1.2</f>
        <v>0</v>
      </c>
      <c r="CP269" s="276">
        <f>SUMIF('20Ф'!$H:$H,$B:$B,'20Ф'!P:P)*1.2</f>
        <v>0</v>
      </c>
      <c r="CQ269" s="276">
        <f>SUMIF('20Ф'!$H:$H,$B:$B,'20Ф'!Y:Y)*1.2</f>
        <v>0</v>
      </c>
      <c r="CR269" s="276">
        <f>SUMIF('20Ф'!$H:$H,$B:$B,'20Ф'!Z:Z)*1.2</f>
        <v>0</v>
      </c>
      <c r="CS269" s="276">
        <f>SUMIF('20Ф'!$H:$H,$B:$B,'20Ф'!AB:AB)*1.2</f>
        <v>0</v>
      </c>
      <c r="CT269" s="276">
        <f>SUMIF('20Ф'!$H:$H,$B:$B,'20Ф'!AC:AC)*1.2</f>
        <v>0</v>
      </c>
      <c r="CU269" s="276">
        <f>SUMIF('20Ф'!$H:$H,$B:$B,'20Ф'!AD:AD)*1.2</f>
        <v>0</v>
      </c>
      <c r="CV269" s="276">
        <f>SUMIF('20Ф'!$H:$H,$B:$B,'20Ф'!AE:AE)*1.2</f>
        <v>0</v>
      </c>
      <c r="CW269" s="276">
        <f>SUMIF('20Ф'!$H:$H,$B:$B,'20Ф'!AF:AF)*1.2</f>
        <v>0</v>
      </c>
      <c r="CX269" s="276">
        <f>SUMIF('20Ф'!$H:$H,$B:$B,'20Ф'!AG:AG)*1.2</f>
        <v>0</v>
      </c>
      <c r="CY269" s="276">
        <f>SUMIF('20Ф'!$H:$H,$B:$B,'20Ф'!AH:AH)*1.2</f>
        <v>0</v>
      </c>
      <c r="CZ269" s="276">
        <f>SUMIF('20Ф'!$H:$H,$B:$B,'20Ф'!AI:AI)*1.2</f>
        <v>0</v>
      </c>
      <c r="DA269" s="276">
        <f>SUMIF('20Ф'!$H:$H,$B:$B,'20Ф'!AJ:AJ)*1.2</f>
        <v>41980.235999999997</v>
      </c>
      <c r="DB269" s="276">
        <f>SUMIF('20Ф'!$H:$H,$B:$B,'20Ф'!AK:AK)*1.2</f>
        <v>0</v>
      </c>
      <c r="DC269" s="276">
        <f>SUMIF('20Ф'!$H:$H,$B:$B,'20Ф'!AL:AL)*1.2</f>
        <v>1295901.96</v>
      </c>
      <c r="DD269" s="276">
        <f>SUMIF('20Ф'!$H:$H,$B:$B,'20Ф'!AM:AM)*1.2</f>
        <v>0</v>
      </c>
      <c r="DE269" s="276">
        <f>SUMIF('20Ф'!$H:$H,$B:$B,'20Ф'!AN:AN)*1.2</f>
        <v>0</v>
      </c>
      <c r="DF269" s="276">
        <f>SUMIF('20Ф'!$H:$H,$B:$B,'20Ф'!AO:AO)*1.2</f>
        <v>0</v>
      </c>
      <c r="DG269" s="276">
        <f>SUMIF('20Ф'!$H:$H,$B:$B,'20Ф'!AP:AP)*1.2</f>
        <v>0</v>
      </c>
      <c r="DH269" s="276">
        <f>SUMIF('20Ф'!$H:$H,$B:$B,'20Ф'!AQ:AQ)*1.2</f>
        <v>0</v>
      </c>
      <c r="DI269" s="276">
        <f>SUMIF('20Ф'!$H:$H,$B:$B,'20Ф'!BA:BA)*1.2</f>
        <v>0</v>
      </c>
      <c r="DJ269" s="276">
        <f>SUMIF('20Ф'!$H:$H,$B:$B,'20Ф'!BB:BB)*1.2</f>
        <v>0</v>
      </c>
      <c r="DK269" s="276">
        <f>SUMIF('20Ф'!$H:$H,$B:$B,'20Ф'!BC:BC)*1.2</f>
        <v>0</v>
      </c>
      <c r="DL269" s="276">
        <f>$D269/$D$281*'20Ф'!$H$218</f>
        <v>33100.363206482441</v>
      </c>
      <c r="DM269" s="240">
        <f t="shared" si="52"/>
        <v>393495.85987393936</v>
      </c>
      <c r="DN269" s="276">
        <f>SUMIF('20Ф'!$H:$H,$B:$B,'20Ф'!AV:AV)*1.2</f>
        <v>0</v>
      </c>
      <c r="DO269" s="276">
        <f>SUMIF('20Ф'!$H:$H,$B:$B,'20Ф'!AW:AW)*1.2+$D269/$D$281*'26Ф'!$D$42</f>
        <v>33977.979887067602</v>
      </c>
      <c r="DP269" s="276">
        <f>SUMIF('20Ф'!$H:$H,$B:$B,'20Ф'!AX:AX)*1.2</f>
        <v>0</v>
      </c>
      <c r="DQ269" s="276">
        <f>SUMIF('20Ф'!$H:$H,$B:$B,'20Ф'!AY:AY)*1.2</f>
        <v>0</v>
      </c>
      <c r="DR269" s="276">
        <f>SUMIF('20Ф'!$H:$H,$B:$B,'20Ф'!AU:AU)*1.2</f>
        <v>0</v>
      </c>
      <c r="DS269" s="276">
        <f>SUMIF('20Ф'!$H:$H,$B:$B,'20Ф'!AS:AS)*1.2</f>
        <v>48804.468000000001</v>
      </c>
      <c r="DT269" s="276">
        <f>SUMIF('20Ф'!$H:$H,$B:$B,'20Ф'!AR:AR)*1.2</f>
        <v>0</v>
      </c>
      <c r="DU269" s="276">
        <f>SUMIF('20Ф'!$H:$H,$B:$B,'20Ф'!X:X)*1.2</f>
        <v>0</v>
      </c>
      <c r="DV269" s="276">
        <f>SUMIF('20Ф'!$H:$H,$B:$B,'20Ф'!AA:AA)*1.2</f>
        <v>0</v>
      </c>
      <c r="DW269" s="276">
        <f>SUMIF('20Ф'!$H:$H,$B:$B,'20Ф'!N:N)*1.2</f>
        <v>0</v>
      </c>
      <c r="DX269" s="276">
        <f>$D269/$D$281*('25Ф'!$D$37)</f>
        <v>296074.34519968554</v>
      </c>
      <c r="DY269" s="276">
        <f>$D269/$D$281*'25Ф'!$D$30</f>
        <v>9449.7636683968485</v>
      </c>
      <c r="DZ269" s="276">
        <f>$D269/$D$281*'25Ф'!$D$31</f>
        <v>5189.3031187893657</v>
      </c>
      <c r="EA269" s="276"/>
      <c r="EB269" s="276">
        <f t="shared" si="53"/>
        <v>186531.48438004017</v>
      </c>
      <c r="EC269" s="276">
        <f>$D269/$D$281*'26Ф'!$D$36</f>
        <v>97095.644821748705</v>
      </c>
      <c r="ED269" s="276">
        <f>$D269/$D$281*'26Ф'!$D$37</f>
        <v>11665.938025162841</v>
      </c>
      <c r="EE269" s="276">
        <f>$D269/$D$281*'26Ф'!$D$38</f>
        <v>11785.583699053706</v>
      </c>
      <c r="EF269" s="276">
        <f>$D269/$D$281*'26Ф'!$D$39</f>
        <v>8267.5762084621783</v>
      </c>
      <c r="EG269" s="276">
        <f>$D269/$D$281*'91Ф'!$D$10</f>
        <v>2550.5438218717341</v>
      </c>
      <c r="EH269" s="276">
        <f>$D269/$D$281*('20Ф'!$I$509+'26Ф'!$D$41+'20Ф'!$I$507)</f>
        <v>18044.257685416593</v>
      </c>
      <c r="EI269" s="276">
        <f>$D269/$D$281*'91Ф'!$D$31</f>
        <v>33077.77467253794</v>
      </c>
      <c r="EJ269" s="276">
        <f>$D269/$D$281*'20Ф'!$I$1316</f>
        <v>4044.1654457864715</v>
      </c>
      <c r="EK269" s="276">
        <f>$D269/$D$281*('20Ф'!$I$1105+'20Ф'!$I$1282+'91Ф'!$D$17+'91Ф'!$D$41)</f>
        <v>132814.8988449497</v>
      </c>
      <c r="EL269" s="276">
        <f>$D269/$D$281*отчёт!BX$294</f>
        <v>222026.0054859723</v>
      </c>
      <c r="EM269" s="276">
        <f>$D269/$D$281*отчёт!BY$294</f>
        <v>195259.95390415023</v>
      </c>
      <c r="EN269" s="276"/>
      <c r="EO269" s="240">
        <f t="shared" si="50"/>
        <v>185243.217500998</v>
      </c>
      <c r="EP269" s="276">
        <f>SUMIF('20Ф'!$H:$H,$B:$B,'20Ф'!T:T)*1.2</f>
        <v>7379.808</v>
      </c>
      <c r="EQ269" s="276">
        <f>SUM(H269:I269)/SUM($H$284:$I$284)*SUM('60Ф'!$O$155:$P$155)</f>
        <v>172510.26175648702</v>
      </c>
      <c r="ER269" s="276">
        <f>SUM($H269:$I269)/SUM($H$284:$I$284)*SUM('60Ф'!$P$227)</f>
        <v>5353.1477445109776</v>
      </c>
      <c r="ES269" s="239">
        <f t="shared" si="56"/>
        <v>74312.188598360386</v>
      </c>
      <c r="ET269" s="276">
        <f>$D269/$D$282*'20Ф'!$I$381</f>
        <v>5679.7517747772135</v>
      </c>
      <c r="EU269" s="276">
        <f>$D269/$D$282*('20Ф'!$I$75+'20Ф'!$I$1098)*1.2</f>
        <v>65603.654396156518</v>
      </c>
      <c r="EV269" s="276">
        <f>$D269/$D$282*('20Ф'!$I$1286)</f>
        <v>3028.782427426655</v>
      </c>
      <c r="EW269" s="276">
        <f>SUMIF('91.1Ф'!$N:$N,$B:$B,'91.1Ф'!$F:$F)+$D269/$D$281*('91Ф'!$D$12+'91Ф'!$D$11+'91Ф'!$D$19+'91Ф'!$D$20)</f>
        <v>17504.354494304076</v>
      </c>
      <c r="EX269" s="276">
        <f t="shared" si="54"/>
        <v>0</v>
      </c>
      <c r="EY269" s="276">
        <f>SUMIF('20Ф'!$H:$H,$B:$B,'20Ф'!$AY:$AY)*1.2</f>
        <v>0</v>
      </c>
      <c r="EZ269" s="238"/>
      <c r="FA269" s="277">
        <f>SUMIF(отчёт!$B:$B,$B:$B,отчёт!$CU:$CU)/отчёт!$CU$281*'20Ф'!$I$1341</f>
        <v>0</v>
      </c>
      <c r="FB269" s="276">
        <f>SUMIF(Сальдо!$A:$A,$B:$B,Сальдо!$H:$H)-SUMIF(Сальдо!$A:$A,$B:$B,Сальдо!$I:$I)</f>
        <v>186097.16</v>
      </c>
    </row>
    <row r="270" spans="1:158" s="13" customFormat="1" ht="12" customHeight="1" x14ac:dyDescent="0.25">
      <c r="A270" s="3">
        <f t="shared" si="57"/>
        <v>266</v>
      </c>
      <c r="B270" s="4" t="s">
        <v>345</v>
      </c>
      <c r="C270" s="56"/>
      <c r="D270" s="233">
        <v>9401.6</v>
      </c>
      <c r="E270" s="234">
        <v>9352.4</v>
      </c>
      <c r="F270" s="235">
        <v>49.2</v>
      </c>
      <c r="G270" s="234">
        <v>2148.6999999999998</v>
      </c>
      <c r="H270" s="5">
        <f>SUMIF(отчёт!$B:$B,$B:$B,отчёт!I:I)</f>
        <v>2</v>
      </c>
      <c r="I270" s="5">
        <f>SUMIF(отчёт!$B:$B,$B:$B,отчёт!J:J)</f>
        <v>2</v>
      </c>
      <c r="J270" s="3" t="s">
        <v>321</v>
      </c>
      <c r="K270" s="105">
        <v>1</v>
      </c>
      <c r="L270" s="105"/>
      <c r="M270" s="12"/>
      <c r="N270" s="8"/>
      <c r="O270" s="8"/>
      <c r="P270" s="8"/>
      <c r="Q270" s="8"/>
      <c r="R270" s="8"/>
      <c r="S270" s="8"/>
      <c r="T270" s="8"/>
      <c r="U270" s="8"/>
      <c r="V270" s="9"/>
      <c r="W270" s="9"/>
      <c r="X270" s="9"/>
      <c r="Y270" s="8"/>
      <c r="Z270" s="9"/>
      <c r="AA270" s="9"/>
      <c r="AB270" s="8"/>
      <c r="AC270" s="10"/>
      <c r="AD270" s="8"/>
      <c r="AE270" s="8"/>
      <c r="AF270" s="8"/>
      <c r="AG270" s="7"/>
      <c r="AH270" s="8"/>
      <c r="AI270" s="8"/>
      <c r="AJ270" s="8"/>
      <c r="AK270" s="8"/>
      <c r="AL270" s="8"/>
      <c r="AM270" s="8"/>
      <c r="AN270" s="8"/>
      <c r="AO270" s="8"/>
      <c r="AP270" s="16"/>
      <c r="AQ270" s="7">
        <v>41.47</v>
      </c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F270" s="277">
        <f>SUMIF(Оборот!$A:$A,$B:$B,Оборот!H:H)</f>
        <v>4630939.3199999994</v>
      </c>
      <c r="CG270" s="277">
        <f>SUMIF(Оборот!$A:$A,$B:$B,Оборот!I:I)</f>
        <v>4508081.62</v>
      </c>
      <c r="CH270" s="277">
        <f t="shared" si="51"/>
        <v>3909620.1102665956</v>
      </c>
      <c r="CI270" s="239">
        <f t="shared" si="55"/>
        <v>314973.50020568247</v>
      </c>
      <c r="CJ270" s="276">
        <f>SUMIF('20Ф'!$H:$H,$B:$B,'20Ф'!M:M)*1.2</f>
        <v>0</v>
      </c>
      <c r="CK270" s="276">
        <f>SUMIF('20Ф'!$H:$H,$B:$B,'20Ф'!O:O)*1.2</f>
        <v>232283.28</v>
      </c>
      <c r="CL270" s="276">
        <f>SUMIF('20Ф'!$H:$H,$B:$B,'20Ф'!Q:Q)*1.2</f>
        <v>0</v>
      </c>
      <c r="CM270" s="276">
        <f>SUMIF('20Ф'!$H:$H,$B:$B,'20Ф'!R:R)*1.2</f>
        <v>0</v>
      </c>
      <c r="CN270" s="276">
        <f>SUMIF('20Ф'!$H:$H,$B:$B,'20Ф'!S:S)*1.2</f>
        <v>0</v>
      </c>
      <c r="CO270" s="276">
        <f>SUMIF('20Ф'!$H:$H,$B:$B,'20Ф'!W:W)*1.2</f>
        <v>0</v>
      </c>
      <c r="CP270" s="276">
        <f>SUMIF('20Ф'!$H:$H,$B:$B,'20Ф'!P:P)*1.2</f>
        <v>0</v>
      </c>
      <c r="CQ270" s="276">
        <f>SUMIF('20Ф'!$H:$H,$B:$B,'20Ф'!Y:Y)*1.2</f>
        <v>0</v>
      </c>
      <c r="CR270" s="276">
        <f>SUMIF('20Ф'!$H:$H,$B:$B,'20Ф'!Z:Z)*1.2</f>
        <v>0</v>
      </c>
      <c r="CS270" s="276">
        <f>SUMIF('20Ф'!$H:$H,$B:$B,'20Ф'!AB:AB)*1.2</f>
        <v>0</v>
      </c>
      <c r="CT270" s="276">
        <f>SUMIF('20Ф'!$H:$H,$B:$B,'20Ф'!AC:AC)*1.2</f>
        <v>0</v>
      </c>
      <c r="CU270" s="276">
        <f>SUMIF('20Ф'!$H:$H,$B:$B,'20Ф'!AD:AD)*1.2</f>
        <v>0</v>
      </c>
      <c r="CV270" s="276">
        <f>SUMIF('20Ф'!$H:$H,$B:$B,'20Ф'!AE:AE)*1.2</f>
        <v>0</v>
      </c>
      <c r="CW270" s="276">
        <f>SUMIF('20Ф'!$H:$H,$B:$B,'20Ф'!AF:AF)*1.2</f>
        <v>0</v>
      </c>
      <c r="CX270" s="276">
        <f>SUMIF('20Ф'!$H:$H,$B:$B,'20Ф'!AG:AG)*1.2</f>
        <v>0</v>
      </c>
      <c r="CY270" s="276">
        <f>SUMIF('20Ф'!$H:$H,$B:$B,'20Ф'!AH:AH)*1.2</f>
        <v>0</v>
      </c>
      <c r="CZ270" s="276">
        <f>SUMIF('20Ф'!$H:$H,$B:$B,'20Ф'!AI:AI)*1.2</f>
        <v>0</v>
      </c>
      <c r="DA270" s="276">
        <f>SUMIF('20Ф'!$H:$H,$B:$B,'20Ф'!AJ:AJ)*1.2</f>
        <v>0</v>
      </c>
      <c r="DB270" s="276">
        <f>SUMIF('20Ф'!$H:$H,$B:$B,'20Ф'!AK:AK)*1.2</f>
        <v>0</v>
      </c>
      <c r="DC270" s="276">
        <f>SUMIF('20Ф'!$H:$H,$B:$B,'20Ф'!AL:AL)*1.2</f>
        <v>0</v>
      </c>
      <c r="DD270" s="276">
        <f>SUMIF('20Ф'!$H:$H,$B:$B,'20Ф'!AM:AM)*1.2</f>
        <v>0</v>
      </c>
      <c r="DE270" s="276">
        <f>SUMIF('20Ф'!$H:$H,$B:$B,'20Ф'!AN:AN)*1.2</f>
        <v>0</v>
      </c>
      <c r="DF270" s="276">
        <f>SUMIF('20Ф'!$H:$H,$B:$B,'20Ф'!AO:AO)*1.2</f>
        <v>0</v>
      </c>
      <c r="DG270" s="276">
        <f>SUMIF('20Ф'!$H:$H,$B:$B,'20Ф'!AP:AP)*1.2</f>
        <v>0</v>
      </c>
      <c r="DH270" s="276">
        <f>SUMIF('20Ф'!$H:$H,$B:$B,'20Ф'!AQ:AQ)*1.2</f>
        <v>0</v>
      </c>
      <c r="DI270" s="276">
        <f>SUMIF('20Ф'!$H:$H,$B:$B,'20Ф'!BA:BA)*1.2</f>
        <v>0</v>
      </c>
      <c r="DJ270" s="276">
        <f>SUMIF('20Ф'!$H:$H,$B:$B,'20Ф'!BB:BB)*1.2</f>
        <v>0</v>
      </c>
      <c r="DK270" s="276">
        <f>SUMIF('20Ф'!$H:$H,$B:$B,'20Ф'!BC:BC)*1.2</f>
        <v>0</v>
      </c>
      <c r="DL270" s="276">
        <f>$D270/$D$281*'20Ф'!$H$218</f>
        <v>82690.220205682446</v>
      </c>
      <c r="DM270" s="240">
        <f t="shared" si="52"/>
        <v>1067013.4837414117</v>
      </c>
      <c r="DN270" s="276">
        <f>SUMIF('20Ф'!$H:$H,$B:$B,'20Ф'!AV:AV)*1.2</f>
        <v>0</v>
      </c>
      <c r="DO270" s="276">
        <f>SUMIF('20Ф'!$H:$H,$B:$B,'20Ф'!AW:AW)*1.2+$D270/$D$281*'26Ф'!$D$42</f>
        <v>224003.40680635988</v>
      </c>
      <c r="DP270" s="276">
        <f>SUMIF('20Ф'!$H:$H,$B:$B,'20Ф'!AX:AX)*1.2</f>
        <v>0</v>
      </c>
      <c r="DQ270" s="276">
        <f>SUMIF('20Ф'!$H:$H,$B:$B,'20Ф'!AY:AY)*1.2</f>
        <v>0</v>
      </c>
      <c r="DR270" s="276">
        <f>SUMIF('20Ф'!$H:$H,$B:$B,'20Ф'!AU:AU)*1.2</f>
        <v>0</v>
      </c>
      <c r="DS270" s="276">
        <f>SUMIF('20Ф'!$H:$H,$B:$B,'20Ф'!AS:AS)*1.2</f>
        <v>66796.223999999987</v>
      </c>
      <c r="DT270" s="276">
        <f>SUMIF('20Ф'!$H:$H,$B:$B,'20Ф'!AR:AR)*1.2</f>
        <v>0</v>
      </c>
      <c r="DU270" s="276">
        <f>SUMIF('20Ф'!$H:$H,$B:$B,'20Ф'!X:X)*1.2</f>
        <v>0</v>
      </c>
      <c r="DV270" s="276">
        <f>SUMIF('20Ф'!$H:$H,$B:$B,'20Ф'!AA:AA)*1.2</f>
        <v>0</v>
      </c>
      <c r="DW270" s="276">
        <f>SUMIF('20Ф'!$H:$H,$B:$B,'20Ф'!N:N)*1.2</f>
        <v>0</v>
      </c>
      <c r="DX270" s="276">
        <f>$D270/$D$281*('25Ф'!$D$37)</f>
        <v>739643.02594179835</v>
      </c>
      <c r="DY270" s="276">
        <f>$D270/$D$281*'25Ф'!$D$30</f>
        <v>23607.083516182123</v>
      </c>
      <c r="DZ270" s="276">
        <f>$D270/$D$281*'25Ф'!$D$31</f>
        <v>12963.743477071292</v>
      </c>
      <c r="EA270" s="276"/>
      <c r="EB270" s="276">
        <f t="shared" si="53"/>
        <v>465986.71508406912</v>
      </c>
      <c r="EC270" s="276">
        <f>$D270/$D$281*'26Ф'!$D$36</f>
        <v>242561.0921922072</v>
      </c>
      <c r="ED270" s="276">
        <f>$D270/$D$281*'26Ф'!$D$37</f>
        <v>29143.456166596949</v>
      </c>
      <c r="EE270" s="276">
        <f>$D270/$D$281*'26Ф'!$D$38</f>
        <v>29442.350987145488</v>
      </c>
      <c r="EF270" s="276">
        <f>$D270/$D$281*'26Ф'!$D$39</f>
        <v>20653.782346143918</v>
      </c>
      <c r="EG270" s="276">
        <f>$D270/$D$281*'91Ф'!$D$10</f>
        <v>6371.6832639924787</v>
      </c>
      <c r="EH270" s="276">
        <f>$D270/$D$281*('20Ф'!$I$509+'26Ф'!$D$41+'20Ф'!$I$507)</f>
        <v>45077.560996761611</v>
      </c>
      <c r="EI270" s="276">
        <f>$D270/$D$281*'91Ф'!$D$31</f>
        <v>82633.790285734372</v>
      </c>
      <c r="EJ270" s="276">
        <f>$D270/$D$281*'20Ф'!$I$1316</f>
        <v>10102.998845487084</v>
      </c>
      <c r="EK270" s="276">
        <f>$D270/$D$281*('20Ф'!$I$1105+'20Ф'!$I$1282+'91Ф'!$D$17+'91Ф'!$D$41)</f>
        <v>331793.73783830553</v>
      </c>
      <c r="EL270" s="276">
        <f>$D270/$D$281*отчёт!BX$294</f>
        <v>554657.94047322031</v>
      </c>
      <c r="EM270" s="276">
        <f>$D270/$D$281*отчёт!BY$294</f>
        <v>487791.88569518493</v>
      </c>
      <c r="EN270" s="276">
        <f>$D270/$D$283*отчёт!BZ$294</f>
        <v>87543.395396201959</v>
      </c>
      <c r="EO270" s="240">
        <f t="shared" si="50"/>
        <v>370486.435001996</v>
      </c>
      <c r="EP270" s="276">
        <f>SUMIF('20Ф'!$H:$H,$B:$B,'20Ф'!T:T)*1.2</f>
        <v>14759.616</v>
      </c>
      <c r="EQ270" s="276">
        <f>SUM(H270:I270)/SUM($H$284:$I$284)*SUM('60Ф'!$O$155:$P$155)</f>
        <v>345020.52351297403</v>
      </c>
      <c r="ER270" s="276">
        <f>SUM($H270:$I270)/SUM($H$284:$I$284)*SUM('60Ф'!$P$227)</f>
        <v>10706.295489021955</v>
      </c>
      <c r="ES270" s="239">
        <f t="shared" si="56"/>
        <v>185644.22392686002</v>
      </c>
      <c r="ET270" s="276">
        <f>$D270/$D$282*'20Ф'!$I$381</f>
        <v>14188.965904699329</v>
      </c>
      <c r="EU270" s="276">
        <f>$D270/$D$282*('20Ф'!$I$75+'20Ф'!$I$1098)*1.2</f>
        <v>163888.85507012412</v>
      </c>
      <c r="EV270" s="276">
        <f>$D270/$D$282*('20Ф'!$I$1286)</f>
        <v>7566.402952036573</v>
      </c>
      <c r="EW270" s="276">
        <f>SUMIF('91.1Ф'!$N:$N,$B:$B,'91.1Ф'!$F:$F)+$D270/$D$281*('91Ф'!$D$12+'91Ф'!$D$11+'91Ф'!$D$19+'91Ф'!$D$20)</f>
        <v>43728.792903664027</v>
      </c>
      <c r="EX270" s="276">
        <f t="shared" si="54"/>
        <v>0</v>
      </c>
      <c r="EY270" s="276">
        <f>SUMIF('20Ф'!$H:$H,$B:$B,'20Ф'!$AY:$AY)*1.2</f>
        <v>0</v>
      </c>
      <c r="EZ270" s="238"/>
      <c r="FA270" s="277">
        <f>SUMIF(отчёт!$B:$B,$B:$B,отчёт!$CU:$CU)/отчёт!$CU$281*'20Ф'!$I$1341</f>
        <v>0</v>
      </c>
      <c r="FB270" s="276">
        <f>SUMIF(Сальдо!$A:$A,$B:$B,Сальдо!$H:$H)-SUMIF(Сальдо!$A:$A,$B:$B,Сальдо!$I:$I)</f>
        <v>408501.18000000005</v>
      </c>
    </row>
    <row r="271" spans="1:158" s="13" customFormat="1" ht="12" customHeight="1" x14ac:dyDescent="0.25">
      <c r="A271" s="3">
        <f t="shared" si="57"/>
        <v>267</v>
      </c>
      <c r="B271" s="4" t="s">
        <v>346</v>
      </c>
      <c r="C271" s="56"/>
      <c r="D271" s="233">
        <v>8401</v>
      </c>
      <c r="E271" s="234">
        <v>8068.9</v>
      </c>
      <c r="F271" s="235">
        <v>332.1</v>
      </c>
      <c r="G271" s="234">
        <v>2571.6999999999998</v>
      </c>
      <c r="H271" s="5">
        <f>SUMIF(отчёт!$B:$B,$B:$B,отчёт!I:I)</f>
        <v>2</v>
      </c>
      <c r="I271" s="5">
        <f>SUMIF(отчёт!$B:$B,$B:$B,отчёт!J:J)</f>
        <v>2</v>
      </c>
      <c r="J271" s="3" t="s">
        <v>321</v>
      </c>
      <c r="K271" s="105">
        <v>1</v>
      </c>
      <c r="L271" s="105"/>
      <c r="M271" s="12"/>
      <c r="N271" s="8"/>
      <c r="O271" s="8"/>
      <c r="P271" s="8"/>
      <c r="Q271" s="8"/>
      <c r="R271" s="8"/>
      <c r="S271" s="8"/>
      <c r="T271" s="8"/>
      <c r="U271" s="8"/>
      <c r="V271" s="9"/>
      <c r="W271" s="9"/>
      <c r="X271" s="9"/>
      <c r="Y271" s="8"/>
      <c r="Z271" s="9"/>
      <c r="AA271" s="9"/>
      <c r="AB271" s="8"/>
      <c r="AC271" s="10"/>
      <c r="AD271" s="8"/>
      <c r="AE271" s="8"/>
      <c r="AF271" s="8"/>
      <c r="AG271" s="7"/>
      <c r="AH271" s="8"/>
      <c r="AI271" s="8"/>
      <c r="AJ271" s="8"/>
      <c r="AK271" s="8"/>
      <c r="AL271" s="8"/>
      <c r="AM271" s="8"/>
      <c r="AN271" s="8"/>
      <c r="AO271" s="8"/>
      <c r="AP271" s="16"/>
      <c r="AQ271" s="7">
        <v>41.47</v>
      </c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F271" s="277">
        <f>SUMIF(Оборот!$A:$A,$B:$B,Оборот!H:H)</f>
        <v>3763075.3200000012</v>
      </c>
      <c r="CG271" s="277">
        <f>SUMIF(Оборот!$A:$A,$B:$B,Оборот!I:I)</f>
        <v>3496422.9199999995</v>
      </c>
      <c r="CH271" s="277">
        <f t="shared" si="51"/>
        <v>4835425.7552365419</v>
      </c>
      <c r="CI271" s="239">
        <f t="shared" si="55"/>
        <v>1492532.4761462661</v>
      </c>
      <c r="CJ271" s="276">
        <f>SUMIF('20Ф'!$H:$H,$B:$B,'20Ф'!M:M)*1.2</f>
        <v>0</v>
      </c>
      <c r="CK271" s="276">
        <f>SUMIF('20Ф'!$H:$H,$B:$B,'20Ф'!O:O)*1.2</f>
        <v>267781.68</v>
      </c>
      <c r="CL271" s="276">
        <f>SUMIF('20Ф'!$H:$H,$B:$B,'20Ф'!Q:Q)*1.2</f>
        <v>0</v>
      </c>
      <c r="CM271" s="276">
        <f>SUMIF('20Ф'!$H:$H,$B:$B,'20Ф'!R:R)*1.2</f>
        <v>0</v>
      </c>
      <c r="CN271" s="276">
        <f>SUMIF('20Ф'!$H:$H,$B:$B,'20Ф'!S:S)*1.2</f>
        <v>0</v>
      </c>
      <c r="CO271" s="276">
        <f>SUMIF('20Ф'!$H:$H,$B:$B,'20Ф'!W:W)*1.2</f>
        <v>0</v>
      </c>
      <c r="CP271" s="276">
        <f>SUMIF('20Ф'!$H:$H,$B:$B,'20Ф'!P:P)*1.2</f>
        <v>0</v>
      </c>
      <c r="CQ271" s="276">
        <f>SUMIF('20Ф'!$H:$H,$B:$B,'20Ф'!Y:Y)*1.2</f>
        <v>0</v>
      </c>
      <c r="CR271" s="276">
        <f>SUMIF('20Ф'!$H:$H,$B:$B,'20Ф'!Z:Z)*1.2</f>
        <v>0</v>
      </c>
      <c r="CS271" s="276">
        <f>SUMIF('20Ф'!$H:$H,$B:$B,'20Ф'!AB:AB)*1.2</f>
        <v>0</v>
      </c>
      <c r="CT271" s="276">
        <f>SUMIF('20Ф'!$H:$H,$B:$B,'20Ф'!AC:AC)*1.2</f>
        <v>0</v>
      </c>
      <c r="CU271" s="276">
        <f>SUMIF('20Ф'!$H:$H,$B:$B,'20Ф'!AD:AD)*1.2</f>
        <v>0</v>
      </c>
      <c r="CV271" s="276">
        <f>SUMIF('20Ф'!$H:$H,$B:$B,'20Ф'!AE:AE)*1.2</f>
        <v>0</v>
      </c>
      <c r="CW271" s="276">
        <f>SUMIF('20Ф'!$H:$H,$B:$B,'20Ф'!AF:AF)*1.2</f>
        <v>0</v>
      </c>
      <c r="CX271" s="276">
        <f>SUMIF('20Ф'!$H:$H,$B:$B,'20Ф'!AG:AG)*1.2</f>
        <v>0</v>
      </c>
      <c r="CY271" s="276">
        <f>SUMIF('20Ф'!$H:$H,$B:$B,'20Ф'!AH:AH)*1.2</f>
        <v>0</v>
      </c>
      <c r="CZ271" s="276">
        <f>SUMIF('20Ф'!$H:$H,$B:$B,'20Ф'!AI:AI)*1.2</f>
        <v>169444.16399999999</v>
      </c>
      <c r="DA271" s="276">
        <f>SUMIF('20Ф'!$H:$H,$B:$B,'20Ф'!AJ:AJ)*1.2</f>
        <v>608798.34</v>
      </c>
      <c r="DB271" s="276">
        <f>SUMIF('20Ф'!$H:$H,$B:$B,'20Ф'!AK:AK)*1.2</f>
        <v>0</v>
      </c>
      <c r="DC271" s="276">
        <f>SUMIF('20Ф'!$H:$H,$B:$B,'20Ф'!AL:AL)*1.2</f>
        <v>0</v>
      </c>
      <c r="DD271" s="276">
        <f>SUMIF('20Ф'!$H:$H,$B:$B,'20Ф'!AM:AM)*1.2</f>
        <v>0</v>
      </c>
      <c r="DE271" s="276">
        <f>SUMIF('20Ф'!$H:$H,$B:$B,'20Ф'!AN:AN)*1.2</f>
        <v>0</v>
      </c>
      <c r="DF271" s="276">
        <f>SUMIF('20Ф'!$H:$H,$B:$B,'20Ф'!AO:AO)*1.2</f>
        <v>0</v>
      </c>
      <c r="DG271" s="276">
        <f>SUMIF('20Ф'!$H:$H,$B:$B,'20Ф'!AP:AP)*1.2</f>
        <v>372618.68400000001</v>
      </c>
      <c r="DH271" s="276">
        <f>SUMIF('20Ф'!$H:$H,$B:$B,'20Ф'!AQ:AQ)*1.2</f>
        <v>0</v>
      </c>
      <c r="DI271" s="276">
        <f>SUMIF('20Ф'!$H:$H,$B:$B,'20Ф'!BA:BA)*1.2</f>
        <v>0</v>
      </c>
      <c r="DJ271" s="276">
        <f>SUMIF('20Ф'!$H:$H,$B:$B,'20Ф'!BB:BB)*1.2</f>
        <v>0</v>
      </c>
      <c r="DK271" s="276">
        <f>SUMIF('20Ф'!$H:$H,$B:$B,'20Ф'!BC:BC)*1.2</f>
        <v>0</v>
      </c>
      <c r="DL271" s="276">
        <f>$D271/$D$281*'20Ф'!$H$218</f>
        <v>73889.608146266401</v>
      </c>
      <c r="DM271" s="240">
        <f t="shared" si="52"/>
        <v>1044842.4557120064</v>
      </c>
      <c r="DN271" s="276">
        <f>SUMIF('20Ф'!$H:$H,$B:$B,'20Ф'!AV:AV)*1.2</f>
        <v>0</v>
      </c>
      <c r="DO271" s="276">
        <f>SUMIF('20Ф'!$H:$H,$B:$B,'20Ф'!AW:AW)*1.2+$D271/$D$281*'26Ф'!$D$42</f>
        <v>219320.17662434367</v>
      </c>
      <c r="DP271" s="276">
        <f>SUMIF('20Ф'!$H:$H,$B:$B,'20Ф'!AX:AX)*1.2</f>
        <v>0</v>
      </c>
      <c r="DQ271" s="276">
        <f>SUMIF('20Ф'!$H:$H,$B:$B,'20Ф'!AY:AY)*1.2</f>
        <v>0</v>
      </c>
      <c r="DR271" s="276">
        <f>SUMIF('20Ф'!$H:$H,$B:$B,'20Ф'!AU:AU)*1.2</f>
        <v>0</v>
      </c>
      <c r="DS271" s="276">
        <f>SUMIF('20Ф'!$H:$H,$B:$B,'20Ф'!AS:AS)*1.2</f>
        <v>131919.85200000001</v>
      </c>
      <c r="DT271" s="276">
        <f>SUMIF('20Ф'!$H:$H,$B:$B,'20Ф'!AR:AR)*1.2</f>
        <v>0</v>
      </c>
      <c r="DU271" s="276">
        <f>SUMIF('20Ф'!$H:$H,$B:$B,'20Ф'!X:X)*1.2</f>
        <v>0</v>
      </c>
      <c r="DV271" s="276">
        <f>SUMIF('20Ф'!$H:$H,$B:$B,'20Ф'!AA:AA)*1.2</f>
        <v>0</v>
      </c>
      <c r="DW271" s="276">
        <f>SUMIF('20Ф'!$H:$H,$B:$B,'20Ф'!N:N)*1.2</f>
        <v>0</v>
      </c>
      <c r="DX271" s="276">
        <f>$D271/$D$281*('25Ф'!$D$37)</f>
        <v>660923.78541280713</v>
      </c>
      <c r="DY271" s="276">
        <f>$D271/$D$281*'25Ф'!$D$30</f>
        <v>21094.612472286208</v>
      </c>
      <c r="DZ271" s="276">
        <f>$D271/$D$281*'25Ф'!$D$31</f>
        <v>11584.029202569342</v>
      </c>
      <c r="EA271" s="276"/>
      <c r="EB271" s="276">
        <f t="shared" si="53"/>
        <v>416392.35804770078</v>
      </c>
      <c r="EC271" s="276">
        <f>$D271/$D$281*'26Ф'!$D$36</f>
        <v>216745.6321803451</v>
      </c>
      <c r="ED271" s="276">
        <f>$D271/$D$281*'26Ф'!$D$37</f>
        <v>26041.756217620507</v>
      </c>
      <c r="EE271" s="276">
        <f>$D271/$D$281*'26Ф'!$D$38</f>
        <v>26308.840053077056</v>
      </c>
      <c r="EF271" s="276">
        <f>$D271/$D$281*'26Ф'!$D$39</f>
        <v>18455.627285776362</v>
      </c>
      <c r="EG271" s="276">
        <f>$D271/$D$281*'91Ф'!$D$10</f>
        <v>5693.553342069521</v>
      </c>
      <c r="EH271" s="276">
        <f>$D271/$D$281*('20Ф'!$I$509+'26Ф'!$D$41+'20Ф'!$I$507)</f>
        <v>40280.015096770156</v>
      </c>
      <c r="EI271" s="276">
        <f>$D271/$D$281*'91Ф'!$D$31</f>
        <v>73839.183988943827</v>
      </c>
      <c r="EJ271" s="276">
        <f>$D271/$D$281*'20Ф'!$I$1316</f>
        <v>9027.7498830983004</v>
      </c>
      <c r="EK271" s="276">
        <f>$D271/$D$281*('20Ф'!$I$1105+'20Ф'!$I$1282+'91Ф'!$D$17+'91Ф'!$D$41)</f>
        <v>296481.3639784297</v>
      </c>
      <c r="EL271" s="276">
        <f>$D271/$D$281*отчёт!BX$294</f>
        <v>495626.42081300239</v>
      </c>
      <c r="EM271" s="276">
        <f>$D271/$D$281*отчёт!BY$294</f>
        <v>435876.83285028592</v>
      </c>
      <c r="EN271" s="276">
        <f>$D271/$D$283*отчёт!BZ$294</f>
        <v>78226.266244415048</v>
      </c>
      <c r="EO271" s="240">
        <f t="shared" si="50"/>
        <v>370486.435001996</v>
      </c>
      <c r="EP271" s="276">
        <f>SUMIF('20Ф'!$H:$H,$B:$B,'20Ф'!T:T)*1.2</f>
        <v>14759.616</v>
      </c>
      <c r="EQ271" s="276">
        <f>SUM(H271:I271)/SUM($H$284:$I$284)*SUM('60Ф'!$O$155:$P$155)</f>
        <v>345020.52351297403</v>
      </c>
      <c r="ER271" s="276">
        <f>SUM($H271:$I271)/SUM($H$284:$I$284)*SUM('60Ф'!$P$227)</f>
        <v>10706.295489021955</v>
      </c>
      <c r="ES271" s="239">
        <f t="shared" si="56"/>
        <v>165886.35181347333</v>
      </c>
      <c r="ET271" s="276">
        <f>$D271/$D$282*'20Ф'!$I$381</f>
        <v>12678.852808604817</v>
      </c>
      <c r="EU271" s="276">
        <f>$D271/$D$282*('20Ф'!$I$75+'20Ф'!$I$1098)*1.2</f>
        <v>146446.37842964099</v>
      </c>
      <c r="EV271" s="276">
        <f>$D271/$D$282*('20Ф'!$I$1286)</f>
        <v>6761.1205752275409</v>
      </c>
      <c r="EW271" s="276">
        <f>SUMIF('91.1Ф'!$N:$N,$B:$B,'91.1Ф'!$F:$F)+$D271/$D$281*('91Ф'!$D$12+'91Ф'!$D$11+'91Ф'!$D$19+'91Ф'!$D$20)</f>
        <v>39074.794628965443</v>
      </c>
      <c r="EX271" s="276">
        <f t="shared" si="54"/>
        <v>0</v>
      </c>
      <c r="EY271" s="276">
        <f>SUMIF('20Ф'!$H:$H,$B:$B,'20Ф'!$AY:$AY)*1.2</f>
        <v>0</v>
      </c>
      <c r="EZ271" s="238"/>
      <c r="FA271" s="277">
        <f>SUMIF(отчёт!$B:$B,$B:$B,отчёт!$CU:$CU)/отчёт!$CU$281*'20Ф'!$I$1341</f>
        <v>0</v>
      </c>
      <c r="FB271" s="276">
        <f>SUMIF(Сальдо!$A:$A,$B:$B,Сальдо!$H:$H)-SUMIF(Сальдо!$A:$A,$B:$B,Сальдо!$I:$I)</f>
        <v>515309.46</v>
      </c>
    </row>
    <row r="272" spans="1:158" s="13" customFormat="1" ht="12" customHeight="1" x14ac:dyDescent="0.25">
      <c r="A272" s="3">
        <f t="shared" si="57"/>
        <v>268</v>
      </c>
      <c r="B272" s="4" t="s">
        <v>347</v>
      </c>
      <c r="C272" s="56"/>
      <c r="D272" s="233">
        <v>9350.5</v>
      </c>
      <c r="E272" s="234">
        <v>9350.5</v>
      </c>
      <c r="F272" s="235">
        <v>0</v>
      </c>
      <c r="G272" s="234">
        <v>2155.4</v>
      </c>
      <c r="H272" s="5">
        <f>SUMIF(отчёт!$B:$B,$B:$B,отчёт!I:I)</f>
        <v>2</v>
      </c>
      <c r="I272" s="5">
        <f>SUMIF(отчёт!$B:$B,$B:$B,отчёт!J:J)</f>
        <v>2</v>
      </c>
      <c r="J272" s="3" t="s">
        <v>321</v>
      </c>
      <c r="K272" s="105">
        <v>1</v>
      </c>
      <c r="L272" s="105"/>
      <c r="M272" s="12"/>
      <c r="N272" s="8"/>
      <c r="O272" s="8"/>
      <c r="P272" s="8"/>
      <c r="Q272" s="8"/>
      <c r="R272" s="8"/>
      <c r="S272" s="8"/>
      <c r="T272" s="8"/>
      <c r="U272" s="8"/>
      <c r="V272" s="9"/>
      <c r="W272" s="9"/>
      <c r="X272" s="9"/>
      <c r="Y272" s="8"/>
      <c r="Z272" s="9"/>
      <c r="AA272" s="9"/>
      <c r="AB272" s="8"/>
      <c r="AC272" s="10"/>
      <c r="AD272" s="8"/>
      <c r="AE272" s="8"/>
      <c r="AF272" s="8"/>
      <c r="AG272" s="7"/>
      <c r="AH272" s="8"/>
      <c r="AI272" s="8"/>
      <c r="AJ272" s="8"/>
      <c r="AK272" s="8"/>
      <c r="AL272" s="8"/>
      <c r="AM272" s="8"/>
      <c r="AN272" s="8"/>
      <c r="AO272" s="8"/>
      <c r="AP272" s="16"/>
      <c r="AQ272" s="7">
        <v>41.47</v>
      </c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F272" s="277">
        <f>SUMIF(Оборот!$A:$A,$B:$B,Оборот!H:H)</f>
        <v>4645271.5</v>
      </c>
      <c r="CG272" s="277">
        <f>SUMIF(Оборот!$A:$A,$B:$B,Оборот!I:I)</f>
        <v>4422245.21</v>
      </c>
      <c r="CH272" s="277">
        <f t="shared" si="51"/>
        <v>5498663.5776737146</v>
      </c>
      <c r="CI272" s="239">
        <f t="shared" si="55"/>
        <v>1950060.8785944129</v>
      </c>
      <c r="CJ272" s="276">
        <f>SUMIF('20Ф'!$H:$H,$B:$B,'20Ф'!M:M)*1.2</f>
        <v>300360.12</v>
      </c>
      <c r="CK272" s="276">
        <f>SUMIF('20Ф'!$H:$H,$B:$B,'20Ф'!O:O)*1.2</f>
        <v>970601.96399999992</v>
      </c>
      <c r="CL272" s="276">
        <f>SUMIF('20Ф'!$H:$H,$B:$B,'20Ф'!Q:Q)*1.2</f>
        <v>0</v>
      </c>
      <c r="CM272" s="276">
        <f>SUMIF('20Ф'!$H:$H,$B:$B,'20Ф'!R:R)*1.2</f>
        <v>0</v>
      </c>
      <c r="CN272" s="276">
        <f>SUMIF('20Ф'!$H:$H,$B:$B,'20Ф'!S:S)*1.2</f>
        <v>0</v>
      </c>
      <c r="CO272" s="276">
        <f>SUMIF('20Ф'!$H:$H,$B:$B,'20Ф'!W:W)*1.2</f>
        <v>0</v>
      </c>
      <c r="CP272" s="276">
        <f>SUMIF('20Ф'!$H:$H,$B:$B,'20Ф'!P:P)*1.2</f>
        <v>0</v>
      </c>
      <c r="CQ272" s="276">
        <f>SUMIF('20Ф'!$H:$H,$B:$B,'20Ф'!Y:Y)*1.2</f>
        <v>0</v>
      </c>
      <c r="CR272" s="276">
        <f>SUMIF('20Ф'!$H:$H,$B:$B,'20Ф'!Z:Z)*1.2</f>
        <v>0</v>
      </c>
      <c r="CS272" s="276">
        <f>SUMIF('20Ф'!$H:$H,$B:$B,'20Ф'!AB:AB)*1.2</f>
        <v>0</v>
      </c>
      <c r="CT272" s="276">
        <f>SUMIF('20Ф'!$H:$H,$B:$B,'20Ф'!AC:AC)*1.2</f>
        <v>0</v>
      </c>
      <c r="CU272" s="276">
        <f>SUMIF('20Ф'!$H:$H,$B:$B,'20Ф'!AD:AD)*1.2</f>
        <v>0</v>
      </c>
      <c r="CV272" s="276">
        <f>SUMIF('20Ф'!$H:$H,$B:$B,'20Ф'!AE:AE)*1.2</f>
        <v>0</v>
      </c>
      <c r="CW272" s="276">
        <f>SUMIF('20Ф'!$H:$H,$B:$B,'20Ф'!AF:AF)*1.2</f>
        <v>0</v>
      </c>
      <c r="CX272" s="276">
        <f>SUMIF('20Ф'!$H:$H,$B:$B,'20Ф'!AG:AG)*1.2</f>
        <v>0</v>
      </c>
      <c r="CY272" s="276">
        <f>SUMIF('20Ф'!$H:$H,$B:$B,'20Ф'!AH:AH)*1.2</f>
        <v>0</v>
      </c>
      <c r="CZ272" s="276">
        <f>SUMIF('20Ф'!$H:$H,$B:$B,'20Ф'!AI:AI)*1.2</f>
        <v>306581.64</v>
      </c>
      <c r="DA272" s="276">
        <f>SUMIF('20Ф'!$H:$H,$B:$B,'20Ф'!AJ:AJ)*1.2</f>
        <v>290276.37599999999</v>
      </c>
      <c r="DB272" s="276">
        <f>SUMIF('20Ф'!$H:$H,$B:$B,'20Ф'!AK:AK)*1.2</f>
        <v>0</v>
      </c>
      <c r="DC272" s="276">
        <f>SUMIF('20Ф'!$H:$H,$B:$B,'20Ф'!AL:AL)*1.2</f>
        <v>0</v>
      </c>
      <c r="DD272" s="276">
        <f>SUMIF('20Ф'!$H:$H,$B:$B,'20Ф'!AM:AM)*1.2</f>
        <v>0</v>
      </c>
      <c r="DE272" s="276">
        <f>SUMIF('20Ф'!$H:$H,$B:$B,'20Ф'!AN:AN)*1.2</f>
        <v>0</v>
      </c>
      <c r="DF272" s="276">
        <f>SUMIF('20Ф'!$H:$H,$B:$B,'20Ф'!AO:AO)*1.2</f>
        <v>0</v>
      </c>
      <c r="DG272" s="276">
        <f>SUMIF('20Ф'!$H:$H,$B:$B,'20Ф'!AP:AP)*1.2</f>
        <v>0</v>
      </c>
      <c r="DH272" s="276">
        <f>SUMIF('20Ф'!$H:$H,$B:$B,'20Ф'!AQ:AQ)*1.2</f>
        <v>0</v>
      </c>
      <c r="DI272" s="276">
        <f>SUMIF('20Ф'!$H:$H,$B:$B,'20Ф'!BA:BA)*1.2</f>
        <v>0</v>
      </c>
      <c r="DJ272" s="276">
        <f>SUMIF('20Ф'!$H:$H,$B:$B,'20Ф'!BB:BB)*1.2</f>
        <v>0</v>
      </c>
      <c r="DK272" s="276">
        <f>SUMIF('20Ф'!$H:$H,$B:$B,'20Ф'!BC:BC)*1.2</f>
        <v>0</v>
      </c>
      <c r="DL272" s="276">
        <f>$D272/$D$281*'20Ф'!$H$218</f>
        <v>82240.778594413045</v>
      </c>
      <c r="DM272" s="240">
        <f t="shared" si="52"/>
        <v>1032694.1936675531</v>
      </c>
      <c r="DN272" s="276">
        <f>SUMIF('20Ф'!$H:$H,$B:$B,'20Ф'!AV:AV)*1.2</f>
        <v>0</v>
      </c>
      <c r="DO272" s="276">
        <f>SUMIF('20Ф'!$H:$H,$B:$B,'20Ф'!AW:AW)*1.2+$D272/$D$281*'26Ф'!$D$42</f>
        <v>163764.2372457952</v>
      </c>
      <c r="DP272" s="276">
        <f>SUMIF('20Ф'!$H:$H,$B:$B,'20Ф'!AX:AX)*1.2</f>
        <v>0</v>
      </c>
      <c r="DQ272" s="276">
        <f>SUMIF('20Ф'!$H:$H,$B:$B,'20Ф'!AY:AY)*1.2</f>
        <v>0</v>
      </c>
      <c r="DR272" s="276">
        <f>SUMIF('20Ф'!$H:$H,$B:$B,'20Ф'!AU:AU)*1.2</f>
        <v>0</v>
      </c>
      <c r="DS272" s="276">
        <f>SUMIF('20Ф'!$H:$H,$B:$B,'20Ф'!AS:AS)*1.2</f>
        <v>96935.015999999989</v>
      </c>
      <c r="DT272" s="276">
        <f>SUMIF('20Ф'!$H:$H,$B:$B,'20Ф'!AR:AR)*1.2</f>
        <v>0</v>
      </c>
      <c r="DU272" s="276">
        <f>SUMIF('20Ф'!$H:$H,$B:$B,'20Ф'!X:X)*1.2</f>
        <v>0</v>
      </c>
      <c r="DV272" s="276">
        <f>SUMIF('20Ф'!$H:$H,$B:$B,'20Ф'!AA:AA)*1.2</f>
        <v>0</v>
      </c>
      <c r="DW272" s="276">
        <f>SUMIF('20Ф'!$H:$H,$B:$B,'20Ф'!N:N)*1.2</f>
        <v>0</v>
      </c>
      <c r="DX272" s="276">
        <f>$D272/$D$281*('25Ф'!$D$37)</f>
        <v>735622.88483543065</v>
      </c>
      <c r="DY272" s="276">
        <f>$D272/$D$281*'25Ф'!$D$30</f>
        <v>23478.773232009546</v>
      </c>
      <c r="DZ272" s="276">
        <f>$D272/$D$281*'25Ф'!$D$31</f>
        <v>12893.282354317893</v>
      </c>
      <c r="EA272" s="276"/>
      <c r="EB272" s="276">
        <f t="shared" si="53"/>
        <v>463453.96309070662</v>
      </c>
      <c r="EC272" s="276">
        <f>$D272/$D$281*'26Ф'!$D$36</f>
        <v>241242.71321298857</v>
      </c>
      <c r="ED272" s="276">
        <f>$D272/$D$281*'26Ф'!$D$37</f>
        <v>28985.05434030003</v>
      </c>
      <c r="EE272" s="276">
        <f>$D272/$D$281*'26Ф'!$D$38</f>
        <v>29282.324594250327</v>
      </c>
      <c r="EF272" s="276">
        <f>$D272/$D$281*'26Ф'!$D$39</f>
        <v>20541.523977580273</v>
      </c>
      <c r="EG272" s="276">
        <f>$D272/$D$281*'91Ф'!$D$10</f>
        <v>6337.0516039782233</v>
      </c>
      <c r="EH272" s="276">
        <f>$D272/$D$281*('20Ф'!$I$509+'26Ф'!$D$41+'20Ф'!$I$507)</f>
        <v>44832.553405826606</v>
      </c>
      <c r="EI272" s="276">
        <f>$D272/$D$281*'91Ф'!$D$31</f>
        <v>82184.655384908852</v>
      </c>
      <c r="EJ272" s="276">
        <f>$D272/$D$281*'20Ф'!$I$1316</f>
        <v>10048.086570873786</v>
      </c>
      <c r="EK272" s="276">
        <f>$D272/$D$281*('20Ф'!$I$1105+'20Ф'!$I$1282+'91Ф'!$D$17+'91Ф'!$D$41)</f>
        <v>329990.35756223148</v>
      </c>
      <c r="EL272" s="276">
        <f>$D272/$D$281*отчёт!BX$294</f>
        <v>551643.23863968323</v>
      </c>
      <c r="EM272" s="276">
        <f>$D272/$D$281*отчёт!BY$294</f>
        <v>485140.61725587409</v>
      </c>
      <c r="EN272" s="276">
        <f>$D272/$D$283*отчёт!BZ$294</f>
        <v>87067.575588430307</v>
      </c>
      <c r="EO272" s="240">
        <f t="shared" si="50"/>
        <v>370486.435001996</v>
      </c>
      <c r="EP272" s="276">
        <f>SUMIF('20Ф'!$H:$H,$B:$B,'20Ф'!T:T)*1.2</f>
        <v>14759.616</v>
      </c>
      <c r="EQ272" s="276">
        <f>SUM(H272:I272)/SUM($H$284:$I$284)*SUM('60Ф'!$O$155:$P$155)</f>
        <v>345020.52351297403</v>
      </c>
      <c r="ER272" s="276">
        <f>SUM($H272:$I272)/SUM($H$284:$I$284)*SUM('60Ф'!$P$227)</f>
        <v>10706.295489021955</v>
      </c>
      <c r="ES272" s="239">
        <f t="shared" si="56"/>
        <v>184635.2020749771</v>
      </c>
      <c r="ET272" s="276">
        <f>$D272/$D$282*'20Ф'!$I$381</f>
        <v>14111.845397793042</v>
      </c>
      <c r="EU272" s="276">
        <f>$D272/$D$282*('20Ф'!$I$75+'20Ф'!$I$1098)*1.2</f>
        <v>162998.07897944984</v>
      </c>
      <c r="EV272" s="276">
        <f>$D272/$D$282*('20Ф'!$I$1286)</f>
        <v>7525.2776977342128</v>
      </c>
      <c r="EW272" s="276">
        <f>SUMIF('91.1Ф'!$N:$N,$B:$B,'91.1Ф'!$F:$F)+$D272/$D$281*('91Ф'!$D$12+'91Ф'!$D$11+'91Ф'!$D$19+'91Ф'!$D$20)</f>
        <v>43491.116197850417</v>
      </c>
      <c r="EX272" s="276">
        <f t="shared" si="54"/>
        <v>0</v>
      </c>
      <c r="EY272" s="276">
        <f>SUMIF('20Ф'!$H:$H,$B:$B,'20Ф'!$AY:$AY)*1.2</f>
        <v>0</v>
      </c>
      <c r="EZ272" s="238"/>
      <c r="FA272" s="277">
        <f>SUMIF(отчёт!$B:$B,$B:$B,отчёт!$CU:$CU)/отчёт!$CU$281*'20Ф'!$I$1341</f>
        <v>0</v>
      </c>
      <c r="FB272" s="276">
        <f>SUMIF(Сальдо!$A:$A,$B:$B,Сальдо!$H:$H)-SUMIF(Сальдо!$A:$A,$B:$B,Сальдо!$I:$I)</f>
        <v>524748.81999999995</v>
      </c>
    </row>
    <row r="273" spans="1:158" s="13" customFormat="1" ht="12" customHeight="1" x14ac:dyDescent="0.25">
      <c r="A273" s="3">
        <f t="shared" si="57"/>
        <v>269</v>
      </c>
      <c r="B273" s="4" t="s">
        <v>348</v>
      </c>
      <c r="C273" s="56"/>
      <c r="D273" s="233">
        <v>10002.200000000001</v>
      </c>
      <c r="E273" s="234">
        <v>10002.200000000001</v>
      </c>
      <c r="F273" s="235">
        <v>0</v>
      </c>
      <c r="G273" s="234">
        <v>3808.6</v>
      </c>
      <c r="H273" s="5">
        <f>SUMIF(отчёт!$B:$B,$B:$B,отчёт!I:I)</f>
        <v>3</v>
      </c>
      <c r="I273" s="5">
        <f>SUMIF(отчёт!$B:$B,$B:$B,отчёт!J:J)</f>
        <v>3</v>
      </c>
      <c r="J273" s="3" t="s">
        <v>321</v>
      </c>
      <c r="K273" s="105">
        <v>1</v>
      </c>
      <c r="L273" s="105"/>
      <c r="M273" s="12"/>
      <c r="N273" s="8"/>
      <c r="O273" s="8"/>
      <c r="P273" s="8"/>
      <c r="Q273" s="8"/>
      <c r="R273" s="8"/>
      <c r="S273" s="8"/>
      <c r="T273" s="8"/>
      <c r="U273" s="8"/>
      <c r="V273" s="9"/>
      <c r="W273" s="9"/>
      <c r="X273" s="9"/>
      <c r="Y273" s="8"/>
      <c r="Z273" s="9"/>
      <c r="AA273" s="9"/>
      <c r="AB273" s="8"/>
      <c r="AC273" s="10"/>
      <c r="AD273" s="8"/>
      <c r="AE273" s="8"/>
      <c r="AF273" s="8"/>
      <c r="AG273" s="7"/>
      <c r="AH273" s="8"/>
      <c r="AI273" s="8"/>
      <c r="AJ273" s="8"/>
      <c r="AK273" s="8"/>
      <c r="AL273" s="8"/>
      <c r="AM273" s="8"/>
      <c r="AN273" s="8"/>
      <c r="AO273" s="8"/>
      <c r="AP273" s="16"/>
      <c r="AQ273" s="7">
        <v>41.47</v>
      </c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F273" s="277">
        <f>SUMIF(Оборот!$A:$A,$B:$B,Оборот!H:H)</f>
        <v>4983020.4000000013</v>
      </c>
      <c r="CG273" s="277">
        <f>SUMIF(Оборот!$A:$A,$B:$B,Оборот!I:I)</f>
        <v>4815937.9299999988</v>
      </c>
      <c r="CH273" s="277">
        <f t="shared" si="51"/>
        <v>5347088.6141332258</v>
      </c>
      <c r="CI273" s="239">
        <f t="shared" si="55"/>
        <v>1297167.1463216981</v>
      </c>
      <c r="CJ273" s="276">
        <f>SUMIF('20Ф'!$H:$H,$B:$B,'20Ф'!M:M)*1.2</f>
        <v>260553.61199999999</v>
      </c>
      <c r="CK273" s="276">
        <f>SUMIF('20Ф'!$H:$H,$B:$B,'20Ф'!O:O)*1.2</f>
        <v>644134.11600000004</v>
      </c>
      <c r="CL273" s="276">
        <f>SUMIF('20Ф'!$H:$H,$B:$B,'20Ф'!Q:Q)*1.2</f>
        <v>0</v>
      </c>
      <c r="CM273" s="276">
        <f>SUMIF('20Ф'!$H:$H,$B:$B,'20Ф'!R:R)*1.2</f>
        <v>0</v>
      </c>
      <c r="CN273" s="276">
        <f>SUMIF('20Ф'!$H:$H,$B:$B,'20Ф'!S:S)*1.2</f>
        <v>0</v>
      </c>
      <c r="CO273" s="276">
        <f>SUMIF('20Ф'!$H:$H,$B:$B,'20Ф'!W:W)*1.2</f>
        <v>0</v>
      </c>
      <c r="CP273" s="276">
        <f>SUMIF('20Ф'!$H:$H,$B:$B,'20Ф'!P:P)*1.2</f>
        <v>0</v>
      </c>
      <c r="CQ273" s="276">
        <f>SUMIF('20Ф'!$H:$H,$B:$B,'20Ф'!Y:Y)*1.2</f>
        <v>0</v>
      </c>
      <c r="CR273" s="276">
        <f>SUMIF('20Ф'!$H:$H,$B:$B,'20Ф'!Z:Z)*1.2</f>
        <v>0</v>
      </c>
      <c r="CS273" s="276">
        <f>SUMIF('20Ф'!$H:$H,$B:$B,'20Ф'!AB:AB)*1.2</f>
        <v>0</v>
      </c>
      <c r="CT273" s="276">
        <f>SUMIF('20Ф'!$H:$H,$B:$B,'20Ф'!AC:AC)*1.2</f>
        <v>0</v>
      </c>
      <c r="CU273" s="276">
        <f>SUMIF('20Ф'!$H:$H,$B:$B,'20Ф'!AD:AD)*1.2</f>
        <v>0</v>
      </c>
      <c r="CV273" s="276">
        <f>SUMIF('20Ф'!$H:$H,$B:$B,'20Ф'!AE:AE)*1.2</f>
        <v>0</v>
      </c>
      <c r="CW273" s="276">
        <f>SUMIF('20Ф'!$H:$H,$B:$B,'20Ф'!AF:AF)*1.2</f>
        <v>0</v>
      </c>
      <c r="CX273" s="276">
        <f>SUMIF('20Ф'!$H:$H,$B:$B,'20Ф'!AG:AG)*1.2</f>
        <v>0</v>
      </c>
      <c r="CY273" s="276">
        <f>SUMIF('20Ф'!$H:$H,$B:$B,'20Ф'!AH:AH)*1.2</f>
        <v>0</v>
      </c>
      <c r="CZ273" s="276">
        <f>SUMIF('20Ф'!$H:$H,$B:$B,'20Ф'!AI:AI)*1.2</f>
        <v>304506.71999999997</v>
      </c>
      <c r="DA273" s="276">
        <f>SUMIF('20Ф'!$H:$H,$B:$B,'20Ф'!AJ:AJ)*1.2</f>
        <v>0</v>
      </c>
      <c r="DB273" s="276">
        <f>SUMIF('20Ф'!$H:$H,$B:$B,'20Ф'!AK:AK)*1.2</f>
        <v>0</v>
      </c>
      <c r="DC273" s="276">
        <f>SUMIF('20Ф'!$H:$H,$B:$B,'20Ф'!AL:AL)*1.2</f>
        <v>0</v>
      </c>
      <c r="DD273" s="276">
        <f>SUMIF('20Ф'!$H:$H,$B:$B,'20Ф'!AM:AM)*1.2</f>
        <v>0</v>
      </c>
      <c r="DE273" s="276">
        <f>SUMIF('20Ф'!$H:$H,$B:$B,'20Ф'!AN:AN)*1.2</f>
        <v>0</v>
      </c>
      <c r="DF273" s="276">
        <f>SUMIF('20Ф'!$H:$H,$B:$B,'20Ф'!AO:AO)*1.2</f>
        <v>0</v>
      </c>
      <c r="DG273" s="276">
        <f>SUMIF('20Ф'!$H:$H,$B:$B,'20Ф'!AP:AP)*1.2</f>
        <v>0</v>
      </c>
      <c r="DH273" s="276">
        <f>SUMIF('20Ф'!$H:$H,$B:$B,'20Ф'!AQ:AQ)*1.2</f>
        <v>0</v>
      </c>
      <c r="DI273" s="276">
        <f>SUMIF('20Ф'!$H:$H,$B:$B,'20Ф'!BA:BA)*1.2</f>
        <v>0</v>
      </c>
      <c r="DJ273" s="276">
        <f>SUMIF('20Ф'!$H:$H,$B:$B,'20Ф'!BB:BB)*1.2</f>
        <v>0</v>
      </c>
      <c r="DK273" s="276">
        <f>SUMIF('20Ф'!$H:$H,$B:$B,'20Ф'!BC:BC)*1.2</f>
        <v>0</v>
      </c>
      <c r="DL273" s="276">
        <f>$D273/$D$281*'20Ф'!$H$218</f>
        <v>87972.698321698117</v>
      </c>
      <c r="DM273" s="240">
        <f t="shared" si="52"/>
        <v>1201701.635513609</v>
      </c>
      <c r="DN273" s="276">
        <f>SUMIF('20Ф'!$H:$H,$B:$B,'20Ф'!AV:AV)*1.2</f>
        <v>0</v>
      </c>
      <c r="DO273" s="276">
        <f>SUMIF('20Ф'!$H:$H,$B:$B,'20Ф'!AW:AW)*1.2+$D273/$D$281*'26Ф'!$D$42</f>
        <v>166814.46821683255</v>
      </c>
      <c r="DP273" s="276">
        <f>SUMIF('20Ф'!$H:$H,$B:$B,'20Ф'!AX:AX)*1.2</f>
        <v>0</v>
      </c>
      <c r="DQ273" s="276">
        <f>SUMIF('20Ф'!$H:$H,$B:$B,'20Ф'!AY:AY)*1.2</f>
        <v>0</v>
      </c>
      <c r="DR273" s="276">
        <f>SUMIF('20Ф'!$H:$H,$B:$B,'20Ф'!AU:AU)*1.2</f>
        <v>0</v>
      </c>
      <c r="DS273" s="276">
        <f>SUMIF('20Ф'!$H:$H,$B:$B,'20Ф'!AS:AS)*1.2</f>
        <v>209086.644</v>
      </c>
      <c r="DT273" s="276">
        <f>SUMIF('20Ф'!$H:$H,$B:$B,'20Ф'!AR:AR)*1.2</f>
        <v>0</v>
      </c>
      <c r="DU273" s="276">
        <f>SUMIF('20Ф'!$H:$H,$B:$B,'20Ф'!X:X)*1.2</f>
        <v>0</v>
      </c>
      <c r="DV273" s="276">
        <f>SUMIF('20Ф'!$H:$H,$B:$B,'20Ф'!AA:AA)*1.2</f>
        <v>0</v>
      </c>
      <c r="DW273" s="276">
        <f>SUMIF('20Ф'!$H:$H,$B:$B,'20Ф'!N:N)*1.2</f>
        <v>0</v>
      </c>
      <c r="DX273" s="276">
        <f>$D273/$D$281*('25Ф'!$D$37)</f>
        <v>786893.45154814667</v>
      </c>
      <c r="DY273" s="276">
        <f>$D273/$D$281*'25Ф'!$D$30</f>
        <v>25115.168773991325</v>
      </c>
      <c r="DZ273" s="276">
        <f>$D273/$D$281*'25Ф'!$D$31</f>
        <v>13791.902974638624</v>
      </c>
      <c r="EA273" s="276"/>
      <c r="EB273" s="276">
        <f t="shared" si="53"/>
        <v>495755.22481427382</v>
      </c>
      <c r="EC273" s="276">
        <f>$D273/$D$281*'26Ф'!$D$36</f>
        <v>258056.56019453018</v>
      </c>
      <c r="ED273" s="276">
        <f>$D273/$D$281*'26Ф'!$D$37</f>
        <v>31005.220097593603</v>
      </c>
      <c r="EE273" s="276">
        <f>$D273/$D$281*'26Ф'!$D$38</f>
        <v>31323.209139255723</v>
      </c>
      <c r="EF273" s="276">
        <f>$D273/$D$281*'26Ф'!$D$39</f>
        <v>21973.202623234418</v>
      </c>
      <c r="EG273" s="276">
        <f>$D273/$D$281*'91Ф'!$D$10</f>
        <v>6778.7238707353608</v>
      </c>
      <c r="EH273" s="276">
        <f>$D273/$D$281*('20Ф'!$I$509+'26Ф'!$D$41+'20Ф'!$I$507)</f>
        <v>47957.23925734013</v>
      </c>
      <c r="EI273" s="276">
        <f>$D273/$D$281*'91Ф'!$D$31</f>
        <v>87912.663503656004</v>
      </c>
      <c r="EJ273" s="276">
        <f>$D273/$D$281*'20Ф'!$I$1316</f>
        <v>10748.406127928323</v>
      </c>
      <c r="EK273" s="276">
        <f>$D273/$D$281*('20Ф'!$I$1105+'20Ф'!$I$1282+'91Ф'!$D$17+'91Ф'!$D$41)</f>
        <v>352989.63204202475</v>
      </c>
      <c r="EL273" s="276">
        <f>$D273/$D$281*отчёт!BX$294</f>
        <v>590091.0113386279</v>
      </c>
      <c r="EM273" s="276">
        <f>$D273/$D$281*отчёт!BY$294</f>
        <v>518953.36954352225</v>
      </c>
      <c r="EN273" s="276">
        <f>$D273/$D$283*отчёт!BZ$294</f>
        <v>93135.907657408432</v>
      </c>
      <c r="EO273" s="240">
        <f t="shared" si="50"/>
        <v>553268.69250299409</v>
      </c>
      <c r="EP273" s="276">
        <f>SUMIF('20Ф'!$H:$H,$B:$B,'20Ф'!T:T)*1.2</f>
        <v>19678.464</v>
      </c>
      <c r="EQ273" s="276">
        <f>SUM(H273:I273)/SUM($H$284:$I$284)*SUM('60Ф'!$O$155:$P$155)</f>
        <v>517530.78526946111</v>
      </c>
      <c r="ER273" s="276">
        <f>SUM($H273:$I273)/SUM($H$284:$I$284)*SUM('60Ф'!$P$227)</f>
        <v>16059.443233532935</v>
      </c>
      <c r="ES273" s="239">
        <f t="shared" si="56"/>
        <v>197503.68624077173</v>
      </c>
      <c r="ET273" s="276">
        <f>$D273/$D$282*'20Ф'!$I$381</f>
        <v>15095.395972173208</v>
      </c>
      <c r="EU273" s="276">
        <f>$D273/$D$282*('20Ф'!$I$75+'20Ф'!$I$1098)*1.2</f>
        <v>174358.52473859722</v>
      </c>
      <c r="EV273" s="276">
        <f>$D273/$D$282*('20Ф'!$I$1286)</f>
        <v>8049.7655300012993</v>
      </c>
      <c r="EW273" s="276">
        <f>SUMIF('91.1Ф'!$N:$N,$B:$B,'91.1Ф'!$F:$F)+$D273/$D$281*('91Ф'!$D$12+'91Ф'!$D$11+'91Ф'!$D$19+'91Ф'!$D$20)</f>
        <v>46522.308158295222</v>
      </c>
      <c r="EX273" s="276">
        <f t="shared" si="54"/>
        <v>0</v>
      </c>
      <c r="EY273" s="276">
        <f>SUMIF('20Ф'!$H:$H,$B:$B,'20Ф'!$AY:$AY)*1.2</f>
        <v>0</v>
      </c>
      <c r="EZ273" s="238"/>
      <c r="FA273" s="277">
        <f>SUMIF(отчёт!$B:$B,$B:$B,отчёт!$CU:$CU)/отчёт!$CU$281*'20Ф'!$I$1341</f>
        <v>0</v>
      </c>
      <c r="FB273" s="276">
        <f>SUMIF(Сальдо!$A:$A,$B:$B,Сальдо!$H:$H)-SUMIF(Сальдо!$A:$A,$B:$B,Сальдо!$I:$I)</f>
        <v>502760.56</v>
      </c>
    </row>
    <row r="274" spans="1:158" s="13" customFormat="1" ht="12" customHeight="1" x14ac:dyDescent="0.25">
      <c r="A274" s="3">
        <f t="shared" si="57"/>
        <v>270</v>
      </c>
      <c r="B274" s="4" t="s">
        <v>349</v>
      </c>
      <c r="C274" s="56"/>
      <c r="D274" s="233">
        <v>12324.3</v>
      </c>
      <c r="E274" s="234">
        <v>12324.3</v>
      </c>
      <c r="F274" s="235">
        <v>0</v>
      </c>
      <c r="G274" s="234">
        <v>4414.2</v>
      </c>
      <c r="H274" s="5">
        <f>SUMIF(отчёт!$B:$B,$B:$B,отчёт!I:I)</f>
        <v>3</v>
      </c>
      <c r="I274" s="5">
        <f>SUMIF(отчёт!$B:$B,$B:$B,отчёт!J:J)</f>
        <v>3</v>
      </c>
      <c r="J274" s="3" t="s">
        <v>321</v>
      </c>
      <c r="K274" s="105">
        <v>1</v>
      </c>
      <c r="L274" s="105"/>
      <c r="M274" s="12"/>
      <c r="N274" s="8"/>
      <c r="O274" s="8"/>
      <c r="P274" s="8"/>
      <c r="Q274" s="8"/>
      <c r="R274" s="8"/>
      <c r="S274" s="8"/>
      <c r="T274" s="8"/>
      <c r="U274" s="8"/>
      <c r="V274" s="9"/>
      <c r="W274" s="9"/>
      <c r="X274" s="9"/>
      <c r="Y274" s="8"/>
      <c r="Z274" s="9"/>
      <c r="AA274" s="9"/>
      <c r="AB274" s="8"/>
      <c r="AC274" s="10"/>
      <c r="AD274" s="8"/>
      <c r="AE274" s="8"/>
      <c r="AF274" s="8"/>
      <c r="AG274" s="7"/>
      <c r="AH274" s="8"/>
      <c r="AI274" s="8"/>
      <c r="AJ274" s="8"/>
      <c r="AK274" s="8"/>
      <c r="AL274" s="8"/>
      <c r="AM274" s="8"/>
      <c r="AN274" s="8"/>
      <c r="AO274" s="8"/>
      <c r="AP274" s="16"/>
      <c r="AQ274" s="7">
        <v>41.47</v>
      </c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F274" s="277">
        <f>SUMIF(Оборот!$A:$A,$B:$B,Оборот!H:H)</f>
        <v>6132049.0399999991</v>
      </c>
      <c r="CG274" s="277">
        <f>SUMIF(Оборот!$A:$A,$B:$B,Оборот!I:I)</f>
        <v>5824390.3100000005</v>
      </c>
      <c r="CH274" s="277">
        <f t="shared" si="51"/>
        <v>6419586.8003783664</v>
      </c>
      <c r="CI274" s="239">
        <f t="shared" si="55"/>
        <v>1592546.4093966233</v>
      </c>
      <c r="CJ274" s="276">
        <f>SUMIF('20Ф'!$H:$H,$B:$B,'20Ф'!M:M)*1.2</f>
        <v>270203.43599999999</v>
      </c>
      <c r="CK274" s="276">
        <f>SUMIF('20Ф'!$H:$H,$B:$B,'20Ф'!O:O)*1.2</f>
        <v>1061675.28</v>
      </c>
      <c r="CL274" s="276">
        <f>SUMIF('20Ф'!$H:$H,$B:$B,'20Ф'!Q:Q)*1.2</f>
        <v>0</v>
      </c>
      <c r="CM274" s="276">
        <f>SUMIF('20Ф'!$H:$H,$B:$B,'20Ф'!R:R)*1.2</f>
        <v>0</v>
      </c>
      <c r="CN274" s="276">
        <f>SUMIF('20Ф'!$H:$H,$B:$B,'20Ф'!S:S)*1.2</f>
        <v>0</v>
      </c>
      <c r="CO274" s="276">
        <f>SUMIF('20Ф'!$H:$H,$B:$B,'20Ф'!W:W)*1.2</f>
        <v>0</v>
      </c>
      <c r="CP274" s="276">
        <f>SUMIF('20Ф'!$H:$H,$B:$B,'20Ф'!P:P)*1.2</f>
        <v>0</v>
      </c>
      <c r="CQ274" s="276">
        <f>SUMIF('20Ф'!$H:$H,$B:$B,'20Ф'!Y:Y)*1.2</f>
        <v>0</v>
      </c>
      <c r="CR274" s="276">
        <f>SUMIF('20Ф'!$H:$H,$B:$B,'20Ф'!Z:Z)*1.2</f>
        <v>0</v>
      </c>
      <c r="CS274" s="276">
        <f>SUMIF('20Ф'!$H:$H,$B:$B,'20Ф'!AB:AB)*1.2</f>
        <v>0</v>
      </c>
      <c r="CT274" s="276">
        <f>SUMIF('20Ф'!$H:$H,$B:$B,'20Ф'!AC:AC)*1.2</f>
        <v>0</v>
      </c>
      <c r="CU274" s="276">
        <f>SUMIF('20Ф'!$H:$H,$B:$B,'20Ф'!AD:AD)*1.2</f>
        <v>0</v>
      </c>
      <c r="CV274" s="276">
        <f>SUMIF('20Ф'!$H:$H,$B:$B,'20Ф'!AE:AE)*1.2</f>
        <v>0</v>
      </c>
      <c r="CW274" s="276">
        <f>SUMIF('20Ф'!$H:$H,$B:$B,'20Ф'!AF:AF)*1.2</f>
        <v>0</v>
      </c>
      <c r="CX274" s="276">
        <f>SUMIF('20Ф'!$H:$H,$B:$B,'20Ф'!AG:AG)*1.2</f>
        <v>0</v>
      </c>
      <c r="CY274" s="276">
        <f>SUMIF('20Ф'!$H:$H,$B:$B,'20Ф'!AH:AH)*1.2</f>
        <v>0</v>
      </c>
      <c r="CZ274" s="276">
        <f>SUMIF('20Ф'!$H:$H,$B:$B,'20Ф'!AI:AI)*1.2</f>
        <v>152271.348</v>
      </c>
      <c r="DA274" s="276">
        <f>SUMIF('20Ф'!$H:$H,$B:$B,'20Ф'!AJ:AJ)*1.2</f>
        <v>0</v>
      </c>
      <c r="DB274" s="276">
        <f>SUMIF('20Ф'!$H:$H,$B:$B,'20Ф'!AK:AK)*1.2</f>
        <v>0</v>
      </c>
      <c r="DC274" s="276">
        <f>SUMIF('20Ф'!$H:$H,$B:$B,'20Ф'!AL:AL)*1.2</f>
        <v>0</v>
      </c>
      <c r="DD274" s="276">
        <f>SUMIF('20Ф'!$H:$H,$B:$B,'20Ф'!AM:AM)*1.2</f>
        <v>0</v>
      </c>
      <c r="DE274" s="276">
        <f>SUMIF('20Ф'!$H:$H,$B:$B,'20Ф'!AN:AN)*1.2</f>
        <v>0</v>
      </c>
      <c r="DF274" s="276">
        <f>SUMIF('20Ф'!$H:$H,$B:$B,'20Ф'!AO:AO)*1.2</f>
        <v>0</v>
      </c>
      <c r="DG274" s="276">
        <f>SUMIF('20Ф'!$H:$H,$B:$B,'20Ф'!AP:AP)*1.2</f>
        <v>0</v>
      </c>
      <c r="DH274" s="276">
        <f>SUMIF('20Ф'!$H:$H,$B:$B,'20Ф'!AQ:AQ)*1.2</f>
        <v>0</v>
      </c>
      <c r="DI274" s="276">
        <f>SUMIF('20Ф'!$H:$H,$B:$B,'20Ф'!BA:BA)*1.2</f>
        <v>0</v>
      </c>
      <c r="DJ274" s="276">
        <f>SUMIF('20Ф'!$H:$H,$B:$B,'20Ф'!BB:BB)*1.2</f>
        <v>0</v>
      </c>
      <c r="DK274" s="276">
        <f>SUMIF('20Ф'!$H:$H,$B:$B,'20Ф'!BC:BC)*1.2</f>
        <v>0</v>
      </c>
      <c r="DL274" s="276">
        <f>$D274/$D$281*'20Ф'!$H$218</f>
        <v>108396.34539662313</v>
      </c>
      <c r="DM274" s="240">
        <f t="shared" si="52"/>
        <v>1443566.2090577644</v>
      </c>
      <c r="DN274" s="276">
        <f>SUMIF('20Ф'!$H:$H,$B:$B,'20Ф'!AV:AV)*1.2</f>
        <v>0</v>
      </c>
      <c r="DO274" s="276">
        <f>SUMIF('20Ф'!$H:$H,$B:$B,'20Ф'!AW:AW)*1.2+$D274/$D$281*'26Ф'!$D$42</f>
        <v>177682.87597783582</v>
      </c>
      <c r="DP274" s="276">
        <f>SUMIF('20Ф'!$H:$H,$B:$B,'20Ф'!AX:AX)*1.2</f>
        <v>10200</v>
      </c>
      <c r="DQ274" s="276">
        <f>SUMIF('20Ф'!$H:$H,$B:$B,'20Ф'!AY:AY)*1.2</f>
        <v>0</v>
      </c>
      <c r="DR274" s="276">
        <f>SUMIF('20Ф'!$H:$H,$B:$B,'20Ф'!AU:AU)*1.2</f>
        <v>0</v>
      </c>
      <c r="DS274" s="276">
        <f>SUMIF('20Ф'!$H:$H,$B:$B,'20Ф'!AS:AS)*1.2</f>
        <v>238165.848</v>
      </c>
      <c r="DT274" s="276">
        <f>SUMIF('20Ф'!$H:$H,$B:$B,'20Ф'!AR:AR)*1.2</f>
        <v>0</v>
      </c>
      <c r="DU274" s="276">
        <f>SUMIF('20Ф'!$H:$H,$B:$B,'20Ф'!X:X)*1.2</f>
        <v>0</v>
      </c>
      <c r="DV274" s="276">
        <f>SUMIF('20Ф'!$H:$H,$B:$B,'20Ф'!AA:AA)*1.2</f>
        <v>0</v>
      </c>
      <c r="DW274" s="276">
        <f>SUMIF('20Ф'!$H:$H,$B:$B,'20Ф'!N:N)*1.2</f>
        <v>0</v>
      </c>
      <c r="DX274" s="276">
        <f>$D274/$D$281*('25Ф'!$D$37)</f>
        <v>969577.78937781905</v>
      </c>
      <c r="DY274" s="276">
        <f>$D274/$D$281*'25Ф'!$D$30</f>
        <v>30945.879358671216</v>
      </c>
      <c r="DZ274" s="276">
        <f>$D274/$D$281*'25Ф'!$D$31</f>
        <v>16993.81634343832</v>
      </c>
      <c r="EA274" s="276"/>
      <c r="EB274" s="276">
        <f t="shared" si="53"/>
        <v>610849.2248883798</v>
      </c>
      <c r="EC274" s="276">
        <f>$D274/$D$281*'26Ф'!$D$36</f>
        <v>317966.69380790705</v>
      </c>
      <c r="ED274" s="276">
        <f>$D274/$D$281*'26Ф'!$D$37</f>
        <v>38203.358665970765</v>
      </c>
      <c r="EE274" s="276">
        <f>$D274/$D$281*'26Ф'!$D$38</f>
        <v>38595.171701718551</v>
      </c>
      <c r="EF274" s="276">
        <f>$D274/$D$281*'26Ф'!$D$39</f>
        <v>27074.477723853543</v>
      </c>
      <c r="EG274" s="276">
        <f>$D274/$D$281*'91Ф'!$D$10</f>
        <v>8352.4651176844891</v>
      </c>
      <c r="EH274" s="276">
        <f>$D274/$D$281*('20Ф'!$I$509+'26Ф'!$D$41+'20Ф'!$I$507)</f>
        <v>59090.940371042059</v>
      </c>
      <c r="EI274" s="276">
        <f>$D274/$D$281*'91Ф'!$D$31</f>
        <v>108322.37295975961</v>
      </c>
      <c r="EJ274" s="276">
        <f>$D274/$D$281*'20Ф'!$I$1316</f>
        <v>13243.744540443802</v>
      </c>
      <c r="EK274" s="276">
        <f>$D274/$D$281*('20Ф'!$I$1105+'20Ф'!$I$1282+'91Ф'!$D$17+'91Ф'!$D$41)</f>
        <v>434939.32556592795</v>
      </c>
      <c r="EL274" s="276">
        <f>$D274/$D$281*отчёт!BX$294</f>
        <v>727085.9062047</v>
      </c>
      <c r="EM274" s="276">
        <f>$D274/$D$281*отчёт!BY$294</f>
        <v>639433.02596081165</v>
      </c>
      <c r="EN274" s="276">
        <f>$D274/$D$283*отчёт!BZ$294</f>
        <v>114758.23986145035</v>
      </c>
      <c r="EO274" s="240">
        <f t="shared" si="50"/>
        <v>555729.65250299405</v>
      </c>
      <c r="EP274" s="276">
        <f>SUMIF('20Ф'!$H:$H,$B:$B,'20Ф'!T:T)*1.2</f>
        <v>22139.423999999999</v>
      </c>
      <c r="EQ274" s="276">
        <f>SUM(H274:I274)/SUM($H$284:$I$284)*SUM('60Ф'!$O$155:$P$155)</f>
        <v>517530.78526946111</v>
      </c>
      <c r="ER274" s="276">
        <f>SUM($H274:$I274)/SUM($H$284:$I$284)*SUM('60Ф'!$P$227)</f>
        <v>16059.443233532935</v>
      </c>
      <c r="ES274" s="239">
        <f t="shared" si="56"/>
        <v>243355.92972917389</v>
      </c>
      <c r="ET274" s="276">
        <f>$D274/$D$282*'20Ф'!$I$381</f>
        <v>18599.926874073128</v>
      </c>
      <c r="EU274" s="276">
        <f>$D274/$D$282*('20Ф'!$I$75+'20Ф'!$I$1098)*1.2</f>
        <v>214837.41241285854</v>
      </c>
      <c r="EV274" s="276">
        <f>$D274/$D$282*('20Ф'!$I$1286)</f>
        <v>9918.5904422422063</v>
      </c>
      <c r="EW274" s="276">
        <f>SUMIF('91.1Ф'!$N:$N,$B:$B,'91.1Ф'!$F:$F)+$D274/$D$281*('91Ф'!$D$12+'91Ф'!$D$11+'91Ф'!$D$19+'91Ф'!$D$20)</f>
        <v>57322.877210541454</v>
      </c>
      <c r="EX274" s="276">
        <f t="shared" si="54"/>
        <v>0</v>
      </c>
      <c r="EY274" s="276">
        <f>SUMIF('20Ф'!$H:$H,$B:$B,'20Ф'!$AY:$AY)*1.2</f>
        <v>0</v>
      </c>
      <c r="EZ274" s="238"/>
      <c r="FA274" s="277">
        <f>SUMIF(отчёт!$B:$B,$B:$B,отчёт!$CU:$CU)/отчёт!$CU$281*'20Ф'!$I$1341</f>
        <v>0</v>
      </c>
      <c r="FB274" s="276">
        <f>SUMIF(Сальдо!$A:$A,$B:$B,Сальдо!$H:$H)-SUMIF(Сальдо!$A:$A,$B:$B,Сальдо!$I:$I)</f>
        <v>723078.98</v>
      </c>
    </row>
    <row r="275" spans="1:158" s="13" customFormat="1" ht="12" customHeight="1" x14ac:dyDescent="0.25">
      <c r="A275" s="3">
        <f t="shared" si="57"/>
        <v>271</v>
      </c>
      <c r="B275" s="4" t="s">
        <v>350</v>
      </c>
      <c r="C275" s="56"/>
      <c r="D275" s="233">
        <v>12389.5</v>
      </c>
      <c r="E275" s="234">
        <v>12389.5</v>
      </c>
      <c r="F275" s="235">
        <v>0</v>
      </c>
      <c r="G275" s="234">
        <v>4505.5</v>
      </c>
      <c r="H275" s="5">
        <f>SUMIF(отчёт!$B:$B,$B:$B,отчёт!I:I)</f>
        <v>3</v>
      </c>
      <c r="I275" s="5">
        <f>SUMIF(отчёт!$B:$B,$B:$B,отчёт!J:J)</f>
        <v>3</v>
      </c>
      <c r="J275" s="3" t="s">
        <v>321</v>
      </c>
      <c r="K275" s="105">
        <v>1</v>
      </c>
      <c r="L275" s="105"/>
      <c r="M275" s="12"/>
      <c r="N275" s="8"/>
      <c r="O275" s="8"/>
      <c r="P275" s="8"/>
      <c r="Q275" s="8"/>
      <c r="R275" s="8"/>
      <c r="S275" s="8"/>
      <c r="T275" s="8"/>
      <c r="U275" s="8"/>
      <c r="V275" s="9"/>
      <c r="W275" s="9"/>
      <c r="X275" s="9"/>
      <c r="Y275" s="8"/>
      <c r="Z275" s="9"/>
      <c r="AA275" s="9"/>
      <c r="AB275" s="8"/>
      <c r="AC275" s="10"/>
      <c r="AD275" s="8"/>
      <c r="AE275" s="8"/>
      <c r="AF275" s="8"/>
      <c r="AG275" s="7"/>
      <c r="AH275" s="8"/>
      <c r="AI275" s="8"/>
      <c r="AJ275" s="8"/>
      <c r="AK275" s="8"/>
      <c r="AL275" s="8"/>
      <c r="AM275" s="8"/>
      <c r="AN275" s="8"/>
      <c r="AO275" s="8"/>
      <c r="AP275" s="16"/>
      <c r="AQ275" s="7">
        <v>41.47</v>
      </c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F275" s="277">
        <f>SUMIF(Оборот!$A:$A,$B:$B,Оборот!H:H)</f>
        <v>6167054.1599999992</v>
      </c>
      <c r="CG275" s="277">
        <f>SUMIF(Оборот!$A:$A,$B:$B,Оборот!I:I)</f>
        <v>5880224.4100000001</v>
      </c>
      <c r="CH275" s="277">
        <f t="shared" si="51"/>
        <v>5694833.9931426663</v>
      </c>
      <c r="CI275" s="239">
        <f t="shared" si="55"/>
        <v>914933.5532293974</v>
      </c>
      <c r="CJ275" s="276">
        <f>SUMIF('20Ф'!$H:$H,$B:$B,'20Ф'!M:M)*1.2</f>
        <v>279522</v>
      </c>
      <c r="CK275" s="276">
        <f>SUMIF('20Ф'!$H:$H,$B:$B,'20Ф'!O:O)*1.2</f>
        <v>374170.40399999998</v>
      </c>
      <c r="CL275" s="276">
        <f>SUMIF('20Ф'!$H:$H,$B:$B,'20Ф'!Q:Q)*1.2</f>
        <v>0</v>
      </c>
      <c r="CM275" s="276">
        <f>SUMIF('20Ф'!$H:$H,$B:$B,'20Ф'!R:R)*1.2</f>
        <v>0</v>
      </c>
      <c r="CN275" s="276">
        <f>SUMIF('20Ф'!$H:$H,$B:$B,'20Ф'!S:S)*1.2</f>
        <v>0</v>
      </c>
      <c r="CO275" s="276">
        <f>SUMIF('20Ф'!$H:$H,$B:$B,'20Ф'!W:W)*1.2</f>
        <v>0</v>
      </c>
      <c r="CP275" s="276">
        <f>SUMIF('20Ф'!$H:$H,$B:$B,'20Ф'!P:P)*1.2</f>
        <v>0</v>
      </c>
      <c r="CQ275" s="276">
        <f>SUMIF('20Ф'!$H:$H,$B:$B,'20Ф'!Y:Y)*1.2</f>
        <v>0</v>
      </c>
      <c r="CR275" s="276">
        <f>SUMIF('20Ф'!$H:$H,$B:$B,'20Ф'!Z:Z)*1.2</f>
        <v>0</v>
      </c>
      <c r="CS275" s="276">
        <f>SUMIF('20Ф'!$H:$H,$B:$B,'20Ф'!AB:AB)*1.2</f>
        <v>0</v>
      </c>
      <c r="CT275" s="276">
        <f>SUMIF('20Ф'!$H:$H,$B:$B,'20Ф'!AC:AC)*1.2</f>
        <v>0</v>
      </c>
      <c r="CU275" s="276">
        <f>SUMIF('20Ф'!$H:$H,$B:$B,'20Ф'!AD:AD)*1.2</f>
        <v>0</v>
      </c>
      <c r="CV275" s="276">
        <f>SUMIF('20Ф'!$H:$H,$B:$B,'20Ф'!AE:AE)*1.2</f>
        <v>0</v>
      </c>
      <c r="CW275" s="276">
        <f>SUMIF('20Ф'!$H:$H,$B:$B,'20Ф'!AF:AF)*1.2</f>
        <v>0</v>
      </c>
      <c r="CX275" s="276">
        <f>SUMIF('20Ф'!$H:$H,$B:$B,'20Ф'!AG:AG)*1.2</f>
        <v>0</v>
      </c>
      <c r="CY275" s="276">
        <f>SUMIF('20Ф'!$H:$H,$B:$B,'20Ф'!AH:AH)*1.2</f>
        <v>0</v>
      </c>
      <c r="CZ275" s="276">
        <f>SUMIF('20Ф'!$H:$H,$B:$B,'20Ф'!AI:AI)*1.2</f>
        <v>152271.348</v>
      </c>
      <c r="DA275" s="276">
        <f>SUMIF('20Ф'!$H:$H,$B:$B,'20Ф'!AJ:AJ)*1.2</f>
        <v>0</v>
      </c>
      <c r="DB275" s="276">
        <f>SUMIF('20Ф'!$H:$H,$B:$B,'20Ф'!AK:AK)*1.2</f>
        <v>0</v>
      </c>
      <c r="DC275" s="276">
        <f>SUMIF('20Ф'!$H:$H,$B:$B,'20Ф'!AL:AL)*1.2</f>
        <v>0</v>
      </c>
      <c r="DD275" s="276">
        <f>SUMIF('20Ф'!$H:$H,$B:$B,'20Ф'!AM:AM)*1.2</f>
        <v>0</v>
      </c>
      <c r="DE275" s="276">
        <f>SUMIF('20Ф'!$H:$H,$B:$B,'20Ф'!AN:AN)*1.2</f>
        <v>0</v>
      </c>
      <c r="DF275" s="276">
        <f>SUMIF('20Ф'!$H:$H,$B:$B,'20Ф'!AO:AO)*1.2</f>
        <v>0</v>
      </c>
      <c r="DG275" s="276">
        <f>SUMIF('20Ф'!$H:$H,$B:$B,'20Ф'!AP:AP)*1.2</f>
        <v>0</v>
      </c>
      <c r="DH275" s="276">
        <f>SUMIF('20Ф'!$H:$H,$B:$B,'20Ф'!AQ:AQ)*1.2</f>
        <v>0</v>
      </c>
      <c r="DI275" s="276">
        <f>SUMIF('20Ф'!$H:$H,$B:$B,'20Ф'!BA:BA)*1.2</f>
        <v>0</v>
      </c>
      <c r="DJ275" s="276">
        <f>SUMIF('20Ф'!$H:$H,$B:$B,'20Ф'!BB:BB)*1.2</f>
        <v>0</v>
      </c>
      <c r="DK275" s="276">
        <f>SUMIF('20Ф'!$H:$H,$B:$B,'20Ф'!BC:BC)*1.2</f>
        <v>0</v>
      </c>
      <c r="DL275" s="276">
        <f>$D275/$D$281*'20Ф'!$H$218</f>
        <v>108969.80122939742</v>
      </c>
      <c r="DM275" s="240">
        <f t="shared" si="52"/>
        <v>1381466.4677116892</v>
      </c>
      <c r="DN275" s="276">
        <f>SUMIF('20Ф'!$H:$H,$B:$B,'20Ф'!AV:AV)*1.2</f>
        <v>0</v>
      </c>
      <c r="DO275" s="276">
        <f>SUMIF('20Ф'!$H:$H,$B:$B,'20Ф'!AW:AW)*1.2+$D275/$D$281*'26Ф'!$D$42</f>
        <v>177988.03948759742</v>
      </c>
      <c r="DP275" s="276">
        <f>SUMIF('20Ф'!$H:$H,$B:$B,'20Ф'!AX:AX)*1.2</f>
        <v>0</v>
      </c>
      <c r="DQ275" s="276">
        <f>SUMIF('20Ф'!$H:$H,$B:$B,'20Ф'!AY:AY)*1.2</f>
        <v>0</v>
      </c>
      <c r="DR275" s="276">
        <f>SUMIF('20Ф'!$H:$H,$B:$B,'20Ф'!AU:AU)*1.2</f>
        <v>0</v>
      </c>
      <c r="DS275" s="276">
        <f>SUMIF('20Ф'!$H:$H,$B:$B,'20Ф'!AS:AS)*1.2</f>
        <v>180577.908</v>
      </c>
      <c r="DT275" s="276">
        <f>SUMIF('20Ф'!$H:$H,$B:$B,'20Ф'!AR:AR)*1.2</f>
        <v>0</v>
      </c>
      <c r="DU275" s="276">
        <f>SUMIF('20Ф'!$H:$H,$B:$B,'20Ф'!X:X)*1.2</f>
        <v>0</v>
      </c>
      <c r="DV275" s="276">
        <f>SUMIF('20Ф'!$H:$H,$B:$B,'20Ф'!AA:AA)*1.2</f>
        <v>0</v>
      </c>
      <c r="DW275" s="276">
        <f>SUMIF('20Ф'!$H:$H,$B:$B,'20Ф'!N:N)*1.2</f>
        <v>0</v>
      </c>
      <c r="DX275" s="276">
        <f>$D275/$D$281*('25Ф'!$D$37)</f>
        <v>974707.20621020999</v>
      </c>
      <c r="DY275" s="276">
        <f>$D275/$D$281*'25Ф'!$D$30</f>
        <v>31109.594241803356</v>
      </c>
      <c r="DZ275" s="276">
        <f>$D275/$D$281*'25Ф'!$D$31</f>
        <v>17083.719772078664</v>
      </c>
      <c r="EA275" s="276"/>
      <c r="EB275" s="276">
        <f t="shared" si="53"/>
        <v>614080.83799928462</v>
      </c>
      <c r="EC275" s="276">
        <f>$D275/$D$281*'26Ф'!$D$36</f>
        <v>319648.85250546195</v>
      </c>
      <c r="ED275" s="276">
        <f>$D275/$D$281*'26Ф'!$D$37</f>
        <v>38405.468236901477</v>
      </c>
      <c r="EE275" s="276">
        <f>$D275/$D$281*'26Ф'!$D$38</f>
        <v>38799.354105177743</v>
      </c>
      <c r="EF275" s="276">
        <f>$D275/$D$281*'26Ф'!$D$39</f>
        <v>27217.711493527706</v>
      </c>
      <c r="EG275" s="276">
        <f>$D275/$D$281*'91Ф'!$D$10</f>
        <v>8396.6526760588422</v>
      </c>
      <c r="EH275" s="276">
        <f>$D275/$D$281*('20Ф'!$I$509+'26Ф'!$D$41+'20Ф'!$I$507)</f>
        <v>59403.552796266376</v>
      </c>
      <c r="EI275" s="276">
        <f>$D275/$D$281*'91Ф'!$D$31</f>
        <v>108895.43745161525</v>
      </c>
      <c r="EJ275" s="276">
        <f>$D275/$D$281*'20Ф'!$I$1316</f>
        <v>13313.808734275255</v>
      </c>
      <c r="EK275" s="276">
        <f>$D275/$D$281*('20Ф'!$I$1105+'20Ф'!$I$1282+'91Ф'!$D$17+'91Ф'!$D$41)</f>
        <v>437240.31174988154</v>
      </c>
      <c r="EL275" s="276">
        <f>$D275/$D$281*отчёт!BX$294</f>
        <v>730932.45335825416</v>
      </c>
      <c r="EM275" s="276">
        <f>$D275/$D$281*отчёт!BY$294</f>
        <v>642815.85770725121</v>
      </c>
      <c r="EN275" s="276">
        <f>$D275/$D$283*отчёт!BZ$294</f>
        <v>115365.35241461496</v>
      </c>
      <c r="EO275" s="240">
        <f t="shared" si="50"/>
        <v>555729.65250299405</v>
      </c>
      <c r="EP275" s="276">
        <f>SUMIF('20Ф'!$H:$H,$B:$B,'20Ф'!T:T)*1.2</f>
        <v>22139.423999999999</v>
      </c>
      <c r="EQ275" s="276">
        <f>SUM(H275:I275)/SUM($H$284:$I$284)*SUM('60Ф'!$O$155:$P$155)</f>
        <v>517530.78526946111</v>
      </c>
      <c r="ER275" s="276">
        <f>SUM($H275:$I275)/SUM($H$284:$I$284)*SUM('60Ф'!$P$227)</f>
        <v>16059.443233532935</v>
      </c>
      <c r="ES275" s="239">
        <f t="shared" si="56"/>
        <v>244643.37052648826</v>
      </c>
      <c r="ET275" s="276">
        <f>$D275/$D$282*'20Ф'!$I$381</f>
        <v>18698.32720773829</v>
      </c>
      <c r="EU275" s="276">
        <f>$D275/$D$282*('20Ф'!$I$75+'20Ф'!$I$1098)*1.2</f>
        <v>215973.97994929613</v>
      </c>
      <c r="EV275" s="276">
        <f>$D275/$D$282*('20Ф'!$I$1286)</f>
        <v>9971.0633694538283</v>
      </c>
      <c r="EW275" s="276">
        <f>SUMIF('91.1Ф'!$N:$N,$B:$B,'91.1Ф'!$F:$F)+$D275/$D$281*('91Ф'!$D$12+'91Ф'!$D$11+'91Ф'!$D$19+'91Ф'!$D$20)</f>
        <v>57626.135942812449</v>
      </c>
      <c r="EX275" s="276">
        <f t="shared" si="54"/>
        <v>0</v>
      </c>
      <c r="EY275" s="276">
        <f>SUMIF('20Ф'!$H:$H,$B:$B,'20Ф'!$AY:$AY)*1.2</f>
        <v>0</v>
      </c>
      <c r="EZ275" s="238"/>
      <c r="FA275" s="277">
        <f>SUMIF(отчёт!$B:$B,$B:$B,отчёт!$CU:$CU)/отчёт!$CU$281*'20Ф'!$I$1341</f>
        <v>0</v>
      </c>
      <c r="FB275" s="276">
        <f>SUMIF(Сальдо!$A:$A,$B:$B,Сальдо!$H:$H)-SUMIF(Сальдо!$A:$A,$B:$B,Сальдо!$I:$I)</f>
        <v>715115.79999999993</v>
      </c>
    </row>
    <row r="276" spans="1:158" s="13" customFormat="1" ht="12" customHeight="1" x14ac:dyDescent="0.25">
      <c r="A276" s="3">
        <f t="shared" si="57"/>
        <v>272</v>
      </c>
      <c r="B276" s="4" t="s">
        <v>351</v>
      </c>
      <c r="C276" s="56"/>
      <c r="D276" s="233">
        <v>8641.2599999999984</v>
      </c>
      <c r="E276" s="234">
        <v>8258.9599999999991</v>
      </c>
      <c r="F276" s="235">
        <v>382.3</v>
      </c>
      <c r="G276" s="234">
        <v>3075.9</v>
      </c>
      <c r="H276" s="5">
        <f>SUMIF(отчёт!$B:$B,$B:$B,отчёт!I:I)</f>
        <v>2</v>
      </c>
      <c r="I276" s="5">
        <f>SUMIF(отчёт!$B:$B,$B:$B,отчёт!J:J)</f>
        <v>2</v>
      </c>
      <c r="J276" s="3" t="s">
        <v>321</v>
      </c>
      <c r="K276" s="105">
        <v>1</v>
      </c>
      <c r="L276" s="105"/>
      <c r="M276" s="12"/>
      <c r="N276" s="8"/>
      <c r="O276" s="8"/>
      <c r="P276" s="8"/>
      <c r="Q276" s="8"/>
      <c r="R276" s="8"/>
      <c r="S276" s="8"/>
      <c r="T276" s="8"/>
      <c r="U276" s="8"/>
      <c r="V276" s="9"/>
      <c r="W276" s="9"/>
      <c r="X276" s="9"/>
      <c r="Y276" s="8"/>
      <c r="Z276" s="9"/>
      <c r="AA276" s="9"/>
      <c r="AB276" s="8"/>
      <c r="AC276" s="10"/>
      <c r="AD276" s="8"/>
      <c r="AE276" s="8"/>
      <c r="AF276" s="8"/>
      <c r="AG276" s="7"/>
      <c r="AH276" s="8"/>
      <c r="AI276" s="8"/>
      <c r="AJ276" s="8"/>
      <c r="AK276" s="8"/>
      <c r="AL276" s="8"/>
      <c r="AM276" s="8"/>
      <c r="AN276" s="8"/>
      <c r="AO276" s="8"/>
      <c r="AP276" s="16"/>
      <c r="AQ276" s="7">
        <v>41.47</v>
      </c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F276" s="277">
        <f>SUMIF(Оборот!$A:$A,$B:$B,Оборот!H:H)</f>
        <v>3960361.84</v>
      </c>
      <c r="CG276" s="277">
        <f>SUMIF(Оборот!$A:$A,$B:$B,Оборот!I:I)</f>
        <v>3818993.56</v>
      </c>
      <c r="CH276" s="277">
        <f t="shared" si="51"/>
        <v>4102888.7642284264</v>
      </c>
      <c r="CI276" s="239">
        <f t="shared" si="55"/>
        <v>785487.1032993698</v>
      </c>
      <c r="CJ276" s="276">
        <f>SUMIF('20Ф'!$H:$H,$B:$B,'20Ф'!M:M)*1.2</f>
        <v>0</v>
      </c>
      <c r="CK276" s="276">
        <f>SUMIF('20Ф'!$H:$H,$B:$B,'20Ф'!O:O)*1.2</f>
        <v>517612.98</v>
      </c>
      <c r="CL276" s="276">
        <f>SUMIF('20Ф'!$H:$H,$B:$B,'20Ф'!Q:Q)*1.2</f>
        <v>39600</v>
      </c>
      <c r="CM276" s="276">
        <f>SUMIF('20Ф'!$H:$H,$B:$B,'20Ф'!R:R)*1.2</f>
        <v>0</v>
      </c>
      <c r="CN276" s="276">
        <f>SUMIF('20Ф'!$H:$H,$B:$B,'20Ф'!S:S)*1.2</f>
        <v>0</v>
      </c>
      <c r="CO276" s="276">
        <f>SUMIF('20Ф'!$H:$H,$B:$B,'20Ф'!W:W)*1.2</f>
        <v>0</v>
      </c>
      <c r="CP276" s="276">
        <f>SUMIF('20Ф'!$H:$H,$B:$B,'20Ф'!P:P)*1.2</f>
        <v>0</v>
      </c>
      <c r="CQ276" s="276">
        <f>SUMIF('20Ф'!$H:$H,$B:$B,'20Ф'!Y:Y)*1.2</f>
        <v>0</v>
      </c>
      <c r="CR276" s="276">
        <f>SUMIF('20Ф'!$H:$H,$B:$B,'20Ф'!Z:Z)*1.2</f>
        <v>0</v>
      </c>
      <c r="CS276" s="276">
        <f>SUMIF('20Ф'!$H:$H,$B:$B,'20Ф'!AB:AB)*1.2</f>
        <v>0</v>
      </c>
      <c r="CT276" s="276">
        <f>SUMIF('20Ф'!$H:$H,$B:$B,'20Ф'!AC:AC)*1.2</f>
        <v>0</v>
      </c>
      <c r="CU276" s="276">
        <f>SUMIF('20Ф'!$H:$H,$B:$B,'20Ф'!AD:AD)*1.2</f>
        <v>0</v>
      </c>
      <c r="CV276" s="276">
        <f>SUMIF('20Ф'!$H:$H,$B:$B,'20Ф'!AE:AE)*1.2</f>
        <v>0</v>
      </c>
      <c r="CW276" s="276">
        <f>SUMIF('20Ф'!$H:$H,$B:$B,'20Ф'!AF:AF)*1.2</f>
        <v>0</v>
      </c>
      <c r="CX276" s="276">
        <f>SUMIF('20Ф'!$H:$H,$B:$B,'20Ф'!AG:AG)*1.2</f>
        <v>0</v>
      </c>
      <c r="CY276" s="276">
        <f>SUMIF('20Ф'!$H:$H,$B:$B,'20Ф'!AH:AH)*1.2</f>
        <v>0</v>
      </c>
      <c r="CZ276" s="276">
        <f>SUMIF('20Ф'!$H:$H,$B:$B,'20Ф'!AI:AI)*1.2</f>
        <v>152271.348</v>
      </c>
      <c r="DA276" s="276">
        <f>SUMIF('20Ф'!$H:$H,$B:$B,'20Ф'!AJ:AJ)*1.2</f>
        <v>0</v>
      </c>
      <c r="DB276" s="276">
        <f>SUMIF('20Ф'!$H:$H,$B:$B,'20Ф'!AK:AK)*1.2</f>
        <v>0</v>
      </c>
      <c r="DC276" s="276">
        <f>SUMIF('20Ф'!$H:$H,$B:$B,'20Ф'!AL:AL)*1.2</f>
        <v>0</v>
      </c>
      <c r="DD276" s="276">
        <f>SUMIF('20Ф'!$H:$H,$B:$B,'20Ф'!AM:AM)*1.2</f>
        <v>0</v>
      </c>
      <c r="DE276" s="276">
        <f>SUMIF('20Ф'!$H:$H,$B:$B,'20Ф'!AN:AN)*1.2</f>
        <v>0</v>
      </c>
      <c r="DF276" s="276">
        <f>SUMIF('20Ф'!$H:$H,$B:$B,'20Ф'!AO:AO)*1.2</f>
        <v>0</v>
      </c>
      <c r="DG276" s="276">
        <f>SUMIF('20Ф'!$H:$H,$B:$B,'20Ф'!AP:AP)*1.2</f>
        <v>0</v>
      </c>
      <c r="DH276" s="276">
        <f>SUMIF('20Ф'!$H:$H,$B:$B,'20Ф'!AQ:AQ)*1.2</f>
        <v>0</v>
      </c>
      <c r="DI276" s="276">
        <f>SUMIF('20Ф'!$H:$H,$B:$B,'20Ф'!BA:BA)*1.2</f>
        <v>0</v>
      </c>
      <c r="DJ276" s="276">
        <f>SUMIF('20Ф'!$H:$H,$B:$B,'20Ф'!BB:BB)*1.2</f>
        <v>0</v>
      </c>
      <c r="DK276" s="276">
        <f>SUMIF('20Ф'!$H:$H,$B:$B,'20Ф'!BC:BC)*1.2</f>
        <v>0</v>
      </c>
      <c r="DL276" s="276">
        <f>$D276/$D$281*'20Ф'!$H$218</f>
        <v>76002.775299369823</v>
      </c>
      <c r="DM276" s="240">
        <f t="shared" si="52"/>
        <v>964224.469267098</v>
      </c>
      <c r="DN276" s="276">
        <f>SUMIF('20Ф'!$H:$H,$B:$B,'20Ф'!AV:AV)*1.2</f>
        <v>0</v>
      </c>
      <c r="DO276" s="276">
        <f>SUMIF('20Ф'!$H:$H,$B:$B,'20Ф'!AW:AW)*1.2+$D276/$D$281*'26Ф'!$D$42</f>
        <v>160444.69479697131</v>
      </c>
      <c r="DP276" s="276">
        <f>SUMIF('20Ф'!$H:$H,$B:$B,'20Ф'!AX:AX)*1.2</f>
        <v>0</v>
      </c>
      <c r="DQ276" s="276">
        <f>SUMIF('20Ф'!$H:$H,$B:$B,'20Ф'!AY:AY)*1.2</f>
        <v>0</v>
      </c>
      <c r="DR276" s="276">
        <f>SUMIF('20Ф'!$H:$H,$B:$B,'20Ф'!AU:AU)*1.2</f>
        <v>0</v>
      </c>
      <c r="DS276" s="276">
        <f>SUMIF('20Ф'!$H:$H,$B:$B,'20Ф'!AS:AS)*1.2</f>
        <v>90341.028000000006</v>
      </c>
      <c r="DT276" s="276">
        <f>SUMIF('20Ф'!$H:$H,$B:$B,'20Ф'!AR:AR)*1.2</f>
        <v>0</v>
      </c>
      <c r="DU276" s="276">
        <f>SUMIF('20Ф'!$H:$H,$B:$B,'20Ф'!X:X)*1.2</f>
        <v>0</v>
      </c>
      <c r="DV276" s="276">
        <f>SUMIF('20Ф'!$H:$H,$B:$B,'20Ф'!AA:AA)*1.2</f>
        <v>0</v>
      </c>
      <c r="DW276" s="276">
        <f>SUMIF('20Ф'!$H:$H,$B:$B,'20Ф'!N:N)*1.2</f>
        <v>0</v>
      </c>
      <c r="DX276" s="276">
        <f>$D276/$D$281*('25Ф'!$D$37)</f>
        <v>679825.52909609245</v>
      </c>
      <c r="DY276" s="276">
        <f>$D276/$D$281*'25Ф'!$D$30</f>
        <v>21697.896794699187</v>
      </c>
      <c r="DZ276" s="276">
        <f>$D276/$D$281*'25Ф'!$D$31</f>
        <v>11915.320579335119</v>
      </c>
      <c r="EA276" s="276"/>
      <c r="EB276" s="276">
        <f t="shared" si="53"/>
        <v>428300.75323214789</v>
      </c>
      <c r="EC276" s="276">
        <f>$D276/$D$281*'26Ф'!$D$36</f>
        <v>222944.33538087472</v>
      </c>
      <c r="ED276" s="276">
        <f>$D276/$D$281*'26Ф'!$D$37</f>
        <v>26786.523786820064</v>
      </c>
      <c r="EE276" s="276">
        <f>$D276/$D$281*'26Ф'!$D$38</f>
        <v>27061.245946560241</v>
      </c>
      <c r="EF276" s="276">
        <f>$D276/$D$281*'26Ф'!$D$39</f>
        <v>18983.439333351722</v>
      </c>
      <c r="EG276" s="276">
        <f>$D276/$D$281*'91Ф'!$D$10</f>
        <v>5856.3831392324319</v>
      </c>
      <c r="EH276" s="276">
        <f>$D276/$D$281*('20Ф'!$I$509+'26Ф'!$D$41+'20Ф'!$I$507)</f>
        <v>41431.982294383524</v>
      </c>
      <c r="EI276" s="276">
        <f>$D276/$D$281*'91Ф'!$D$31</f>
        <v>75950.909062766426</v>
      </c>
      <c r="EJ276" s="276">
        <f>$D276/$D$281*'20Ф'!$I$1316</f>
        <v>9285.9342881587927</v>
      </c>
      <c r="EK276" s="276">
        <f>$D276/$D$281*('20Ф'!$I$1105+'20Ф'!$I$1282+'91Ф'!$D$17+'91Ф'!$D$41)</f>
        <v>304960.4274839001</v>
      </c>
      <c r="EL276" s="276">
        <f>$D276/$D$281*отчёт!BX$294</f>
        <v>509800.82908160507</v>
      </c>
      <c r="EM276" s="276">
        <f>$D276/$D$281*отчёт!BY$294</f>
        <v>448342.46406807058</v>
      </c>
      <c r="EN276" s="276">
        <f>$D276/$D$283*отчёт!BZ$294</f>
        <v>80463.457379742162</v>
      </c>
      <c r="EO276" s="240">
        <f t="shared" si="50"/>
        <v>370486.435001996</v>
      </c>
      <c r="EP276" s="276">
        <f>SUMIF('20Ф'!$H:$H,$B:$B,'20Ф'!T:T)*1.2</f>
        <v>14759.616</v>
      </c>
      <c r="EQ276" s="276">
        <f>SUM(H276:I276)/SUM($H$284:$I$284)*SUM('60Ф'!$O$155:$P$155)</f>
        <v>345020.52351297403</v>
      </c>
      <c r="ER276" s="276">
        <f>SUM($H276:$I276)/SUM($H$284:$I$284)*SUM('60Ф'!$P$227)</f>
        <v>10706.295489021955</v>
      </c>
      <c r="ES276" s="239">
        <f t="shared" si="56"/>
        <v>170630.53165952797</v>
      </c>
      <c r="ET276" s="276">
        <f>$D276/$D$282*'20Ф'!$I$381</f>
        <v>13041.455019745797</v>
      </c>
      <c r="EU276" s="276">
        <f>$D276/$D$282*('20Ф'!$I$75+'20Ф'!$I$1098)*1.2</f>
        <v>150634.5949373788</v>
      </c>
      <c r="EV276" s="276">
        <f>$D276/$D$282*('20Ф'!$I$1286)</f>
        <v>6954.4817024033719</v>
      </c>
      <c r="EW276" s="276">
        <f>SUMIF('91.1Ф'!$N:$N,$B:$B,'91.1Ф'!$F:$F)+$D276/$D$281*('91Ф'!$D$12+'91Ф'!$D$11+'91Ф'!$D$19+'91Ф'!$D$20)</f>
        <v>40192.293754968916</v>
      </c>
      <c r="EX276" s="276">
        <f t="shared" si="54"/>
        <v>0</v>
      </c>
      <c r="EY276" s="276">
        <f>SUMIF('20Ф'!$H:$H,$B:$B,'20Ф'!$AY:$AY)*1.2</f>
        <v>0</v>
      </c>
      <c r="EZ276" s="238"/>
      <c r="FA276" s="277">
        <f>SUMIF(отчёт!$B:$B,$B:$B,отчёт!$CU:$CU)/отчёт!$CU$281*'20Ф'!$I$1341</f>
        <v>0</v>
      </c>
      <c r="FB276" s="276">
        <f>SUMIF(Сальдо!$A:$A,$B:$B,Сальдо!$H:$H)-SUMIF(Сальдо!$A:$A,$B:$B,Сальдо!$I:$I)</f>
        <v>412103.56</v>
      </c>
    </row>
    <row r="277" spans="1:158" s="13" customFormat="1" ht="12" customHeight="1" x14ac:dyDescent="0.25">
      <c r="A277" s="3">
        <f t="shared" si="57"/>
        <v>273</v>
      </c>
      <c r="B277" s="4" t="s">
        <v>352</v>
      </c>
      <c r="C277" s="56"/>
      <c r="D277" s="233">
        <v>3526.3</v>
      </c>
      <c r="E277" s="234">
        <v>3526.3</v>
      </c>
      <c r="F277" s="235">
        <v>0</v>
      </c>
      <c r="G277" s="234">
        <v>1356.5</v>
      </c>
      <c r="H277" s="5">
        <f>SUMIF(отчёт!$B:$B,$B:$B,отчёт!I:I)</f>
        <v>1</v>
      </c>
      <c r="I277" s="5">
        <f>SUMIF(отчёт!$B:$B,$B:$B,отчёт!J:J)</f>
        <v>1</v>
      </c>
      <c r="J277" s="3" t="s">
        <v>321</v>
      </c>
      <c r="K277" s="105">
        <v>1</v>
      </c>
      <c r="L277" s="105"/>
      <c r="M277" s="12"/>
      <c r="N277" s="8"/>
      <c r="O277" s="8"/>
      <c r="P277" s="8"/>
      <c r="Q277" s="8"/>
      <c r="R277" s="8"/>
      <c r="S277" s="8"/>
      <c r="T277" s="8"/>
      <c r="U277" s="8"/>
      <c r="V277" s="9"/>
      <c r="W277" s="9"/>
      <c r="X277" s="9"/>
      <c r="Y277" s="8"/>
      <c r="Z277" s="9"/>
      <c r="AA277" s="9"/>
      <c r="AB277" s="8"/>
      <c r="AC277" s="10"/>
      <c r="AD277" s="8"/>
      <c r="AE277" s="8"/>
      <c r="AF277" s="8"/>
      <c r="AG277" s="7"/>
      <c r="AH277" s="8"/>
      <c r="AI277" s="8"/>
      <c r="AJ277" s="8"/>
      <c r="AK277" s="8"/>
      <c r="AL277" s="8"/>
      <c r="AM277" s="8"/>
      <c r="AN277" s="8"/>
      <c r="AO277" s="8"/>
      <c r="AP277" s="16"/>
      <c r="AQ277" s="7">
        <v>41.47</v>
      </c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F277" s="277">
        <f>SUMIF(Оборот!$A:$A,$B:$B,Оборот!H:H)</f>
        <v>1744577.0399999998</v>
      </c>
      <c r="CG277" s="277">
        <f>SUMIF(Оборот!$A:$A,$B:$B,Оборот!I:I)</f>
        <v>1650131.65</v>
      </c>
      <c r="CH277" s="277">
        <f t="shared" si="51"/>
        <v>1574137.2913223854</v>
      </c>
      <c r="CI277" s="239">
        <f t="shared" si="55"/>
        <v>73334.981311531868</v>
      </c>
      <c r="CJ277" s="276">
        <f>SUMIF('20Ф'!$H:$H,$B:$B,'20Ф'!M:M)*1.2</f>
        <v>0</v>
      </c>
      <c r="CK277" s="276">
        <f>SUMIF('20Ф'!$H:$H,$B:$B,'20Ф'!O:O)*1.2</f>
        <v>33848.879999999997</v>
      </c>
      <c r="CL277" s="276">
        <f>SUMIF('20Ф'!$H:$H,$B:$B,'20Ф'!Q:Q)*1.2</f>
        <v>0</v>
      </c>
      <c r="CM277" s="276">
        <f>SUMIF('20Ф'!$H:$H,$B:$B,'20Ф'!R:R)*1.2</f>
        <v>0</v>
      </c>
      <c r="CN277" s="276">
        <f>SUMIF('20Ф'!$H:$H,$B:$B,'20Ф'!S:S)*1.2</f>
        <v>0</v>
      </c>
      <c r="CO277" s="276">
        <f>SUMIF('20Ф'!$H:$H,$B:$B,'20Ф'!W:W)*1.2</f>
        <v>0</v>
      </c>
      <c r="CP277" s="276">
        <f>SUMIF('20Ф'!$H:$H,$B:$B,'20Ф'!P:P)*1.2</f>
        <v>0</v>
      </c>
      <c r="CQ277" s="276">
        <f>SUMIF('20Ф'!$H:$H,$B:$B,'20Ф'!Y:Y)*1.2</f>
        <v>0</v>
      </c>
      <c r="CR277" s="276">
        <f>SUMIF('20Ф'!$H:$H,$B:$B,'20Ф'!Z:Z)*1.2</f>
        <v>0</v>
      </c>
      <c r="CS277" s="276">
        <f>SUMIF('20Ф'!$H:$H,$B:$B,'20Ф'!AB:AB)*1.2</f>
        <v>0</v>
      </c>
      <c r="CT277" s="276">
        <f>SUMIF('20Ф'!$H:$H,$B:$B,'20Ф'!AC:AC)*1.2</f>
        <v>0</v>
      </c>
      <c r="CU277" s="276">
        <f>SUMIF('20Ф'!$H:$H,$B:$B,'20Ф'!AD:AD)*1.2</f>
        <v>0</v>
      </c>
      <c r="CV277" s="276">
        <f>SUMIF('20Ф'!$H:$H,$B:$B,'20Ф'!AE:AE)*1.2</f>
        <v>0</v>
      </c>
      <c r="CW277" s="276">
        <f>SUMIF('20Ф'!$H:$H,$B:$B,'20Ф'!AF:AF)*1.2</f>
        <v>0</v>
      </c>
      <c r="CX277" s="276">
        <f>SUMIF('20Ф'!$H:$H,$B:$B,'20Ф'!AG:AG)*1.2</f>
        <v>0</v>
      </c>
      <c r="CY277" s="276">
        <f>SUMIF('20Ф'!$H:$H,$B:$B,'20Ф'!AH:AH)*1.2</f>
        <v>0</v>
      </c>
      <c r="CZ277" s="276">
        <f>SUMIF('20Ф'!$H:$H,$B:$B,'20Ф'!AI:AI)*1.2</f>
        <v>0</v>
      </c>
      <c r="DA277" s="276">
        <f>SUMIF('20Ф'!$H:$H,$B:$B,'20Ф'!AJ:AJ)*1.2</f>
        <v>8471.1119999999992</v>
      </c>
      <c r="DB277" s="276">
        <f>SUMIF('20Ф'!$H:$H,$B:$B,'20Ф'!AK:AK)*1.2</f>
        <v>0</v>
      </c>
      <c r="DC277" s="276">
        <f>SUMIF('20Ф'!$H:$H,$B:$B,'20Ф'!AL:AL)*1.2</f>
        <v>0</v>
      </c>
      <c r="DD277" s="276">
        <f>SUMIF('20Ф'!$H:$H,$B:$B,'20Ф'!AM:AM)*1.2</f>
        <v>0</v>
      </c>
      <c r="DE277" s="276">
        <f>SUMIF('20Ф'!$H:$H,$B:$B,'20Ф'!AN:AN)*1.2</f>
        <v>0</v>
      </c>
      <c r="DF277" s="276">
        <f>SUMIF('20Ф'!$H:$H,$B:$B,'20Ф'!AO:AO)*1.2</f>
        <v>0</v>
      </c>
      <c r="DG277" s="276">
        <f>SUMIF('20Ф'!$H:$H,$B:$B,'20Ф'!AP:AP)*1.2</f>
        <v>0</v>
      </c>
      <c r="DH277" s="276">
        <f>SUMIF('20Ф'!$H:$H,$B:$B,'20Ф'!AQ:AQ)*1.2</f>
        <v>0</v>
      </c>
      <c r="DI277" s="276">
        <f>SUMIF('20Ф'!$H:$H,$B:$B,'20Ф'!BA:BA)*1.2</f>
        <v>0</v>
      </c>
      <c r="DJ277" s="276">
        <f>SUMIF('20Ф'!$H:$H,$B:$B,'20Ф'!BB:BB)*1.2</f>
        <v>0</v>
      </c>
      <c r="DK277" s="276">
        <f>SUMIF('20Ф'!$H:$H,$B:$B,'20Ф'!BC:BC)*1.2</f>
        <v>0</v>
      </c>
      <c r="DL277" s="276">
        <f>$D277/$D$281*'20Ф'!$H$218</f>
        <v>31014.989311531866</v>
      </c>
      <c r="DM277" s="240">
        <f t="shared" si="52"/>
        <v>506468.47202047944</v>
      </c>
      <c r="DN277" s="276">
        <f>SUMIF('20Ф'!$H:$H,$B:$B,'20Ф'!AV:AV)*1.2</f>
        <v>0</v>
      </c>
      <c r="DO277" s="276">
        <f>SUMIF('20Ф'!$H:$H,$B:$B,'20Ф'!AW:AW)*1.2+$D277/$D$281*'26Ф'!$D$42</f>
        <v>136504.52384773517</v>
      </c>
      <c r="DP277" s="276">
        <f>SUMIF('20Ф'!$H:$H,$B:$B,'20Ф'!AX:AX)*1.2</f>
        <v>0</v>
      </c>
      <c r="DQ277" s="276">
        <f>SUMIF('20Ф'!$H:$H,$B:$B,'20Ф'!AY:AY)*1.2</f>
        <v>0</v>
      </c>
      <c r="DR277" s="276">
        <f>SUMIF('20Ф'!$H:$H,$B:$B,'20Ф'!AU:AU)*1.2</f>
        <v>0</v>
      </c>
      <c r="DS277" s="276">
        <f>SUMIF('20Ф'!$H:$H,$B:$B,'20Ф'!AS:AS)*1.2</f>
        <v>78825.960000000006</v>
      </c>
      <c r="DT277" s="276">
        <f>SUMIF('20Ф'!$H:$H,$B:$B,'20Ф'!AR:AR)*1.2</f>
        <v>0</v>
      </c>
      <c r="DU277" s="276">
        <f>SUMIF('20Ф'!$H:$H,$B:$B,'20Ф'!X:X)*1.2</f>
        <v>0</v>
      </c>
      <c r="DV277" s="276">
        <f>SUMIF('20Ф'!$H:$H,$B:$B,'20Ф'!AA:AA)*1.2</f>
        <v>0</v>
      </c>
      <c r="DW277" s="276">
        <f>SUMIF('20Ф'!$H:$H,$B:$B,'20Ф'!N:N)*1.2</f>
        <v>0</v>
      </c>
      <c r="DX277" s="276">
        <f>$D277/$D$281*('25Ф'!$D$37)</f>
        <v>277421.20515428897</v>
      </c>
      <c r="DY277" s="276">
        <f>$D277/$D$281*'25Ф'!$D$30</f>
        <v>8854.4139936939482</v>
      </c>
      <c r="DZ277" s="276">
        <f>$D277/$D$281*'25Ф'!$D$31</f>
        <v>4862.3690247613695</v>
      </c>
      <c r="EA277" s="276"/>
      <c r="EB277" s="276">
        <f t="shared" si="53"/>
        <v>174779.71338931168</v>
      </c>
      <c r="EC277" s="276">
        <f>$D277/$D$281*'26Ф'!$D$36</f>
        <v>90978.469558094395</v>
      </c>
      <c r="ED277" s="276">
        <f>$D277/$D$281*'26Ф'!$D$37</f>
        <v>10930.965950505321</v>
      </c>
      <c r="EE277" s="276">
        <f>$D277/$D$281*'26Ф'!$D$38</f>
        <v>11043.073762547985</v>
      </c>
      <c r="EF277" s="276">
        <f>$D277/$D$281*'26Ф'!$D$39</f>
        <v>7746.7061656747046</v>
      </c>
      <c r="EG277" s="276">
        <f>$D277/$D$281*'91Ф'!$D$10</f>
        <v>2389.8556302987445</v>
      </c>
      <c r="EH277" s="276">
        <f>$D277/$D$281*('20Ф'!$I$509+'26Ф'!$D$41+'20Ф'!$I$507)</f>
        <v>16907.441642154576</v>
      </c>
      <c r="EI277" s="276">
        <f>$D277/$D$281*'91Ф'!$D$31</f>
        <v>30993.823890038406</v>
      </c>
      <c r="EJ277" s="276">
        <f>$D277/$D$281*'20Ф'!$I$1316</f>
        <v>3789.3767899975646</v>
      </c>
      <c r="EK277" s="276">
        <f>$D277/$D$281*('20Ф'!$I$1105+'20Ф'!$I$1282+'91Ф'!$D$17+'91Ф'!$D$41)</f>
        <v>124447.35552876284</v>
      </c>
      <c r="EL277" s="276">
        <f>$D277/$D$281*отчёт!BX$294</f>
        <v>208038.02496284852</v>
      </c>
      <c r="EM277" s="276">
        <f>$D277/$D$281*отчёт!BY$294</f>
        <v>182958.27588143831</v>
      </c>
      <c r="EN277" s="276">
        <f>$D277/$D$283*отчёт!BZ$294</f>
        <v>32835.291353134249</v>
      </c>
      <c r="EO277" s="240">
        <f t="shared" si="50"/>
        <v>185243.217500998</v>
      </c>
      <c r="EP277" s="276">
        <f>SUMIF('20Ф'!$H:$H,$B:$B,'20Ф'!T:T)*1.2</f>
        <v>7379.808</v>
      </c>
      <c r="EQ277" s="276">
        <f>SUM(H277:I277)/SUM($H$284:$I$284)*SUM('60Ф'!$O$155:$P$155)</f>
        <v>172510.26175648702</v>
      </c>
      <c r="ER277" s="276">
        <f>SUM($H277:$I277)/SUM($H$284:$I$284)*SUM('60Ф'!$P$227)</f>
        <v>5353.1477445109776</v>
      </c>
      <c r="ES277" s="239">
        <f t="shared" si="56"/>
        <v>69630.406189721587</v>
      </c>
      <c r="ET277" s="276">
        <f>$D277/$D$282*'20Ф'!$I$381</f>
        <v>5321.9186595623341</v>
      </c>
      <c r="EU277" s="276">
        <f>$D277/$D$282*('20Ф'!$I$75+'20Ф'!$I$1098)*1.2</f>
        <v>61470.523063497552</v>
      </c>
      <c r="EV277" s="276">
        <f>$D277/$D$282*('20Ф'!$I$1286)</f>
        <v>2837.9644666616923</v>
      </c>
      <c r="EW277" s="276">
        <f>SUMIF('91.1Ф'!$N:$N,$B:$B,'91.1Ф'!$F:$F)+$D277/$D$281*('91Ф'!$D$12+'91Ф'!$D$11+'91Ф'!$D$19+'91Ф'!$D$20)</f>
        <v>16401.553184159129</v>
      </c>
      <c r="EX277" s="276">
        <f t="shared" si="54"/>
        <v>0</v>
      </c>
      <c r="EY277" s="276">
        <f>SUMIF('20Ф'!$H:$H,$B:$B,'20Ф'!$AY:$AY)*1.2</f>
        <v>0</v>
      </c>
      <c r="EZ277" s="238"/>
      <c r="FA277" s="277">
        <f>SUMIF(отчёт!$B:$B,$B:$B,отчёт!$CU:$CU)/отчёт!$CU$281*'20Ф'!$I$1341</f>
        <v>0</v>
      </c>
      <c r="FB277" s="276">
        <f>SUMIF(Сальдо!$A:$A,$B:$B,Сальдо!$H:$H)-SUMIF(Сальдо!$A:$A,$B:$B,Сальдо!$I:$I)</f>
        <v>198343.75999999998</v>
      </c>
    </row>
    <row r="278" spans="1:158" s="13" customFormat="1" ht="12" customHeight="1" x14ac:dyDescent="0.25">
      <c r="A278" s="3">
        <f t="shared" si="57"/>
        <v>274</v>
      </c>
      <c r="B278" s="4" t="s">
        <v>353</v>
      </c>
      <c r="C278" s="56"/>
      <c r="D278" s="233">
        <v>12594.5</v>
      </c>
      <c r="E278" s="234">
        <v>12320</v>
      </c>
      <c r="F278" s="235">
        <v>274.5</v>
      </c>
      <c r="G278" s="234">
        <v>4453.8999999999996</v>
      </c>
      <c r="H278" s="5">
        <f>SUMIF(отчёт!$B:$B,$B:$B,отчёт!I:I)</f>
        <v>3</v>
      </c>
      <c r="I278" s="5">
        <f>SUMIF(отчёт!$B:$B,$B:$B,отчёт!J:J)</f>
        <v>3</v>
      </c>
      <c r="J278" s="3" t="s">
        <v>321</v>
      </c>
      <c r="K278" s="105">
        <v>1</v>
      </c>
      <c r="L278" s="105"/>
      <c r="M278" s="12"/>
      <c r="N278" s="8"/>
      <c r="O278" s="8"/>
      <c r="P278" s="8"/>
      <c r="Q278" s="8"/>
      <c r="R278" s="8"/>
      <c r="S278" s="8"/>
      <c r="T278" s="8"/>
      <c r="U278" s="8"/>
      <c r="V278" s="9"/>
      <c r="W278" s="9"/>
      <c r="X278" s="9"/>
      <c r="Y278" s="8"/>
      <c r="Z278" s="9"/>
      <c r="AA278" s="9"/>
      <c r="AB278" s="8"/>
      <c r="AC278" s="10"/>
      <c r="AD278" s="8"/>
      <c r="AE278" s="8"/>
      <c r="AF278" s="8"/>
      <c r="AG278" s="7"/>
      <c r="AH278" s="8"/>
      <c r="AI278" s="8"/>
      <c r="AJ278" s="8"/>
      <c r="AK278" s="8"/>
      <c r="AL278" s="8"/>
      <c r="AM278" s="8"/>
      <c r="AN278" s="8"/>
      <c r="AO278" s="8"/>
      <c r="AP278" s="16"/>
      <c r="AQ278" s="7">
        <v>41.47</v>
      </c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F278" s="277">
        <f>SUMIF(Оборот!$A:$A,$B:$B,Оборот!H:H)</f>
        <v>6100620.96</v>
      </c>
      <c r="CG278" s="277">
        <f>SUMIF(Оборот!$A:$A,$B:$B,Оборот!I:I)</f>
        <v>5933243.0399999991</v>
      </c>
      <c r="CH278" s="277">
        <f t="shared" si="51"/>
        <v>6681267.5368831838</v>
      </c>
      <c r="CI278" s="239">
        <f t="shared" si="55"/>
        <v>1662307.5768753903</v>
      </c>
      <c r="CJ278" s="276">
        <f>SUMIF('20Ф'!$H:$H,$B:$B,'20Ф'!M:M)*1.2</f>
        <v>295536.09599999996</v>
      </c>
      <c r="CK278" s="276">
        <f>SUMIF('20Ф'!$H:$H,$B:$B,'20Ф'!O:O)*1.2</f>
        <v>529583.62800000003</v>
      </c>
      <c r="CL278" s="276">
        <f>SUMIF('20Ф'!$H:$H,$B:$B,'20Ф'!Q:Q)*1.2</f>
        <v>155280</v>
      </c>
      <c r="CM278" s="276">
        <f>SUMIF('20Ф'!$H:$H,$B:$B,'20Ф'!R:R)*1.2</f>
        <v>0</v>
      </c>
      <c r="CN278" s="276">
        <f>SUMIF('20Ф'!$H:$H,$B:$B,'20Ф'!S:S)*1.2</f>
        <v>0</v>
      </c>
      <c r="CO278" s="276">
        <f>SUMIF('20Ф'!$H:$H,$B:$B,'20Ф'!W:W)*1.2</f>
        <v>0</v>
      </c>
      <c r="CP278" s="276">
        <f>SUMIF('20Ф'!$H:$H,$B:$B,'20Ф'!P:P)*1.2</f>
        <v>0</v>
      </c>
      <c r="CQ278" s="276">
        <f>SUMIF('20Ф'!$H:$H,$B:$B,'20Ф'!Y:Y)*1.2</f>
        <v>0</v>
      </c>
      <c r="CR278" s="276">
        <f>SUMIF('20Ф'!$H:$H,$B:$B,'20Ф'!Z:Z)*1.2</f>
        <v>0</v>
      </c>
      <c r="CS278" s="276">
        <f>SUMIF('20Ф'!$H:$H,$B:$B,'20Ф'!AB:AB)*1.2</f>
        <v>0</v>
      </c>
      <c r="CT278" s="276">
        <f>SUMIF('20Ф'!$H:$H,$B:$B,'20Ф'!AC:AC)*1.2</f>
        <v>0</v>
      </c>
      <c r="CU278" s="276">
        <f>SUMIF('20Ф'!$H:$H,$B:$B,'20Ф'!AD:AD)*1.2</f>
        <v>0</v>
      </c>
      <c r="CV278" s="276">
        <f>SUMIF('20Ф'!$H:$H,$B:$B,'20Ф'!AE:AE)*1.2</f>
        <v>0</v>
      </c>
      <c r="CW278" s="276">
        <f>SUMIF('20Ф'!$H:$H,$B:$B,'20Ф'!AF:AF)*1.2</f>
        <v>0</v>
      </c>
      <c r="CX278" s="276">
        <f>SUMIF('20Ф'!$H:$H,$B:$B,'20Ф'!AG:AG)*1.2</f>
        <v>0</v>
      </c>
      <c r="CY278" s="276">
        <f>SUMIF('20Ф'!$H:$H,$B:$B,'20Ф'!AH:AH)*1.2</f>
        <v>0</v>
      </c>
      <c r="CZ278" s="276">
        <f>SUMIF('20Ф'!$H:$H,$B:$B,'20Ф'!AI:AI)*1.2</f>
        <v>472978.93199999997</v>
      </c>
      <c r="DA278" s="276">
        <f>SUMIF('20Ф'!$H:$H,$B:$B,'20Ф'!AJ:AJ)*1.2</f>
        <v>9594.0360000000001</v>
      </c>
      <c r="DB278" s="276">
        <f>SUMIF('20Ф'!$H:$H,$B:$B,'20Ф'!AK:AK)*1.2</f>
        <v>0</v>
      </c>
      <c r="DC278" s="276">
        <f>SUMIF('20Ф'!$H:$H,$B:$B,'20Ф'!AL:AL)*1.2</f>
        <v>88562.04</v>
      </c>
      <c r="DD278" s="276">
        <f>SUMIF('20Ф'!$H:$H,$B:$B,'20Ф'!AM:AM)*1.2</f>
        <v>0</v>
      </c>
      <c r="DE278" s="276">
        <f>SUMIF('20Ф'!$H:$H,$B:$B,'20Ф'!AN:AN)*1.2</f>
        <v>0</v>
      </c>
      <c r="DF278" s="276">
        <f>SUMIF('20Ф'!$H:$H,$B:$B,'20Ф'!AO:AO)*1.2</f>
        <v>0</v>
      </c>
      <c r="DG278" s="276">
        <f>SUMIF('20Ф'!$H:$H,$B:$B,'20Ф'!AP:AP)*1.2</f>
        <v>0</v>
      </c>
      <c r="DH278" s="276">
        <f>SUMIF('20Ф'!$H:$H,$B:$B,'20Ф'!AQ:AQ)*1.2</f>
        <v>0</v>
      </c>
      <c r="DI278" s="276">
        <f>SUMIF('20Ф'!$H:$H,$B:$B,'20Ф'!BA:BA)*1.2</f>
        <v>0</v>
      </c>
      <c r="DJ278" s="276">
        <f>SUMIF('20Ф'!$H:$H,$B:$B,'20Ф'!BB:BB)*1.2</f>
        <v>0</v>
      </c>
      <c r="DK278" s="276">
        <f>SUMIF('20Ф'!$H:$H,$B:$B,'20Ф'!BC:BC)*1.2</f>
        <v>0</v>
      </c>
      <c r="DL278" s="276">
        <f>$D278/$D$281*'20Ф'!$H$218</f>
        <v>110772.8448753901</v>
      </c>
      <c r="DM278" s="240">
        <f t="shared" si="52"/>
        <v>1573489.8373935085</v>
      </c>
      <c r="DN278" s="276">
        <f>SUMIF('20Ф'!$H:$H,$B:$B,'20Ф'!AV:AV)*1.2</f>
        <v>0</v>
      </c>
      <c r="DO278" s="276">
        <f>SUMIF('20Ф'!$H:$H,$B:$B,'20Ф'!AW:AW)*1.2+$D278/$D$281*'26Ф'!$D$42</f>
        <v>178947.5259830135</v>
      </c>
      <c r="DP278" s="276">
        <f>SUMIF('20Ф'!$H:$H,$B:$B,'20Ф'!AX:AX)*1.2</f>
        <v>0</v>
      </c>
      <c r="DQ278" s="276">
        <f>SUMIF('20Ф'!$H:$H,$B:$B,'20Ф'!AY:AY)*1.2</f>
        <v>0</v>
      </c>
      <c r="DR278" s="276">
        <f>SUMIF('20Ф'!$H:$H,$B:$B,'20Ф'!AU:AU)*1.2</f>
        <v>0</v>
      </c>
      <c r="DS278" s="276">
        <f>SUMIF('20Ф'!$H:$H,$B:$B,'20Ф'!AS:AS)*1.2</f>
        <v>354716.60399999999</v>
      </c>
      <c r="DT278" s="276">
        <f>SUMIF('20Ф'!$H:$H,$B:$B,'20Ф'!AR:AR)*1.2</f>
        <v>0</v>
      </c>
      <c r="DU278" s="276">
        <f>SUMIF('20Ф'!$H:$H,$B:$B,'20Ф'!X:X)*1.2</f>
        <v>0</v>
      </c>
      <c r="DV278" s="276">
        <f>SUMIF('20Ф'!$H:$H,$B:$B,'20Ф'!AA:AA)*1.2</f>
        <v>0</v>
      </c>
      <c r="DW278" s="276">
        <f>SUMIF('20Ф'!$H:$H,$B:$B,'20Ф'!N:N)*1.2</f>
        <v>0</v>
      </c>
      <c r="DX278" s="276">
        <f>$D278/$D$281*('25Ф'!$D$37)</f>
        <v>990834.97385806439</v>
      </c>
      <c r="DY278" s="276">
        <f>$D278/$D$281*'25Ф'!$D$30</f>
        <v>31624.341957172794</v>
      </c>
      <c r="DZ278" s="276">
        <f>$D278/$D$281*'25Ф'!$D$31</f>
        <v>17366.391595257657</v>
      </c>
      <c r="EA278" s="276"/>
      <c r="EB278" s="276">
        <f t="shared" si="53"/>
        <v>624241.58474369347</v>
      </c>
      <c r="EC278" s="276">
        <f>$D278/$D$281*'26Ф'!$D$36</f>
        <v>324937.84841035074</v>
      </c>
      <c r="ED278" s="276">
        <f>$D278/$D$281*'26Ф'!$D$37</f>
        <v>39040.935446116113</v>
      </c>
      <c r="EE278" s="276">
        <f>$D278/$D$281*'26Ф'!$D$38</f>
        <v>39441.338655931315</v>
      </c>
      <c r="EF278" s="276">
        <f>$D278/$D$281*'26Ф'!$D$39</f>
        <v>27668.063069957196</v>
      </c>
      <c r="EG278" s="276">
        <f>$D278/$D$281*'91Ф'!$D$10</f>
        <v>8535.5859500886309</v>
      </c>
      <c r="EH278" s="276">
        <f>$D278/$D$281*('20Ф'!$I$509+'26Ф'!$D$41+'20Ф'!$I$507)</f>
        <v>60386.459961465509</v>
      </c>
      <c r="EI278" s="276">
        <f>$D278/$D$281*'91Ф'!$D$31</f>
        <v>110697.25065453556</v>
      </c>
      <c r="EJ278" s="276">
        <f>$D278/$D$281*'20Ф'!$I$1316</f>
        <v>13534.102595248371</v>
      </c>
      <c r="EK278" s="276">
        <f>$D278/$D$281*('20Ф'!$I$1105+'20Ф'!$I$1282+'91Ф'!$D$17+'91Ф'!$D$41)</f>
        <v>444475.0075736618</v>
      </c>
      <c r="EL278" s="276">
        <f>$D278/$D$281*отчёт!BX$294</f>
        <v>743026.65836559446</v>
      </c>
      <c r="EM278" s="276">
        <f>$D278/$D$281*отчёт!BY$294</f>
        <v>653452.0618179891</v>
      </c>
      <c r="EN278" s="276">
        <f>$D278/$D$283*отчёт!BZ$294</f>
        <v>117274.21857103742</v>
      </c>
      <c r="EO278" s="240">
        <f t="shared" si="50"/>
        <v>555729.65250299405</v>
      </c>
      <c r="EP278" s="276">
        <f>SUMIF('20Ф'!$H:$H,$B:$B,'20Ф'!T:T)*1.2</f>
        <v>22139.423999999999</v>
      </c>
      <c r="EQ278" s="276">
        <f>SUM(H278:I278)/SUM($H$284:$I$284)*SUM('60Ф'!$O$155:$P$155)</f>
        <v>517530.78526946111</v>
      </c>
      <c r="ER278" s="276">
        <f>SUM($H278:$I278)/SUM($H$284:$I$284)*SUM('60Ф'!$P$227)</f>
        <v>16059.443233532935</v>
      </c>
      <c r="ES278" s="239">
        <f t="shared" si="56"/>
        <v>248691.30554871919</v>
      </c>
      <c r="ET278" s="276">
        <f>$D278/$D$282*'20Ф'!$I$381</f>
        <v>19007.714759906365</v>
      </c>
      <c r="EU278" s="276">
        <f>$D278/$D$282*('20Ф'!$I$75+'20Ф'!$I$1098)*1.2</f>
        <v>219547.54352245128</v>
      </c>
      <c r="EV278" s="276">
        <f>$D278/$D$282*('20Ф'!$I$1286)</f>
        <v>10136.047266361535</v>
      </c>
      <c r="EW278" s="276">
        <f>SUMIF('91.1Ф'!$N:$N,$B:$B,'91.1Ф'!$F:$F)+$D278/$D$281*('91Ф'!$D$12+'91Ф'!$D$11+'91Ф'!$D$19+'91Ф'!$D$20)</f>
        <v>58579.633490596985</v>
      </c>
      <c r="EX278" s="276">
        <f t="shared" si="54"/>
        <v>0</v>
      </c>
      <c r="EY278" s="276">
        <f>SUMIF('20Ф'!$H:$H,$B:$B,'20Ф'!$AY:$AY)*1.2</f>
        <v>0</v>
      </c>
      <c r="EZ278" s="238"/>
      <c r="FA278" s="277">
        <f>SUMIF(отчёт!$B:$B,$B:$B,отчёт!$CU:$CU)/отчёт!$CU$281*'20Ф'!$I$1341</f>
        <v>0</v>
      </c>
      <c r="FB278" s="276">
        <f>SUMIF(Сальдо!$A:$A,$B:$B,Сальдо!$H:$H)-SUMIF(Сальдо!$A:$A,$B:$B,Сальдо!$I:$I)</f>
        <v>591663.33000000007</v>
      </c>
    </row>
    <row r="279" spans="1:158" s="13" customFormat="1" ht="12" customHeight="1" x14ac:dyDescent="0.25">
      <c r="A279" s="3">
        <f t="shared" si="57"/>
        <v>275</v>
      </c>
      <c r="B279" s="4" t="s">
        <v>354</v>
      </c>
      <c r="C279" s="56"/>
      <c r="D279" s="233">
        <v>3755.4</v>
      </c>
      <c r="E279" s="234">
        <v>3536.6</v>
      </c>
      <c r="F279" s="235">
        <v>218.8</v>
      </c>
      <c r="G279" s="234">
        <v>1635.6</v>
      </c>
      <c r="H279" s="5">
        <f>SUMIF(отчёт!$B:$B,$B:$B,отчёт!I:I)</f>
        <v>1</v>
      </c>
      <c r="I279" s="5">
        <f>SUMIF(отчёт!$B:$B,$B:$B,отчёт!J:J)</f>
        <v>1</v>
      </c>
      <c r="J279" s="3" t="s">
        <v>321</v>
      </c>
      <c r="K279" s="105">
        <v>1</v>
      </c>
      <c r="L279" s="105"/>
      <c r="M279" s="12"/>
      <c r="N279" s="8"/>
      <c r="O279" s="8"/>
      <c r="P279" s="8"/>
      <c r="Q279" s="8"/>
      <c r="R279" s="8"/>
      <c r="S279" s="8"/>
      <c r="T279" s="8"/>
      <c r="U279" s="8"/>
      <c r="V279" s="9"/>
      <c r="W279" s="9"/>
      <c r="X279" s="9"/>
      <c r="Y279" s="8"/>
      <c r="Z279" s="9"/>
      <c r="AA279" s="9"/>
      <c r="AB279" s="8"/>
      <c r="AC279" s="10"/>
      <c r="AD279" s="8"/>
      <c r="AE279" s="8"/>
      <c r="AF279" s="8"/>
      <c r="AG279" s="7"/>
      <c r="AH279" s="8"/>
      <c r="AI279" s="8"/>
      <c r="AJ279" s="8"/>
      <c r="AK279" s="8"/>
      <c r="AL279" s="8"/>
      <c r="AM279" s="8"/>
      <c r="AN279" s="8"/>
      <c r="AO279" s="8"/>
      <c r="AP279" s="16"/>
      <c r="AQ279" s="7">
        <v>41.47</v>
      </c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F279" s="277">
        <f>SUMIF(Оборот!$A:$A,$B:$B,Оборот!H:H)</f>
        <v>1655221.7000000002</v>
      </c>
      <c r="CG279" s="277">
        <f>SUMIF(Оборот!$A:$A,$B:$B,Оборот!I:I)</f>
        <v>1657227.93</v>
      </c>
      <c r="CH279" s="277">
        <f t="shared" si="51"/>
        <v>1689775.0780509342</v>
      </c>
      <c r="CI279" s="239">
        <f t="shared" si="55"/>
        <v>58539.600527614435</v>
      </c>
      <c r="CJ279" s="276">
        <f>SUMIF('20Ф'!$H:$H,$B:$B,'20Ф'!M:M)*1.2</f>
        <v>0</v>
      </c>
      <c r="CK279" s="276">
        <f>SUMIF('20Ф'!$H:$H,$B:$B,'20Ф'!O:O)*1.2</f>
        <v>0</v>
      </c>
      <c r="CL279" s="276">
        <f>SUMIF('20Ф'!$H:$H,$B:$B,'20Ф'!Q:Q)*1.2</f>
        <v>0</v>
      </c>
      <c r="CM279" s="276">
        <f>SUMIF('20Ф'!$H:$H,$B:$B,'20Ф'!R:R)*1.2</f>
        <v>0</v>
      </c>
      <c r="CN279" s="276">
        <f>SUMIF('20Ф'!$H:$H,$B:$B,'20Ф'!S:S)*1.2</f>
        <v>0</v>
      </c>
      <c r="CO279" s="276">
        <f>SUMIF('20Ф'!$H:$H,$B:$B,'20Ф'!W:W)*1.2</f>
        <v>0</v>
      </c>
      <c r="CP279" s="276">
        <f>SUMIF('20Ф'!$H:$H,$B:$B,'20Ф'!P:P)*1.2</f>
        <v>0</v>
      </c>
      <c r="CQ279" s="276">
        <f>SUMIF('20Ф'!$H:$H,$B:$B,'20Ф'!Y:Y)*1.2</f>
        <v>0</v>
      </c>
      <c r="CR279" s="276">
        <f>SUMIF('20Ф'!$H:$H,$B:$B,'20Ф'!Z:Z)*1.2</f>
        <v>0</v>
      </c>
      <c r="CS279" s="276">
        <f>SUMIF('20Ф'!$H:$H,$B:$B,'20Ф'!AB:AB)*1.2</f>
        <v>0</v>
      </c>
      <c r="CT279" s="276">
        <f>SUMIF('20Ф'!$H:$H,$B:$B,'20Ф'!AC:AC)*1.2</f>
        <v>0</v>
      </c>
      <c r="CU279" s="276">
        <f>SUMIF('20Ф'!$H:$H,$B:$B,'20Ф'!AD:AD)*1.2</f>
        <v>0</v>
      </c>
      <c r="CV279" s="276">
        <f>SUMIF('20Ф'!$H:$H,$B:$B,'20Ф'!AE:AE)*1.2</f>
        <v>0</v>
      </c>
      <c r="CW279" s="276">
        <f>SUMIF('20Ф'!$H:$H,$B:$B,'20Ф'!AF:AF)*1.2</f>
        <v>0</v>
      </c>
      <c r="CX279" s="276">
        <f>SUMIF('20Ф'!$H:$H,$B:$B,'20Ф'!AG:AG)*1.2</f>
        <v>0</v>
      </c>
      <c r="CY279" s="276">
        <f>SUMIF('20Ф'!$H:$H,$B:$B,'20Ф'!AH:AH)*1.2</f>
        <v>0</v>
      </c>
      <c r="CZ279" s="276">
        <f>SUMIF('20Ф'!$H:$H,$B:$B,'20Ф'!AI:AI)*1.2</f>
        <v>0</v>
      </c>
      <c r="DA279" s="276">
        <f>SUMIF('20Ф'!$H:$H,$B:$B,'20Ф'!AJ:AJ)*1.2</f>
        <v>25509.599999999999</v>
      </c>
      <c r="DB279" s="276">
        <f>SUMIF('20Ф'!$H:$H,$B:$B,'20Ф'!AK:AK)*1.2</f>
        <v>0</v>
      </c>
      <c r="DC279" s="276">
        <f>SUMIF('20Ф'!$H:$H,$B:$B,'20Ф'!AL:AL)*1.2</f>
        <v>0</v>
      </c>
      <c r="DD279" s="276">
        <f>SUMIF('20Ф'!$H:$H,$B:$B,'20Ф'!AM:AM)*1.2</f>
        <v>0</v>
      </c>
      <c r="DE279" s="276">
        <f>SUMIF('20Ф'!$H:$H,$B:$B,'20Ф'!AN:AN)*1.2</f>
        <v>0</v>
      </c>
      <c r="DF279" s="276">
        <f>SUMIF('20Ф'!$H:$H,$B:$B,'20Ф'!AO:AO)*1.2</f>
        <v>0</v>
      </c>
      <c r="DG279" s="276">
        <f>SUMIF('20Ф'!$H:$H,$B:$B,'20Ф'!AP:AP)*1.2</f>
        <v>0</v>
      </c>
      <c r="DH279" s="276">
        <f>SUMIF('20Ф'!$H:$H,$B:$B,'20Ф'!AQ:AQ)*1.2</f>
        <v>0</v>
      </c>
      <c r="DI279" s="276">
        <f>SUMIF('20Ф'!$H:$H,$B:$B,'20Ф'!BA:BA)*1.2</f>
        <v>0</v>
      </c>
      <c r="DJ279" s="276">
        <f>SUMIF('20Ф'!$H:$H,$B:$B,'20Ф'!BB:BB)*1.2</f>
        <v>0</v>
      </c>
      <c r="DK279" s="276">
        <f>SUMIF('20Ф'!$H:$H,$B:$B,'20Ф'!BC:BC)*1.2</f>
        <v>0</v>
      </c>
      <c r="DL279" s="276">
        <f>$D279/$D$281*'20Ф'!$H$218</f>
        <v>33030.000527614437</v>
      </c>
      <c r="DM279" s="240">
        <f t="shared" si="52"/>
        <v>584335.8733887953</v>
      </c>
      <c r="DN279" s="276">
        <f>SUMIF('20Ф'!$H:$H,$B:$B,'20Ф'!AV:AV)*1.2</f>
        <v>0</v>
      </c>
      <c r="DO279" s="276">
        <f>SUMIF('20Ф'!$H:$H,$B:$B,'20Ф'!AW:AW)*1.2+$D279/$D$281*'26Ф'!$D$42</f>
        <v>137576.80851163674</v>
      </c>
      <c r="DP279" s="276">
        <f>SUMIF('20Ф'!$H:$H,$B:$B,'20Ф'!AX:AX)*1.2</f>
        <v>0</v>
      </c>
      <c r="DQ279" s="276">
        <f>SUMIF('20Ф'!$H:$H,$B:$B,'20Ф'!AY:AY)*1.2</f>
        <v>0</v>
      </c>
      <c r="DR279" s="276">
        <f>SUMIF('20Ф'!$H:$H,$B:$B,'20Ф'!AU:AU)*1.2</f>
        <v>0</v>
      </c>
      <c r="DS279" s="276">
        <f>SUMIF('20Ф'!$H:$H,$B:$B,'20Ф'!AS:AS)*1.2</f>
        <v>136706.14799999999</v>
      </c>
      <c r="DT279" s="276">
        <f>SUMIF('20Ф'!$H:$H,$B:$B,'20Ф'!AR:AR)*1.2</f>
        <v>0</v>
      </c>
      <c r="DU279" s="276">
        <f>SUMIF('20Ф'!$H:$H,$B:$B,'20Ф'!X:X)*1.2</f>
        <v>0</v>
      </c>
      <c r="DV279" s="276">
        <f>SUMIF('20Ф'!$H:$H,$B:$B,'20Ф'!AA:AA)*1.2</f>
        <v>0</v>
      </c>
      <c r="DW279" s="276">
        <f>SUMIF('20Ф'!$H:$H,$B:$B,'20Ф'!N:N)*1.2</f>
        <v>0</v>
      </c>
      <c r="DX279" s="276">
        <f>$D279/$D$281*('25Ф'!$D$37)</f>
        <v>295444.9689012327</v>
      </c>
      <c r="DY279" s="276">
        <f>$D279/$D$281*'25Ф'!$D$30</f>
        <v>9429.6759526751139</v>
      </c>
      <c r="DZ279" s="276">
        <f>$D279/$D$281*'25Ф'!$D$31</f>
        <v>5178.2720232506736</v>
      </c>
      <c r="EA279" s="276"/>
      <c r="EB279" s="276">
        <f t="shared" si="53"/>
        <v>186134.96743391693</v>
      </c>
      <c r="EC279" s="276">
        <f>$D279/$D$281*'26Ф'!$D$36</f>
        <v>96889.244981557917</v>
      </c>
      <c r="ED279" s="276">
        <f>$D279/$D$281*'26Ф'!$D$37</f>
        <v>11641.139304803244</v>
      </c>
      <c r="EE279" s="276">
        <f>$D279/$D$281*'26Ф'!$D$38</f>
        <v>11760.530643414544</v>
      </c>
      <c r="EF279" s="276">
        <f>$D279/$D$281*'26Ф'!$D$39</f>
        <v>8250.0015127966381</v>
      </c>
      <c r="EG279" s="276">
        <f>$D279/$D$281*'91Ф'!$D$10</f>
        <v>2545.1220355681326</v>
      </c>
      <c r="EH279" s="276">
        <f>$D279/$D$281*('20Ф'!$I$509+'26Ф'!$D$41+'20Ф'!$I$507)</f>
        <v>18005.900332628335</v>
      </c>
      <c r="EI279" s="276">
        <f>$D279/$D$281*'91Ф'!$D$31</f>
        <v>33007.460010960567</v>
      </c>
      <c r="EJ279" s="276">
        <f>$D279/$D$281*'20Ф'!$I$1316</f>
        <v>4035.568612187521</v>
      </c>
      <c r="EK279" s="276">
        <f>$D279/$D$281*('20Ф'!$I$1105+'20Ф'!$I$1282+'91Ф'!$D$17+'91Ф'!$D$41)</f>
        <v>132532.56925182656</v>
      </c>
      <c r="EL279" s="276">
        <f>$D279/$D$281*отчёт!BX$294</f>
        <v>221554.03651007611</v>
      </c>
      <c r="EM279" s="276">
        <f>$D279/$D$281*отчёт!BY$294</f>
        <v>194844.88252421902</v>
      </c>
      <c r="EN279" s="276">
        <f>$D279/$D$283*отчёт!BZ$294</f>
        <v>34968.565677214174</v>
      </c>
      <c r="EO279" s="240">
        <f t="shared" si="50"/>
        <v>185243.217500998</v>
      </c>
      <c r="EP279" s="276">
        <f>SUMIF('20Ф'!$H:$H,$B:$B,'20Ф'!T:T)*1.2</f>
        <v>7379.808</v>
      </c>
      <c r="EQ279" s="276">
        <f>SUM(H279:I279)/SUM($H$284:$I$284)*SUM('60Ф'!$O$155:$P$155)</f>
        <v>172510.26175648702</v>
      </c>
      <c r="ER279" s="276">
        <f>SUM($H279:$I279)/SUM($H$284:$I$284)*SUM('60Ф'!$P$227)</f>
        <v>5353.1477445109776</v>
      </c>
      <c r="ES279" s="239">
        <f t="shared" si="56"/>
        <v>74154.220402370891</v>
      </c>
      <c r="ET279" s="276">
        <f>$D279/$D$282*'20Ф'!$I$381</f>
        <v>5667.6781142048012</v>
      </c>
      <c r="EU279" s="276">
        <f>$D279/$D$282*('20Ф'!$I$75+'20Ф'!$I$1098)*1.2</f>
        <v>65464.198256716314</v>
      </c>
      <c r="EV279" s="276">
        <f>$D279/$D$282*('20Ф'!$I$1286)</f>
        <v>3022.3440314497689</v>
      </c>
      <c r="EW279" s="276">
        <f>SUMIF('91.1Ф'!$N:$N,$B:$B,'91.1Ф'!$F:$F)+$D279/$D$281*('91Ф'!$D$12+'91Ф'!$D$11+'91Ф'!$D$19+'91Ф'!$D$20)</f>
        <v>17467.14483390273</v>
      </c>
      <c r="EX279" s="276">
        <f t="shared" si="54"/>
        <v>0</v>
      </c>
      <c r="EY279" s="276">
        <f>SUMIF('20Ф'!$H:$H,$B:$B,'20Ф'!$AY:$AY)*1.2</f>
        <v>0</v>
      </c>
      <c r="EZ279" s="238"/>
      <c r="FA279" s="277">
        <f>SUMIF(отчёт!$B:$B,$B:$B,отчёт!$CU:$CU)/отчёт!$CU$281*'20Ф'!$I$1341</f>
        <v>0</v>
      </c>
      <c r="FB279" s="276">
        <f>SUMIF(Сальдо!$A:$A,$B:$B,Сальдо!$H:$H)-SUMIF(Сальдо!$A:$A,$B:$B,Сальдо!$I:$I)</f>
        <v>96979.17</v>
      </c>
    </row>
    <row r="280" spans="1:158" s="13" customFormat="1" ht="12" customHeight="1" x14ac:dyDescent="0.25">
      <c r="A280" s="3">
        <f t="shared" si="57"/>
        <v>276</v>
      </c>
      <c r="B280" s="4" t="s">
        <v>355</v>
      </c>
      <c r="C280" s="56"/>
      <c r="D280" s="233">
        <v>3339.9</v>
      </c>
      <c r="E280" s="234">
        <v>3339.9</v>
      </c>
      <c r="F280" s="235">
        <v>0</v>
      </c>
      <c r="G280" s="234">
        <v>1341.3</v>
      </c>
      <c r="H280" s="5">
        <f>SUMIF(отчёт!$B:$B,$B:$B,отчёт!I:I)</f>
        <v>1</v>
      </c>
      <c r="I280" s="5">
        <f>SUMIF(отчёт!$B:$B,$B:$B,отчёт!J:J)</f>
        <v>1</v>
      </c>
      <c r="J280" s="3" t="s">
        <v>321</v>
      </c>
      <c r="K280" s="105">
        <v>1</v>
      </c>
      <c r="L280" s="105"/>
      <c r="M280" s="12"/>
      <c r="N280" s="8"/>
      <c r="O280" s="8"/>
      <c r="P280" s="8"/>
      <c r="Q280" s="8"/>
      <c r="R280" s="8"/>
      <c r="S280" s="8"/>
      <c r="T280" s="8"/>
      <c r="U280" s="8"/>
      <c r="V280" s="9"/>
      <c r="W280" s="9"/>
      <c r="X280" s="9"/>
      <c r="Y280" s="8"/>
      <c r="Z280" s="9"/>
      <c r="AA280" s="9"/>
      <c r="AB280" s="8"/>
      <c r="AC280" s="10"/>
      <c r="AD280" s="8"/>
      <c r="AE280" s="8"/>
      <c r="AF280" s="8"/>
      <c r="AG280" s="7"/>
      <c r="AH280" s="8"/>
      <c r="AI280" s="8"/>
      <c r="AJ280" s="8"/>
      <c r="AK280" s="8"/>
      <c r="AL280" s="8"/>
      <c r="AM280" s="8"/>
      <c r="AN280" s="8"/>
      <c r="AO280" s="8"/>
      <c r="AP280" s="16"/>
      <c r="AQ280" s="7">
        <v>41.47</v>
      </c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F280" s="277">
        <f>SUMIF(Оборот!$A:$A,$B:$B,Оборот!H:H)</f>
        <v>1661122.3299999996</v>
      </c>
      <c r="CG280" s="277">
        <f>SUMIF(Оборот!$A:$A,$B:$B,Оборот!I:I)</f>
        <v>1603698.89</v>
      </c>
      <c r="CH280" s="277">
        <f t="shared" si="51"/>
        <v>1818463.3060207644</v>
      </c>
      <c r="CI280" s="239">
        <f t="shared" si="55"/>
        <v>354198.12689390726</v>
      </c>
      <c r="CJ280" s="276">
        <f>SUMIF('20Ф'!$H:$H,$B:$B,'20Ф'!M:M)*1.2</f>
        <v>0</v>
      </c>
      <c r="CK280" s="276">
        <f>SUMIF('20Ф'!$H:$H,$B:$B,'20Ф'!O:O)*1.2</f>
        <v>308184.44399999996</v>
      </c>
      <c r="CL280" s="276">
        <f>SUMIF('20Ф'!$H:$H,$B:$B,'20Ф'!Q:Q)*1.2</f>
        <v>0</v>
      </c>
      <c r="CM280" s="276">
        <f>SUMIF('20Ф'!$H:$H,$B:$B,'20Ф'!R:R)*1.2</f>
        <v>0</v>
      </c>
      <c r="CN280" s="276">
        <f>SUMIF('20Ф'!$H:$H,$B:$B,'20Ф'!S:S)*1.2</f>
        <v>0</v>
      </c>
      <c r="CO280" s="276">
        <f>SUMIF('20Ф'!$H:$H,$B:$B,'20Ф'!W:W)*1.2</f>
        <v>0</v>
      </c>
      <c r="CP280" s="276">
        <f>SUMIF('20Ф'!$H:$H,$B:$B,'20Ф'!P:P)*1.2</f>
        <v>0</v>
      </c>
      <c r="CQ280" s="276">
        <f>SUMIF('20Ф'!$H:$H,$B:$B,'20Ф'!Y:Y)*1.2</f>
        <v>0</v>
      </c>
      <c r="CR280" s="276">
        <f>SUMIF('20Ф'!$H:$H,$B:$B,'20Ф'!Z:Z)*1.2</f>
        <v>0</v>
      </c>
      <c r="CS280" s="276">
        <f>SUMIF('20Ф'!$H:$H,$B:$B,'20Ф'!AB:AB)*1.2</f>
        <v>0</v>
      </c>
      <c r="CT280" s="276">
        <f>SUMIF('20Ф'!$H:$H,$B:$B,'20Ф'!AC:AC)*1.2</f>
        <v>0</v>
      </c>
      <c r="CU280" s="276">
        <f>SUMIF('20Ф'!$H:$H,$B:$B,'20Ф'!AD:AD)*1.2</f>
        <v>0</v>
      </c>
      <c r="CV280" s="276">
        <f>SUMIF('20Ф'!$H:$H,$B:$B,'20Ф'!AE:AE)*1.2</f>
        <v>0</v>
      </c>
      <c r="CW280" s="276">
        <f>SUMIF('20Ф'!$H:$H,$B:$B,'20Ф'!AF:AF)*1.2</f>
        <v>0</v>
      </c>
      <c r="CX280" s="276">
        <f>SUMIF('20Ф'!$H:$H,$B:$B,'20Ф'!AG:AG)*1.2</f>
        <v>0</v>
      </c>
      <c r="CY280" s="276">
        <f>SUMIF('20Ф'!$H:$H,$B:$B,'20Ф'!AH:AH)*1.2</f>
        <v>0</v>
      </c>
      <c r="CZ280" s="276">
        <f>SUMIF('20Ф'!$H:$H,$B:$B,'20Ф'!AI:AI)*1.2</f>
        <v>0</v>
      </c>
      <c r="DA280" s="276">
        <f>SUMIF('20Ф'!$H:$H,$B:$B,'20Ф'!AJ:AJ)*1.2</f>
        <v>16638.144</v>
      </c>
      <c r="DB280" s="276">
        <f>SUMIF('20Ф'!$H:$H,$B:$B,'20Ф'!AK:AK)*1.2</f>
        <v>0</v>
      </c>
      <c r="DC280" s="276">
        <f>SUMIF('20Ф'!$H:$H,$B:$B,'20Ф'!AL:AL)*1.2</f>
        <v>0</v>
      </c>
      <c r="DD280" s="276">
        <f>SUMIF('20Ф'!$H:$H,$B:$B,'20Ф'!AM:AM)*1.2</f>
        <v>0</v>
      </c>
      <c r="DE280" s="276">
        <f>SUMIF('20Ф'!$H:$H,$B:$B,'20Ф'!AN:AN)*1.2</f>
        <v>0</v>
      </c>
      <c r="DF280" s="276">
        <f>SUMIF('20Ф'!$H:$H,$B:$B,'20Ф'!AO:AO)*1.2</f>
        <v>0</v>
      </c>
      <c r="DG280" s="276">
        <f>SUMIF('20Ф'!$H:$H,$B:$B,'20Ф'!AP:AP)*1.2</f>
        <v>0</v>
      </c>
      <c r="DH280" s="276">
        <f>SUMIF('20Ф'!$H:$H,$B:$B,'20Ф'!AQ:AQ)*1.2</f>
        <v>0</v>
      </c>
      <c r="DI280" s="276">
        <f>SUMIF('20Ф'!$H:$H,$B:$B,'20Ф'!BA:BA)*1.2</f>
        <v>0</v>
      </c>
      <c r="DJ280" s="276">
        <f>SUMIF('20Ф'!$H:$H,$B:$B,'20Ф'!BB:BB)*1.2</f>
        <v>0</v>
      </c>
      <c r="DK280" s="276">
        <f>SUMIF('20Ф'!$H:$H,$B:$B,'20Ф'!BC:BC)*1.2</f>
        <v>0</v>
      </c>
      <c r="DL280" s="276">
        <f>$D280/$D$281*'20Ф'!$H$218</f>
        <v>29375.538893907291</v>
      </c>
      <c r="DM280" s="240">
        <f>SUM(DN280:DZ280)</f>
        <v>512699.82131662068</v>
      </c>
      <c r="DN280" s="276">
        <f>SUMIF('20Ф'!$H:$H,$B:$B,'20Ф'!AV:AV)*1.2</f>
        <v>0</v>
      </c>
      <c r="DO280" s="276">
        <f>SUMIF('20Ф'!$H:$H,$B:$B,'20Ф'!AW:AW)*1.2+$D280/$D$281*'26Ф'!$D$42</f>
        <v>135632.52520019587</v>
      </c>
      <c r="DP280" s="276">
        <f>SUMIF('20Ф'!$H:$H,$B:$B,'20Ф'!AX:AX)*1.2</f>
        <v>0</v>
      </c>
      <c r="DQ280" s="276">
        <f>SUMIF('20Ф'!$H:$H,$B:$B,'20Ф'!AY:AY)*1.2</f>
        <v>0</v>
      </c>
      <c r="DR280" s="276">
        <f>SUMIF('20Ф'!$H:$H,$B:$B,'20Ф'!AU:AU)*1.2</f>
        <v>0</v>
      </c>
      <c r="DS280" s="276">
        <f>SUMIF('20Ф'!$H:$H,$B:$B,'20Ф'!AS:AS)*1.2</f>
        <v>101318.844</v>
      </c>
      <c r="DT280" s="276">
        <f>SUMIF('20Ф'!$H:$H,$B:$B,'20Ф'!AR:AR)*1.2</f>
        <v>0</v>
      </c>
      <c r="DU280" s="276">
        <f>SUMIF('20Ф'!$H:$H,$B:$B,'20Ф'!X:X)*1.2</f>
        <v>0</v>
      </c>
      <c r="DV280" s="276">
        <f>SUMIF('20Ф'!$H:$H,$B:$B,'20Ф'!AA:AA)*1.2</f>
        <v>0</v>
      </c>
      <c r="DW280" s="276">
        <f>SUMIF('20Ф'!$H:$H,$B:$B,'20Ф'!N:N)*1.2</f>
        <v>0</v>
      </c>
      <c r="DX280" s="276">
        <f>$D280/$D$281*('25Ф'!$D$37)</f>
        <v>262756.73740033741</v>
      </c>
      <c r="DY280" s="276">
        <f>$D280/$D$281*'25Ф'!$D$30</f>
        <v>8386.37021737754</v>
      </c>
      <c r="DZ280" s="276">
        <f>$D280/$D$281*'25Ф'!$D$31</f>
        <v>4605.3444987098374</v>
      </c>
      <c r="EA280" s="276"/>
      <c r="EB280" s="276">
        <f t="shared" si="53"/>
        <v>165540.86854463947</v>
      </c>
      <c r="EC280" s="276">
        <f>$D280/$D$281*'26Ф'!$D$36</f>
        <v>86169.353281649164</v>
      </c>
      <c r="ED280" s="276">
        <f>$D280/$D$281*'26Ф'!$D$37</f>
        <v>10353.15576612674</v>
      </c>
      <c r="EE280" s="276">
        <f>$D280/$D$281*'26Ф'!$D$38</f>
        <v>10459.337566155466</v>
      </c>
      <c r="EF280" s="276">
        <f>$D280/$D$281*'26Ф'!$D$39</f>
        <v>7337.215756667596</v>
      </c>
      <c r="EG280" s="276">
        <f>$D280/$D$281*'91Ф'!$D$10</f>
        <v>2263.5280094248296</v>
      </c>
      <c r="EH280" s="276">
        <f>$D280/$D$281*('20Ф'!$I$509+'26Ф'!$D$41+'20Ф'!$I$507)</f>
        <v>16013.715322188149</v>
      </c>
      <c r="EI280" s="276">
        <f>$D280/$D$281*'91Ф'!$D$31</f>
        <v>29355.492275285505</v>
      </c>
      <c r="EJ280" s="276">
        <f>$D280/$D$281*'20Ф'!$I$1316</f>
        <v>3589.0705671420092</v>
      </c>
      <c r="EK280" s="276">
        <f>$D280/$D$281*('20Ф'!$I$1105+'20Ф'!$I$1282+'91Ф'!$D$17+'91Ф'!$D$41)</f>
        <v>117869.07600899386</v>
      </c>
      <c r="EL280" s="276">
        <f>$D280/$D$281*отчёт!BX$294</f>
        <v>197041.14782446696</v>
      </c>
      <c r="EM280" s="276">
        <f>$D280/$D$281*отчёт!BY$294</f>
        <v>173287.11272904059</v>
      </c>
      <c r="EN280" s="276">
        <f>$D280/$D$283*отчёт!BZ$294</f>
        <v>31099.619882123778</v>
      </c>
      <c r="EO280" s="240">
        <f>SUBTOTAL(9,EP280:ER280)</f>
        <v>185243.217500998</v>
      </c>
      <c r="EP280" s="276">
        <f>SUMIF('20Ф'!$H:$H,$B:$B,'20Ф'!T:T)*1.2</f>
        <v>7379.808</v>
      </c>
      <c r="EQ280" s="276">
        <f>SUM(H280:I280)/SUM($H$284:$I$284)*SUM('60Ф'!$O$155:$P$155)</f>
        <v>172510.26175648702</v>
      </c>
      <c r="ER280" s="276">
        <f>SUM($H280:$I280)/SUM($H$284:$I$284)*SUM('60Ф'!$P$227)</f>
        <v>5353.1477445109776</v>
      </c>
      <c r="ES280" s="239">
        <f t="shared" si="56"/>
        <v>65949.74722316624</v>
      </c>
      <c r="ET280" s="276">
        <f>$D280/$D$282*'20Ф'!$I$381</f>
        <v>5040.6023682251198</v>
      </c>
      <c r="EU280" s="276">
        <f>$D280/$D$282*('20Ф'!$I$75+'20Ф'!$I$1098)*1.2</f>
        <v>58221.195014540877</v>
      </c>
      <c r="EV280" s="276">
        <f>$D280/$D$282*('20Ф'!$I$1286)</f>
        <v>2687.9498404002456</v>
      </c>
      <c r="EW280" s="276">
        <f>SUMIF('91.1Ф'!$N:$N,$B:$B,'91.1Ф'!$F:$F)+$D280/$D$281*('91Ф'!$D$12+'91Ф'!$D$11+'91Ф'!$D$19+'91Ф'!$D$20)</f>
        <v>15534.568096807723</v>
      </c>
      <c r="EX280" s="276">
        <f>SUM(EY280:EZ280)</f>
        <v>0</v>
      </c>
      <c r="EY280" s="276">
        <f>SUMIF('20Ф'!$H:$H,$B:$B,'20Ф'!$AY:$AY)*1.2</f>
        <v>0</v>
      </c>
      <c r="EZ280" s="238"/>
      <c r="FA280" s="277">
        <f>SUMIF(отчёт!$B:$B,$B:$B,отчёт!$CU:$CU)/отчёт!$CU$281*'20Ф'!$I$1341</f>
        <v>0</v>
      </c>
      <c r="FB280" s="276">
        <f>SUMIF(Сальдо!$A:$A,$B:$B,Сальдо!$H:$H)-SUMIF(Сальдо!$A:$A,$B:$B,Сальдо!$I:$I)</f>
        <v>161991.26</v>
      </c>
    </row>
    <row r="281" spans="1:158" s="13" customFormat="1" ht="12" customHeight="1" x14ac:dyDescent="0.25">
      <c r="A281" s="20" t="s">
        <v>293</v>
      </c>
      <c r="B281" s="20"/>
      <c r="D281" s="5">
        <f>SUM(D5:D280)</f>
        <v>1382648.6069767075</v>
      </c>
      <c r="E281" s="5">
        <f t="shared" ref="E281:G281" si="58">SUM(E5:E280)</f>
        <v>1331443.1969767062</v>
      </c>
      <c r="F281" s="5">
        <f t="shared" si="58"/>
        <v>51205.409999999989</v>
      </c>
      <c r="G281" s="5">
        <f t="shared" si="58"/>
        <v>268305.64</v>
      </c>
      <c r="H281" s="5"/>
      <c r="I281" s="5"/>
      <c r="J281" s="21" t="s">
        <v>67</v>
      </c>
      <c r="K281" s="108" t="s">
        <v>67</v>
      </c>
      <c r="L281" s="108" t="s">
        <v>67</v>
      </c>
      <c r="M281" s="108" t="s">
        <v>67</v>
      </c>
      <c r="N281" s="105" t="s">
        <v>67</v>
      </c>
      <c r="O281" s="105" t="s">
        <v>67</v>
      </c>
      <c r="P281" s="105" t="s">
        <v>67</v>
      </c>
      <c r="Q281" s="105" t="s">
        <v>67</v>
      </c>
      <c r="R281" s="105" t="s">
        <v>67</v>
      </c>
      <c r="S281" s="105" t="s">
        <v>67</v>
      </c>
      <c r="T281" s="105" t="s">
        <v>67</v>
      </c>
      <c r="U281" s="105" t="s">
        <v>67</v>
      </c>
      <c r="V281" s="108" t="s">
        <v>67</v>
      </c>
      <c r="W281" s="108" t="s">
        <v>67</v>
      </c>
      <c r="X281" s="108" t="s">
        <v>67</v>
      </c>
      <c r="Y281" s="108" t="s">
        <v>67</v>
      </c>
      <c r="Z281" s="108" t="s">
        <v>67</v>
      </c>
      <c r="AA281" s="108" t="s">
        <v>67</v>
      </c>
      <c r="AB281" s="108" t="s">
        <v>67</v>
      </c>
      <c r="AC281" s="108" t="s">
        <v>67</v>
      </c>
      <c r="AD281" s="108" t="s">
        <v>67</v>
      </c>
      <c r="AE281" s="108" t="s">
        <v>67</v>
      </c>
      <c r="AF281" s="108" t="s">
        <v>67</v>
      </c>
      <c r="AG281" s="22">
        <v>245739334.43688062</v>
      </c>
      <c r="AH281" s="23">
        <v>30454537.604936827</v>
      </c>
      <c r="AI281" s="23">
        <v>48162454.48405093</v>
      </c>
      <c r="AJ281" s="23">
        <v>73052959.593461215</v>
      </c>
      <c r="AK281" s="23">
        <v>41080777.593054585</v>
      </c>
      <c r="AL281" s="23">
        <v>19131386.895006567</v>
      </c>
      <c r="AM281" s="23">
        <v>7885123.3349420819</v>
      </c>
      <c r="AN281" s="23">
        <v>24934777.574530322</v>
      </c>
      <c r="AO281" s="23">
        <v>1037317.3568981132</v>
      </c>
      <c r="AQ281" s="24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F281" s="296">
        <f>SUM(CF5:CF280)</f>
        <v>618813985.91400027</v>
      </c>
      <c r="CG281" s="296">
        <f>SUM(CG5:CG280)</f>
        <v>615028768.25999975</v>
      </c>
      <c r="CH281" s="296">
        <f>SUM(CH5:CH280)</f>
        <v>638027377.50550234</v>
      </c>
      <c r="CI281" s="240">
        <f>SUM(CI5:CI280)</f>
        <v>114576942.27510904</v>
      </c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40">
        <f>SUM(DL5:DL280)</f>
        <v>12042690.407109067</v>
      </c>
      <c r="DM281" s="240">
        <f>SUM(DM5:DM280)</f>
        <v>158688717.36053875</v>
      </c>
      <c r="DN281" s="240">
        <f t="shared" ref="DN281:DW281" si="59">SUM(DN5:DN280)</f>
        <v>0</v>
      </c>
      <c r="DO281" s="240">
        <f t="shared" si="59"/>
        <v>9661596.9562802743</v>
      </c>
      <c r="DP281" s="240">
        <f t="shared" si="59"/>
        <v>51000</v>
      </c>
      <c r="DQ281" s="240">
        <f t="shared" si="59"/>
        <v>5348479.2239999967</v>
      </c>
      <c r="DR281" s="240">
        <f t="shared" si="59"/>
        <v>0</v>
      </c>
      <c r="DS281" s="240">
        <f t="shared" si="59"/>
        <v>20437559.117000002</v>
      </c>
      <c r="DT281" s="240">
        <f t="shared" si="59"/>
        <v>3339742.8000000003</v>
      </c>
      <c r="DU281" s="240">
        <f t="shared" si="59"/>
        <v>6264926.7240000013</v>
      </c>
      <c r="DV281" s="240">
        <f t="shared" si="59"/>
        <v>300676.88400000002</v>
      </c>
      <c r="DW281" s="240">
        <f t="shared" si="59"/>
        <v>8799.9959999999992</v>
      </c>
      <c r="DX281" s="240">
        <f>SUM(DX5:DX280)</f>
        <v>107939011.26679945</v>
      </c>
      <c r="DY281" s="240">
        <f>SUM(DY5:DY280)</f>
        <v>3445074.3997550611</v>
      </c>
      <c r="DZ281" s="240">
        <f>SUM(DZ5:DZ280)</f>
        <v>1891849.9927039195</v>
      </c>
      <c r="EA281" s="238"/>
      <c r="EB281" s="240">
        <f>SUM(EB5:EB280)</f>
        <v>68000263.390049979</v>
      </c>
      <c r="EC281" s="240">
        <f>SUM(EC5:EC280)</f>
        <v>35397892.692470342</v>
      </c>
      <c r="ED281" s="240">
        <f t="shared" ref="ED281:EK281" si="60">SUM(ED5:ED280)</f>
        <v>4253019.0013139052</v>
      </c>
      <c r="EE281" s="240">
        <f t="shared" si="60"/>
        <v>4296637.8962013405</v>
      </c>
      <c r="EF281" s="240">
        <f t="shared" si="60"/>
        <v>3014087.5627452731</v>
      </c>
      <c r="EG281" s="240">
        <f t="shared" si="60"/>
        <v>929844.75956470333</v>
      </c>
      <c r="EH281" s="240">
        <f t="shared" si="60"/>
        <v>6578345.4905341873</v>
      </c>
      <c r="EI281" s="240">
        <f t="shared" si="60"/>
        <v>12059073.509566335</v>
      </c>
      <c r="EJ281" s="240">
        <f t="shared" si="60"/>
        <v>1471362.4776539211</v>
      </c>
      <c r="EK281" s="240">
        <f t="shared" si="60"/>
        <v>48419963.077702962</v>
      </c>
      <c r="EL281" s="240">
        <f>SUM(EL5:EL280)</f>
        <v>80887189.500359923</v>
      </c>
      <c r="EM281" s="240">
        <f t="shared" ref="EM281:EN281" si="61">SUM(EM5:EM280)</f>
        <v>71135941.299788043</v>
      </c>
      <c r="EN281" s="240">
        <f t="shared" si="61"/>
        <v>9778657.1591804139</v>
      </c>
      <c r="EO281" s="240">
        <f t="shared" ref="EO281:EP281" si="62">SUM(EO5:EO280)</f>
        <v>46178316.147146411</v>
      </c>
      <c r="EP281" s="240">
        <f t="shared" si="62"/>
        <v>1609156.2119999984</v>
      </c>
      <c r="EQ281" s="240">
        <f t="shared" ref="EQ281:ER281" si="63">SUM(EQ5:EQ280)</f>
        <v>43228196.425146401</v>
      </c>
      <c r="ER281" s="240">
        <f t="shared" si="63"/>
        <v>1340963.5100000012</v>
      </c>
      <c r="ES281" s="240">
        <f t="shared" ref="ES281:EX281" si="64">SUM(ES5:ES280)</f>
        <v>27021914.005372163</v>
      </c>
      <c r="ET281" s="240">
        <f t="shared" si="64"/>
        <v>2065263.3399999994</v>
      </c>
      <c r="EU281" s="240">
        <f t="shared" si="64"/>
        <v>23854708.403999984</v>
      </c>
      <c r="EV281" s="240">
        <f t="shared" si="64"/>
        <v>1101942.2613721713</v>
      </c>
      <c r="EW281" s="240">
        <f t="shared" si="64"/>
        <v>7506514.4662549002</v>
      </c>
      <c r="EX281" s="240">
        <f t="shared" si="64"/>
        <v>5832958.8239999982</v>
      </c>
      <c r="EY281" s="240"/>
      <c r="EZ281" s="238"/>
      <c r="FA281" s="278">
        <f>SUM(FA5:FA280)</f>
        <v>376674.21686746954</v>
      </c>
      <c r="FB281" s="278">
        <f>SUM(FB5:FB280)</f>
        <v>116232027.80999997</v>
      </c>
    </row>
    <row r="282" spans="1:158" ht="12" customHeight="1" x14ac:dyDescent="0.25">
      <c r="B282" s="1" t="s">
        <v>1349</v>
      </c>
      <c r="D282" s="26">
        <f>SUM(D5:D280)-D24-D25-D116</f>
        <v>1368442.2069767073</v>
      </c>
    </row>
    <row r="283" spans="1:158" ht="12" customHeight="1" x14ac:dyDescent="0.25">
      <c r="B283" s="1" t="s">
        <v>1722</v>
      </c>
      <c r="D283" s="26">
        <v>1051788.8271702244</v>
      </c>
      <c r="CH283" s="289">
        <f>CF281-CH281</f>
        <v>-19213391.59150207</v>
      </c>
      <c r="EB283" s="26">
        <f>EB281+EK281+ES281+EW281</f>
        <v>150948654.93937999</v>
      </c>
    </row>
    <row r="284" spans="1:158" ht="12" customHeight="1" x14ac:dyDescent="0.25">
      <c r="B284" s="1" t="s">
        <v>1334</v>
      </c>
      <c r="H284" s="26">
        <f>SUBTOTAL(9,H14:H280)-H116</f>
        <v>337</v>
      </c>
      <c r="I284" s="26">
        <f>SUBTOTAL(9,I14:I280)-I116</f>
        <v>164</v>
      </c>
      <c r="EB284" s="327">
        <f>EB283/CH281</f>
        <v>0.23658648556672351</v>
      </c>
    </row>
    <row r="285" spans="1:158" ht="12" customHeight="1" x14ac:dyDescent="0.25">
      <c r="B285" s="1" t="s">
        <v>1495</v>
      </c>
    </row>
    <row r="286" spans="1:158" ht="12" customHeight="1" x14ac:dyDescent="0.25">
      <c r="B286" s="1" t="s">
        <v>1828</v>
      </c>
      <c r="D286" s="1">
        <v>686810.74980648258</v>
      </c>
    </row>
  </sheetData>
  <autoFilter ref="A4:FF284"/>
  <mergeCells count="763">
    <mergeCell ref="EY1:EY4"/>
    <mergeCell ref="CF1:CF4"/>
    <mergeCell ref="EX1:EX4"/>
    <mergeCell ref="EZ1:EZ4"/>
    <mergeCell ref="CH1:CH4"/>
    <mergeCell ref="EH2:EH4"/>
    <mergeCell ref="EI2:EI4"/>
    <mergeCell ref="FB1:FB4"/>
    <mergeCell ref="CG1:CG4"/>
    <mergeCell ref="DY2:DY4"/>
    <mergeCell ref="DZ2:DZ4"/>
    <mergeCell ref="EL1:EL4"/>
    <mergeCell ref="EM1:EM4"/>
    <mergeCell ref="EN1:EN4"/>
    <mergeCell ref="EU1:EU4"/>
    <mergeCell ref="ET1:ET4"/>
    <mergeCell ref="DX2:DX4"/>
    <mergeCell ref="EB1:EB4"/>
    <mergeCell ref="EC2:EC4"/>
    <mergeCell ref="ED2:ED4"/>
    <mergeCell ref="EE2:EE4"/>
    <mergeCell ref="EF2:EF4"/>
    <mergeCell ref="EO1:EO4"/>
    <mergeCell ref="EQ2:EQ4"/>
    <mergeCell ref="ER2:ER4"/>
    <mergeCell ref="DS2:DS4"/>
    <mergeCell ref="DR2:DR4"/>
    <mergeCell ref="DN2:DN4"/>
    <mergeCell ref="DO2:DO4"/>
    <mergeCell ref="DP2:DP4"/>
    <mergeCell ref="DQ2:DQ4"/>
    <mergeCell ref="DI2:DI4"/>
    <mergeCell ref="DJ2:DJ4"/>
    <mergeCell ref="DK2:DK4"/>
    <mergeCell ref="DL2:DL4"/>
    <mergeCell ref="DM1:DM4"/>
    <mergeCell ref="DW2:DW4"/>
    <mergeCell ref="CO2:CO4"/>
    <mergeCell ref="DU2:DU4"/>
    <mergeCell ref="CQ2:CQ4"/>
    <mergeCell ref="CR2:CR4"/>
    <mergeCell ref="DV2:DV4"/>
    <mergeCell ref="CS2:CS4"/>
    <mergeCell ref="CT2:CT4"/>
    <mergeCell ref="CI1:CI4"/>
    <mergeCell ref="CJ2:CJ4"/>
    <mergeCell ref="CU2:CU4"/>
    <mergeCell ref="CV2:CV4"/>
    <mergeCell ref="CW2:CW4"/>
    <mergeCell ref="CX2:CX4"/>
    <mergeCell ref="CY2:CY4"/>
    <mergeCell ref="CZ2:CZ4"/>
    <mergeCell ref="DA2:DA4"/>
    <mergeCell ref="DB2:DB4"/>
    <mergeCell ref="DC2:DC4"/>
    <mergeCell ref="DD2:DD4"/>
    <mergeCell ref="DE2:DE4"/>
    <mergeCell ref="DF2:DF4"/>
    <mergeCell ref="DG2:DG4"/>
    <mergeCell ref="DH2:DH4"/>
    <mergeCell ref="DT2:DT4"/>
    <mergeCell ref="CK2:CK4"/>
    <mergeCell ref="CP2:CP4"/>
    <mergeCell ref="CL2:CL4"/>
    <mergeCell ref="CM2:CM4"/>
    <mergeCell ref="CN2:CN4"/>
    <mergeCell ref="EP2:EP4"/>
    <mergeCell ref="AR242:AS242"/>
    <mergeCell ref="BE242:BF242"/>
    <mergeCell ref="BR242:BS242"/>
    <mergeCell ref="AR238:AS238"/>
    <mergeCell ref="BE238:BF238"/>
    <mergeCell ref="BR238:BS238"/>
    <mergeCell ref="AR239:AS239"/>
    <mergeCell ref="BE239:BF239"/>
    <mergeCell ref="BR239:BS239"/>
    <mergeCell ref="AR236:AS236"/>
    <mergeCell ref="BE236:BF236"/>
    <mergeCell ref="BR236:BS236"/>
    <mergeCell ref="AR237:AS237"/>
    <mergeCell ref="BE237:BF237"/>
    <mergeCell ref="BR237:BS237"/>
    <mergeCell ref="AR234:AS234"/>
    <mergeCell ref="BE234:BF234"/>
    <mergeCell ref="BR234:BS234"/>
    <mergeCell ref="AR243:AS243"/>
    <mergeCell ref="BE243:BF243"/>
    <mergeCell ref="BR243:BS243"/>
    <mergeCell ref="AR240:AS240"/>
    <mergeCell ref="BE240:BF240"/>
    <mergeCell ref="BR240:BS240"/>
    <mergeCell ref="AR241:AS241"/>
    <mergeCell ref="BE241:BF241"/>
    <mergeCell ref="BR241:BS241"/>
    <mergeCell ref="AR235:AS235"/>
    <mergeCell ref="BE235:BF235"/>
    <mergeCell ref="BR235:BS235"/>
    <mergeCell ref="AR232:AS232"/>
    <mergeCell ref="BE232:BF232"/>
    <mergeCell ref="BR232:BS232"/>
    <mergeCell ref="AR233:AS233"/>
    <mergeCell ref="BE233:BF233"/>
    <mergeCell ref="BR233:BS233"/>
    <mergeCell ref="AR221:AS221"/>
    <mergeCell ref="BE221:BF221"/>
    <mergeCell ref="BR221:BS221"/>
    <mergeCell ref="AR222:AS222"/>
    <mergeCell ref="BE222:BF222"/>
    <mergeCell ref="BR222:BS222"/>
    <mergeCell ref="AR218:AS218"/>
    <mergeCell ref="BE218:BF218"/>
    <mergeCell ref="BR218:BS218"/>
    <mergeCell ref="AR219:AS219"/>
    <mergeCell ref="BE219:BF219"/>
    <mergeCell ref="BR219:BS219"/>
    <mergeCell ref="AR215:AS215"/>
    <mergeCell ref="BE215:BF215"/>
    <mergeCell ref="BR215:BS215"/>
    <mergeCell ref="AR217:AS217"/>
    <mergeCell ref="BE217:BF217"/>
    <mergeCell ref="BR217:BS217"/>
    <mergeCell ref="AR213:AS213"/>
    <mergeCell ref="BE213:BF213"/>
    <mergeCell ref="BR213:BS213"/>
    <mergeCell ref="AR214:AS214"/>
    <mergeCell ref="BE214:BF214"/>
    <mergeCell ref="BR214:BS214"/>
    <mergeCell ref="AR211:AS211"/>
    <mergeCell ref="BE211:BF211"/>
    <mergeCell ref="BR211:BS211"/>
    <mergeCell ref="AR212:AS212"/>
    <mergeCell ref="BE212:BF212"/>
    <mergeCell ref="BR212:BS212"/>
    <mergeCell ref="AR209:AS209"/>
    <mergeCell ref="BE209:BF209"/>
    <mergeCell ref="BR209:BS209"/>
    <mergeCell ref="AR210:AS210"/>
    <mergeCell ref="BE210:BF210"/>
    <mergeCell ref="BR210:BS210"/>
    <mergeCell ref="AR207:AS207"/>
    <mergeCell ref="BE207:BF207"/>
    <mergeCell ref="BR207:BS207"/>
    <mergeCell ref="AR208:AS208"/>
    <mergeCell ref="BE208:BF208"/>
    <mergeCell ref="BR208:BS208"/>
    <mergeCell ref="AR205:AS205"/>
    <mergeCell ref="BE205:BF205"/>
    <mergeCell ref="BR205:BS205"/>
    <mergeCell ref="AR206:AS206"/>
    <mergeCell ref="BE206:BF206"/>
    <mergeCell ref="BR206:BS206"/>
    <mergeCell ref="AR203:AS203"/>
    <mergeCell ref="BE203:BF203"/>
    <mergeCell ref="BR203:BS203"/>
    <mergeCell ref="AR204:AS204"/>
    <mergeCell ref="BE204:BF204"/>
    <mergeCell ref="BR204:BS204"/>
    <mergeCell ref="AR201:AS201"/>
    <mergeCell ref="BE201:BF201"/>
    <mergeCell ref="BR201:BS201"/>
    <mergeCell ref="AR202:AS202"/>
    <mergeCell ref="BE202:BF202"/>
    <mergeCell ref="BR202:BS202"/>
    <mergeCell ref="AR199:AS199"/>
    <mergeCell ref="BE199:BF199"/>
    <mergeCell ref="BR199:BS199"/>
    <mergeCell ref="AR200:AS200"/>
    <mergeCell ref="BE200:BF200"/>
    <mergeCell ref="BR200:BS200"/>
    <mergeCell ref="AR197:AS197"/>
    <mergeCell ref="BE197:BF197"/>
    <mergeCell ref="BR197:BS197"/>
    <mergeCell ref="AR198:AS198"/>
    <mergeCell ref="BE198:BF198"/>
    <mergeCell ref="BR198:BS198"/>
    <mergeCell ref="AR195:AS195"/>
    <mergeCell ref="BE195:BF195"/>
    <mergeCell ref="BR195:BS195"/>
    <mergeCell ref="AR196:AS196"/>
    <mergeCell ref="BE196:BF196"/>
    <mergeCell ref="BR196:BS196"/>
    <mergeCell ref="AR193:AS193"/>
    <mergeCell ref="BE193:BF193"/>
    <mergeCell ref="BR193:BS193"/>
    <mergeCell ref="AR194:AS194"/>
    <mergeCell ref="BE194:BF194"/>
    <mergeCell ref="BR194:BS194"/>
    <mergeCell ref="AR191:AS191"/>
    <mergeCell ref="BE191:BF191"/>
    <mergeCell ref="BR191:BS191"/>
    <mergeCell ref="AR192:AS192"/>
    <mergeCell ref="BE192:BF192"/>
    <mergeCell ref="BR192:BS192"/>
    <mergeCell ref="AR189:AS189"/>
    <mergeCell ref="BE189:BF189"/>
    <mergeCell ref="BR189:BS189"/>
    <mergeCell ref="AR190:AS190"/>
    <mergeCell ref="BE190:BF190"/>
    <mergeCell ref="BR190:BS190"/>
    <mergeCell ref="AR185:AS185"/>
    <mergeCell ref="BE185:BF185"/>
    <mergeCell ref="BR185:BS185"/>
    <mergeCell ref="AR186:AS186"/>
    <mergeCell ref="BE186:BF186"/>
    <mergeCell ref="BR186:BS186"/>
    <mergeCell ref="AR183:AS183"/>
    <mergeCell ref="BE183:BF183"/>
    <mergeCell ref="BR183:BS183"/>
    <mergeCell ref="AR184:AS184"/>
    <mergeCell ref="BE184:BF184"/>
    <mergeCell ref="BR184:BS184"/>
    <mergeCell ref="AR181:AS181"/>
    <mergeCell ref="BE181:BF181"/>
    <mergeCell ref="BR181:BS181"/>
    <mergeCell ref="AR182:AS182"/>
    <mergeCell ref="BE182:BF182"/>
    <mergeCell ref="BR182:BS182"/>
    <mergeCell ref="AR179:AS179"/>
    <mergeCell ref="BE179:BF179"/>
    <mergeCell ref="BR179:BS179"/>
    <mergeCell ref="AR180:AS180"/>
    <mergeCell ref="BE180:BF180"/>
    <mergeCell ref="BR180:BS180"/>
    <mergeCell ref="AR177:AS177"/>
    <mergeCell ref="BE177:BF177"/>
    <mergeCell ref="BR177:BS177"/>
    <mergeCell ref="AR178:AS178"/>
    <mergeCell ref="BE178:BF178"/>
    <mergeCell ref="BR178:BS178"/>
    <mergeCell ref="AR175:AS175"/>
    <mergeCell ref="BE175:BF175"/>
    <mergeCell ref="BR175:BS175"/>
    <mergeCell ref="AR176:AS176"/>
    <mergeCell ref="BE176:BF176"/>
    <mergeCell ref="BR176:BS176"/>
    <mergeCell ref="AR173:AS173"/>
    <mergeCell ref="BE173:BF173"/>
    <mergeCell ref="BR173:BS173"/>
    <mergeCell ref="AR174:AS174"/>
    <mergeCell ref="BE174:BF174"/>
    <mergeCell ref="BR174:BS174"/>
    <mergeCell ref="AR171:AS171"/>
    <mergeCell ref="BE171:BF171"/>
    <mergeCell ref="BR171:BS171"/>
    <mergeCell ref="AR172:AS172"/>
    <mergeCell ref="BE172:BF172"/>
    <mergeCell ref="BR172:BS172"/>
    <mergeCell ref="AR169:AS169"/>
    <mergeCell ref="BE169:BF169"/>
    <mergeCell ref="BR169:BS169"/>
    <mergeCell ref="AR170:AS170"/>
    <mergeCell ref="BE170:BF170"/>
    <mergeCell ref="BR170:BS170"/>
    <mergeCell ref="AR167:AS167"/>
    <mergeCell ref="BE167:BF167"/>
    <mergeCell ref="BR167:BS167"/>
    <mergeCell ref="AR168:AS168"/>
    <mergeCell ref="BE168:BF168"/>
    <mergeCell ref="BR168:BS168"/>
    <mergeCell ref="AR165:AS165"/>
    <mergeCell ref="BE165:BF165"/>
    <mergeCell ref="BR165:BS165"/>
    <mergeCell ref="AR166:AS166"/>
    <mergeCell ref="BE166:BF166"/>
    <mergeCell ref="BR166:BS166"/>
    <mergeCell ref="AR163:AS163"/>
    <mergeCell ref="BE163:BF163"/>
    <mergeCell ref="BR163:BS163"/>
    <mergeCell ref="AR164:AS164"/>
    <mergeCell ref="BE164:BF164"/>
    <mergeCell ref="BR164:BS164"/>
    <mergeCell ref="AR161:AS161"/>
    <mergeCell ref="BE161:BF161"/>
    <mergeCell ref="BR161:BS161"/>
    <mergeCell ref="AR162:AS162"/>
    <mergeCell ref="BE162:BF162"/>
    <mergeCell ref="BR162:BS162"/>
    <mergeCell ref="AR159:AS159"/>
    <mergeCell ref="BE159:BF159"/>
    <mergeCell ref="BR159:BS159"/>
    <mergeCell ref="AR160:AS160"/>
    <mergeCell ref="BE160:BF160"/>
    <mergeCell ref="BR160:BS160"/>
    <mergeCell ref="AR157:AS157"/>
    <mergeCell ref="BE157:BF157"/>
    <mergeCell ref="BR157:BS157"/>
    <mergeCell ref="AR158:AS158"/>
    <mergeCell ref="BE158:BF158"/>
    <mergeCell ref="BR158:BS158"/>
    <mergeCell ref="AR155:AS155"/>
    <mergeCell ref="BE155:BF155"/>
    <mergeCell ref="BR155:BS155"/>
    <mergeCell ref="AR156:AS156"/>
    <mergeCell ref="BE156:BF156"/>
    <mergeCell ref="BR156:BS156"/>
    <mergeCell ref="AR153:AS153"/>
    <mergeCell ref="BE153:BF153"/>
    <mergeCell ref="BR153:BS153"/>
    <mergeCell ref="AR154:AS154"/>
    <mergeCell ref="BE154:BF154"/>
    <mergeCell ref="BR154:BS154"/>
    <mergeCell ref="AR151:AS151"/>
    <mergeCell ref="BE151:BF151"/>
    <mergeCell ref="BR151:BS151"/>
    <mergeCell ref="AR152:AS152"/>
    <mergeCell ref="BE152:BF152"/>
    <mergeCell ref="BR152:BS152"/>
    <mergeCell ref="AR149:AS149"/>
    <mergeCell ref="BE149:BF149"/>
    <mergeCell ref="BR149:BS149"/>
    <mergeCell ref="AR150:AS150"/>
    <mergeCell ref="BE150:BF150"/>
    <mergeCell ref="BR150:BS150"/>
    <mergeCell ref="AR147:AS147"/>
    <mergeCell ref="BE147:BF147"/>
    <mergeCell ref="BR147:BS147"/>
    <mergeCell ref="AR148:AS148"/>
    <mergeCell ref="BE148:BF148"/>
    <mergeCell ref="BR148:BS148"/>
    <mergeCell ref="AR145:AS145"/>
    <mergeCell ref="BE145:BF145"/>
    <mergeCell ref="BR145:BS145"/>
    <mergeCell ref="AR146:AS146"/>
    <mergeCell ref="BE146:BF146"/>
    <mergeCell ref="BR146:BS146"/>
    <mergeCell ref="AR143:AS143"/>
    <mergeCell ref="BE143:BF143"/>
    <mergeCell ref="BR143:BS143"/>
    <mergeCell ref="AR144:AS144"/>
    <mergeCell ref="BE144:BF144"/>
    <mergeCell ref="BR144:BS144"/>
    <mergeCell ref="AR141:AS141"/>
    <mergeCell ref="BE141:BF141"/>
    <mergeCell ref="BR141:BS141"/>
    <mergeCell ref="AR142:AS142"/>
    <mergeCell ref="BE142:BF142"/>
    <mergeCell ref="BR142:BS142"/>
    <mergeCell ref="AR139:AS139"/>
    <mergeCell ref="BE139:BF139"/>
    <mergeCell ref="BR139:BS139"/>
    <mergeCell ref="AR140:AS140"/>
    <mergeCell ref="BE140:BF140"/>
    <mergeCell ref="BR140:BS140"/>
    <mergeCell ref="AR137:AS137"/>
    <mergeCell ref="BE137:BF137"/>
    <mergeCell ref="BR137:BS137"/>
    <mergeCell ref="AR138:AS138"/>
    <mergeCell ref="BE138:BF138"/>
    <mergeCell ref="BR138:BS138"/>
    <mergeCell ref="AR135:AS135"/>
    <mergeCell ref="BE135:BF135"/>
    <mergeCell ref="BR135:BS135"/>
    <mergeCell ref="AR136:AS136"/>
    <mergeCell ref="BE136:BF136"/>
    <mergeCell ref="BR136:BS136"/>
    <mergeCell ref="AR133:AS133"/>
    <mergeCell ref="BE133:BF133"/>
    <mergeCell ref="BR133:BS133"/>
    <mergeCell ref="AR134:AS134"/>
    <mergeCell ref="BE134:BF134"/>
    <mergeCell ref="BR134:BS134"/>
    <mergeCell ref="AR131:AS131"/>
    <mergeCell ref="BE131:BF131"/>
    <mergeCell ref="BR131:BS131"/>
    <mergeCell ref="AR132:AS132"/>
    <mergeCell ref="BE132:BF132"/>
    <mergeCell ref="BR132:BS132"/>
    <mergeCell ref="AR129:AS129"/>
    <mergeCell ref="BE129:BF129"/>
    <mergeCell ref="BR129:BS129"/>
    <mergeCell ref="AR130:AS130"/>
    <mergeCell ref="BE130:BF130"/>
    <mergeCell ref="BR130:BS130"/>
    <mergeCell ref="AR127:AS127"/>
    <mergeCell ref="BE127:BF127"/>
    <mergeCell ref="BR127:BS127"/>
    <mergeCell ref="AR128:AS128"/>
    <mergeCell ref="BE128:BF128"/>
    <mergeCell ref="BR128:BS128"/>
    <mergeCell ref="AR125:AS125"/>
    <mergeCell ref="BE125:BF125"/>
    <mergeCell ref="BR125:BS125"/>
    <mergeCell ref="AR126:AS126"/>
    <mergeCell ref="BE126:BF126"/>
    <mergeCell ref="BR126:BS126"/>
    <mergeCell ref="AR123:AS123"/>
    <mergeCell ref="BE123:BF123"/>
    <mergeCell ref="BR123:BS123"/>
    <mergeCell ref="AR124:AS124"/>
    <mergeCell ref="BE124:BF124"/>
    <mergeCell ref="BR124:BS124"/>
    <mergeCell ref="AR121:AS121"/>
    <mergeCell ref="BE121:BF121"/>
    <mergeCell ref="BR121:BS121"/>
    <mergeCell ref="AR122:AS122"/>
    <mergeCell ref="BE122:BF122"/>
    <mergeCell ref="BR122:BS122"/>
    <mergeCell ref="AR119:AS119"/>
    <mergeCell ref="BE119:BF119"/>
    <mergeCell ref="BR119:BS119"/>
    <mergeCell ref="AR120:AS120"/>
    <mergeCell ref="BE120:BF120"/>
    <mergeCell ref="BR120:BS120"/>
    <mergeCell ref="AR117:AS117"/>
    <mergeCell ref="BE117:BF117"/>
    <mergeCell ref="BR117:BS117"/>
    <mergeCell ref="AR118:AS118"/>
    <mergeCell ref="BE118:BF118"/>
    <mergeCell ref="BR118:BS118"/>
    <mergeCell ref="AR114:AS114"/>
    <mergeCell ref="BE114:BF114"/>
    <mergeCell ref="BR114:BS114"/>
    <mergeCell ref="AR115:AS115"/>
    <mergeCell ref="BE115:BF115"/>
    <mergeCell ref="BR115:BS115"/>
    <mergeCell ref="AR112:AS112"/>
    <mergeCell ref="BE112:BF112"/>
    <mergeCell ref="BR112:BS112"/>
    <mergeCell ref="AR113:AS113"/>
    <mergeCell ref="BE113:BF113"/>
    <mergeCell ref="BR113:BS113"/>
    <mergeCell ref="AR110:AS110"/>
    <mergeCell ref="BE110:BF110"/>
    <mergeCell ref="BR110:BS110"/>
    <mergeCell ref="AR111:AS111"/>
    <mergeCell ref="BE111:BF111"/>
    <mergeCell ref="BR111:BS111"/>
    <mergeCell ref="AR108:AS108"/>
    <mergeCell ref="BE108:BF108"/>
    <mergeCell ref="BR108:BS108"/>
    <mergeCell ref="AR109:AS109"/>
    <mergeCell ref="BE109:BF109"/>
    <mergeCell ref="BR109:BS109"/>
    <mergeCell ref="AR106:AS106"/>
    <mergeCell ref="BE106:BF106"/>
    <mergeCell ref="BR106:BS106"/>
    <mergeCell ref="AR107:AS107"/>
    <mergeCell ref="BE107:BF107"/>
    <mergeCell ref="BR107:BS107"/>
    <mergeCell ref="AR104:AS104"/>
    <mergeCell ref="BE104:BF104"/>
    <mergeCell ref="BR104:BS104"/>
    <mergeCell ref="AR105:AS105"/>
    <mergeCell ref="BE105:BF105"/>
    <mergeCell ref="BR105:BS105"/>
    <mergeCell ref="AR102:AS102"/>
    <mergeCell ref="BE102:BF102"/>
    <mergeCell ref="BR102:BS102"/>
    <mergeCell ref="AR103:AS103"/>
    <mergeCell ref="BE103:BF103"/>
    <mergeCell ref="BR103:BS103"/>
    <mergeCell ref="AR100:AS100"/>
    <mergeCell ref="BE100:BF100"/>
    <mergeCell ref="BR100:BS100"/>
    <mergeCell ref="AR101:AS101"/>
    <mergeCell ref="BE101:BF101"/>
    <mergeCell ref="BR101:BS101"/>
    <mergeCell ref="AR98:AS98"/>
    <mergeCell ref="BE98:BF98"/>
    <mergeCell ref="BR98:BS98"/>
    <mergeCell ref="AR99:AS99"/>
    <mergeCell ref="BE99:BF99"/>
    <mergeCell ref="BR99:BS99"/>
    <mergeCell ref="AR96:AS96"/>
    <mergeCell ref="BE96:BF96"/>
    <mergeCell ref="BR96:BS96"/>
    <mergeCell ref="AR97:AS97"/>
    <mergeCell ref="BE97:BF97"/>
    <mergeCell ref="BR97:BS97"/>
    <mergeCell ref="AR94:AS94"/>
    <mergeCell ref="BE94:BF94"/>
    <mergeCell ref="BR94:BS94"/>
    <mergeCell ref="AR95:AS95"/>
    <mergeCell ref="BE95:BF95"/>
    <mergeCell ref="BR95:BS95"/>
    <mergeCell ref="AR92:AS92"/>
    <mergeCell ref="BE92:BF92"/>
    <mergeCell ref="BR92:BS92"/>
    <mergeCell ref="AR93:AS93"/>
    <mergeCell ref="BE93:BF93"/>
    <mergeCell ref="BR93:BS93"/>
    <mergeCell ref="AR90:AS90"/>
    <mergeCell ref="BE90:BF90"/>
    <mergeCell ref="BR90:BS90"/>
    <mergeCell ref="AR91:AS91"/>
    <mergeCell ref="BE91:BF91"/>
    <mergeCell ref="BR91:BS91"/>
    <mergeCell ref="AR88:AS88"/>
    <mergeCell ref="BE88:BF88"/>
    <mergeCell ref="BR88:BS88"/>
    <mergeCell ref="AR89:AS89"/>
    <mergeCell ref="BE89:BF89"/>
    <mergeCell ref="BR89:BS89"/>
    <mergeCell ref="AR85:AS85"/>
    <mergeCell ref="BE85:BF85"/>
    <mergeCell ref="BR85:BS85"/>
    <mergeCell ref="AR87:AS87"/>
    <mergeCell ref="BE87:BF87"/>
    <mergeCell ref="BR87:BS87"/>
    <mergeCell ref="AR83:AS83"/>
    <mergeCell ref="BE83:BF83"/>
    <mergeCell ref="BR83:BS83"/>
    <mergeCell ref="AR84:AS84"/>
    <mergeCell ref="BE84:BF84"/>
    <mergeCell ref="BR84:BS84"/>
    <mergeCell ref="AR81:AS81"/>
    <mergeCell ref="BE81:BF81"/>
    <mergeCell ref="BR81:BS81"/>
    <mergeCell ref="AR82:AS82"/>
    <mergeCell ref="BE82:BF82"/>
    <mergeCell ref="BR82:BS82"/>
    <mergeCell ref="AR79:AS79"/>
    <mergeCell ref="BE79:BF79"/>
    <mergeCell ref="BR79:BS79"/>
    <mergeCell ref="AR80:AS80"/>
    <mergeCell ref="BE80:BF80"/>
    <mergeCell ref="BR80:BS80"/>
    <mergeCell ref="AR77:AS77"/>
    <mergeCell ref="BE77:BF77"/>
    <mergeCell ref="BR77:BS77"/>
    <mergeCell ref="AR78:AS78"/>
    <mergeCell ref="BE78:BF78"/>
    <mergeCell ref="BR78:BS78"/>
    <mergeCell ref="AR75:AS75"/>
    <mergeCell ref="BE75:BF75"/>
    <mergeCell ref="BR75:BS75"/>
    <mergeCell ref="AR76:AS76"/>
    <mergeCell ref="BE76:BF76"/>
    <mergeCell ref="BR76:BS76"/>
    <mergeCell ref="AR73:AS73"/>
    <mergeCell ref="BE73:BF73"/>
    <mergeCell ref="BR73:BS73"/>
    <mergeCell ref="AR74:AS74"/>
    <mergeCell ref="BE74:BF74"/>
    <mergeCell ref="BR74:BS74"/>
    <mergeCell ref="AR71:AS71"/>
    <mergeCell ref="BE71:BF71"/>
    <mergeCell ref="BR71:BS71"/>
    <mergeCell ref="AR72:AS72"/>
    <mergeCell ref="BE72:BF72"/>
    <mergeCell ref="BR72:BS72"/>
    <mergeCell ref="AR69:AS69"/>
    <mergeCell ref="BE69:BF69"/>
    <mergeCell ref="BR69:BS69"/>
    <mergeCell ref="AR70:AS70"/>
    <mergeCell ref="BE70:BF70"/>
    <mergeCell ref="BR70:BS70"/>
    <mergeCell ref="AR67:AS67"/>
    <mergeCell ref="BE67:BF67"/>
    <mergeCell ref="BR67:BS67"/>
    <mergeCell ref="AR68:AS68"/>
    <mergeCell ref="BE68:BF68"/>
    <mergeCell ref="BR68:BS68"/>
    <mergeCell ref="AR58:AS58"/>
    <mergeCell ref="BE58:BF58"/>
    <mergeCell ref="BR58:BS58"/>
    <mergeCell ref="AR66:AS66"/>
    <mergeCell ref="BE66:BF66"/>
    <mergeCell ref="BR66:BS66"/>
    <mergeCell ref="BE55:BF55"/>
    <mergeCell ref="BR55:BS55"/>
    <mergeCell ref="BE56:BF56"/>
    <mergeCell ref="BR56:BS56"/>
    <mergeCell ref="AR57:AS57"/>
    <mergeCell ref="BE57:BF57"/>
    <mergeCell ref="BR57:BS57"/>
    <mergeCell ref="AR53:AS53"/>
    <mergeCell ref="BE53:BF53"/>
    <mergeCell ref="BR53:BS53"/>
    <mergeCell ref="AR54:AS54"/>
    <mergeCell ref="BE54:BF54"/>
    <mergeCell ref="BR54:BS54"/>
    <mergeCell ref="AR51:AS51"/>
    <mergeCell ref="BE51:BF51"/>
    <mergeCell ref="BR51:BS51"/>
    <mergeCell ref="AR52:AS52"/>
    <mergeCell ref="BE52:BF52"/>
    <mergeCell ref="BR52:BS52"/>
    <mergeCell ref="AR49:AS49"/>
    <mergeCell ref="BE49:BF49"/>
    <mergeCell ref="BR49:BS49"/>
    <mergeCell ref="AR50:AS50"/>
    <mergeCell ref="BE50:BF50"/>
    <mergeCell ref="BR50:BS50"/>
    <mergeCell ref="AR47:AS47"/>
    <mergeCell ref="BE47:BF47"/>
    <mergeCell ref="BR47:BS47"/>
    <mergeCell ref="AR48:AS48"/>
    <mergeCell ref="BE48:BF48"/>
    <mergeCell ref="BR48:BS48"/>
    <mergeCell ref="AR45:AS45"/>
    <mergeCell ref="BE45:BF45"/>
    <mergeCell ref="BR45:BS45"/>
    <mergeCell ref="AR46:AS46"/>
    <mergeCell ref="BE46:BF46"/>
    <mergeCell ref="BR46:BS46"/>
    <mergeCell ref="AR43:AS43"/>
    <mergeCell ref="BE43:BF43"/>
    <mergeCell ref="BR43:BS43"/>
    <mergeCell ref="AR44:AS44"/>
    <mergeCell ref="BE44:BF44"/>
    <mergeCell ref="BR44:BS44"/>
    <mergeCell ref="AR41:AS41"/>
    <mergeCell ref="BE41:BF41"/>
    <mergeCell ref="BR41:BS41"/>
    <mergeCell ref="AR42:AS42"/>
    <mergeCell ref="BE42:BF42"/>
    <mergeCell ref="BR42:BS42"/>
    <mergeCell ref="AR34:AS34"/>
    <mergeCell ref="BE34:BF34"/>
    <mergeCell ref="BR34:BS34"/>
    <mergeCell ref="AR40:AS40"/>
    <mergeCell ref="BE40:BF40"/>
    <mergeCell ref="BR40:BS40"/>
    <mergeCell ref="AR28:AS28"/>
    <mergeCell ref="BE28:BF28"/>
    <mergeCell ref="BR28:BS28"/>
    <mergeCell ref="AR33:AS33"/>
    <mergeCell ref="BE33:BF33"/>
    <mergeCell ref="BR33:BS33"/>
    <mergeCell ref="AR26:AS26"/>
    <mergeCell ref="BE26:BF26"/>
    <mergeCell ref="BR26:BS26"/>
    <mergeCell ref="AR27:AS27"/>
    <mergeCell ref="BE27:BF27"/>
    <mergeCell ref="BR27:BS27"/>
    <mergeCell ref="AR24:AS24"/>
    <mergeCell ref="BE24:BF24"/>
    <mergeCell ref="BR24:BS24"/>
    <mergeCell ref="AR25:AS25"/>
    <mergeCell ref="BE25:BF25"/>
    <mergeCell ref="BR25:BS25"/>
    <mergeCell ref="AR22:AS22"/>
    <mergeCell ref="BE22:BF22"/>
    <mergeCell ref="BR22:BS22"/>
    <mergeCell ref="AR23:AS23"/>
    <mergeCell ref="BE23:BF23"/>
    <mergeCell ref="BR23:BS23"/>
    <mergeCell ref="AR20:AS20"/>
    <mergeCell ref="BE20:BF20"/>
    <mergeCell ref="BR20:BS20"/>
    <mergeCell ref="AR21:AS21"/>
    <mergeCell ref="BE21:BF21"/>
    <mergeCell ref="BR21:BS21"/>
    <mergeCell ref="AR18:AS18"/>
    <mergeCell ref="BE18:BF18"/>
    <mergeCell ref="BR18:BS18"/>
    <mergeCell ref="AR19:AS19"/>
    <mergeCell ref="BE19:BF19"/>
    <mergeCell ref="BR19:BS19"/>
    <mergeCell ref="AR16:AS16"/>
    <mergeCell ref="BE16:BF16"/>
    <mergeCell ref="BR16:BS16"/>
    <mergeCell ref="AR17:AS17"/>
    <mergeCell ref="BE17:BF17"/>
    <mergeCell ref="BR17:BS17"/>
    <mergeCell ref="AR14:AS14"/>
    <mergeCell ref="BE14:BF14"/>
    <mergeCell ref="BR14:BS14"/>
    <mergeCell ref="AR15:AS15"/>
    <mergeCell ref="BE15:BF15"/>
    <mergeCell ref="BR15:BS15"/>
    <mergeCell ref="AR11:AS11"/>
    <mergeCell ref="BE11:BF11"/>
    <mergeCell ref="BR11:BS11"/>
    <mergeCell ref="AR12:AS12"/>
    <mergeCell ref="BE12:BF12"/>
    <mergeCell ref="BR12:BS12"/>
    <mergeCell ref="CB2:CB4"/>
    <mergeCell ref="CC2:CC4"/>
    <mergeCell ref="AR8:AS8"/>
    <mergeCell ref="BE8:BF8"/>
    <mergeCell ref="BR8:BS8"/>
    <mergeCell ref="BU2:BU4"/>
    <mergeCell ref="BV2:BV4"/>
    <mergeCell ref="BW2:BW4"/>
    <mergeCell ref="BX2:BX4"/>
    <mergeCell ref="BY2:BY4"/>
    <mergeCell ref="BZ2:BZ4"/>
    <mergeCell ref="BN2:BN4"/>
    <mergeCell ref="BO2:BO4"/>
    <mergeCell ref="BP2:BP4"/>
    <mergeCell ref="BR2:BR4"/>
    <mergeCell ref="BS2:BS4"/>
    <mergeCell ref="BT2:BT4"/>
    <mergeCell ref="BH2:BH4"/>
    <mergeCell ref="BI2:BI4"/>
    <mergeCell ref="BJ2:BJ4"/>
    <mergeCell ref="BK2:BK4"/>
    <mergeCell ref="BL2:BL4"/>
    <mergeCell ref="BM2:BM4"/>
    <mergeCell ref="BF2:BF4"/>
    <mergeCell ref="BG2:BG4"/>
    <mergeCell ref="AU2:AU4"/>
    <mergeCell ref="AV2:AV4"/>
    <mergeCell ref="AW2:AW4"/>
    <mergeCell ref="AX2:AX4"/>
    <mergeCell ref="AY2:AY4"/>
    <mergeCell ref="AZ2:AZ4"/>
    <mergeCell ref="CA2:CA4"/>
    <mergeCell ref="L1:L4"/>
    <mergeCell ref="M1:M4"/>
    <mergeCell ref="N1:U1"/>
    <mergeCell ref="AM2:AM4"/>
    <mergeCell ref="AN2:AN4"/>
    <mergeCell ref="AO2:AO4"/>
    <mergeCell ref="AR2:AR4"/>
    <mergeCell ref="AS2:AS4"/>
    <mergeCell ref="AT2:AT4"/>
    <mergeCell ref="AA2:AA3"/>
    <mergeCell ref="AB2:AC2"/>
    <mergeCell ref="AD2:AD3"/>
    <mergeCell ref="AE2:AE3"/>
    <mergeCell ref="AF2:AF3"/>
    <mergeCell ref="AH2:AH4"/>
    <mergeCell ref="U2:U4"/>
    <mergeCell ref="V2:V3"/>
    <mergeCell ref="W2:Y2"/>
    <mergeCell ref="Z2:Z3"/>
    <mergeCell ref="A1:A4"/>
    <mergeCell ref="B1:B4"/>
    <mergeCell ref="D1:D4"/>
    <mergeCell ref="E1:F1"/>
    <mergeCell ref="G1:G4"/>
    <mergeCell ref="J1:J4"/>
    <mergeCell ref="C1:C4"/>
    <mergeCell ref="H1:I1"/>
    <mergeCell ref="H2:H4"/>
    <mergeCell ref="I2:I4"/>
    <mergeCell ref="E2:E4"/>
    <mergeCell ref="F2:F4"/>
    <mergeCell ref="N2:N4"/>
    <mergeCell ref="O2:O4"/>
    <mergeCell ref="P2:P4"/>
    <mergeCell ref="Q2:Q4"/>
    <mergeCell ref="R2:R4"/>
    <mergeCell ref="S2:S4"/>
    <mergeCell ref="T2:T4"/>
    <mergeCell ref="K1:K4"/>
    <mergeCell ref="EV1:EV4"/>
    <mergeCell ref="EW1:EW4"/>
    <mergeCell ref="EJ2:EJ4"/>
    <mergeCell ref="EK1:EK4"/>
    <mergeCell ref="FA1:FA4"/>
    <mergeCell ref="ES1:ES4"/>
    <mergeCell ref="EG2:EG4"/>
    <mergeCell ref="V1:AF1"/>
    <mergeCell ref="AG1:AG4"/>
    <mergeCell ref="BR1:CC1"/>
    <mergeCell ref="AH1:AO1"/>
    <mergeCell ref="AQ1:AQ4"/>
    <mergeCell ref="AR1:BC1"/>
    <mergeCell ref="BD1:BD3"/>
    <mergeCell ref="BE1:BP1"/>
    <mergeCell ref="BQ1:BQ4"/>
    <mergeCell ref="AI2:AI4"/>
    <mergeCell ref="AJ2:AJ4"/>
    <mergeCell ref="AK2:AK4"/>
    <mergeCell ref="AL2:AL4"/>
    <mergeCell ref="BA2:BA4"/>
    <mergeCell ref="BB2:BB4"/>
    <mergeCell ref="BC2:BC4"/>
    <mergeCell ref="BE2:BE4"/>
  </mergeCells>
  <pageMargins left="0.25" right="0.25" top="0.75" bottom="0.75" header="0.3" footer="0.3"/>
  <pageSetup paperSize="9"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3"/>
  <sheetViews>
    <sheetView topLeftCell="A142" workbookViewId="0">
      <selection activeCell="EB284" sqref="EB284"/>
    </sheetView>
  </sheetViews>
  <sheetFormatPr defaultRowHeight="26.25" customHeight="1" x14ac:dyDescent="0.25"/>
  <cols>
    <col min="1" max="1" width="31.28515625" customWidth="1"/>
    <col min="2" max="2" width="16.140625" customWidth="1"/>
    <col min="3" max="3" width="19.7109375" customWidth="1"/>
    <col min="4" max="4" width="14.42578125" customWidth="1"/>
    <col min="5" max="5" width="12.140625" customWidth="1"/>
    <col min="6" max="6" width="26.140625" customWidth="1"/>
    <col min="7" max="7" width="20.85546875" customWidth="1"/>
    <col min="8" max="8" width="15.28515625" customWidth="1"/>
    <col min="9" max="9" width="19.140625" customWidth="1"/>
  </cols>
  <sheetData>
    <row r="1" spans="1:9" ht="26.25" customHeight="1" x14ac:dyDescent="0.25">
      <c r="A1" s="279"/>
      <c r="B1" s="280" t="s">
        <v>1739</v>
      </c>
      <c r="C1" s="280"/>
      <c r="D1" s="280" t="s">
        <v>1740</v>
      </c>
      <c r="E1" s="280"/>
      <c r="F1" s="280" t="s">
        <v>1741</v>
      </c>
      <c r="G1" s="280"/>
      <c r="H1" s="280" t="s">
        <v>1742</v>
      </c>
      <c r="I1" s="280" t="s">
        <v>1743</v>
      </c>
    </row>
    <row r="2" spans="1:9" ht="26.25" customHeight="1" x14ac:dyDescent="0.25">
      <c r="A2" s="280" t="s">
        <v>1744</v>
      </c>
      <c r="B2" s="281" t="s">
        <v>1745</v>
      </c>
      <c r="C2" s="281" t="s">
        <v>1746</v>
      </c>
      <c r="D2" s="281" t="s">
        <v>1745</v>
      </c>
      <c r="E2" s="281" t="s">
        <v>1746</v>
      </c>
      <c r="F2" s="281" t="s">
        <v>1745</v>
      </c>
      <c r="G2" s="281" t="s">
        <v>1746</v>
      </c>
      <c r="H2" s="280"/>
      <c r="I2" s="280"/>
    </row>
    <row r="3" spans="1:9" ht="26.25" customHeight="1" x14ac:dyDescent="0.25">
      <c r="A3" s="282" t="s">
        <v>320</v>
      </c>
      <c r="B3" s="283">
        <v>3806130.74</v>
      </c>
      <c r="C3" s="283">
        <v>3638507.01</v>
      </c>
      <c r="D3" s="283"/>
      <c r="E3" s="283"/>
      <c r="F3" s="283">
        <v>345992.66</v>
      </c>
      <c r="G3" s="283">
        <v>433900.3</v>
      </c>
      <c r="H3" s="283">
        <v>4152123.4000000004</v>
      </c>
      <c r="I3" s="283">
        <v>4072407.3099999996</v>
      </c>
    </row>
    <row r="4" spans="1:9" ht="26.25" customHeight="1" x14ac:dyDescent="0.25">
      <c r="A4" s="282" t="s">
        <v>330</v>
      </c>
      <c r="B4" s="283">
        <v>5051489.97</v>
      </c>
      <c r="C4" s="283">
        <v>4553335.5199999996</v>
      </c>
      <c r="D4" s="283"/>
      <c r="E4" s="283"/>
      <c r="F4" s="283">
        <v>459226.37</v>
      </c>
      <c r="G4" s="283">
        <v>594879.1</v>
      </c>
      <c r="H4" s="283">
        <v>5510716.3399999999</v>
      </c>
      <c r="I4" s="283">
        <v>5148214.6199999992</v>
      </c>
    </row>
    <row r="5" spans="1:9" ht="26.25" customHeight="1" x14ac:dyDescent="0.25">
      <c r="A5" s="282" t="s">
        <v>323</v>
      </c>
      <c r="B5" s="283">
        <v>5148341.9299999988</v>
      </c>
      <c r="C5" s="283">
        <v>4656001.34</v>
      </c>
      <c r="D5" s="283"/>
      <c r="E5" s="283"/>
      <c r="F5" s="283">
        <v>468032.97</v>
      </c>
      <c r="G5" s="283">
        <v>595271.59</v>
      </c>
      <c r="H5" s="283">
        <v>5616374.8999999985</v>
      </c>
      <c r="I5" s="283">
        <v>5251272.93</v>
      </c>
    </row>
    <row r="6" spans="1:9" ht="26.25" customHeight="1" x14ac:dyDescent="0.25">
      <c r="A6" s="282" t="s">
        <v>324</v>
      </c>
      <c r="B6" s="283">
        <v>5826502.6899999976</v>
      </c>
      <c r="C6" s="283">
        <v>5117351.3999999994</v>
      </c>
      <c r="D6" s="283"/>
      <c r="E6" s="283"/>
      <c r="F6" s="283">
        <v>529455.92000000004</v>
      </c>
      <c r="G6" s="283">
        <v>651919.82999999996</v>
      </c>
      <c r="H6" s="283">
        <v>6355958.6099999975</v>
      </c>
      <c r="I6" s="283">
        <v>5769271.2299999995</v>
      </c>
    </row>
    <row r="7" spans="1:9" ht="26.25" customHeight="1" x14ac:dyDescent="0.25">
      <c r="A7" s="282" t="s">
        <v>325</v>
      </c>
      <c r="B7" s="283">
        <v>5097198.5900000008</v>
      </c>
      <c r="C7" s="283">
        <v>4596030.6399999997</v>
      </c>
      <c r="D7" s="283"/>
      <c r="E7" s="283"/>
      <c r="F7" s="283">
        <v>463381.69</v>
      </c>
      <c r="G7" s="283">
        <v>549092.37</v>
      </c>
      <c r="H7" s="283">
        <v>5560580.2800000012</v>
      </c>
      <c r="I7" s="283">
        <v>5145123.01</v>
      </c>
    </row>
    <row r="8" spans="1:9" ht="26.25" customHeight="1" x14ac:dyDescent="0.25">
      <c r="A8" s="282" t="s">
        <v>326</v>
      </c>
      <c r="B8" s="283">
        <v>8910992.4399999995</v>
      </c>
      <c r="C8" s="283">
        <v>8096839.6399999997</v>
      </c>
      <c r="D8" s="283"/>
      <c r="E8" s="283"/>
      <c r="F8" s="283">
        <v>811501.71</v>
      </c>
      <c r="G8" s="283">
        <v>1061014.5900000001</v>
      </c>
      <c r="H8" s="283">
        <v>9722494.1499999985</v>
      </c>
      <c r="I8" s="283">
        <v>9157854.2300000004</v>
      </c>
    </row>
    <row r="9" spans="1:9" ht="26.25" customHeight="1" x14ac:dyDescent="0.25">
      <c r="A9" s="282" t="s">
        <v>327</v>
      </c>
      <c r="B9" s="283">
        <v>5083559.1400000015</v>
      </c>
      <c r="C9" s="283">
        <v>4887964.96</v>
      </c>
      <c r="D9" s="283"/>
      <c r="E9" s="283"/>
      <c r="F9" s="283">
        <v>462141.74</v>
      </c>
      <c r="G9" s="283">
        <v>560029.13</v>
      </c>
      <c r="H9" s="283">
        <v>5545700.8800000018</v>
      </c>
      <c r="I9" s="283">
        <v>5447994.0899999999</v>
      </c>
    </row>
    <row r="10" spans="1:9" ht="26.25" customHeight="1" x14ac:dyDescent="0.25">
      <c r="A10" s="282" t="s">
        <v>328</v>
      </c>
      <c r="B10" s="283">
        <v>9020828.8300000019</v>
      </c>
      <c r="C10" s="283">
        <v>8366577.6800000016</v>
      </c>
      <c r="D10" s="283"/>
      <c r="E10" s="283"/>
      <c r="F10" s="283">
        <v>820077.61</v>
      </c>
      <c r="G10" s="283">
        <v>1100505.93</v>
      </c>
      <c r="H10" s="283">
        <v>9840906.4400000013</v>
      </c>
      <c r="I10" s="283">
        <v>9467083.6100000013</v>
      </c>
    </row>
    <row r="11" spans="1:9" ht="26.25" customHeight="1" x14ac:dyDescent="0.25">
      <c r="A11" s="282" t="s">
        <v>329</v>
      </c>
      <c r="B11" s="283">
        <v>5067879.9000000004</v>
      </c>
      <c r="C11" s="283">
        <v>4814665.9800000004</v>
      </c>
      <c r="D11" s="283"/>
      <c r="E11" s="283"/>
      <c r="F11" s="283">
        <v>460818.9</v>
      </c>
      <c r="G11" s="283">
        <v>592691.9</v>
      </c>
      <c r="H11" s="283">
        <v>5528698.8000000007</v>
      </c>
      <c r="I11" s="283">
        <v>5407357.8800000008</v>
      </c>
    </row>
    <row r="12" spans="1:9" ht="26.25" customHeight="1" x14ac:dyDescent="0.25">
      <c r="A12" s="282" t="s">
        <v>333</v>
      </c>
      <c r="B12" s="283">
        <v>128854.33</v>
      </c>
      <c r="C12" s="283">
        <v>98532.569999999978</v>
      </c>
      <c r="D12" s="283"/>
      <c r="E12" s="283"/>
      <c r="F12" s="283">
        <v>11714.03</v>
      </c>
      <c r="G12" s="283">
        <v>10305.43</v>
      </c>
      <c r="H12" s="283">
        <v>140568.36000000002</v>
      </c>
      <c r="I12" s="283">
        <v>108837.99999999997</v>
      </c>
    </row>
    <row r="13" spans="1:9" ht="26.25" customHeight="1" x14ac:dyDescent="0.25">
      <c r="A13" s="282" t="s">
        <v>331</v>
      </c>
      <c r="B13" s="283">
        <v>1366356.6800000002</v>
      </c>
      <c r="C13" s="283">
        <v>1027013.61</v>
      </c>
      <c r="D13" s="283"/>
      <c r="E13" s="283"/>
      <c r="F13" s="283">
        <v>126291.43</v>
      </c>
      <c r="G13" s="283">
        <v>134851.81</v>
      </c>
      <c r="H13" s="283">
        <v>1492648.11</v>
      </c>
      <c r="I13" s="283">
        <v>1161865.42</v>
      </c>
    </row>
    <row r="14" spans="1:9" ht="26.25" customHeight="1" x14ac:dyDescent="0.25">
      <c r="A14" s="282" t="s">
        <v>332</v>
      </c>
      <c r="B14" s="283">
        <v>1388162.7100000002</v>
      </c>
      <c r="C14" s="283">
        <v>1302976.7300000002</v>
      </c>
      <c r="D14" s="283"/>
      <c r="E14" s="283"/>
      <c r="F14" s="283">
        <v>126196.61</v>
      </c>
      <c r="G14" s="283">
        <v>157634.28</v>
      </c>
      <c r="H14" s="283">
        <v>1514359.3200000003</v>
      </c>
      <c r="I14" s="283">
        <v>1460611.0100000002</v>
      </c>
    </row>
    <row r="15" spans="1:9" ht="26.25" customHeight="1" x14ac:dyDescent="0.25">
      <c r="A15" s="282" t="s">
        <v>334</v>
      </c>
      <c r="B15" s="283">
        <v>4277734.9000000004</v>
      </c>
      <c r="C15" s="283">
        <v>3980052.72</v>
      </c>
      <c r="D15" s="283"/>
      <c r="E15" s="283"/>
      <c r="F15" s="283">
        <v>388884.99</v>
      </c>
      <c r="G15" s="283">
        <v>526434.68999999994</v>
      </c>
      <c r="H15" s="283">
        <v>4666619.8900000006</v>
      </c>
      <c r="I15" s="283">
        <v>4506487.41</v>
      </c>
    </row>
    <row r="16" spans="1:9" ht="26.25" customHeight="1" x14ac:dyDescent="0.25">
      <c r="A16" s="282" t="s">
        <v>341</v>
      </c>
      <c r="B16" s="283">
        <v>2537203.9899999998</v>
      </c>
      <c r="C16" s="283">
        <v>2333792.1399999997</v>
      </c>
      <c r="D16" s="283"/>
      <c r="E16" s="283"/>
      <c r="F16" s="283">
        <v>231041.72</v>
      </c>
      <c r="G16" s="283">
        <v>280422.71000000002</v>
      </c>
      <c r="H16" s="283">
        <v>2768245.71</v>
      </c>
      <c r="I16" s="283">
        <v>2614214.8499999996</v>
      </c>
    </row>
    <row r="17" spans="1:9" ht="26.25" customHeight="1" x14ac:dyDescent="0.25">
      <c r="A17" s="282" t="s">
        <v>342</v>
      </c>
      <c r="B17" s="283">
        <v>4243447.9300000006</v>
      </c>
      <c r="C17" s="283">
        <v>3899961.88</v>
      </c>
      <c r="D17" s="283"/>
      <c r="E17" s="283"/>
      <c r="F17" s="283">
        <v>386160.45</v>
      </c>
      <c r="G17" s="283">
        <v>477760.22</v>
      </c>
      <c r="H17" s="283">
        <v>4629608.3800000008</v>
      </c>
      <c r="I17" s="283">
        <v>4377722.0999999996</v>
      </c>
    </row>
    <row r="18" spans="1:9" ht="26.25" customHeight="1" x14ac:dyDescent="0.25">
      <c r="A18" s="282" t="s">
        <v>343</v>
      </c>
      <c r="B18" s="283">
        <v>5410243.75</v>
      </c>
      <c r="C18" s="283">
        <v>4755828.4800000004</v>
      </c>
      <c r="D18" s="283"/>
      <c r="E18" s="283"/>
      <c r="F18" s="283">
        <v>492746.52</v>
      </c>
      <c r="G18" s="283">
        <v>613901.57999999996</v>
      </c>
      <c r="H18" s="283">
        <v>5902990.2699999996</v>
      </c>
      <c r="I18" s="283">
        <v>5369730.0600000005</v>
      </c>
    </row>
    <row r="19" spans="1:9" ht="26.25" customHeight="1" x14ac:dyDescent="0.25">
      <c r="A19" s="282" t="s">
        <v>344</v>
      </c>
      <c r="B19" s="283">
        <v>1419305.81</v>
      </c>
      <c r="C19" s="283">
        <v>1341277.1199999999</v>
      </c>
      <c r="D19" s="283"/>
      <c r="E19" s="283"/>
      <c r="F19" s="283">
        <v>125203.69</v>
      </c>
      <c r="G19" s="283">
        <v>145779.34</v>
      </c>
      <c r="H19" s="283">
        <v>1544509.5</v>
      </c>
      <c r="I19" s="283">
        <v>1487056.46</v>
      </c>
    </row>
    <row r="20" spans="1:9" ht="26.25" customHeight="1" x14ac:dyDescent="0.25">
      <c r="A20" s="282" t="s">
        <v>345</v>
      </c>
      <c r="B20" s="283">
        <v>4245027.709999999</v>
      </c>
      <c r="C20" s="283">
        <v>3999332.89</v>
      </c>
      <c r="D20" s="283"/>
      <c r="E20" s="283"/>
      <c r="F20" s="283">
        <v>385911.61</v>
      </c>
      <c r="G20" s="283">
        <v>508748.73</v>
      </c>
      <c r="H20" s="283">
        <v>4630939.3199999994</v>
      </c>
      <c r="I20" s="283">
        <v>4508081.62</v>
      </c>
    </row>
    <row r="21" spans="1:9" ht="26.25" customHeight="1" x14ac:dyDescent="0.25">
      <c r="A21" s="282" t="s">
        <v>346</v>
      </c>
      <c r="B21" s="283">
        <v>3448807.330000001</v>
      </c>
      <c r="C21" s="283">
        <v>3075021.0999999996</v>
      </c>
      <c r="D21" s="283"/>
      <c r="E21" s="283"/>
      <c r="F21" s="283">
        <v>314267.99</v>
      </c>
      <c r="G21" s="283">
        <v>421401.82</v>
      </c>
      <c r="H21" s="283">
        <v>3763075.3200000012</v>
      </c>
      <c r="I21" s="283">
        <v>3496422.9199999995</v>
      </c>
    </row>
    <row r="22" spans="1:9" ht="26.25" customHeight="1" x14ac:dyDescent="0.25">
      <c r="A22" s="282" t="s">
        <v>347</v>
      </c>
      <c r="B22" s="283">
        <v>4258165.54</v>
      </c>
      <c r="C22" s="283">
        <v>3977222.43</v>
      </c>
      <c r="D22" s="283"/>
      <c r="E22" s="283"/>
      <c r="F22" s="283">
        <v>387105.96</v>
      </c>
      <c r="G22" s="283">
        <v>445022.78</v>
      </c>
      <c r="H22" s="283">
        <v>4645271.5</v>
      </c>
      <c r="I22" s="283">
        <v>4422245.21</v>
      </c>
    </row>
    <row r="23" spans="1:9" ht="26.25" customHeight="1" x14ac:dyDescent="0.25">
      <c r="A23" s="282" t="s">
        <v>335</v>
      </c>
      <c r="B23" s="283">
        <v>2534153.1500000004</v>
      </c>
      <c r="C23" s="283">
        <v>2286895.6599999997</v>
      </c>
      <c r="D23" s="283"/>
      <c r="E23" s="283"/>
      <c r="F23" s="283">
        <v>234724.37</v>
      </c>
      <c r="G23" s="283">
        <v>307011.82</v>
      </c>
      <c r="H23" s="283">
        <v>2768877.5200000005</v>
      </c>
      <c r="I23" s="283">
        <v>2593907.4799999995</v>
      </c>
    </row>
    <row r="24" spans="1:9" ht="26.25" customHeight="1" x14ac:dyDescent="0.25">
      <c r="A24" s="282" t="s">
        <v>336</v>
      </c>
      <c r="B24" s="283">
        <v>5519438.1400000015</v>
      </c>
      <c r="C24" s="283">
        <v>5156331.92</v>
      </c>
      <c r="D24" s="283"/>
      <c r="E24" s="283"/>
      <c r="F24" s="283">
        <v>502554.28</v>
      </c>
      <c r="G24" s="283">
        <v>648418</v>
      </c>
      <c r="H24" s="283">
        <v>6021992.4200000018</v>
      </c>
      <c r="I24" s="283">
        <v>5804749.9199999999</v>
      </c>
    </row>
    <row r="25" spans="1:9" ht="26.25" customHeight="1" x14ac:dyDescent="0.25">
      <c r="A25" s="282" t="s">
        <v>337</v>
      </c>
      <c r="B25" s="283">
        <v>8116721.8399999999</v>
      </c>
      <c r="C25" s="283">
        <v>7348254.9099999983</v>
      </c>
      <c r="D25" s="283"/>
      <c r="E25" s="283"/>
      <c r="F25" s="283">
        <v>738037.62</v>
      </c>
      <c r="G25" s="283">
        <v>1015137.75</v>
      </c>
      <c r="H25" s="283">
        <v>8854759.459999999</v>
      </c>
      <c r="I25" s="283">
        <v>8363392.6599999983</v>
      </c>
    </row>
    <row r="26" spans="1:9" ht="26.25" customHeight="1" x14ac:dyDescent="0.25">
      <c r="A26" s="282" t="s">
        <v>338</v>
      </c>
      <c r="B26" s="283">
        <v>1369468.3200000003</v>
      </c>
      <c r="C26" s="283">
        <v>1202087.3499999999</v>
      </c>
      <c r="D26" s="283"/>
      <c r="E26" s="283"/>
      <c r="F26" s="283">
        <v>124497.12</v>
      </c>
      <c r="G26" s="283">
        <v>120315.54</v>
      </c>
      <c r="H26" s="283">
        <v>1493965.4400000004</v>
      </c>
      <c r="I26" s="283">
        <v>1322402.8899999999</v>
      </c>
    </row>
    <row r="27" spans="1:9" ht="26.25" customHeight="1" x14ac:dyDescent="0.25">
      <c r="A27" s="282" t="s">
        <v>339</v>
      </c>
      <c r="B27" s="283">
        <v>3117735.95</v>
      </c>
      <c r="C27" s="283">
        <v>2725722.21</v>
      </c>
      <c r="D27" s="283"/>
      <c r="E27" s="283"/>
      <c r="F27" s="283">
        <v>284160.78999999998</v>
      </c>
      <c r="G27" s="283">
        <v>338064.89</v>
      </c>
      <c r="H27" s="283">
        <v>3401896.74</v>
      </c>
      <c r="I27" s="283">
        <v>3063787.1</v>
      </c>
    </row>
    <row r="28" spans="1:9" ht="26.25" customHeight="1" x14ac:dyDescent="0.25">
      <c r="A28" s="282" t="s">
        <v>340</v>
      </c>
      <c r="B28" s="283">
        <v>4263548.5199999996</v>
      </c>
      <c r="C28" s="283">
        <v>3879325.0700000003</v>
      </c>
      <c r="D28" s="283"/>
      <c r="E28" s="283"/>
      <c r="F28" s="283">
        <v>387595.31</v>
      </c>
      <c r="G28" s="283">
        <v>510932.45</v>
      </c>
      <c r="H28" s="283">
        <v>4651143.8299999991</v>
      </c>
      <c r="I28" s="283">
        <v>4390257.5200000005</v>
      </c>
    </row>
    <row r="29" spans="1:9" ht="26.25" customHeight="1" x14ac:dyDescent="0.25">
      <c r="A29" s="282" t="s">
        <v>348</v>
      </c>
      <c r="B29" s="283">
        <v>4567768.7000000011</v>
      </c>
      <c r="C29" s="283">
        <v>4251343.1799999988</v>
      </c>
      <c r="D29" s="283"/>
      <c r="E29" s="283"/>
      <c r="F29" s="283">
        <v>415251.7</v>
      </c>
      <c r="G29" s="283">
        <v>564594.75</v>
      </c>
      <c r="H29" s="283">
        <v>4983020.4000000013</v>
      </c>
      <c r="I29" s="283">
        <v>4815937.9299999988</v>
      </c>
    </row>
    <row r="30" spans="1:9" ht="26.25" customHeight="1" x14ac:dyDescent="0.25">
      <c r="A30" s="282" t="s">
        <v>355</v>
      </c>
      <c r="B30" s="283">
        <v>1522695.4699999997</v>
      </c>
      <c r="C30" s="283">
        <v>1440677.6099999999</v>
      </c>
      <c r="D30" s="283"/>
      <c r="E30" s="283"/>
      <c r="F30" s="283">
        <v>138426.85999999999</v>
      </c>
      <c r="G30" s="283">
        <v>163021.28</v>
      </c>
      <c r="H30" s="283">
        <v>1661122.3299999996</v>
      </c>
      <c r="I30" s="283">
        <v>1603698.89</v>
      </c>
    </row>
    <row r="31" spans="1:9" ht="26.25" customHeight="1" x14ac:dyDescent="0.25">
      <c r="A31" s="282" t="s">
        <v>349</v>
      </c>
      <c r="B31" s="283">
        <v>5621051.4499999993</v>
      </c>
      <c r="C31" s="283">
        <v>5187597.3500000006</v>
      </c>
      <c r="D31" s="283"/>
      <c r="E31" s="283"/>
      <c r="F31" s="283">
        <v>510997.59</v>
      </c>
      <c r="G31" s="283">
        <v>636792.96</v>
      </c>
      <c r="H31" s="283">
        <v>6132049.0399999991</v>
      </c>
      <c r="I31" s="283">
        <v>5824390.3100000005</v>
      </c>
    </row>
    <row r="32" spans="1:9" ht="26.25" customHeight="1" x14ac:dyDescent="0.25">
      <c r="A32" s="284" t="s">
        <v>350</v>
      </c>
      <c r="B32" s="285">
        <v>5653132.9799999995</v>
      </c>
      <c r="C32" s="285">
        <v>5260381.63</v>
      </c>
      <c r="D32" s="285"/>
      <c r="E32" s="285"/>
      <c r="F32" s="285">
        <v>513921.18</v>
      </c>
      <c r="G32" s="285">
        <v>619842.78</v>
      </c>
      <c r="H32" s="285">
        <v>6167054.1599999992</v>
      </c>
      <c r="I32" s="285">
        <v>5880224.4100000001</v>
      </c>
    </row>
    <row r="33" spans="1:9" ht="26.25" customHeight="1" x14ac:dyDescent="0.25">
      <c r="A33" s="282" t="s">
        <v>351</v>
      </c>
      <c r="B33" s="283">
        <v>3629702.38</v>
      </c>
      <c r="C33" s="283">
        <v>3377575.64</v>
      </c>
      <c r="D33" s="283"/>
      <c r="E33" s="283"/>
      <c r="F33" s="283">
        <v>330659.46000000002</v>
      </c>
      <c r="G33" s="283">
        <v>441417.92</v>
      </c>
      <c r="H33" s="283">
        <v>3960361.84</v>
      </c>
      <c r="I33" s="283">
        <v>3818993.56</v>
      </c>
    </row>
    <row r="34" spans="1:9" ht="26.25" customHeight="1" x14ac:dyDescent="0.25">
      <c r="A34" s="282" t="s">
        <v>352</v>
      </c>
      <c r="B34" s="283">
        <v>1599195.6199999999</v>
      </c>
      <c r="C34" s="283">
        <v>1461646.75</v>
      </c>
      <c r="D34" s="283"/>
      <c r="E34" s="283"/>
      <c r="F34" s="283">
        <v>145381.42000000001</v>
      </c>
      <c r="G34" s="283">
        <v>188484.9</v>
      </c>
      <c r="H34" s="283">
        <v>1744577.0399999998</v>
      </c>
      <c r="I34" s="283">
        <v>1650131.65</v>
      </c>
    </row>
    <row r="35" spans="1:9" ht="26.25" customHeight="1" x14ac:dyDescent="0.25">
      <c r="A35" s="282" t="s">
        <v>353</v>
      </c>
      <c r="B35" s="283">
        <v>5592235.8799999999</v>
      </c>
      <c r="C35" s="283">
        <v>5242933.2699999996</v>
      </c>
      <c r="D35" s="283"/>
      <c r="E35" s="283"/>
      <c r="F35" s="283">
        <v>508385.08</v>
      </c>
      <c r="G35" s="283">
        <v>690309.77</v>
      </c>
      <c r="H35" s="283">
        <v>6100620.96</v>
      </c>
      <c r="I35" s="283">
        <v>5933243.0399999991</v>
      </c>
    </row>
    <row r="36" spans="1:9" ht="26.25" customHeight="1" x14ac:dyDescent="0.25">
      <c r="A36" s="282" t="s">
        <v>354</v>
      </c>
      <c r="B36" s="283">
        <v>1517296.58</v>
      </c>
      <c r="C36" s="283">
        <v>1429884.15</v>
      </c>
      <c r="D36" s="283"/>
      <c r="E36" s="283"/>
      <c r="F36" s="283">
        <v>137925.12</v>
      </c>
      <c r="G36" s="283">
        <v>227343.78</v>
      </c>
      <c r="H36" s="283">
        <v>1655221.7000000002</v>
      </c>
      <c r="I36" s="283">
        <v>1657227.93</v>
      </c>
    </row>
    <row r="37" spans="1:9" ht="26.25" customHeight="1" x14ac:dyDescent="0.25">
      <c r="A37" s="286" t="s">
        <v>1747</v>
      </c>
      <c r="B37" s="283"/>
      <c r="C37" s="283"/>
      <c r="D37" s="283">
        <v>0</v>
      </c>
      <c r="E37" s="283">
        <v>0</v>
      </c>
      <c r="F37" s="283"/>
      <c r="G37" s="283"/>
      <c r="H37" s="283">
        <v>0</v>
      </c>
      <c r="I37" s="283">
        <v>0</v>
      </c>
    </row>
    <row r="38" spans="1:9" ht="26.25" customHeight="1" x14ac:dyDescent="0.25">
      <c r="A38" s="286" t="s">
        <v>1748</v>
      </c>
      <c r="B38" s="283"/>
      <c r="C38" s="283"/>
      <c r="D38" s="283">
        <v>0</v>
      </c>
      <c r="E38" s="283">
        <v>0</v>
      </c>
      <c r="F38" s="283"/>
      <c r="G38" s="283"/>
      <c r="H38" s="283">
        <v>0</v>
      </c>
      <c r="I38" s="283">
        <v>0</v>
      </c>
    </row>
    <row r="39" spans="1:9" ht="26.25" customHeight="1" x14ac:dyDescent="0.25">
      <c r="A39" s="282" t="s">
        <v>1749</v>
      </c>
      <c r="B39" s="283"/>
      <c r="C39" s="283"/>
      <c r="D39" s="283">
        <v>0</v>
      </c>
      <c r="E39" s="283">
        <v>0</v>
      </c>
      <c r="F39" s="283"/>
      <c r="G39" s="283"/>
      <c r="H39" s="283">
        <v>0</v>
      </c>
      <c r="I39" s="283">
        <v>0</v>
      </c>
    </row>
    <row r="40" spans="1:9" ht="26.25" customHeight="1" x14ac:dyDescent="0.25">
      <c r="A40" s="286" t="s">
        <v>1750</v>
      </c>
      <c r="B40" s="283"/>
      <c r="C40" s="283"/>
      <c r="D40" s="283">
        <v>0</v>
      </c>
      <c r="E40" s="283">
        <v>0</v>
      </c>
      <c r="F40" s="283"/>
      <c r="G40" s="283"/>
      <c r="H40" s="283">
        <v>0</v>
      </c>
      <c r="I40" s="283">
        <v>0</v>
      </c>
    </row>
    <row r="41" spans="1:9" ht="26.25" customHeight="1" x14ac:dyDescent="0.25">
      <c r="A41" s="286" t="s">
        <v>1751</v>
      </c>
      <c r="B41" s="283"/>
      <c r="C41" s="283"/>
      <c r="D41" s="283">
        <v>0</v>
      </c>
      <c r="E41" s="283">
        <v>0</v>
      </c>
      <c r="F41" s="283"/>
      <c r="G41" s="283"/>
      <c r="H41" s="283">
        <v>0</v>
      </c>
      <c r="I41" s="283">
        <v>0</v>
      </c>
    </row>
    <row r="42" spans="1:9" ht="26.25" customHeight="1" x14ac:dyDescent="0.25">
      <c r="A42" s="282" t="s">
        <v>1752</v>
      </c>
      <c r="B42" s="283">
        <v>0</v>
      </c>
      <c r="C42" s="283">
        <v>0</v>
      </c>
      <c r="D42" s="283"/>
      <c r="E42" s="283"/>
      <c r="F42" s="283"/>
      <c r="G42" s="283"/>
      <c r="H42" s="283">
        <v>0</v>
      </c>
      <c r="I42" s="283">
        <v>0</v>
      </c>
    </row>
    <row r="43" spans="1:9" ht="26.25" customHeight="1" x14ac:dyDescent="0.25">
      <c r="A43" s="282" t="s">
        <v>1753</v>
      </c>
      <c r="B43" s="283"/>
      <c r="C43" s="283"/>
      <c r="D43" s="283">
        <v>0</v>
      </c>
      <c r="E43" s="283">
        <v>0</v>
      </c>
      <c r="F43" s="283"/>
      <c r="G43" s="283"/>
      <c r="H43" s="283">
        <v>0</v>
      </c>
      <c r="I43" s="283">
        <v>0</v>
      </c>
    </row>
    <row r="44" spans="1:9" ht="26.25" customHeight="1" x14ac:dyDescent="0.25">
      <c r="A44" s="282" t="s">
        <v>878</v>
      </c>
      <c r="B44" s="283"/>
      <c r="C44" s="283"/>
      <c r="D44" s="283">
        <v>208363.77000000002</v>
      </c>
      <c r="E44" s="283">
        <v>30580.560000000005</v>
      </c>
      <c r="F44" s="283">
        <v>19888.73</v>
      </c>
      <c r="G44" s="283">
        <v>0</v>
      </c>
      <c r="H44" s="283">
        <v>228252.50000000003</v>
      </c>
      <c r="I44" s="283">
        <v>30580.560000000005</v>
      </c>
    </row>
    <row r="45" spans="1:9" ht="26.25" customHeight="1" x14ac:dyDescent="0.25">
      <c r="A45" s="282" t="s">
        <v>879</v>
      </c>
      <c r="B45" s="283"/>
      <c r="C45" s="283"/>
      <c r="D45" s="283">
        <v>161508.78</v>
      </c>
      <c r="E45" s="283">
        <v>29160.3</v>
      </c>
      <c r="F45" s="283">
        <v>15416.1</v>
      </c>
      <c r="G45" s="283">
        <v>0</v>
      </c>
      <c r="H45" s="283">
        <v>176924.88</v>
      </c>
      <c r="I45" s="283">
        <v>29160.3</v>
      </c>
    </row>
    <row r="46" spans="1:9" ht="26.25" customHeight="1" x14ac:dyDescent="0.25">
      <c r="A46" s="282" t="s">
        <v>1754</v>
      </c>
      <c r="B46" s="283"/>
      <c r="C46" s="283"/>
      <c r="D46" s="283">
        <v>0</v>
      </c>
      <c r="E46" s="283">
        <v>0</v>
      </c>
      <c r="F46" s="283">
        <v>0</v>
      </c>
      <c r="G46" s="283">
        <v>0</v>
      </c>
      <c r="H46" s="283">
        <v>0</v>
      </c>
      <c r="I46" s="283">
        <v>0</v>
      </c>
    </row>
    <row r="47" spans="1:9" ht="26.25" customHeight="1" x14ac:dyDescent="0.25">
      <c r="A47" s="282" t="s">
        <v>1336</v>
      </c>
      <c r="B47" s="283"/>
      <c r="C47" s="283"/>
      <c r="D47" s="283">
        <v>170377.23999999996</v>
      </c>
      <c r="E47" s="283">
        <v>28992.300000000003</v>
      </c>
      <c r="F47" s="283">
        <v>0</v>
      </c>
      <c r="G47" s="283">
        <v>0</v>
      </c>
      <c r="H47" s="283">
        <v>170377.23999999996</v>
      </c>
      <c r="I47" s="283">
        <v>28992.300000000003</v>
      </c>
    </row>
    <row r="48" spans="1:9" ht="26.25" customHeight="1" x14ac:dyDescent="0.25">
      <c r="A48" s="282" t="s">
        <v>50</v>
      </c>
      <c r="B48" s="283"/>
      <c r="C48" s="283"/>
      <c r="D48" s="283">
        <v>458723.72</v>
      </c>
      <c r="E48" s="283">
        <v>342861.98000000004</v>
      </c>
      <c r="F48" s="283">
        <v>43785.4</v>
      </c>
      <c r="G48" s="283">
        <v>42908.29</v>
      </c>
      <c r="H48" s="283">
        <v>502509.12</v>
      </c>
      <c r="I48" s="283">
        <v>385770.27</v>
      </c>
    </row>
    <row r="49" spans="1:9" ht="26.25" customHeight="1" x14ac:dyDescent="0.25">
      <c r="A49" s="282" t="s">
        <v>1337</v>
      </c>
      <c r="B49" s="283"/>
      <c r="C49" s="283"/>
      <c r="D49" s="283">
        <v>92940.069999999992</v>
      </c>
      <c r="E49" s="283">
        <v>12455.970000000001</v>
      </c>
      <c r="F49" s="283"/>
      <c r="G49" s="283"/>
      <c r="H49" s="283">
        <v>92940.069999999992</v>
      </c>
      <c r="I49" s="283">
        <v>12455.970000000001</v>
      </c>
    </row>
    <row r="50" spans="1:9" ht="26.25" customHeight="1" x14ac:dyDescent="0.25">
      <c r="A50" s="282" t="s">
        <v>1338</v>
      </c>
      <c r="B50" s="283"/>
      <c r="C50" s="283"/>
      <c r="D50" s="283">
        <v>247289.40000000002</v>
      </c>
      <c r="E50" s="283">
        <v>65115.770000000004</v>
      </c>
      <c r="F50" s="283">
        <v>0</v>
      </c>
      <c r="G50" s="283">
        <v>0</v>
      </c>
      <c r="H50" s="283">
        <v>247289.40000000002</v>
      </c>
      <c r="I50" s="283">
        <v>65115.770000000004</v>
      </c>
    </row>
    <row r="51" spans="1:9" ht="26.25" customHeight="1" x14ac:dyDescent="0.25">
      <c r="A51" s="282" t="s">
        <v>53</v>
      </c>
      <c r="B51" s="283"/>
      <c r="C51" s="283"/>
      <c r="D51" s="283">
        <v>383018.5400000001</v>
      </c>
      <c r="E51" s="283">
        <v>304997.65000000002</v>
      </c>
      <c r="F51" s="283">
        <v>36559.300000000003</v>
      </c>
      <c r="G51" s="283">
        <v>39164.57</v>
      </c>
      <c r="H51" s="283">
        <v>419577.84000000008</v>
      </c>
      <c r="I51" s="283">
        <v>344162.22000000003</v>
      </c>
    </row>
    <row r="52" spans="1:9" ht="26.25" customHeight="1" x14ac:dyDescent="0.25">
      <c r="A52" s="282" t="s">
        <v>54</v>
      </c>
      <c r="B52" s="283"/>
      <c r="C52" s="283"/>
      <c r="D52" s="283">
        <v>455875.44999999995</v>
      </c>
      <c r="E52" s="283">
        <v>456076.18000000005</v>
      </c>
      <c r="F52" s="283">
        <v>43514.080000000002</v>
      </c>
      <c r="G52" s="283">
        <v>56882.43</v>
      </c>
      <c r="H52" s="283">
        <v>499389.52999999997</v>
      </c>
      <c r="I52" s="283">
        <v>512958.61000000004</v>
      </c>
    </row>
    <row r="53" spans="1:9" ht="26.25" customHeight="1" x14ac:dyDescent="0.25">
      <c r="A53" s="282" t="s">
        <v>1339</v>
      </c>
      <c r="B53" s="283"/>
      <c r="C53" s="283"/>
      <c r="D53" s="283">
        <v>102188.4</v>
      </c>
      <c r="E53" s="283">
        <v>15887.130000000001</v>
      </c>
      <c r="F53" s="283"/>
      <c r="G53" s="283"/>
      <c r="H53" s="283">
        <v>102188.4</v>
      </c>
      <c r="I53" s="283">
        <v>15887.130000000001</v>
      </c>
    </row>
    <row r="54" spans="1:9" ht="26.25" customHeight="1" x14ac:dyDescent="0.25">
      <c r="A54" s="282" t="s">
        <v>55</v>
      </c>
      <c r="B54" s="283"/>
      <c r="C54" s="283"/>
      <c r="D54" s="283">
        <v>1144427.9400000002</v>
      </c>
      <c r="E54" s="283">
        <v>1170297.74</v>
      </c>
      <c r="F54" s="283">
        <v>109600.86</v>
      </c>
      <c r="G54" s="283">
        <v>146715.63</v>
      </c>
      <c r="H54" s="283">
        <v>1254028.8000000003</v>
      </c>
      <c r="I54" s="283">
        <v>1317013.3700000001</v>
      </c>
    </row>
    <row r="55" spans="1:9" ht="26.25" customHeight="1" x14ac:dyDescent="0.25">
      <c r="A55" s="282" t="s">
        <v>56</v>
      </c>
      <c r="B55" s="283"/>
      <c r="C55" s="283"/>
      <c r="D55" s="283">
        <v>1130968.42</v>
      </c>
      <c r="E55" s="283">
        <v>1085592.06</v>
      </c>
      <c r="F55" s="283">
        <v>109086.89</v>
      </c>
      <c r="G55" s="283">
        <v>134604</v>
      </c>
      <c r="H55" s="283">
        <v>1240055.3099999998</v>
      </c>
      <c r="I55" s="283">
        <v>1220196.06</v>
      </c>
    </row>
    <row r="56" spans="1:9" ht="26.25" customHeight="1" x14ac:dyDescent="0.25">
      <c r="A56" s="282" t="s">
        <v>57</v>
      </c>
      <c r="B56" s="283"/>
      <c r="C56" s="283"/>
      <c r="D56" s="283">
        <v>1141378.1199999999</v>
      </c>
      <c r="E56" s="283">
        <v>1127820.9500000002</v>
      </c>
      <c r="F56" s="283">
        <v>109308.76</v>
      </c>
      <c r="G56" s="283">
        <v>139248.82</v>
      </c>
      <c r="H56" s="283">
        <v>1250686.8799999999</v>
      </c>
      <c r="I56" s="283">
        <v>1267069.7700000003</v>
      </c>
    </row>
    <row r="57" spans="1:9" ht="26.25" customHeight="1" x14ac:dyDescent="0.25">
      <c r="A57" s="282" t="s">
        <v>1755</v>
      </c>
      <c r="B57" s="283"/>
      <c r="C57" s="283"/>
      <c r="D57" s="283">
        <v>0</v>
      </c>
      <c r="E57" s="283">
        <v>0</v>
      </c>
      <c r="F57" s="283">
        <v>0</v>
      </c>
      <c r="G57" s="283">
        <v>0</v>
      </c>
      <c r="H57" s="283">
        <v>0</v>
      </c>
      <c r="I57" s="283">
        <v>0</v>
      </c>
    </row>
    <row r="58" spans="1:9" ht="26.25" customHeight="1" x14ac:dyDescent="0.25">
      <c r="A58" s="282" t="s">
        <v>1756</v>
      </c>
      <c r="B58" s="283"/>
      <c r="C58" s="283"/>
      <c r="D58" s="283">
        <v>0</v>
      </c>
      <c r="E58" s="283">
        <v>0</v>
      </c>
      <c r="F58" s="283">
        <v>0</v>
      </c>
      <c r="G58" s="283">
        <v>0</v>
      </c>
      <c r="H58" s="283">
        <v>0</v>
      </c>
      <c r="I58" s="283">
        <v>0</v>
      </c>
    </row>
    <row r="59" spans="1:9" ht="26.25" customHeight="1" x14ac:dyDescent="0.25">
      <c r="A59" s="282" t="s">
        <v>1757</v>
      </c>
      <c r="B59" s="283"/>
      <c r="C59" s="283"/>
      <c r="D59" s="283">
        <v>0</v>
      </c>
      <c r="E59" s="283">
        <v>0</v>
      </c>
      <c r="F59" s="283">
        <v>0</v>
      </c>
      <c r="G59" s="283">
        <v>0</v>
      </c>
      <c r="H59" s="283">
        <v>0</v>
      </c>
      <c r="I59" s="283">
        <v>0</v>
      </c>
    </row>
    <row r="60" spans="1:9" ht="26.25" customHeight="1" x14ac:dyDescent="0.25">
      <c r="A60" s="282" t="s">
        <v>1758</v>
      </c>
      <c r="B60" s="283"/>
      <c r="C60" s="283"/>
      <c r="D60" s="283">
        <v>0</v>
      </c>
      <c r="E60" s="283">
        <v>0</v>
      </c>
      <c r="F60" s="283">
        <v>0</v>
      </c>
      <c r="G60" s="283">
        <v>0</v>
      </c>
      <c r="H60" s="283">
        <v>0</v>
      </c>
      <c r="I60" s="283">
        <v>0</v>
      </c>
    </row>
    <row r="61" spans="1:9" ht="26.25" customHeight="1" x14ac:dyDescent="0.25">
      <c r="A61" s="282" t="s">
        <v>58</v>
      </c>
      <c r="B61" s="283"/>
      <c r="C61" s="283"/>
      <c r="D61" s="283">
        <v>189583.71999999997</v>
      </c>
      <c r="E61" s="283">
        <v>178547.68000000002</v>
      </c>
      <c r="F61" s="283">
        <v>18112.82</v>
      </c>
      <c r="G61" s="283">
        <v>20815.77</v>
      </c>
      <c r="H61" s="283">
        <v>207696.53999999998</v>
      </c>
      <c r="I61" s="283">
        <v>199363.45</v>
      </c>
    </row>
    <row r="62" spans="1:9" ht="26.25" customHeight="1" x14ac:dyDescent="0.25">
      <c r="A62" s="282" t="s">
        <v>59</v>
      </c>
      <c r="B62" s="283"/>
      <c r="C62" s="283"/>
      <c r="D62" s="283">
        <v>194841.92000000004</v>
      </c>
      <c r="E62" s="283">
        <v>186442.21000000002</v>
      </c>
      <c r="F62" s="283">
        <v>18597.75</v>
      </c>
      <c r="G62" s="283">
        <v>15253.34</v>
      </c>
      <c r="H62" s="283">
        <v>213439.67000000004</v>
      </c>
      <c r="I62" s="283">
        <v>201695.55000000002</v>
      </c>
    </row>
    <row r="63" spans="1:9" ht="26.25" customHeight="1" x14ac:dyDescent="0.25">
      <c r="A63" s="282" t="s">
        <v>60</v>
      </c>
      <c r="B63" s="283"/>
      <c r="C63" s="283"/>
      <c r="D63" s="283">
        <v>223170.97000000006</v>
      </c>
      <c r="E63" s="283">
        <v>261875.32</v>
      </c>
      <c r="F63" s="283">
        <v>21301.79</v>
      </c>
      <c r="G63" s="283">
        <v>20845.04</v>
      </c>
      <c r="H63" s="283">
        <v>244472.76000000007</v>
      </c>
      <c r="I63" s="283">
        <v>282720.36</v>
      </c>
    </row>
    <row r="64" spans="1:9" ht="26.25" customHeight="1" x14ac:dyDescent="0.25">
      <c r="A64" s="282" t="s">
        <v>61</v>
      </c>
      <c r="B64" s="283"/>
      <c r="C64" s="283"/>
      <c r="D64" s="283">
        <v>224769.53999999995</v>
      </c>
      <c r="E64" s="283">
        <v>223648.68000000002</v>
      </c>
      <c r="F64" s="283">
        <v>21454.38</v>
      </c>
      <c r="G64" s="283">
        <v>29086.09</v>
      </c>
      <c r="H64" s="283">
        <v>246223.91999999995</v>
      </c>
      <c r="I64" s="283">
        <v>252734.77000000002</v>
      </c>
    </row>
    <row r="65" spans="1:9" ht="26.25" customHeight="1" x14ac:dyDescent="0.25">
      <c r="A65" s="282" t="s">
        <v>62</v>
      </c>
      <c r="B65" s="283"/>
      <c r="C65" s="283"/>
      <c r="D65" s="283">
        <v>219973.83000000002</v>
      </c>
      <c r="E65" s="283">
        <v>206527.13999999996</v>
      </c>
      <c r="F65" s="283">
        <v>20996.61</v>
      </c>
      <c r="G65" s="283">
        <v>35746.35</v>
      </c>
      <c r="H65" s="283">
        <v>240970.44</v>
      </c>
      <c r="I65" s="283">
        <v>242273.48999999996</v>
      </c>
    </row>
    <row r="66" spans="1:9" ht="26.25" customHeight="1" x14ac:dyDescent="0.25">
      <c r="A66" s="282" t="s">
        <v>63</v>
      </c>
      <c r="B66" s="283"/>
      <c r="C66" s="283"/>
      <c r="D66" s="283">
        <v>210174.08999999994</v>
      </c>
      <c r="E66" s="283">
        <v>182724.51</v>
      </c>
      <c r="F66" s="283">
        <v>20061.23</v>
      </c>
      <c r="G66" s="283">
        <v>25534.28</v>
      </c>
      <c r="H66" s="283">
        <v>230235.31999999995</v>
      </c>
      <c r="I66" s="283">
        <v>208258.79</v>
      </c>
    </row>
    <row r="67" spans="1:9" ht="26.25" customHeight="1" x14ac:dyDescent="0.25">
      <c r="A67" s="282" t="s">
        <v>64</v>
      </c>
      <c r="B67" s="283"/>
      <c r="C67" s="283"/>
      <c r="D67" s="283">
        <v>355141.28</v>
      </c>
      <c r="E67" s="283">
        <v>322853.38</v>
      </c>
      <c r="F67" s="283">
        <v>33898.400000000001</v>
      </c>
      <c r="G67" s="283">
        <v>33208.79</v>
      </c>
      <c r="H67" s="283">
        <v>389039.68000000005</v>
      </c>
      <c r="I67" s="283">
        <v>356062.17</v>
      </c>
    </row>
    <row r="68" spans="1:9" ht="26.25" customHeight="1" x14ac:dyDescent="0.25">
      <c r="A68" s="286" t="s">
        <v>1759</v>
      </c>
      <c r="B68" s="283"/>
      <c r="C68" s="283"/>
      <c r="D68" s="283">
        <v>0</v>
      </c>
      <c r="E68" s="283">
        <v>0</v>
      </c>
      <c r="F68" s="283">
        <v>0</v>
      </c>
      <c r="G68" s="283">
        <v>0</v>
      </c>
      <c r="H68" s="283">
        <v>0</v>
      </c>
      <c r="I68" s="283">
        <v>0</v>
      </c>
    </row>
    <row r="69" spans="1:9" ht="26.25" customHeight="1" x14ac:dyDescent="0.25">
      <c r="A69" s="286" t="s">
        <v>1760</v>
      </c>
      <c r="B69" s="283"/>
      <c r="C69" s="283"/>
      <c r="D69" s="283">
        <v>0</v>
      </c>
      <c r="E69" s="283">
        <v>0</v>
      </c>
      <c r="F69" s="283">
        <v>0</v>
      </c>
      <c r="G69" s="283">
        <v>0</v>
      </c>
      <c r="H69" s="283">
        <v>0</v>
      </c>
      <c r="I69" s="283">
        <v>0</v>
      </c>
    </row>
    <row r="70" spans="1:9" ht="26.25" customHeight="1" x14ac:dyDescent="0.25">
      <c r="A70" s="282" t="s">
        <v>69</v>
      </c>
      <c r="B70" s="283"/>
      <c r="C70" s="283"/>
      <c r="D70" s="283">
        <v>4935623.1100000003</v>
      </c>
      <c r="E70" s="283">
        <v>4849748.37</v>
      </c>
      <c r="F70" s="283">
        <v>472672.78</v>
      </c>
      <c r="G70" s="283">
        <v>622612.89</v>
      </c>
      <c r="H70" s="283">
        <v>5408295.8900000006</v>
      </c>
      <c r="I70" s="283">
        <v>5472361.2599999998</v>
      </c>
    </row>
    <row r="71" spans="1:9" ht="26.25" customHeight="1" x14ac:dyDescent="0.25">
      <c r="A71" s="282" t="s">
        <v>72</v>
      </c>
      <c r="B71" s="283"/>
      <c r="C71" s="283"/>
      <c r="D71" s="283">
        <v>4500424.8999999994</v>
      </c>
      <c r="E71" s="283">
        <v>4412974.82</v>
      </c>
      <c r="F71" s="283">
        <v>430921.24</v>
      </c>
      <c r="G71" s="283">
        <v>569109.82999999996</v>
      </c>
      <c r="H71" s="283">
        <v>4931346.1399999997</v>
      </c>
      <c r="I71" s="283">
        <v>4982084.6500000004</v>
      </c>
    </row>
    <row r="72" spans="1:9" ht="26.25" customHeight="1" x14ac:dyDescent="0.25">
      <c r="A72" s="282" t="s">
        <v>71</v>
      </c>
      <c r="B72" s="283"/>
      <c r="C72" s="283"/>
      <c r="D72" s="283">
        <v>1757078.3100000005</v>
      </c>
      <c r="E72" s="283">
        <v>1806717.6300000001</v>
      </c>
      <c r="F72" s="283">
        <v>176008.23</v>
      </c>
      <c r="G72" s="283">
        <v>233320.71</v>
      </c>
      <c r="H72" s="283">
        <v>1933086.5400000005</v>
      </c>
      <c r="I72" s="283">
        <v>2040038.34</v>
      </c>
    </row>
    <row r="73" spans="1:9" ht="26.25" customHeight="1" x14ac:dyDescent="0.25">
      <c r="A73" s="282" t="s">
        <v>880</v>
      </c>
      <c r="B73" s="283"/>
      <c r="C73" s="283"/>
      <c r="D73" s="283">
        <v>1305348.44</v>
      </c>
      <c r="E73" s="283">
        <v>1481458.8199999998</v>
      </c>
      <c r="F73" s="283">
        <v>0</v>
      </c>
      <c r="G73" s="283">
        <v>18479.63</v>
      </c>
      <c r="H73" s="283">
        <v>1305348.44</v>
      </c>
      <c r="I73" s="283">
        <v>1499938.4499999997</v>
      </c>
    </row>
    <row r="74" spans="1:9" ht="26.25" customHeight="1" x14ac:dyDescent="0.25">
      <c r="A74" s="282" t="s">
        <v>73</v>
      </c>
      <c r="B74" s="283"/>
      <c r="C74" s="283"/>
      <c r="D74" s="283">
        <v>1530209.9</v>
      </c>
      <c r="E74" s="283">
        <v>1493677.6400000001</v>
      </c>
      <c r="F74" s="283">
        <v>158611.5</v>
      </c>
      <c r="G74" s="283">
        <v>181016.94</v>
      </c>
      <c r="H74" s="283">
        <v>1688821.4</v>
      </c>
      <c r="I74" s="283">
        <v>1674694.58</v>
      </c>
    </row>
    <row r="75" spans="1:9" ht="26.25" customHeight="1" x14ac:dyDescent="0.25">
      <c r="A75" s="282" t="s">
        <v>882</v>
      </c>
      <c r="B75" s="283"/>
      <c r="C75" s="283"/>
      <c r="D75" s="283">
        <v>0</v>
      </c>
      <c r="E75" s="283">
        <v>0</v>
      </c>
      <c r="F75" s="283">
        <v>0</v>
      </c>
      <c r="G75" s="283">
        <v>0</v>
      </c>
      <c r="H75" s="283">
        <v>0</v>
      </c>
      <c r="I75" s="283">
        <v>0</v>
      </c>
    </row>
    <row r="76" spans="1:9" ht="26.25" customHeight="1" x14ac:dyDescent="0.25">
      <c r="A76" s="282" t="s">
        <v>78</v>
      </c>
      <c r="B76" s="283"/>
      <c r="C76" s="283"/>
      <c r="D76" s="283">
        <v>233990.73</v>
      </c>
      <c r="E76" s="283">
        <v>236303.58</v>
      </c>
      <c r="F76" s="283">
        <v>184290.15000000002</v>
      </c>
      <c r="G76" s="283">
        <v>176488.6</v>
      </c>
      <c r="H76" s="283">
        <v>418280.88</v>
      </c>
      <c r="I76" s="283">
        <v>412792.18</v>
      </c>
    </row>
    <row r="77" spans="1:9" ht="26.25" customHeight="1" x14ac:dyDescent="0.25">
      <c r="A77" s="282" t="s">
        <v>76</v>
      </c>
      <c r="B77" s="283"/>
      <c r="C77" s="283"/>
      <c r="D77" s="283">
        <v>1558240.3099999998</v>
      </c>
      <c r="E77" s="283">
        <v>1631695.82</v>
      </c>
      <c r="F77" s="283">
        <v>161486.9</v>
      </c>
      <c r="G77" s="283">
        <v>196726.13</v>
      </c>
      <c r="H77" s="283">
        <v>1719727.2099999997</v>
      </c>
      <c r="I77" s="283">
        <v>1828421.9500000002</v>
      </c>
    </row>
    <row r="78" spans="1:9" ht="26.25" customHeight="1" x14ac:dyDescent="0.25">
      <c r="A78" s="282" t="s">
        <v>77</v>
      </c>
      <c r="B78" s="283"/>
      <c r="C78" s="283"/>
      <c r="D78" s="283">
        <v>1518739.5</v>
      </c>
      <c r="E78" s="283">
        <v>1577640.8099999998</v>
      </c>
      <c r="F78" s="283">
        <v>159467.95000000001</v>
      </c>
      <c r="G78" s="283">
        <v>186242.43</v>
      </c>
      <c r="H78" s="283">
        <v>1678207.45</v>
      </c>
      <c r="I78" s="283">
        <v>1763883.2399999998</v>
      </c>
    </row>
    <row r="79" spans="1:9" ht="26.25" customHeight="1" x14ac:dyDescent="0.25">
      <c r="A79" s="282" t="s">
        <v>79</v>
      </c>
      <c r="B79" s="283"/>
      <c r="C79" s="283"/>
      <c r="D79" s="283">
        <v>319997.33</v>
      </c>
      <c r="E79" s="283">
        <v>444423.44999999995</v>
      </c>
      <c r="F79" s="283">
        <v>368572</v>
      </c>
      <c r="G79" s="283">
        <v>226021.09</v>
      </c>
      <c r="H79" s="283">
        <v>688569.33000000007</v>
      </c>
      <c r="I79" s="283">
        <v>670444.53999999992</v>
      </c>
    </row>
    <row r="80" spans="1:9" ht="26.25" customHeight="1" x14ac:dyDescent="0.25">
      <c r="A80" s="282" t="s">
        <v>80</v>
      </c>
      <c r="B80" s="283"/>
      <c r="C80" s="283"/>
      <c r="D80" s="283">
        <v>141781.41999999998</v>
      </c>
      <c r="E80" s="283">
        <v>134263.93</v>
      </c>
      <c r="F80" s="283">
        <v>12889.22</v>
      </c>
      <c r="G80" s="283">
        <v>14323.52</v>
      </c>
      <c r="H80" s="283">
        <v>154670.63999999998</v>
      </c>
      <c r="I80" s="283">
        <v>148587.44999999998</v>
      </c>
    </row>
    <row r="81" spans="1:9" ht="26.25" customHeight="1" x14ac:dyDescent="0.25">
      <c r="A81" s="282" t="s">
        <v>83</v>
      </c>
      <c r="B81" s="283"/>
      <c r="C81" s="283"/>
      <c r="D81" s="283">
        <v>1325635.45</v>
      </c>
      <c r="E81" s="283">
        <v>1379991.71</v>
      </c>
      <c r="F81" s="283">
        <v>41477.800000000003</v>
      </c>
      <c r="G81" s="283">
        <v>48670.04</v>
      </c>
      <c r="H81" s="283">
        <v>1367113.25</v>
      </c>
      <c r="I81" s="283">
        <v>1428661.75</v>
      </c>
    </row>
    <row r="82" spans="1:9" ht="26.25" customHeight="1" x14ac:dyDescent="0.25">
      <c r="A82" s="286" t="s">
        <v>1346</v>
      </c>
      <c r="B82" s="283"/>
      <c r="C82" s="283"/>
      <c r="D82" s="283">
        <v>58205.31</v>
      </c>
      <c r="E82" s="283">
        <v>38163.869999999995</v>
      </c>
      <c r="F82" s="283">
        <v>0</v>
      </c>
      <c r="G82" s="283">
        <v>305.98</v>
      </c>
      <c r="H82" s="283">
        <v>58205.31</v>
      </c>
      <c r="I82" s="283">
        <v>38469.85</v>
      </c>
    </row>
    <row r="83" spans="1:9" ht="26.25" customHeight="1" x14ac:dyDescent="0.25">
      <c r="A83" s="286" t="s">
        <v>1347</v>
      </c>
      <c r="B83" s="283"/>
      <c r="C83" s="283"/>
      <c r="D83" s="283">
        <v>53058.2</v>
      </c>
      <c r="E83" s="283">
        <v>40421.33</v>
      </c>
      <c r="F83" s="283">
        <v>0</v>
      </c>
      <c r="G83" s="283">
        <v>0</v>
      </c>
      <c r="H83" s="283">
        <v>53058.2</v>
      </c>
      <c r="I83" s="283">
        <v>40421.33</v>
      </c>
    </row>
    <row r="84" spans="1:9" ht="26.25" customHeight="1" x14ac:dyDescent="0.25">
      <c r="A84" s="286" t="s">
        <v>1490</v>
      </c>
      <c r="B84" s="283"/>
      <c r="C84" s="283"/>
      <c r="D84" s="283">
        <v>-12142.27</v>
      </c>
      <c r="E84" s="283">
        <v>0</v>
      </c>
      <c r="F84" s="283">
        <v>0</v>
      </c>
      <c r="G84" s="283">
        <v>0</v>
      </c>
      <c r="H84" s="283">
        <v>-12142.27</v>
      </c>
      <c r="I84" s="283">
        <v>0</v>
      </c>
    </row>
    <row r="85" spans="1:9" ht="26.25" customHeight="1" x14ac:dyDescent="0.25">
      <c r="A85" s="282" t="s">
        <v>86</v>
      </c>
      <c r="B85" s="283"/>
      <c r="C85" s="283"/>
      <c r="D85" s="283">
        <v>5410430.4600000009</v>
      </c>
      <c r="E85" s="283">
        <v>5257745.09</v>
      </c>
      <c r="F85" s="283">
        <v>519233.21</v>
      </c>
      <c r="G85" s="283">
        <v>670125.78</v>
      </c>
      <c r="H85" s="283">
        <v>5929663.6700000009</v>
      </c>
      <c r="I85" s="283">
        <v>5927870.8700000001</v>
      </c>
    </row>
    <row r="86" spans="1:9" ht="26.25" customHeight="1" x14ac:dyDescent="0.25">
      <c r="A86" s="282" t="s">
        <v>87</v>
      </c>
      <c r="B86" s="283"/>
      <c r="C86" s="283"/>
      <c r="D86" s="283">
        <v>1732643.9599999995</v>
      </c>
      <c r="E86" s="283">
        <v>1681555.7599999998</v>
      </c>
      <c r="F86" s="283">
        <v>166028.1</v>
      </c>
      <c r="G86" s="283">
        <v>195978.92</v>
      </c>
      <c r="H86" s="283">
        <v>1898672.0599999996</v>
      </c>
      <c r="I86" s="283">
        <v>1877534.6799999997</v>
      </c>
    </row>
    <row r="87" spans="1:9" ht="26.25" customHeight="1" x14ac:dyDescent="0.25">
      <c r="A87" s="282" t="s">
        <v>88</v>
      </c>
      <c r="B87" s="283"/>
      <c r="C87" s="283"/>
      <c r="D87" s="283">
        <v>1804238.95</v>
      </c>
      <c r="E87" s="283">
        <v>1847423.54</v>
      </c>
      <c r="F87" s="283">
        <v>172790.37</v>
      </c>
      <c r="G87" s="283">
        <v>218196.21</v>
      </c>
      <c r="H87" s="283">
        <v>1977029.3199999998</v>
      </c>
      <c r="I87" s="283">
        <v>2065619.75</v>
      </c>
    </row>
    <row r="88" spans="1:9" ht="26.25" customHeight="1" x14ac:dyDescent="0.25">
      <c r="A88" s="282" t="s">
        <v>1761</v>
      </c>
      <c r="B88" s="283"/>
      <c r="C88" s="283"/>
      <c r="D88" s="283">
        <v>0</v>
      </c>
      <c r="E88" s="283">
        <v>0</v>
      </c>
      <c r="F88" s="283">
        <v>0</v>
      </c>
      <c r="G88" s="283">
        <v>0</v>
      </c>
      <c r="H88" s="283">
        <v>0</v>
      </c>
      <c r="I88" s="283">
        <v>0</v>
      </c>
    </row>
    <row r="89" spans="1:9" ht="26.25" customHeight="1" x14ac:dyDescent="0.25">
      <c r="A89" s="282" t="s">
        <v>89</v>
      </c>
      <c r="B89" s="283"/>
      <c r="C89" s="283"/>
      <c r="D89" s="283">
        <v>10165908.490000002</v>
      </c>
      <c r="E89" s="283">
        <v>9927381.8300000001</v>
      </c>
      <c r="F89" s="283">
        <v>973708.5</v>
      </c>
      <c r="G89" s="283">
        <v>1331957.1599999999</v>
      </c>
      <c r="H89" s="283">
        <v>11139616.990000002</v>
      </c>
      <c r="I89" s="283">
        <v>11259338.99</v>
      </c>
    </row>
    <row r="90" spans="1:9" ht="26.25" customHeight="1" x14ac:dyDescent="0.25">
      <c r="A90" s="282" t="s">
        <v>90</v>
      </c>
      <c r="B90" s="283"/>
      <c r="C90" s="283"/>
      <c r="D90" s="283">
        <v>224109.09999999998</v>
      </c>
      <c r="E90" s="283">
        <v>221153.57</v>
      </c>
      <c r="F90" s="283">
        <v>21391.3</v>
      </c>
      <c r="G90" s="283">
        <v>25868.17</v>
      </c>
      <c r="H90" s="283">
        <v>245500.39999999997</v>
      </c>
      <c r="I90" s="283">
        <v>247021.74</v>
      </c>
    </row>
    <row r="91" spans="1:9" ht="26.25" customHeight="1" x14ac:dyDescent="0.25">
      <c r="A91" s="282" t="s">
        <v>84</v>
      </c>
      <c r="B91" s="283"/>
      <c r="C91" s="283"/>
      <c r="D91" s="283">
        <v>5453349.0700000003</v>
      </c>
      <c r="E91" s="283">
        <v>5405210.3199999994</v>
      </c>
      <c r="F91" s="283">
        <v>522416.64000000001</v>
      </c>
      <c r="G91" s="283">
        <v>653954.68999999994</v>
      </c>
      <c r="H91" s="283">
        <v>5975765.71</v>
      </c>
      <c r="I91" s="283">
        <v>6059165.0099999998</v>
      </c>
    </row>
    <row r="92" spans="1:9" ht="26.25" customHeight="1" x14ac:dyDescent="0.25">
      <c r="A92" s="282" t="s">
        <v>85</v>
      </c>
      <c r="B92" s="283"/>
      <c r="C92" s="283"/>
      <c r="D92" s="283">
        <v>5385015.8099999987</v>
      </c>
      <c r="E92" s="283">
        <v>5514135.0699999994</v>
      </c>
      <c r="F92" s="283">
        <v>522502.97</v>
      </c>
      <c r="G92" s="283">
        <v>745966.03</v>
      </c>
      <c r="H92" s="283">
        <v>5907518.7799999984</v>
      </c>
      <c r="I92" s="283">
        <v>6260101.0999999996</v>
      </c>
    </row>
    <row r="93" spans="1:9" ht="26.25" customHeight="1" x14ac:dyDescent="0.25">
      <c r="A93" s="286" t="s">
        <v>93</v>
      </c>
      <c r="B93" s="283"/>
      <c r="C93" s="283"/>
      <c r="D93" s="283">
        <v>99930.820000000022</v>
      </c>
      <c r="E93" s="283">
        <v>146295.96</v>
      </c>
      <c r="F93" s="283">
        <v>140487.90000000002</v>
      </c>
      <c r="G93" s="283">
        <v>75290.52</v>
      </c>
      <c r="H93" s="283">
        <v>240418.72000000003</v>
      </c>
      <c r="I93" s="283">
        <v>221586.47999999998</v>
      </c>
    </row>
    <row r="94" spans="1:9" ht="26.25" customHeight="1" x14ac:dyDescent="0.25">
      <c r="A94" s="286" t="s">
        <v>94</v>
      </c>
      <c r="B94" s="283">
        <v>215990.39</v>
      </c>
      <c r="C94" s="283">
        <v>213831.47</v>
      </c>
      <c r="D94" s="283"/>
      <c r="E94" s="283"/>
      <c r="F94" s="283">
        <v>23796.53</v>
      </c>
      <c r="G94" s="283">
        <v>38796.17</v>
      </c>
      <c r="H94" s="283">
        <v>239786.92</v>
      </c>
      <c r="I94" s="283">
        <v>252627.64</v>
      </c>
    </row>
    <row r="95" spans="1:9" ht="26.25" customHeight="1" x14ac:dyDescent="0.25">
      <c r="A95" s="282" t="s">
        <v>95</v>
      </c>
      <c r="B95" s="283"/>
      <c r="C95" s="283"/>
      <c r="D95" s="283">
        <v>150576.09</v>
      </c>
      <c r="E95" s="283">
        <v>219454.86</v>
      </c>
      <c r="F95" s="283">
        <v>227624.47</v>
      </c>
      <c r="G95" s="283">
        <v>126635.18999999999</v>
      </c>
      <c r="H95" s="283">
        <v>378200.56</v>
      </c>
      <c r="I95" s="283">
        <v>346090.05</v>
      </c>
    </row>
    <row r="96" spans="1:9" ht="26.25" customHeight="1" x14ac:dyDescent="0.25">
      <c r="A96" s="282" t="s">
        <v>91</v>
      </c>
      <c r="B96" s="283"/>
      <c r="C96" s="283"/>
      <c r="D96" s="283">
        <v>212527.13000000003</v>
      </c>
      <c r="E96" s="283">
        <v>249926.16</v>
      </c>
      <c r="F96" s="283">
        <v>163687.86000000002</v>
      </c>
      <c r="G96" s="283">
        <v>129472.03000000001</v>
      </c>
      <c r="H96" s="283">
        <v>376214.99000000005</v>
      </c>
      <c r="I96" s="283">
        <v>379398.19</v>
      </c>
    </row>
    <row r="97" spans="1:9" ht="26.25" customHeight="1" x14ac:dyDescent="0.25">
      <c r="A97" s="282" t="s">
        <v>96</v>
      </c>
      <c r="B97" s="283">
        <v>55641.289999999994</v>
      </c>
      <c r="C97" s="283">
        <v>83905.29</v>
      </c>
      <c r="D97" s="283"/>
      <c r="E97" s="283"/>
      <c r="F97" s="283">
        <v>71373.95</v>
      </c>
      <c r="G97" s="283">
        <v>37005.26</v>
      </c>
      <c r="H97" s="283">
        <v>127015.23999999999</v>
      </c>
      <c r="I97" s="283">
        <v>120910.54999999999</v>
      </c>
    </row>
    <row r="98" spans="1:9" ht="26.25" customHeight="1" x14ac:dyDescent="0.25">
      <c r="A98" s="282" t="s">
        <v>97</v>
      </c>
      <c r="B98" s="283"/>
      <c r="C98" s="283"/>
      <c r="D98" s="283">
        <v>56431.720000000016</v>
      </c>
      <c r="E98" s="283">
        <v>88052.3</v>
      </c>
      <c r="F98" s="283">
        <v>79875</v>
      </c>
      <c r="G98" s="283">
        <v>44644.12</v>
      </c>
      <c r="H98" s="283">
        <v>136306.72000000003</v>
      </c>
      <c r="I98" s="283">
        <v>132696.42000000001</v>
      </c>
    </row>
    <row r="99" spans="1:9" ht="26.25" customHeight="1" x14ac:dyDescent="0.25">
      <c r="A99" s="286" t="s">
        <v>98</v>
      </c>
      <c r="B99" s="283">
        <v>185383.32</v>
      </c>
      <c r="C99" s="283">
        <v>181664.79</v>
      </c>
      <c r="D99" s="283"/>
      <c r="E99" s="283"/>
      <c r="F99" s="283">
        <v>20424.439999999999</v>
      </c>
      <c r="G99" s="283">
        <v>27715.13</v>
      </c>
      <c r="H99" s="283">
        <v>205807.76</v>
      </c>
      <c r="I99" s="283">
        <v>209379.92</v>
      </c>
    </row>
    <row r="100" spans="1:9" ht="26.25" customHeight="1" x14ac:dyDescent="0.25">
      <c r="A100" s="286" t="s">
        <v>92</v>
      </c>
      <c r="B100" s="283"/>
      <c r="C100" s="283"/>
      <c r="D100" s="283">
        <v>135905.1</v>
      </c>
      <c r="E100" s="283">
        <v>151566.24000000002</v>
      </c>
      <c r="F100" s="283">
        <v>102408.97</v>
      </c>
      <c r="G100" s="283">
        <v>79938.89</v>
      </c>
      <c r="H100" s="283">
        <v>238314.07</v>
      </c>
      <c r="I100" s="283">
        <v>231505.13</v>
      </c>
    </row>
    <row r="101" spans="1:9" ht="26.25" customHeight="1" x14ac:dyDescent="0.25">
      <c r="A101" s="282" t="s">
        <v>101</v>
      </c>
      <c r="B101" s="283"/>
      <c r="C101" s="283"/>
      <c r="D101" s="283">
        <v>4842533.26</v>
      </c>
      <c r="E101" s="283">
        <v>4643114.9399999995</v>
      </c>
      <c r="F101" s="283">
        <v>463761.54</v>
      </c>
      <c r="G101" s="283">
        <v>585198.13</v>
      </c>
      <c r="H101" s="283">
        <v>5306294.8</v>
      </c>
      <c r="I101" s="283">
        <v>5228313.0699999994</v>
      </c>
    </row>
    <row r="102" spans="1:9" ht="26.25" customHeight="1" x14ac:dyDescent="0.25">
      <c r="A102" s="282" t="s">
        <v>102</v>
      </c>
      <c r="B102" s="283"/>
      <c r="C102" s="283"/>
      <c r="D102" s="283">
        <v>2464664.6799999992</v>
      </c>
      <c r="E102" s="283">
        <v>2355102.4799999995</v>
      </c>
      <c r="F102" s="283">
        <v>236013.4</v>
      </c>
      <c r="G102" s="283">
        <v>298010.3</v>
      </c>
      <c r="H102" s="283">
        <v>2700678.0799999991</v>
      </c>
      <c r="I102" s="283">
        <v>2653112.7799999993</v>
      </c>
    </row>
    <row r="103" spans="1:9" ht="26.25" customHeight="1" x14ac:dyDescent="0.25">
      <c r="A103" s="282" t="s">
        <v>1491</v>
      </c>
      <c r="B103" s="283"/>
      <c r="C103" s="283"/>
      <c r="D103" s="283">
        <v>2354970.21</v>
      </c>
      <c r="E103" s="283">
        <v>2268926.67</v>
      </c>
      <c r="F103" s="283"/>
      <c r="G103" s="283"/>
      <c r="H103" s="283">
        <v>2354970.21</v>
      </c>
      <c r="I103" s="283">
        <v>2268926.67</v>
      </c>
    </row>
    <row r="104" spans="1:9" ht="26.25" customHeight="1" x14ac:dyDescent="0.25">
      <c r="A104" s="282" t="s">
        <v>1492</v>
      </c>
      <c r="B104" s="283"/>
      <c r="C104" s="283"/>
      <c r="D104" s="283">
        <v>2373739.61</v>
      </c>
      <c r="E104" s="283">
        <v>2294686.56</v>
      </c>
      <c r="F104" s="283"/>
      <c r="G104" s="283"/>
      <c r="H104" s="283">
        <v>2373739.61</v>
      </c>
      <c r="I104" s="283">
        <v>2294686.56</v>
      </c>
    </row>
    <row r="105" spans="1:9" ht="26.25" customHeight="1" x14ac:dyDescent="0.25">
      <c r="A105" s="282" t="s">
        <v>99</v>
      </c>
      <c r="B105" s="283"/>
      <c r="C105" s="283"/>
      <c r="D105" s="283">
        <v>557931.93999999994</v>
      </c>
      <c r="E105" s="283">
        <v>542718.25</v>
      </c>
      <c r="F105" s="283">
        <v>278965.96999999997</v>
      </c>
      <c r="G105" s="283">
        <v>396932.82</v>
      </c>
      <c r="H105" s="283">
        <v>836897.90999999992</v>
      </c>
      <c r="I105" s="283">
        <v>939651.07000000007</v>
      </c>
    </row>
    <row r="106" spans="1:9" ht="26.25" customHeight="1" x14ac:dyDescent="0.25">
      <c r="A106" s="282" t="s">
        <v>100</v>
      </c>
      <c r="B106" s="283"/>
      <c r="C106" s="283"/>
      <c r="D106" s="283">
        <v>562378.74</v>
      </c>
      <c r="E106" s="283">
        <v>577087.02</v>
      </c>
      <c r="F106" s="283">
        <v>281189.37</v>
      </c>
      <c r="G106" s="283">
        <v>372426.75</v>
      </c>
      <c r="H106" s="283">
        <v>843568.11</v>
      </c>
      <c r="I106" s="283">
        <v>949513.77</v>
      </c>
    </row>
    <row r="107" spans="1:9" ht="26.25" customHeight="1" x14ac:dyDescent="0.25">
      <c r="A107" s="282" t="s">
        <v>1762</v>
      </c>
      <c r="B107" s="283"/>
      <c r="C107" s="283"/>
      <c r="D107" s="283">
        <v>0</v>
      </c>
      <c r="E107" s="283">
        <v>0</v>
      </c>
      <c r="F107" s="283">
        <v>0</v>
      </c>
      <c r="G107" s="283">
        <v>0</v>
      </c>
      <c r="H107" s="283">
        <v>0</v>
      </c>
      <c r="I107" s="283">
        <v>0</v>
      </c>
    </row>
    <row r="108" spans="1:9" ht="26.25" customHeight="1" x14ac:dyDescent="0.25">
      <c r="A108" s="282" t="s">
        <v>1763</v>
      </c>
      <c r="B108" s="283"/>
      <c r="C108" s="283"/>
      <c r="D108" s="283">
        <v>0</v>
      </c>
      <c r="E108" s="283">
        <v>0</v>
      </c>
      <c r="F108" s="283">
        <v>0</v>
      </c>
      <c r="G108" s="283">
        <v>0</v>
      </c>
      <c r="H108" s="283">
        <v>0</v>
      </c>
      <c r="I108" s="283">
        <v>0</v>
      </c>
    </row>
    <row r="109" spans="1:9" ht="26.25" customHeight="1" x14ac:dyDescent="0.25">
      <c r="A109" s="286" t="s">
        <v>1764</v>
      </c>
      <c r="B109" s="283"/>
      <c r="C109" s="283"/>
      <c r="D109" s="283">
        <v>0</v>
      </c>
      <c r="E109" s="283">
        <v>0</v>
      </c>
      <c r="F109" s="283">
        <v>0</v>
      </c>
      <c r="G109" s="283">
        <v>0</v>
      </c>
      <c r="H109" s="283">
        <v>0</v>
      </c>
      <c r="I109" s="283">
        <v>0</v>
      </c>
    </row>
    <row r="110" spans="1:9" ht="26.25" customHeight="1" x14ac:dyDescent="0.25">
      <c r="A110" s="286" t="s">
        <v>1765</v>
      </c>
      <c r="B110" s="283"/>
      <c r="C110" s="283"/>
      <c r="D110" s="283">
        <v>0</v>
      </c>
      <c r="E110" s="283">
        <v>0</v>
      </c>
      <c r="F110" s="283">
        <v>0</v>
      </c>
      <c r="G110" s="283">
        <v>0</v>
      </c>
      <c r="H110" s="283">
        <v>0</v>
      </c>
      <c r="I110" s="283">
        <v>0</v>
      </c>
    </row>
    <row r="111" spans="1:9" ht="26.25" customHeight="1" x14ac:dyDescent="0.25">
      <c r="A111" s="286" t="s">
        <v>1766</v>
      </c>
      <c r="B111" s="283"/>
      <c r="C111" s="283"/>
      <c r="D111" s="283">
        <v>0</v>
      </c>
      <c r="E111" s="283">
        <v>0</v>
      </c>
      <c r="F111" s="283">
        <v>0</v>
      </c>
      <c r="G111" s="283">
        <v>0</v>
      </c>
      <c r="H111" s="283">
        <v>0</v>
      </c>
      <c r="I111" s="283">
        <v>0</v>
      </c>
    </row>
    <row r="112" spans="1:9" ht="26.25" customHeight="1" x14ac:dyDescent="0.25">
      <c r="A112" s="286" t="s">
        <v>1767</v>
      </c>
      <c r="B112" s="283"/>
      <c r="C112" s="283"/>
      <c r="D112" s="283">
        <v>0</v>
      </c>
      <c r="E112" s="283">
        <v>0</v>
      </c>
      <c r="F112" s="283">
        <v>0</v>
      </c>
      <c r="G112" s="283">
        <v>0</v>
      </c>
      <c r="H112" s="283">
        <v>0</v>
      </c>
      <c r="I112" s="283">
        <v>0</v>
      </c>
    </row>
    <row r="113" spans="1:9" ht="26.25" customHeight="1" x14ac:dyDescent="0.25">
      <c r="A113" s="282" t="s">
        <v>892</v>
      </c>
      <c r="B113" s="283"/>
      <c r="C113" s="283"/>
      <c r="D113" s="283">
        <v>-32323.69</v>
      </c>
      <c r="E113" s="283">
        <v>3182.89</v>
      </c>
      <c r="F113" s="283">
        <v>0</v>
      </c>
      <c r="G113" s="283">
        <v>366.98</v>
      </c>
      <c r="H113" s="283">
        <v>-32323.69</v>
      </c>
      <c r="I113" s="283">
        <v>3549.87</v>
      </c>
    </row>
    <row r="114" spans="1:9" ht="26.25" customHeight="1" x14ac:dyDescent="0.25">
      <c r="A114" s="282" t="s">
        <v>103</v>
      </c>
      <c r="B114" s="283"/>
      <c r="C114" s="283"/>
      <c r="D114" s="283">
        <v>1088797.8</v>
      </c>
      <c r="E114" s="283">
        <v>1136179.22</v>
      </c>
      <c r="F114" s="283">
        <v>60700.5</v>
      </c>
      <c r="G114" s="283">
        <v>74638.990000000005</v>
      </c>
      <c r="H114" s="283">
        <v>1149498.3</v>
      </c>
      <c r="I114" s="283">
        <v>1210818.21</v>
      </c>
    </row>
    <row r="115" spans="1:9" ht="26.25" customHeight="1" x14ac:dyDescent="0.25">
      <c r="A115" s="282" t="s">
        <v>104</v>
      </c>
      <c r="B115" s="283"/>
      <c r="C115" s="283"/>
      <c r="D115" s="283">
        <v>1549317.4400000002</v>
      </c>
      <c r="E115" s="283">
        <v>1520682.96</v>
      </c>
      <c r="F115" s="283">
        <v>160562.12</v>
      </c>
      <c r="G115" s="283">
        <v>162525.76999999999</v>
      </c>
      <c r="H115" s="283">
        <v>1709879.56</v>
      </c>
      <c r="I115" s="283">
        <v>1683208.73</v>
      </c>
    </row>
    <row r="116" spans="1:9" ht="26.25" customHeight="1" x14ac:dyDescent="0.25">
      <c r="A116" s="282" t="s">
        <v>105</v>
      </c>
      <c r="B116" s="283"/>
      <c r="C116" s="283"/>
      <c r="D116" s="283">
        <v>2788552.44</v>
      </c>
      <c r="E116" s="283">
        <v>2921304.31</v>
      </c>
      <c r="F116" s="283">
        <v>140005.44</v>
      </c>
      <c r="G116" s="283">
        <v>155536.95999999999</v>
      </c>
      <c r="H116" s="283">
        <v>2928557.88</v>
      </c>
      <c r="I116" s="283">
        <v>3076841.27</v>
      </c>
    </row>
    <row r="117" spans="1:9" ht="26.25" customHeight="1" x14ac:dyDescent="0.25">
      <c r="A117" s="282" t="s">
        <v>106</v>
      </c>
      <c r="B117" s="283"/>
      <c r="C117" s="283"/>
      <c r="D117" s="283">
        <v>2125354.2200000002</v>
      </c>
      <c r="E117" s="283">
        <v>2049190.93</v>
      </c>
      <c r="F117" s="283">
        <v>216903</v>
      </c>
      <c r="G117" s="283">
        <v>269448.75</v>
      </c>
      <c r="H117" s="283">
        <v>2342257.2200000002</v>
      </c>
      <c r="I117" s="283">
        <v>2318639.6799999997</v>
      </c>
    </row>
    <row r="118" spans="1:9" ht="26.25" customHeight="1" x14ac:dyDescent="0.25">
      <c r="A118" s="282" t="s">
        <v>107</v>
      </c>
      <c r="B118" s="283"/>
      <c r="C118" s="283"/>
      <c r="D118" s="283">
        <v>2129225.9000000004</v>
      </c>
      <c r="E118" s="283">
        <v>2071282.68</v>
      </c>
      <c r="F118" s="283">
        <v>217334.43</v>
      </c>
      <c r="G118" s="283">
        <v>246520.63</v>
      </c>
      <c r="H118" s="283">
        <v>2346560.3300000005</v>
      </c>
      <c r="I118" s="283">
        <v>2317803.31</v>
      </c>
    </row>
    <row r="119" spans="1:9" ht="26.25" customHeight="1" x14ac:dyDescent="0.25">
      <c r="A119" s="282" t="s">
        <v>108</v>
      </c>
      <c r="B119" s="283"/>
      <c r="C119" s="283"/>
      <c r="D119" s="283">
        <v>1701107.8700000003</v>
      </c>
      <c r="E119" s="283">
        <v>1912726.5600000003</v>
      </c>
      <c r="F119" s="283">
        <v>6730.16</v>
      </c>
      <c r="G119" s="283">
        <v>15796.91</v>
      </c>
      <c r="H119" s="283">
        <v>1707838.0300000003</v>
      </c>
      <c r="I119" s="283">
        <v>1928523.4700000002</v>
      </c>
    </row>
    <row r="120" spans="1:9" ht="26.25" customHeight="1" x14ac:dyDescent="0.25">
      <c r="A120" s="282" t="s">
        <v>109</v>
      </c>
      <c r="B120" s="283"/>
      <c r="C120" s="283"/>
      <c r="D120" s="283">
        <v>2086958.72</v>
      </c>
      <c r="E120" s="283">
        <v>2059442.2899999998</v>
      </c>
      <c r="F120" s="283">
        <v>189723.51999999999</v>
      </c>
      <c r="G120" s="283">
        <v>231715.32</v>
      </c>
      <c r="H120" s="283">
        <v>2276682.2399999998</v>
      </c>
      <c r="I120" s="283">
        <v>2291157.61</v>
      </c>
    </row>
    <row r="121" spans="1:9" ht="26.25" customHeight="1" x14ac:dyDescent="0.25">
      <c r="A121" s="286" t="s">
        <v>1768</v>
      </c>
      <c r="B121" s="283"/>
      <c r="C121" s="283"/>
      <c r="D121" s="283">
        <v>0</v>
      </c>
      <c r="E121" s="283">
        <v>0</v>
      </c>
      <c r="F121" s="283">
        <v>0</v>
      </c>
      <c r="G121" s="283">
        <v>0</v>
      </c>
      <c r="H121" s="283">
        <v>0</v>
      </c>
      <c r="I121" s="283">
        <v>0</v>
      </c>
    </row>
    <row r="122" spans="1:9" ht="26.25" customHeight="1" x14ac:dyDescent="0.25">
      <c r="A122" s="286" t="s">
        <v>1769</v>
      </c>
      <c r="B122" s="283"/>
      <c r="C122" s="283"/>
      <c r="D122" s="283">
        <v>-1272.1400000000001</v>
      </c>
      <c r="E122" s="283">
        <v>0</v>
      </c>
      <c r="F122" s="283">
        <v>0</v>
      </c>
      <c r="G122" s="283">
        <v>0</v>
      </c>
      <c r="H122" s="283">
        <v>-1272.1400000000001</v>
      </c>
      <c r="I122" s="283">
        <v>0</v>
      </c>
    </row>
    <row r="123" spans="1:9" ht="26.25" customHeight="1" x14ac:dyDescent="0.25">
      <c r="A123" s="286" t="s">
        <v>1770</v>
      </c>
      <c r="B123" s="283"/>
      <c r="C123" s="283"/>
      <c r="D123" s="283">
        <v>0</v>
      </c>
      <c r="E123" s="283">
        <v>0</v>
      </c>
      <c r="F123" s="283">
        <v>0</v>
      </c>
      <c r="G123" s="283">
        <v>0</v>
      </c>
      <c r="H123" s="283">
        <v>0</v>
      </c>
      <c r="I123" s="283">
        <v>0</v>
      </c>
    </row>
    <row r="124" spans="1:9" ht="26.25" customHeight="1" x14ac:dyDescent="0.25">
      <c r="A124" s="286" t="s">
        <v>1771</v>
      </c>
      <c r="B124" s="283"/>
      <c r="C124" s="283"/>
      <c r="D124" s="283">
        <v>0</v>
      </c>
      <c r="E124" s="283">
        <v>0</v>
      </c>
      <c r="F124" s="283">
        <v>0</v>
      </c>
      <c r="G124" s="283">
        <v>0</v>
      </c>
      <c r="H124" s="283">
        <v>0</v>
      </c>
      <c r="I124" s="283">
        <v>0</v>
      </c>
    </row>
    <row r="125" spans="1:9" ht="26.25" customHeight="1" x14ac:dyDescent="0.25">
      <c r="A125" s="282" t="s">
        <v>110</v>
      </c>
      <c r="B125" s="283"/>
      <c r="C125" s="283"/>
      <c r="D125" s="283">
        <v>1535793.05</v>
      </c>
      <c r="E125" s="283">
        <v>1476360.7599999998</v>
      </c>
      <c r="F125" s="283">
        <v>148439.56</v>
      </c>
      <c r="G125" s="283">
        <v>178348.33</v>
      </c>
      <c r="H125" s="283">
        <v>1684232.61</v>
      </c>
      <c r="I125" s="283">
        <v>1654709.0899999999</v>
      </c>
    </row>
    <row r="126" spans="1:9" ht="26.25" customHeight="1" x14ac:dyDescent="0.25">
      <c r="A126" s="282" t="s">
        <v>112</v>
      </c>
      <c r="B126" s="283"/>
      <c r="C126" s="283"/>
      <c r="D126" s="283">
        <v>1459132</v>
      </c>
      <c r="E126" s="283">
        <v>1412955.9599999997</v>
      </c>
      <c r="F126" s="283">
        <v>139739.68</v>
      </c>
      <c r="G126" s="283">
        <v>184258.13</v>
      </c>
      <c r="H126" s="283">
        <v>1598871.68</v>
      </c>
      <c r="I126" s="283">
        <v>1597214.0899999999</v>
      </c>
    </row>
    <row r="127" spans="1:9" ht="26.25" customHeight="1" x14ac:dyDescent="0.25">
      <c r="A127" s="282" t="s">
        <v>124</v>
      </c>
      <c r="B127" s="283"/>
      <c r="C127" s="283"/>
      <c r="D127" s="283">
        <v>1567866.7999999998</v>
      </c>
      <c r="E127" s="283">
        <v>1547552.74</v>
      </c>
      <c r="F127" s="283">
        <v>150343.20000000001</v>
      </c>
      <c r="G127" s="283">
        <v>284845.21999999997</v>
      </c>
      <c r="H127" s="283">
        <v>1718209.9999999998</v>
      </c>
      <c r="I127" s="283">
        <v>1832397.96</v>
      </c>
    </row>
    <row r="128" spans="1:9" ht="26.25" customHeight="1" x14ac:dyDescent="0.25">
      <c r="A128" s="282" t="s">
        <v>122</v>
      </c>
      <c r="B128" s="283"/>
      <c r="C128" s="283"/>
      <c r="D128" s="283">
        <v>1461256.3000000003</v>
      </c>
      <c r="E128" s="283">
        <v>1439241.85</v>
      </c>
      <c r="F128" s="283">
        <v>139943.13</v>
      </c>
      <c r="G128" s="283">
        <v>182415.9</v>
      </c>
      <c r="H128" s="283">
        <v>1601199.4300000002</v>
      </c>
      <c r="I128" s="283">
        <v>1621657.75</v>
      </c>
    </row>
    <row r="129" spans="1:9" ht="26.25" customHeight="1" x14ac:dyDescent="0.25">
      <c r="A129" s="282" t="s">
        <v>123</v>
      </c>
      <c r="B129" s="283"/>
      <c r="C129" s="283"/>
      <c r="D129" s="283">
        <v>1444392.8099999998</v>
      </c>
      <c r="E129" s="283">
        <v>1364315.5099999998</v>
      </c>
      <c r="F129" s="283">
        <v>138402.76999999999</v>
      </c>
      <c r="G129" s="283">
        <v>166948.91</v>
      </c>
      <c r="H129" s="283">
        <v>1582795.5799999998</v>
      </c>
      <c r="I129" s="283">
        <v>1531264.4199999997</v>
      </c>
    </row>
    <row r="130" spans="1:9" ht="26.25" customHeight="1" x14ac:dyDescent="0.25">
      <c r="A130" s="282" t="s">
        <v>125</v>
      </c>
      <c r="B130" s="283"/>
      <c r="C130" s="283"/>
      <c r="D130" s="283">
        <v>1537682.6999999995</v>
      </c>
      <c r="E130" s="283">
        <v>1488701.97</v>
      </c>
      <c r="F130" s="283">
        <v>147262.42000000001</v>
      </c>
      <c r="G130" s="283">
        <v>195800.42</v>
      </c>
      <c r="H130" s="283">
        <v>1684945.1199999994</v>
      </c>
      <c r="I130" s="283">
        <v>1684502.39</v>
      </c>
    </row>
    <row r="131" spans="1:9" ht="26.25" customHeight="1" x14ac:dyDescent="0.25">
      <c r="A131" s="282" t="s">
        <v>126</v>
      </c>
      <c r="B131" s="283"/>
      <c r="C131" s="283"/>
      <c r="D131" s="283">
        <v>1497731.54</v>
      </c>
      <c r="E131" s="283">
        <v>1475615.1900000004</v>
      </c>
      <c r="F131" s="283">
        <v>145552.49</v>
      </c>
      <c r="G131" s="283">
        <v>189044.04</v>
      </c>
      <c r="H131" s="283">
        <v>1643284.03</v>
      </c>
      <c r="I131" s="283">
        <v>1664659.2300000004</v>
      </c>
    </row>
    <row r="132" spans="1:9" ht="26.25" customHeight="1" x14ac:dyDescent="0.25">
      <c r="A132" s="282" t="s">
        <v>127</v>
      </c>
      <c r="B132" s="283"/>
      <c r="C132" s="283"/>
      <c r="D132" s="283">
        <v>2356486.66</v>
      </c>
      <c r="E132" s="283">
        <v>2268825.27</v>
      </c>
      <c r="F132" s="283">
        <v>231640.95</v>
      </c>
      <c r="G132" s="283">
        <v>287893.48</v>
      </c>
      <c r="H132" s="283">
        <v>2588127.6100000003</v>
      </c>
      <c r="I132" s="283">
        <v>2556718.75</v>
      </c>
    </row>
    <row r="133" spans="1:9" ht="26.25" customHeight="1" x14ac:dyDescent="0.25">
      <c r="A133" s="282" t="s">
        <v>128</v>
      </c>
      <c r="B133" s="283"/>
      <c r="C133" s="283"/>
      <c r="D133" s="283">
        <v>2389121.21</v>
      </c>
      <c r="E133" s="283">
        <v>2353275.1</v>
      </c>
      <c r="F133" s="283">
        <v>263415.95</v>
      </c>
      <c r="G133" s="283">
        <v>333908.92</v>
      </c>
      <c r="H133" s="283">
        <v>2652537.16</v>
      </c>
      <c r="I133" s="283">
        <v>2687184.02</v>
      </c>
    </row>
    <row r="134" spans="1:9" ht="26.25" customHeight="1" x14ac:dyDescent="0.25">
      <c r="A134" s="282" t="s">
        <v>129</v>
      </c>
      <c r="B134" s="283"/>
      <c r="C134" s="283"/>
      <c r="D134" s="283">
        <v>925702.29999999993</v>
      </c>
      <c r="E134" s="283">
        <v>854692.32000000007</v>
      </c>
      <c r="F134" s="283">
        <v>88570.6</v>
      </c>
      <c r="G134" s="283">
        <v>113851.68</v>
      </c>
      <c r="H134" s="283">
        <v>1014272.8999999999</v>
      </c>
      <c r="I134" s="283">
        <v>968544</v>
      </c>
    </row>
    <row r="135" spans="1:9" ht="26.25" customHeight="1" x14ac:dyDescent="0.25">
      <c r="A135" s="282" t="s">
        <v>130</v>
      </c>
      <c r="B135" s="283"/>
      <c r="C135" s="283"/>
      <c r="D135" s="283">
        <v>1103761.3999999999</v>
      </c>
      <c r="E135" s="283">
        <v>1035298.37</v>
      </c>
      <c r="F135" s="283">
        <v>105354.6</v>
      </c>
      <c r="G135" s="283">
        <v>124305.03</v>
      </c>
      <c r="H135" s="283">
        <v>1209116</v>
      </c>
      <c r="I135" s="283">
        <v>1159603.3999999999</v>
      </c>
    </row>
    <row r="136" spans="1:9" ht="26.25" customHeight="1" x14ac:dyDescent="0.25">
      <c r="A136" s="282" t="s">
        <v>113</v>
      </c>
      <c r="B136" s="283"/>
      <c r="C136" s="283"/>
      <c r="D136" s="283">
        <v>1428024.1200000003</v>
      </c>
      <c r="E136" s="283">
        <v>1402498.3499999999</v>
      </c>
      <c r="F136" s="283">
        <v>136901.15</v>
      </c>
      <c r="G136" s="283">
        <v>191294.92</v>
      </c>
      <c r="H136" s="283">
        <v>1564925.2700000003</v>
      </c>
      <c r="I136" s="283">
        <v>1593793.2699999998</v>
      </c>
    </row>
    <row r="137" spans="1:9" ht="26.25" customHeight="1" x14ac:dyDescent="0.25">
      <c r="A137" s="282" t="s">
        <v>115</v>
      </c>
      <c r="B137" s="283"/>
      <c r="C137" s="283"/>
      <c r="D137" s="283">
        <v>1440615.1899999997</v>
      </c>
      <c r="E137" s="283">
        <v>1402755.39</v>
      </c>
      <c r="F137" s="283">
        <v>137952.28</v>
      </c>
      <c r="G137" s="283">
        <v>179344.44</v>
      </c>
      <c r="H137" s="283">
        <v>1578567.4699999997</v>
      </c>
      <c r="I137" s="283">
        <v>1582099.8299999998</v>
      </c>
    </row>
    <row r="138" spans="1:9" ht="26.25" customHeight="1" x14ac:dyDescent="0.25">
      <c r="A138" s="282" t="s">
        <v>116</v>
      </c>
      <c r="B138" s="283"/>
      <c r="C138" s="283"/>
      <c r="D138" s="283">
        <v>4808402.0999999996</v>
      </c>
      <c r="E138" s="283">
        <v>4711598.7600000007</v>
      </c>
      <c r="F138" s="283">
        <v>460698.34</v>
      </c>
      <c r="G138" s="283">
        <v>576147.4</v>
      </c>
      <c r="H138" s="283">
        <v>5269100.4399999995</v>
      </c>
      <c r="I138" s="283">
        <v>5287746.1600000011</v>
      </c>
    </row>
    <row r="139" spans="1:9" ht="26.25" customHeight="1" x14ac:dyDescent="0.25">
      <c r="A139" s="282" t="s">
        <v>117</v>
      </c>
      <c r="B139" s="283"/>
      <c r="C139" s="283"/>
      <c r="D139" s="283">
        <v>1451443.8099999996</v>
      </c>
      <c r="E139" s="283">
        <v>1416274.7599999998</v>
      </c>
      <c r="F139" s="283">
        <v>139003.4</v>
      </c>
      <c r="G139" s="283">
        <v>186762.94</v>
      </c>
      <c r="H139" s="283">
        <v>1590447.2099999995</v>
      </c>
      <c r="I139" s="283">
        <v>1603037.6999999997</v>
      </c>
    </row>
    <row r="140" spans="1:9" ht="26.25" customHeight="1" x14ac:dyDescent="0.25">
      <c r="A140" s="282" t="s">
        <v>118</v>
      </c>
      <c r="B140" s="283"/>
      <c r="C140" s="283"/>
      <c r="D140" s="283">
        <v>1448965.4</v>
      </c>
      <c r="E140" s="283">
        <v>1373878.72</v>
      </c>
      <c r="F140" s="283">
        <v>138766.04</v>
      </c>
      <c r="G140" s="283">
        <v>170579.03</v>
      </c>
      <c r="H140" s="283">
        <v>1587731.44</v>
      </c>
      <c r="I140" s="283">
        <v>1544457.75</v>
      </c>
    </row>
    <row r="141" spans="1:9" ht="26.25" customHeight="1" x14ac:dyDescent="0.25">
      <c r="A141" s="282" t="s">
        <v>119</v>
      </c>
      <c r="B141" s="283"/>
      <c r="C141" s="283"/>
      <c r="D141" s="283">
        <v>3024923.86</v>
      </c>
      <c r="E141" s="283">
        <v>3005259.9600000004</v>
      </c>
      <c r="F141" s="283">
        <v>289692.06</v>
      </c>
      <c r="G141" s="283">
        <v>405324.19</v>
      </c>
      <c r="H141" s="283">
        <v>3314615.92</v>
      </c>
      <c r="I141" s="283">
        <v>3410584.1500000004</v>
      </c>
    </row>
    <row r="142" spans="1:9" ht="26.25" customHeight="1" x14ac:dyDescent="0.25">
      <c r="A142" s="282" t="s">
        <v>120</v>
      </c>
      <c r="B142" s="283"/>
      <c r="C142" s="283"/>
      <c r="D142" s="283">
        <v>1536765.62</v>
      </c>
      <c r="E142" s="283">
        <v>1430376.94</v>
      </c>
      <c r="F142" s="283">
        <v>147306.06</v>
      </c>
      <c r="G142" s="283">
        <v>188447.17</v>
      </c>
      <c r="H142" s="283">
        <v>1684071.6800000002</v>
      </c>
      <c r="I142" s="283">
        <v>1618824.1099999999</v>
      </c>
    </row>
    <row r="143" spans="1:9" ht="26.25" customHeight="1" x14ac:dyDescent="0.25">
      <c r="A143" s="282" t="s">
        <v>121</v>
      </c>
      <c r="B143" s="283"/>
      <c r="C143" s="283"/>
      <c r="D143" s="283">
        <v>1543954.35</v>
      </c>
      <c r="E143" s="283">
        <v>1490454.6700000002</v>
      </c>
      <c r="F143" s="283">
        <v>147863.13</v>
      </c>
      <c r="G143" s="283">
        <v>200546.2</v>
      </c>
      <c r="H143" s="283">
        <v>1691817.48</v>
      </c>
      <c r="I143" s="283">
        <v>1691000.87</v>
      </c>
    </row>
    <row r="144" spans="1:9" ht="26.25" customHeight="1" x14ac:dyDescent="0.25">
      <c r="A144" s="282" t="s">
        <v>136</v>
      </c>
      <c r="B144" s="283"/>
      <c r="C144" s="283"/>
      <c r="D144" s="283">
        <v>1553766.9500000004</v>
      </c>
      <c r="E144" s="283">
        <v>1477940.52</v>
      </c>
      <c r="F144" s="283">
        <v>148802.85</v>
      </c>
      <c r="G144" s="283">
        <v>185752.39</v>
      </c>
      <c r="H144" s="283">
        <v>1702569.8000000005</v>
      </c>
      <c r="I144" s="283">
        <v>1663692.9100000001</v>
      </c>
    </row>
    <row r="145" spans="1:9" ht="26.25" customHeight="1" x14ac:dyDescent="0.25">
      <c r="A145" s="282" t="s">
        <v>137</v>
      </c>
      <c r="B145" s="283"/>
      <c r="C145" s="283"/>
      <c r="D145" s="283">
        <v>1537328.5500000003</v>
      </c>
      <c r="E145" s="283">
        <v>1580632.92</v>
      </c>
      <c r="F145" s="283">
        <v>147228.53</v>
      </c>
      <c r="G145" s="283">
        <v>186417.53</v>
      </c>
      <c r="H145" s="283">
        <v>1684557.0800000003</v>
      </c>
      <c r="I145" s="283">
        <v>1767050.45</v>
      </c>
    </row>
    <row r="146" spans="1:9" ht="26.25" customHeight="1" x14ac:dyDescent="0.25">
      <c r="A146" s="282" t="s">
        <v>138</v>
      </c>
      <c r="B146" s="283"/>
      <c r="C146" s="283"/>
      <c r="D146" s="283">
        <v>4547799.3499999996</v>
      </c>
      <c r="E146" s="283">
        <v>4442910.0999999996</v>
      </c>
      <c r="F146" s="283">
        <v>435538.61</v>
      </c>
      <c r="G146" s="283">
        <v>599459.93999999994</v>
      </c>
      <c r="H146" s="283">
        <v>4983337.96</v>
      </c>
      <c r="I146" s="283">
        <v>5042370.0399999991</v>
      </c>
    </row>
    <row r="147" spans="1:9" ht="26.25" customHeight="1" x14ac:dyDescent="0.25">
      <c r="A147" s="282" t="s">
        <v>139</v>
      </c>
      <c r="B147" s="283"/>
      <c r="C147" s="283"/>
      <c r="D147" s="283">
        <v>938171.8600000001</v>
      </c>
      <c r="E147" s="283">
        <v>1013606.45</v>
      </c>
      <c r="F147" s="283">
        <v>90000.23</v>
      </c>
      <c r="G147" s="283">
        <v>109501</v>
      </c>
      <c r="H147" s="283">
        <v>1028172.0900000001</v>
      </c>
      <c r="I147" s="283">
        <v>1123107.45</v>
      </c>
    </row>
    <row r="148" spans="1:9" ht="26.25" customHeight="1" x14ac:dyDescent="0.25">
      <c r="A148" s="282" t="s">
        <v>140</v>
      </c>
      <c r="B148" s="283"/>
      <c r="C148" s="283"/>
      <c r="D148" s="283">
        <v>1207076.18</v>
      </c>
      <c r="E148" s="283">
        <v>1191363.79</v>
      </c>
      <c r="F148" s="283">
        <v>115216.06</v>
      </c>
      <c r="G148" s="283">
        <v>129965.72</v>
      </c>
      <c r="H148" s="283">
        <v>1322292.24</v>
      </c>
      <c r="I148" s="283">
        <v>1321329.51</v>
      </c>
    </row>
    <row r="149" spans="1:9" ht="26.25" customHeight="1" x14ac:dyDescent="0.25">
      <c r="A149" s="282" t="s">
        <v>141</v>
      </c>
      <c r="B149" s="283"/>
      <c r="C149" s="283"/>
      <c r="D149" s="283">
        <v>1189424.8799999997</v>
      </c>
      <c r="E149" s="283">
        <v>1196644.58</v>
      </c>
      <c r="F149" s="283">
        <v>115485.92</v>
      </c>
      <c r="G149" s="283">
        <v>139979.47</v>
      </c>
      <c r="H149" s="283">
        <v>1304910.7999999996</v>
      </c>
      <c r="I149" s="283">
        <v>1336624.05</v>
      </c>
    </row>
    <row r="150" spans="1:9" ht="26.25" customHeight="1" x14ac:dyDescent="0.25">
      <c r="A150" s="282" t="s">
        <v>131</v>
      </c>
      <c r="B150" s="283"/>
      <c r="C150" s="283"/>
      <c r="D150" s="283">
        <v>5192182.2399999993</v>
      </c>
      <c r="E150" s="283">
        <v>5023856.0500000007</v>
      </c>
      <c r="F150" s="283">
        <v>498253.86</v>
      </c>
      <c r="G150" s="283">
        <v>670004.68999999994</v>
      </c>
      <c r="H150" s="283">
        <v>5690436.0999999996</v>
      </c>
      <c r="I150" s="283">
        <v>5693860.7400000002</v>
      </c>
    </row>
    <row r="151" spans="1:9" ht="26.25" customHeight="1" x14ac:dyDescent="0.25">
      <c r="A151" s="282" t="s">
        <v>142</v>
      </c>
      <c r="B151" s="283"/>
      <c r="C151" s="283"/>
      <c r="D151" s="283">
        <v>1216830.8400000001</v>
      </c>
      <c r="E151" s="283">
        <v>1189203.25</v>
      </c>
      <c r="F151" s="283">
        <v>116147.16</v>
      </c>
      <c r="G151" s="283">
        <v>126749.08</v>
      </c>
      <c r="H151" s="283">
        <v>1332978</v>
      </c>
      <c r="I151" s="283">
        <v>1315952.33</v>
      </c>
    </row>
    <row r="152" spans="1:9" ht="26.25" customHeight="1" x14ac:dyDescent="0.25">
      <c r="A152" s="282" t="s">
        <v>143</v>
      </c>
      <c r="B152" s="283"/>
      <c r="C152" s="283"/>
      <c r="D152" s="283">
        <v>1809347.8499999996</v>
      </c>
      <c r="E152" s="283">
        <v>1783822.2699999998</v>
      </c>
      <c r="F152" s="283">
        <v>173279.55</v>
      </c>
      <c r="G152" s="283">
        <v>254575.66</v>
      </c>
      <c r="H152" s="283">
        <v>1982627.3999999997</v>
      </c>
      <c r="I152" s="283">
        <v>2038397.9299999997</v>
      </c>
    </row>
    <row r="153" spans="1:9" ht="26.25" customHeight="1" x14ac:dyDescent="0.25">
      <c r="A153" s="282" t="s">
        <v>144</v>
      </c>
      <c r="B153" s="283"/>
      <c r="C153" s="283"/>
      <c r="D153" s="283">
        <v>1843337.5499999998</v>
      </c>
      <c r="E153" s="283">
        <v>1837042.3200000003</v>
      </c>
      <c r="F153" s="283">
        <v>176534.73</v>
      </c>
      <c r="G153" s="283">
        <v>238441.81</v>
      </c>
      <c r="H153" s="283">
        <v>2019872.2799999998</v>
      </c>
      <c r="I153" s="283">
        <v>2075484.1300000004</v>
      </c>
    </row>
    <row r="154" spans="1:9" ht="26.25" customHeight="1" x14ac:dyDescent="0.25">
      <c r="A154" s="282" t="s">
        <v>145</v>
      </c>
      <c r="B154" s="283"/>
      <c r="C154" s="283"/>
      <c r="D154" s="283">
        <v>4471857.43</v>
      </c>
      <c r="E154" s="283">
        <v>4367914.43</v>
      </c>
      <c r="F154" s="283">
        <v>435050.74</v>
      </c>
      <c r="G154" s="283">
        <v>562162.16</v>
      </c>
      <c r="H154" s="283">
        <v>4906908.17</v>
      </c>
      <c r="I154" s="283">
        <v>4930076.59</v>
      </c>
    </row>
    <row r="155" spans="1:9" ht="26.25" customHeight="1" x14ac:dyDescent="0.25">
      <c r="A155" s="282" t="s">
        <v>146</v>
      </c>
      <c r="B155" s="283"/>
      <c r="C155" s="283"/>
      <c r="D155" s="283">
        <v>3442575.9500000007</v>
      </c>
      <c r="E155" s="283">
        <v>3401967.9299999997</v>
      </c>
      <c r="F155" s="283">
        <v>329692.33</v>
      </c>
      <c r="G155" s="283">
        <v>423551.63</v>
      </c>
      <c r="H155" s="283">
        <v>3772268.2800000007</v>
      </c>
      <c r="I155" s="283">
        <v>3825519.5599999996</v>
      </c>
    </row>
    <row r="156" spans="1:9" ht="26.25" customHeight="1" x14ac:dyDescent="0.25">
      <c r="A156" s="282" t="s">
        <v>132</v>
      </c>
      <c r="B156" s="283"/>
      <c r="C156" s="283"/>
      <c r="D156" s="283">
        <v>5245030.74</v>
      </c>
      <c r="E156" s="283">
        <v>7297436.8299999991</v>
      </c>
      <c r="F156" s="283">
        <v>4545315.8499999996</v>
      </c>
      <c r="G156" s="283">
        <v>3118847.1</v>
      </c>
      <c r="H156" s="283">
        <v>9790346.5899999999</v>
      </c>
      <c r="I156" s="283">
        <v>10416283.93</v>
      </c>
    </row>
    <row r="157" spans="1:9" ht="26.25" customHeight="1" x14ac:dyDescent="0.25">
      <c r="A157" s="282" t="s">
        <v>147</v>
      </c>
      <c r="B157" s="283"/>
      <c r="C157" s="283"/>
      <c r="D157" s="283">
        <v>2547765.25</v>
      </c>
      <c r="E157" s="283">
        <v>2468550.5300000003</v>
      </c>
      <c r="F157" s="283">
        <v>243997.11</v>
      </c>
      <c r="G157" s="283">
        <v>333197.55</v>
      </c>
      <c r="H157" s="283">
        <v>2791762.36</v>
      </c>
      <c r="I157" s="283">
        <v>2801748.08</v>
      </c>
    </row>
    <row r="158" spans="1:9" ht="26.25" customHeight="1" x14ac:dyDescent="0.25">
      <c r="A158" s="282" t="s">
        <v>148</v>
      </c>
      <c r="B158" s="283"/>
      <c r="C158" s="283"/>
      <c r="D158" s="283">
        <v>2540151.27</v>
      </c>
      <c r="E158" s="283">
        <v>2445254.64</v>
      </c>
      <c r="F158" s="283">
        <v>243270.49</v>
      </c>
      <c r="G158" s="283">
        <v>285634.59000000003</v>
      </c>
      <c r="H158" s="283">
        <v>2783421.76</v>
      </c>
      <c r="I158" s="283">
        <v>2730889.23</v>
      </c>
    </row>
    <row r="159" spans="1:9" ht="26.25" customHeight="1" x14ac:dyDescent="0.25">
      <c r="A159" s="282" t="s">
        <v>133</v>
      </c>
      <c r="B159" s="283"/>
      <c r="C159" s="283"/>
      <c r="D159" s="283">
        <v>1223478.4299999997</v>
      </c>
      <c r="E159" s="283">
        <v>1191321.3299999998</v>
      </c>
      <c r="F159" s="283">
        <v>116781.61</v>
      </c>
      <c r="G159" s="283">
        <v>138212.34</v>
      </c>
      <c r="H159" s="283">
        <v>1340260.0399999998</v>
      </c>
      <c r="I159" s="283">
        <v>1329533.67</v>
      </c>
    </row>
    <row r="160" spans="1:9" ht="26.25" customHeight="1" x14ac:dyDescent="0.25">
      <c r="A160" s="282" t="s">
        <v>134</v>
      </c>
      <c r="B160" s="283"/>
      <c r="C160" s="283"/>
      <c r="D160" s="283">
        <v>1208945.7100000002</v>
      </c>
      <c r="E160" s="283">
        <v>1111480.76</v>
      </c>
      <c r="F160" s="283">
        <v>115394.49</v>
      </c>
      <c r="G160" s="283">
        <v>140081.54999999999</v>
      </c>
      <c r="H160" s="283">
        <v>1324340.2000000002</v>
      </c>
      <c r="I160" s="283">
        <v>1251562.31</v>
      </c>
    </row>
    <row r="161" spans="1:9" ht="26.25" customHeight="1" x14ac:dyDescent="0.25">
      <c r="A161" s="282" t="s">
        <v>135</v>
      </c>
      <c r="B161" s="283"/>
      <c r="C161" s="283"/>
      <c r="D161" s="283">
        <v>1208174.2</v>
      </c>
      <c r="E161" s="283">
        <v>1141076.52</v>
      </c>
      <c r="F161" s="283">
        <v>115320.84</v>
      </c>
      <c r="G161" s="283">
        <v>169162.9</v>
      </c>
      <c r="H161" s="283">
        <v>1323495.04</v>
      </c>
      <c r="I161" s="283">
        <v>1310239.42</v>
      </c>
    </row>
    <row r="162" spans="1:9" ht="26.25" customHeight="1" x14ac:dyDescent="0.25">
      <c r="A162" s="282" t="s">
        <v>149</v>
      </c>
      <c r="B162" s="283"/>
      <c r="C162" s="283"/>
      <c r="D162" s="283">
        <v>1956700.0299999998</v>
      </c>
      <c r="E162" s="283">
        <v>1889105.7</v>
      </c>
      <c r="F162" s="283">
        <v>288020.86</v>
      </c>
      <c r="G162" s="283">
        <v>377440.12</v>
      </c>
      <c r="H162" s="283">
        <v>2244720.8899999997</v>
      </c>
      <c r="I162" s="283">
        <v>2266545.8199999998</v>
      </c>
    </row>
    <row r="163" spans="1:9" ht="26.25" customHeight="1" x14ac:dyDescent="0.25">
      <c r="A163" s="282" t="s">
        <v>1496</v>
      </c>
      <c r="B163" s="283"/>
      <c r="C163" s="283"/>
      <c r="D163" s="283">
        <v>655582.47</v>
      </c>
      <c r="E163" s="283">
        <v>590672.78</v>
      </c>
      <c r="F163" s="283"/>
      <c r="G163" s="283"/>
      <c r="H163" s="283">
        <v>655582.47</v>
      </c>
      <c r="I163" s="283">
        <v>590672.78</v>
      </c>
    </row>
    <row r="164" spans="1:9" ht="26.25" customHeight="1" x14ac:dyDescent="0.25">
      <c r="A164" s="282" t="s">
        <v>153</v>
      </c>
      <c r="B164" s="283"/>
      <c r="C164" s="283"/>
      <c r="D164" s="283">
        <v>1454468.7199999997</v>
      </c>
      <c r="E164" s="283">
        <v>1427092.37</v>
      </c>
      <c r="F164" s="283">
        <v>138829.84</v>
      </c>
      <c r="G164" s="283">
        <v>175183.86</v>
      </c>
      <c r="H164" s="283">
        <v>1593298.5599999998</v>
      </c>
      <c r="I164" s="283">
        <v>1602276.23</v>
      </c>
    </row>
    <row r="165" spans="1:9" ht="26.25" customHeight="1" x14ac:dyDescent="0.25">
      <c r="A165" s="282" t="s">
        <v>1772</v>
      </c>
      <c r="B165" s="283"/>
      <c r="C165" s="283"/>
      <c r="D165" s="283">
        <v>0</v>
      </c>
      <c r="E165" s="283">
        <v>0</v>
      </c>
      <c r="F165" s="283">
        <v>0</v>
      </c>
      <c r="G165" s="283">
        <v>0</v>
      </c>
      <c r="H165" s="283">
        <v>0</v>
      </c>
      <c r="I165" s="283">
        <v>0</v>
      </c>
    </row>
    <row r="166" spans="1:9" ht="26.25" customHeight="1" x14ac:dyDescent="0.25">
      <c r="A166" s="282" t="s">
        <v>154</v>
      </c>
      <c r="B166" s="283"/>
      <c r="C166" s="283"/>
      <c r="D166" s="283">
        <v>1529163.5499999998</v>
      </c>
      <c r="E166" s="283">
        <v>1509311.16</v>
      </c>
      <c r="F166" s="283">
        <v>149297.54</v>
      </c>
      <c r="G166" s="283">
        <v>188730.93</v>
      </c>
      <c r="H166" s="283">
        <v>1678461.0899999999</v>
      </c>
      <c r="I166" s="283">
        <v>1698042.0899999999</v>
      </c>
    </row>
    <row r="167" spans="1:9" ht="26.25" customHeight="1" x14ac:dyDescent="0.25">
      <c r="A167" s="282" t="s">
        <v>155</v>
      </c>
      <c r="B167" s="283"/>
      <c r="C167" s="283"/>
      <c r="D167" s="283">
        <v>2357667.11</v>
      </c>
      <c r="E167" s="283">
        <v>2333906.5799999996</v>
      </c>
      <c r="F167" s="283">
        <v>227771.2</v>
      </c>
      <c r="G167" s="283">
        <v>299215.02</v>
      </c>
      <c r="H167" s="283">
        <v>2585438.31</v>
      </c>
      <c r="I167" s="283">
        <v>2633121.5999999996</v>
      </c>
    </row>
    <row r="168" spans="1:9" ht="26.25" customHeight="1" x14ac:dyDescent="0.25">
      <c r="A168" s="282" t="s">
        <v>156</v>
      </c>
      <c r="B168" s="283"/>
      <c r="C168" s="283"/>
      <c r="D168" s="283">
        <v>1590685.5200000003</v>
      </c>
      <c r="E168" s="283">
        <v>1510840.7300000002</v>
      </c>
      <c r="F168" s="283">
        <v>151831.76</v>
      </c>
      <c r="G168" s="283">
        <v>205456.5</v>
      </c>
      <c r="H168" s="283">
        <v>1742517.2800000003</v>
      </c>
      <c r="I168" s="283">
        <v>1716297.2300000002</v>
      </c>
    </row>
    <row r="169" spans="1:9" ht="26.25" customHeight="1" x14ac:dyDescent="0.25">
      <c r="A169" s="282" t="s">
        <v>157</v>
      </c>
      <c r="B169" s="283"/>
      <c r="C169" s="283"/>
      <c r="D169" s="283">
        <v>1222123.4500000002</v>
      </c>
      <c r="E169" s="283">
        <v>1232212.6599999999</v>
      </c>
      <c r="F169" s="283">
        <v>116652.35</v>
      </c>
      <c r="G169" s="283">
        <v>166775.21</v>
      </c>
      <c r="H169" s="283">
        <v>1338775.8000000003</v>
      </c>
      <c r="I169" s="283">
        <v>1398987.8699999999</v>
      </c>
    </row>
    <row r="170" spans="1:9" ht="26.25" customHeight="1" x14ac:dyDescent="0.25">
      <c r="A170" s="282" t="s">
        <v>158</v>
      </c>
      <c r="B170" s="283"/>
      <c r="C170" s="283"/>
      <c r="D170" s="283">
        <v>945783.11999999988</v>
      </c>
      <c r="E170" s="283">
        <v>949497.45</v>
      </c>
      <c r="F170" s="283">
        <v>90275.44</v>
      </c>
      <c r="G170" s="283">
        <v>107718.73</v>
      </c>
      <c r="H170" s="283">
        <v>1036058.5599999998</v>
      </c>
      <c r="I170" s="283">
        <v>1057216.18</v>
      </c>
    </row>
    <row r="171" spans="1:9" ht="26.25" customHeight="1" x14ac:dyDescent="0.25">
      <c r="A171" s="282" t="s">
        <v>159</v>
      </c>
      <c r="B171" s="283"/>
      <c r="C171" s="283"/>
      <c r="D171" s="283">
        <v>1215815.6400000001</v>
      </c>
      <c r="E171" s="283">
        <v>1219006.1400000001</v>
      </c>
      <c r="F171" s="283">
        <v>116161.35</v>
      </c>
      <c r="G171" s="283">
        <v>165420.03</v>
      </c>
      <c r="H171" s="283">
        <v>1331976.9900000002</v>
      </c>
      <c r="I171" s="283">
        <v>1384426.1700000002</v>
      </c>
    </row>
    <row r="172" spans="1:9" ht="26.25" customHeight="1" x14ac:dyDescent="0.25">
      <c r="A172" s="282" t="s">
        <v>160</v>
      </c>
      <c r="B172" s="283"/>
      <c r="C172" s="283"/>
      <c r="D172" s="283">
        <v>1192862.82</v>
      </c>
      <c r="E172" s="283">
        <v>1153474.4200000002</v>
      </c>
      <c r="F172" s="283">
        <v>113859.34</v>
      </c>
      <c r="G172" s="283">
        <v>145114.70000000001</v>
      </c>
      <c r="H172" s="283">
        <v>1306722.1600000001</v>
      </c>
      <c r="I172" s="283">
        <v>1298589.1200000001</v>
      </c>
    </row>
    <row r="173" spans="1:9" ht="26.25" customHeight="1" x14ac:dyDescent="0.25">
      <c r="A173" s="282" t="s">
        <v>161</v>
      </c>
      <c r="B173" s="283"/>
      <c r="C173" s="283"/>
      <c r="D173" s="283">
        <v>1129563.44</v>
      </c>
      <c r="E173" s="283">
        <v>1175829.3599999999</v>
      </c>
      <c r="F173" s="283">
        <v>115605.09</v>
      </c>
      <c r="G173" s="283">
        <v>150303.25</v>
      </c>
      <c r="H173" s="283">
        <v>1245168.53</v>
      </c>
      <c r="I173" s="283">
        <v>1326132.6099999999</v>
      </c>
    </row>
    <row r="174" spans="1:9" ht="26.25" customHeight="1" x14ac:dyDescent="0.25">
      <c r="A174" s="282" t="s">
        <v>1773</v>
      </c>
      <c r="B174" s="283"/>
      <c r="C174" s="283"/>
      <c r="D174" s="283">
        <v>0</v>
      </c>
      <c r="E174" s="283">
        <v>0</v>
      </c>
      <c r="F174" s="283">
        <v>0</v>
      </c>
      <c r="G174" s="283">
        <v>0</v>
      </c>
      <c r="H174" s="283">
        <v>0</v>
      </c>
      <c r="I174" s="283">
        <v>0</v>
      </c>
    </row>
    <row r="175" spans="1:9" ht="26.25" customHeight="1" x14ac:dyDescent="0.25">
      <c r="A175" s="282" t="s">
        <v>162</v>
      </c>
      <c r="B175" s="283"/>
      <c r="C175" s="283"/>
      <c r="D175" s="283">
        <v>1366229.8299999996</v>
      </c>
      <c r="E175" s="283">
        <v>1351581.57</v>
      </c>
      <c r="F175" s="283">
        <v>130928.46</v>
      </c>
      <c r="G175" s="283">
        <v>167499.13</v>
      </c>
      <c r="H175" s="283">
        <v>1497158.2899999996</v>
      </c>
      <c r="I175" s="283">
        <v>1519080.7000000002</v>
      </c>
    </row>
    <row r="176" spans="1:9" ht="26.25" customHeight="1" x14ac:dyDescent="0.25">
      <c r="A176" s="282" t="s">
        <v>163</v>
      </c>
      <c r="B176" s="283"/>
      <c r="C176" s="283"/>
      <c r="D176" s="283">
        <v>1531167.9900000005</v>
      </c>
      <c r="E176" s="283">
        <v>1460514.93</v>
      </c>
      <c r="F176" s="283">
        <v>146638.51</v>
      </c>
      <c r="G176" s="283">
        <v>181865.1</v>
      </c>
      <c r="H176" s="283">
        <v>1677806.5000000005</v>
      </c>
      <c r="I176" s="283">
        <v>1642380.03</v>
      </c>
    </row>
    <row r="177" spans="1:9" ht="26.25" customHeight="1" x14ac:dyDescent="0.25">
      <c r="A177" s="282" t="s">
        <v>164</v>
      </c>
      <c r="B177" s="283"/>
      <c r="C177" s="283"/>
      <c r="D177" s="283">
        <v>1511178.69</v>
      </c>
      <c r="E177" s="283">
        <v>1591156.6900000002</v>
      </c>
      <c r="F177" s="283">
        <v>144724.18</v>
      </c>
      <c r="G177" s="283">
        <v>195979.66</v>
      </c>
      <c r="H177" s="283">
        <v>1655902.8699999999</v>
      </c>
      <c r="I177" s="283">
        <v>1787136.35</v>
      </c>
    </row>
    <row r="178" spans="1:9" ht="26.25" customHeight="1" x14ac:dyDescent="0.25">
      <c r="A178" s="282" t="s">
        <v>165</v>
      </c>
      <c r="B178" s="283"/>
      <c r="C178" s="283"/>
      <c r="D178" s="283">
        <v>1544865.1500000004</v>
      </c>
      <c r="E178" s="283">
        <v>1451018.35</v>
      </c>
      <c r="F178" s="283">
        <v>147950.25</v>
      </c>
      <c r="G178" s="283">
        <v>180192.69</v>
      </c>
      <c r="H178" s="283">
        <v>1692815.4000000004</v>
      </c>
      <c r="I178" s="283">
        <v>1631211.04</v>
      </c>
    </row>
    <row r="179" spans="1:9" ht="26.25" customHeight="1" x14ac:dyDescent="0.25">
      <c r="A179" s="282" t="s">
        <v>166</v>
      </c>
      <c r="B179" s="283"/>
      <c r="C179" s="283"/>
      <c r="D179" s="283">
        <v>3183654.2600000002</v>
      </c>
      <c r="E179" s="283">
        <v>3157160.9000000004</v>
      </c>
      <c r="F179" s="283">
        <v>198023.89</v>
      </c>
      <c r="G179" s="283">
        <v>272900.37</v>
      </c>
      <c r="H179" s="283">
        <v>3381678.1500000004</v>
      </c>
      <c r="I179" s="283">
        <v>3430061.2700000005</v>
      </c>
    </row>
    <row r="180" spans="1:9" ht="26.25" customHeight="1" x14ac:dyDescent="0.25">
      <c r="A180" s="282" t="s">
        <v>898</v>
      </c>
      <c r="B180" s="283"/>
      <c r="C180" s="283"/>
      <c r="D180" s="283">
        <v>0</v>
      </c>
      <c r="E180" s="283">
        <v>0</v>
      </c>
      <c r="F180" s="283">
        <v>0</v>
      </c>
      <c r="G180" s="283">
        <v>0</v>
      </c>
      <c r="H180" s="283">
        <v>0</v>
      </c>
      <c r="I180" s="283">
        <v>0</v>
      </c>
    </row>
    <row r="181" spans="1:9" ht="26.25" customHeight="1" x14ac:dyDescent="0.25">
      <c r="A181" s="282" t="s">
        <v>167</v>
      </c>
      <c r="B181" s="283"/>
      <c r="C181" s="283"/>
      <c r="D181" s="283">
        <v>1202742.4100000001</v>
      </c>
      <c r="E181" s="283">
        <v>1138398.3400000001</v>
      </c>
      <c r="F181" s="283">
        <v>114877.75</v>
      </c>
      <c r="G181" s="283">
        <v>125144.26</v>
      </c>
      <c r="H181" s="283">
        <v>1317620.1600000001</v>
      </c>
      <c r="I181" s="283">
        <v>1263542.6000000001</v>
      </c>
    </row>
    <row r="182" spans="1:9" ht="26.25" customHeight="1" x14ac:dyDescent="0.25">
      <c r="A182" s="282" t="s">
        <v>168</v>
      </c>
      <c r="B182" s="283"/>
      <c r="C182" s="283"/>
      <c r="D182" s="283">
        <v>1215583.2199999997</v>
      </c>
      <c r="E182" s="283">
        <v>1218937.1600000001</v>
      </c>
      <c r="F182" s="283">
        <v>116028.06</v>
      </c>
      <c r="G182" s="283">
        <v>136309.54999999999</v>
      </c>
      <c r="H182" s="283">
        <v>1331611.2799999998</v>
      </c>
      <c r="I182" s="283">
        <v>1355246.7100000002</v>
      </c>
    </row>
    <row r="183" spans="1:9" ht="26.25" customHeight="1" x14ac:dyDescent="0.25">
      <c r="A183" s="282" t="s">
        <v>169</v>
      </c>
      <c r="B183" s="283"/>
      <c r="C183" s="283"/>
      <c r="D183" s="283">
        <v>2438905.3199999994</v>
      </c>
      <c r="E183" s="283">
        <v>2332777.5499999998</v>
      </c>
      <c r="F183" s="283">
        <v>232794.76</v>
      </c>
      <c r="G183" s="283">
        <v>307238.12</v>
      </c>
      <c r="H183" s="283">
        <v>2671700.0799999991</v>
      </c>
      <c r="I183" s="283">
        <v>2640015.67</v>
      </c>
    </row>
    <row r="184" spans="1:9" ht="26.25" customHeight="1" x14ac:dyDescent="0.25">
      <c r="A184" s="282" t="s">
        <v>150</v>
      </c>
      <c r="B184" s="283"/>
      <c r="C184" s="283"/>
      <c r="D184" s="283">
        <v>1171039.2900000003</v>
      </c>
      <c r="E184" s="283">
        <v>1092325.8999999999</v>
      </c>
      <c r="F184" s="283">
        <v>111776.27</v>
      </c>
      <c r="G184" s="283">
        <v>138054.81</v>
      </c>
      <c r="H184" s="283">
        <v>1282815.5600000003</v>
      </c>
      <c r="I184" s="283">
        <v>1230380.71</v>
      </c>
    </row>
    <row r="185" spans="1:9" ht="26.25" customHeight="1" x14ac:dyDescent="0.25">
      <c r="A185" s="282" t="s">
        <v>170</v>
      </c>
      <c r="B185" s="283"/>
      <c r="C185" s="283"/>
      <c r="D185" s="283">
        <v>1223860.8200000003</v>
      </c>
      <c r="E185" s="283">
        <v>1161610.6399999999</v>
      </c>
      <c r="F185" s="283">
        <v>116818.14</v>
      </c>
      <c r="G185" s="283">
        <v>129018.83</v>
      </c>
      <c r="H185" s="283">
        <v>1340678.9600000002</v>
      </c>
      <c r="I185" s="283">
        <v>1290629.47</v>
      </c>
    </row>
    <row r="186" spans="1:9" ht="26.25" customHeight="1" x14ac:dyDescent="0.25">
      <c r="A186" s="282" t="s">
        <v>171</v>
      </c>
      <c r="B186" s="283"/>
      <c r="C186" s="283"/>
      <c r="D186" s="283">
        <v>1207134.26</v>
      </c>
      <c r="E186" s="283">
        <v>1203402.3200000003</v>
      </c>
      <c r="F186" s="283">
        <v>117425.15</v>
      </c>
      <c r="G186" s="283">
        <v>161193.07</v>
      </c>
      <c r="H186" s="283">
        <v>1324559.4099999999</v>
      </c>
      <c r="I186" s="283">
        <v>1364595.3900000004</v>
      </c>
    </row>
    <row r="187" spans="1:9" ht="26.25" customHeight="1" x14ac:dyDescent="0.25">
      <c r="A187" s="282" t="s">
        <v>172</v>
      </c>
      <c r="B187" s="283"/>
      <c r="C187" s="283"/>
      <c r="D187" s="283">
        <v>1158063.9799999997</v>
      </c>
      <c r="E187" s="283">
        <v>1181123.79</v>
      </c>
      <c r="F187" s="283">
        <v>110628.62</v>
      </c>
      <c r="G187" s="283">
        <v>118849.71</v>
      </c>
      <c r="H187" s="283">
        <v>1268692.5999999996</v>
      </c>
      <c r="I187" s="283">
        <v>1299973.5</v>
      </c>
    </row>
    <row r="188" spans="1:9" ht="26.25" customHeight="1" x14ac:dyDescent="0.25">
      <c r="A188" s="282" t="s">
        <v>173</v>
      </c>
      <c r="B188" s="283"/>
      <c r="C188" s="283"/>
      <c r="D188" s="283">
        <v>1099676.28</v>
      </c>
      <c r="E188" s="283">
        <v>1004608.94</v>
      </c>
      <c r="F188" s="283">
        <v>105653.11</v>
      </c>
      <c r="G188" s="283">
        <v>95402.37</v>
      </c>
      <c r="H188" s="283">
        <v>1205329.3900000001</v>
      </c>
      <c r="I188" s="283">
        <v>1100011.31</v>
      </c>
    </row>
    <row r="189" spans="1:9" ht="26.25" customHeight="1" x14ac:dyDescent="0.25">
      <c r="A189" s="282" t="s">
        <v>174</v>
      </c>
      <c r="B189" s="283"/>
      <c r="C189" s="283"/>
      <c r="D189" s="283">
        <v>2549055.56</v>
      </c>
      <c r="E189" s="283">
        <v>2478330.5699999998</v>
      </c>
      <c r="F189" s="283">
        <v>243574.04</v>
      </c>
      <c r="G189" s="283">
        <v>303437.57</v>
      </c>
      <c r="H189" s="283">
        <v>2792629.6</v>
      </c>
      <c r="I189" s="283">
        <v>2781768.1399999997</v>
      </c>
    </row>
    <row r="190" spans="1:9" ht="26.25" customHeight="1" x14ac:dyDescent="0.25">
      <c r="A190" s="282" t="s">
        <v>151</v>
      </c>
      <c r="B190" s="283"/>
      <c r="C190" s="283"/>
      <c r="D190" s="283">
        <v>1482203.1099999999</v>
      </c>
      <c r="E190" s="283">
        <v>1486313.21</v>
      </c>
      <c r="F190" s="283">
        <v>147916.37</v>
      </c>
      <c r="G190" s="283">
        <v>172258.47</v>
      </c>
      <c r="H190" s="283">
        <v>1630119.48</v>
      </c>
      <c r="I190" s="283">
        <v>1658571.68</v>
      </c>
    </row>
    <row r="191" spans="1:9" ht="26.25" customHeight="1" x14ac:dyDescent="0.25">
      <c r="A191" s="282" t="s">
        <v>152</v>
      </c>
      <c r="B191" s="283"/>
      <c r="C191" s="283"/>
      <c r="D191" s="283">
        <v>1535153.3200000003</v>
      </c>
      <c r="E191" s="283">
        <v>1424244.46</v>
      </c>
      <c r="F191" s="283">
        <v>147020.28</v>
      </c>
      <c r="G191" s="283">
        <v>170685.98</v>
      </c>
      <c r="H191" s="283">
        <v>1682173.6000000003</v>
      </c>
      <c r="I191" s="283">
        <v>1594930.44</v>
      </c>
    </row>
    <row r="192" spans="1:9" ht="26.25" customHeight="1" x14ac:dyDescent="0.25">
      <c r="A192" s="282" t="s">
        <v>1774</v>
      </c>
      <c r="B192" s="283"/>
      <c r="C192" s="283"/>
      <c r="D192" s="283">
        <v>0</v>
      </c>
      <c r="E192" s="283">
        <v>0</v>
      </c>
      <c r="F192" s="283">
        <v>0</v>
      </c>
      <c r="G192" s="283">
        <v>0</v>
      </c>
      <c r="H192" s="283">
        <v>0</v>
      </c>
      <c r="I192" s="283">
        <v>0</v>
      </c>
    </row>
    <row r="193" spans="1:9" ht="26.25" customHeight="1" x14ac:dyDescent="0.25">
      <c r="A193" s="282" t="s">
        <v>1775</v>
      </c>
      <c r="B193" s="283"/>
      <c r="C193" s="283"/>
      <c r="D193" s="283">
        <v>0</v>
      </c>
      <c r="E193" s="283">
        <v>0</v>
      </c>
      <c r="F193" s="283">
        <v>0</v>
      </c>
      <c r="G193" s="283">
        <v>0</v>
      </c>
      <c r="H193" s="283">
        <v>0</v>
      </c>
      <c r="I193" s="283">
        <v>0</v>
      </c>
    </row>
    <row r="194" spans="1:9" ht="26.25" customHeight="1" x14ac:dyDescent="0.25">
      <c r="A194" s="282" t="s">
        <v>1776</v>
      </c>
      <c r="B194" s="283"/>
      <c r="C194" s="283"/>
      <c r="D194" s="283">
        <v>0</v>
      </c>
      <c r="E194" s="283">
        <v>0</v>
      </c>
      <c r="F194" s="283">
        <v>0</v>
      </c>
      <c r="G194" s="283">
        <v>0</v>
      </c>
      <c r="H194" s="283">
        <v>0</v>
      </c>
      <c r="I194" s="283">
        <v>0</v>
      </c>
    </row>
    <row r="195" spans="1:9" ht="26.25" customHeight="1" x14ac:dyDescent="0.25">
      <c r="A195" s="282" t="s">
        <v>205</v>
      </c>
      <c r="B195" s="283"/>
      <c r="C195" s="283"/>
      <c r="D195" s="283">
        <v>1063791.6099999999</v>
      </c>
      <c r="E195" s="283">
        <v>1067182.17</v>
      </c>
      <c r="F195" s="283">
        <v>101543.87</v>
      </c>
      <c r="G195" s="283">
        <v>125852.13</v>
      </c>
      <c r="H195" s="283">
        <v>1165335.48</v>
      </c>
      <c r="I195" s="283">
        <v>1193034.2999999998</v>
      </c>
    </row>
    <row r="196" spans="1:9" ht="26.25" customHeight="1" x14ac:dyDescent="0.25">
      <c r="A196" s="282" t="s">
        <v>206</v>
      </c>
      <c r="B196" s="283"/>
      <c r="C196" s="283"/>
      <c r="D196" s="283">
        <v>1052350.8299999998</v>
      </c>
      <c r="E196" s="283">
        <v>989953.42999999993</v>
      </c>
      <c r="F196" s="283">
        <v>101799.72</v>
      </c>
      <c r="G196" s="283">
        <v>121390.12</v>
      </c>
      <c r="H196" s="283">
        <v>1154150.5499999998</v>
      </c>
      <c r="I196" s="283">
        <v>1111343.5499999998</v>
      </c>
    </row>
    <row r="197" spans="1:9" ht="26.25" customHeight="1" x14ac:dyDescent="0.25">
      <c r="A197" s="282" t="s">
        <v>207</v>
      </c>
      <c r="B197" s="283"/>
      <c r="C197" s="283"/>
      <c r="D197" s="283">
        <v>1174239.9200000002</v>
      </c>
      <c r="E197" s="283">
        <v>1112485.6599999999</v>
      </c>
      <c r="F197" s="283">
        <v>112035.32</v>
      </c>
      <c r="G197" s="283">
        <v>133843.23000000001</v>
      </c>
      <c r="H197" s="283">
        <v>1286275.2400000002</v>
      </c>
      <c r="I197" s="283">
        <v>1246328.8899999999</v>
      </c>
    </row>
    <row r="198" spans="1:9" ht="26.25" customHeight="1" x14ac:dyDescent="0.25">
      <c r="A198" s="282" t="s">
        <v>208</v>
      </c>
      <c r="B198" s="283"/>
      <c r="C198" s="283"/>
      <c r="D198" s="283">
        <v>1165587.7999999998</v>
      </c>
      <c r="E198" s="283">
        <v>1140431.8599999999</v>
      </c>
      <c r="F198" s="283">
        <v>111162.68</v>
      </c>
      <c r="G198" s="283">
        <v>140572.94</v>
      </c>
      <c r="H198" s="283">
        <v>1276750.4799999997</v>
      </c>
      <c r="I198" s="283">
        <v>1281004.7999999998</v>
      </c>
    </row>
    <row r="199" spans="1:9" ht="26.25" customHeight="1" x14ac:dyDescent="0.25">
      <c r="A199" s="282" t="s">
        <v>209</v>
      </c>
      <c r="B199" s="283"/>
      <c r="C199" s="283"/>
      <c r="D199" s="283">
        <v>1166869.1800000002</v>
      </c>
      <c r="E199" s="283">
        <v>1138175.1399999999</v>
      </c>
      <c r="F199" s="283">
        <v>111378.26</v>
      </c>
      <c r="G199" s="283">
        <v>131653.59</v>
      </c>
      <c r="H199" s="283">
        <v>1278247.4400000002</v>
      </c>
      <c r="I199" s="283">
        <v>1269828.73</v>
      </c>
    </row>
    <row r="200" spans="1:9" ht="26.25" customHeight="1" x14ac:dyDescent="0.25">
      <c r="A200" s="282" t="s">
        <v>210</v>
      </c>
      <c r="B200" s="283"/>
      <c r="C200" s="283"/>
      <c r="D200" s="283">
        <v>2333708.3899999997</v>
      </c>
      <c r="E200" s="283">
        <v>2264426.21</v>
      </c>
      <c r="F200" s="283">
        <v>223525.01</v>
      </c>
      <c r="G200" s="283">
        <v>293932.48</v>
      </c>
      <c r="H200" s="283">
        <v>2557233.3999999994</v>
      </c>
      <c r="I200" s="283">
        <v>2558358.69</v>
      </c>
    </row>
    <row r="201" spans="1:9" ht="26.25" customHeight="1" x14ac:dyDescent="0.25">
      <c r="A201" s="282" t="s">
        <v>211</v>
      </c>
      <c r="B201" s="283"/>
      <c r="C201" s="283"/>
      <c r="D201" s="283">
        <v>857168.27999999991</v>
      </c>
      <c r="E201" s="283">
        <v>826556.87</v>
      </c>
      <c r="F201" s="283">
        <v>81817.16</v>
      </c>
      <c r="G201" s="283">
        <v>108040.28</v>
      </c>
      <c r="H201" s="283">
        <v>938985.44</v>
      </c>
      <c r="I201" s="283">
        <v>934597.15</v>
      </c>
    </row>
    <row r="202" spans="1:9" ht="26.25" customHeight="1" x14ac:dyDescent="0.25">
      <c r="A202" s="282" t="s">
        <v>212</v>
      </c>
      <c r="B202" s="283"/>
      <c r="C202" s="283"/>
      <c r="D202" s="283">
        <v>688844.78</v>
      </c>
      <c r="E202" s="283">
        <v>712364.98999999987</v>
      </c>
      <c r="F202" s="283">
        <v>65750.58</v>
      </c>
      <c r="G202" s="283">
        <v>70214.03</v>
      </c>
      <c r="H202" s="283">
        <v>754595.36</v>
      </c>
      <c r="I202" s="283">
        <v>782579.0199999999</v>
      </c>
    </row>
    <row r="203" spans="1:9" ht="26.25" customHeight="1" x14ac:dyDescent="0.25">
      <c r="A203" s="282" t="s">
        <v>213</v>
      </c>
      <c r="B203" s="283"/>
      <c r="C203" s="283"/>
      <c r="D203" s="283">
        <v>934779.8899999999</v>
      </c>
      <c r="E203" s="283">
        <v>893425.21</v>
      </c>
      <c r="F203" s="283">
        <v>89283.75</v>
      </c>
      <c r="G203" s="283">
        <v>132301.78</v>
      </c>
      <c r="H203" s="283">
        <v>1024063.6399999999</v>
      </c>
      <c r="I203" s="283">
        <v>1025726.99</v>
      </c>
    </row>
    <row r="204" spans="1:9" ht="26.25" customHeight="1" x14ac:dyDescent="0.25">
      <c r="A204" s="282" t="s">
        <v>214</v>
      </c>
      <c r="B204" s="283"/>
      <c r="C204" s="283"/>
      <c r="D204" s="283">
        <v>1704140.3999999997</v>
      </c>
      <c r="E204" s="283">
        <v>1661843.36</v>
      </c>
      <c r="F204" s="283">
        <v>162661.04</v>
      </c>
      <c r="G204" s="283">
        <v>211058.35</v>
      </c>
      <c r="H204" s="283">
        <v>1866801.4399999997</v>
      </c>
      <c r="I204" s="283">
        <v>1872901.7100000002</v>
      </c>
    </row>
    <row r="205" spans="1:9" ht="26.25" customHeight="1" x14ac:dyDescent="0.25">
      <c r="A205" s="282" t="s">
        <v>215</v>
      </c>
      <c r="B205" s="283"/>
      <c r="C205" s="283"/>
      <c r="D205" s="283">
        <v>1699790.6300000001</v>
      </c>
      <c r="E205" s="283">
        <v>1654773.89</v>
      </c>
      <c r="F205" s="283">
        <v>162433.54999999999</v>
      </c>
      <c r="G205" s="283">
        <v>221873.64</v>
      </c>
      <c r="H205" s="283">
        <v>1862224.1800000002</v>
      </c>
      <c r="I205" s="283">
        <v>1876647.5299999998</v>
      </c>
    </row>
    <row r="206" spans="1:9" ht="26.25" customHeight="1" x14ac:dyDescent="0.25">
      <c r="A206" s="282" t="s">
        <v>216</v>
      </c>
      <c r="B206" s="283"/>
      <c r="C206" s="283"/>
      <c r="D206" s="283">
        <v>164998.21</v>
      </c>
      <c r="E206" s="283">
        <v>159486.53999999998</v>
      </c>
      <c r="F206" s="283">
        <v>15793.75</v>
      </c>
      <c r="G206" s="283">
        <v>17460.849999999999</v>
      </c>
      <c r="H206" s="283">
        <v>180791.96</v>
      </c>
      <c r="I206" s="283">
        <v>176947.38999999998</v>
      </c>
    </row>
    <row r="207" spans="1:9" ht="26.25" customHeight="1" x14ac:dyDescent="0.25">
      <c r="A207" s="282" t="s">
        <v>217</v>
      </c>
      <c r="B207" s="283"/>
      <c r="C207" s="283"/>
      <c r="D207" s="283">
        <v>1938612.4999999995</v>
      </c>
      <c r="E207" s="283">
        <v>1867793.8000000003</v>
      </c>
      <c r="F207" s="283">
        <v>185657.77</v>
      </c>
      <c r="G207" s="283">
        <v>258272.73</v>
      </c>
      <c r="H207" s="283">
        <v>2124270.2699999996</v>
      </c>
      <c r="I207" s="283">
        <v>2126066.5300000003</v>
      </c>
    </row>
    <row r="208" spans="1:9" ht="26.25" customHeight="1" x14ac:dyDescent="0.25">
      <c r="A208" s="282" t="s">
        <v>218</v>
      </c>
      <c r="B208" s="283"/>
      <c r="C208" s="283"/>
      <c r="D208" s="283">
        <v>1930794.5200000003</v>
      </c>
      <c r="E208" s="283">
        <v>1818069.3099999998</v>
      </c>
      <c r="F208" s="283">
        <v>184919.71</v>
      </c>
      <c r="G208" s="283">
        <v>222502.62</v>
      </c>
      <c r="H208" s="283">
        <v>2115714.2300000004</v>
      </c>
      <c r="I208" s="283">
        <v>2040571.9299999997</v>
      </c>
    </row>
    <row r="209" spans="1:9" ht="26.25" customHeight="1" x14ac:dyDescent="0.25">
      <c r="A209" s="282" t="s">
        <v>219</v>
      </c>
      <c r="B209" s="283"/>
      <c r="C209" s="283"/>
      <c r="D209" s="283">
        <v>1857550.3500000006</v>
      </c>
      <c r="E209" s="283">
        <v>1733193.9</v>
      </c>
      <c r="F209" s="283">
        <v>177895.93</v>
      </c>
      <c r="G209" s="283">
        <v>224891.64</v>
      </c>
      <c r="H209" s="283">
        <v>2035446.2800000005</v>
      </c>
      <c r="I209" s="283">
        <v>1958085.54</v>
      </c>
    </row>
    <row r="210" spans="1:9" ht="26.25" customHeight="1" x14ac:dyDescent="0.25">
      <c r="A210" s="282" t="s">
        <v>220</v>
      </c>
      <c r="B210" s="283"/>
      <c r="C210" s="283"/>
      <c r="D210" s="283">
        <v>4761169.9700000007</v>
      </c>
      <c r="E210" s="283">
        <v>4735023.4999999991</v>
      </c>
      <c r="F210" s="283">
        <v>456142.71</v>
      </c>
      <c r="G210" s="283">
        <v>591379.97</v>
      </c>
      <c r="H210" s="283">
        <v>5217312.6800000006</v>
      </c>
      <c r="I210" s="283">
        <v>5326403.4699999988</v>
      </c>
    </row>
    <row r="211" spans="1:9" ht="26.25" customHeight="1" x14ac:dyDescent="0.25">
      <c r="A211" s="282" t="s">
        <v>175</v>
      </c>
      <c r="B211" s="283"/>
      <c r="C211" s="283"/>
      <c r="D211" s="283">
        <v>1215989.78</v>
      </c>
      <c r="E211" s="283">
        <v>1170438.7799999998</v>
      </c>
      <c r="F211" s="283">
        <v>116066.86</v>
      </c>
      <c r="G211" s="283">
        <v>128953.58</v>
      </c>
      <c r="H211" s="283">
        <v>1332056.6400000001</v>
      </c>
      <c r="I211" s="283">
        <v>1299392.3599999999</v>
      </c>
    </row>
    <row r="212" spans="1:9" ht="26.25" customHeight="1" x14ac:dyDescent="0.25">
      <c r="A212" s="282" t="s">
        <v>176</v>
      </c>
      <c r="B212" s="283"/>
      <c r="C212" s="283"/>
      <c r="D212" s="283">
        <v>1089812.8299999998</v>
      </c>
      <c r="E212" s="283">
        <v>1034931.6600000001</v>
      </c>
      <c r="F212" s="283">
        <v>104903.47</v>
      </c>
      <c r="G212" s="283">
        <v>123948.21</v>
      </c>
      <c r="H212" s="283">
        <v>1194716.2999999998</v>
      </c>
      <c r="I212" s="283">
        <v>1158879.8700000001</v>
      </c>
    </row>
    <row r="213" spans="1:9" ht="26.25" customHeight="1" x14ac:dyDescent="0.25">
      <c r="A213" s="282" t="s">
        <v>177</v>
      </c>
      <c r="B213" s="283"/>
      <c r="C213" s="283"/>
      <c r="D213" s="283">
        <v>1231679.9300000002</v>
      </c>
      <c r="E213" s="283">
        <v>1184038.7</v>
      </c>
      <c r="F213" s="283">
        <v>117564.51</v>
      </c>
      <c r="G213" s="283">
        <v>146072.43</v>
      </c>
      <c r="H213" s="283">
        <v>1349244.4400000002</v>
      </c>
      <c r="I213" s="283">
        <v>1330111.1299999999</v>
      </c>
    </row>
    <row r="214" spans="1:9" ht="26.25" customHeight="1" x14ac:dyDescent="0.25">
      <c r="A214" s="282" t="s">
        <v>178</v>
      </c>
      <c r="B214" s="283"/>
      <c r="C214" s="283"/>
      <c r="D214" s="283">
        <v>1157676.3700000001</v>
      </c>
      <c r="E214" s="283">
        <v>1201506.1399999999</v>
      </c>
      <c r="F214" s="283">
        <v>110502.59</v>
      </c>
      <c r="G214" s="283">
        <v>144703.46</v>
      </c>
      <c r="H214" s="283">
        <v>1268178.9600000002</v>
      </c>
      <c r="I214" s="283">
        <v>1346209.5999999999</v>
      </c>
    </row>
    <row r="215" spans="1:9" ht="26.25" customHeight="1" x14ac:dyDescent="0.25">
      <c r="A215" s="282" t="s">
        <v>179</v>
      </c>
      <c r="B215" s="283"/>
      <c r="C215" s="283"/>
      <c r="D215" s="283">
        <v>1166444.5099999998</v>
      </c>
      <c r="E215" s="283">
        <v>1057226.2</v>
      </c>
      <c r="F215" s="283">
        <v>111421.37</v>
      </c>
      <c r="G215" s="283">
        <v>138516.74</v>
      </c>
      <c r="H215" s="283">
        <v>1277865.8799999999</v>
      </c>
      <c r="I215" s="283">
        <v>1195742.94</v>
      </c>
    </row>
    <row r="216" spans="1:9" ht="26.25" customHeight="1" x14ac:dyDescent="0.25">
      <c r="A216" s="282" t="s">
        <v>180</v>
      </c>
      <c r="B216" s="283"/>
      <c r="C216" s="283"/>
      <c r="D216" s="283">
        <v>3238075.4799999995</v>
      </c>
      <c r="E216" s="283">
        <v>3236687.5999999996</v>
      </c>
      <c r="F216" s="283">
        <v>310103.21000000002</v>
      </c>
      <c r="G216" s="283">
        <v>402973.74</v>
      </c>
      <c r="H216" s="283">
        <v>3548178.6899999995</v>
      </c>
      <c r="I216" s="283">
        <v>3639661.34</v>
      </c>
    </row>
    <row r="217" spans="1:9" ht="26.25" customHeight="1" x14ac:dyDescent="0.25">
      <c r="A217" s="282" t="s">
        <v>181</v>
      </c>
      <c r="B217" s="283"/>
      <c r="C217" s="283"/>
      <c r="D217" s="283">
        <v>1760841.6999999997</v>
      </c>
      <c r="E217" s="283">
        <v>1690351.53</v>
      </c>
      <c r="F217" s="283">
        <v>168634.14</v>
      </c>
      <c r="G217" s="283">
        <v>218582.12</v>
      </c>
      <c r="H217" s="283">
        <v>1929475.8399999999</v>
      </c>
      <c r="I217" s="283">
        <v>1908933.65</v>
      </c>
    </row>
    <row r="218" spans="1:9" ht="26.25" customHeight="1" x14ac:dyDescent="0.25">
      <c r="A218" s="282" t="s">
        <v>182</v>
      </c>
      <c r="B218" s="283"/>
      <c r="C218" s="283"/>
      <c r="D218" s="283">
        <v>2219898.6</v>
      </c>
      <c r="E218" s="283">
        <v>2210563.5099999998</v>
      </c>
      <c r="F218" s="283">
        <v>212125.58</v>
      </c>
      <c r="G218" s="283">
        <v>253850.52</v>
      </c>
      <c r="H218" s="283">
        <v>2432024.1800000002</v>
      </c>
      <c r="I218" s="283">
        <v>2464414.0299999998</v>
      </c>
    </row>
    <row r="219" spans="1:9" ht="26.25" customHeight="1" x14ac:dyDescent="0.25">
      <c r="A219" s="282" t="s">
        <v>183</v>
      </c>
      <c r="B219" s="283"/>
      <c r="C219" s="283"/>
      <c r="D219" s="283">
        <v>1733882.4299999995</v>
      </c>
      <c r="E219" s="283">
        <v>1668397.8099999998</v>
      </c>
      <c r="F219" s="283">
        <v>166052.32999999999</v>
      </c>
      <c r="G219" s="283">
        <v>207948.2</v>
      </c>
      <c r="H219" s="283">
        <v>1899934.7599999995</v>
      </c>
      <c r="I219" s="283">
        <v>1876346.0099999998</v>
      </c>
    </row>
    <row r="220" spans="1:9" ht="26.25" customHeight="1" x14ac:dyDescent="0.25">
      <c r="A220" s="282" t="s">
        <v>184</v>
      </c>
      <c r="B220" s="283"/>
      <c r="C220" s="283"/>
      <c r="D220" s="283">
        <v>1214617.1799999997</v>
      </c>
      <c r="E220" s="283">
        <v>1183817.6400000001</v>
      </c>
      <c r="F220" s="283">
        <v>115935.86</v>
      </c>
      <c r="G220" s="283">
        <v>142165.38</v>
      </c>
      <c r="H220" s="283">
        <v>1330553.0399999998</v>
      </c>
      <c r="I220" s="283">
        <v>1325983.02</v>
      </c>
    </row>
    <row r="221" spans="1:9" ht="26.25" customHeight="1" x14ac:dyDescent="0.25">
      <c r="A221" s="282" t="s">
        <v>185</v>
      </c>
      <c r="B221" s="283"/>
      <c r="C221" s="283"/>
      <c r="D221" s="283">
        <v>3811600.05</v>
      </c>
      <c r="E221" s="283">
        <v>3650629.38</v>
      </c>
      <c r="F221" s="283">
        <v>368834.71</v>
      </c>
      <c r="G221" s="283">
        <v>471798.24</v>
      </c>
      <c r="H221" s="283">
        <v>4180434.76</v>
      </c>
      <c r="I221" s="283">
        <v>4122427.62</v>
      </c>
    </row>
    <row r="222" spans="1:9" ht="26.25" customHeight="1" x14ac:dyDescent="0.25">
      <c r="A222" s="282" t="s">
        <v>186</v>
      </c>
      <c r="B222" s="283"/>
      <c r="C222" s="283"/>
      <c r="D222" s="283">
        <v>2523089.7300000009</v>
      </c>
      <c r="E222" s="283">
        <v>2512268.0999999996</v>
      </c>
      <c r="F222" s="283">
        <v>241632.2</v>
      </c>
      <c r="G222" s="283">
        <v>320069.98</v>
      </c>
      <c r="H222" s="283">
        <v>2764721.9300000011</v>
      </c>
      <c r="I222" s="283">
        <v>2832338.0799999996</v>
      </c>
    </row>
    <row r="223" spans="1:9" ht="26.25" customHeight="1" x14ac:dyDescent="0.25">
      <c r="A223" s="282" t="s">
        <v>187</v>
      </c>
      <c r="B223" s="283"/>
      <c r="C223" s="283"/>
      <c r="D223" s="283">
        <v>4809742.59</v>
      </c>
      <c r="E223" s="283">
        <v>4724515.9399999995</v>
      </c>
      <c r="F223" s="283">
        <v>460624.81</v>
      </c>
      <c r="G223" s="283">
        <v>641785.87</v>
      </c>
      <c r="H223" s="283">
        <v>5270367.3999999994</v>
      </c>
      <c r="I223" s="283">
        <v>5366301.8099999996</v>
      </c>
    </row>
    <row r="224" spans="1:9" ht="26.25" customHeight="1" x14ac:dyDescent="0.25">
      <c r="A224" s="282" t="s">
        <v>188</v>
      </c>
      <c r="B224" s="283"/>
      <c r="C224" s="283"/>
      <c r="D224" s="283">
        <v>1535709.9</v>
      </c>
      <c r="E224" s="283">
        <v>1482742.8</v>
      </c>
      <c r="F224" s="283">
        <v>147073.54</v>
      </c>
      <c r="G224" s="283">
        <v>187796.01</v>
      </c>
      <c r="H224" s="283">
        <v>1682783.44</v>
      </c>
      <c r="I224" s="283">
        <v>1670538.81</v>
      </c>
    </row>
    <row r="225" spans="1:9" ht="26.25" customHeight="1" x14ac:dyDescent="0.25">
      <c r="A225" s="282" t="s">
        <v>189</v>
      </c>
      <c r="B225" s="283"/>
      <c r="C225" s="283"/>
      <c r="D225" s="283">
        <v>1536563.5300000003</v>
      </c>
      <c r="E225" s="283">
        <v>1539732.0799999998</v>
      </c>
      <c r="F225" s="283">
        <v>147151</v>
      </c>
      <c r="G225" s="283">
        <v>191308.34</v>
      </c>
      <c r="H225" s="283">
        <v>1683714.5300000003</v>
      </c>
      <c r="I225" s="283">
        <v>1731040.42</v>
      </c>
    </row>
    <row r="226" spans="1:9" ht="26.25" customHeight="1" x14ac:dyDescent="0.25">
      <c r="A226" s="282" t="s">
        <v>190</v>
      </c>
      <c r="B226" s="283"/>
      <c r="C226" s="283"/>
      <c r="D226" s="283">
        <v>950683.13999999978</v>
      </c>
      <c r="E226" s="283">
        <v>945858.88</v>
      </c>
      <c r="F226" s="283">
        <v>90743.18</v>
      </c>
      <c r="G226" s="283">
        <v>123580.97</v>
      </c>
      <c r="H226" s="283">
        <v>1041426.3199999998</v>
      </c>
      <c r="I226" s="283">
        <v>1069439.8500000001</v>
      </c>
    </row>
    <row r="227" spans="1:9" ht="26.25" customHeight="1" x14ac:dyDescent="0.25">
      <c r="A227" s="282" t="s">
        <v>191</v>
      </c>
      <c r="B227" s="283"/>
      <c r="C227" s="283"/>
      <c r="D227" s="283">
        <v>1518866.8499999996</v>
      </c>
      <c r="E227" s="283">
        <v>1463807.3100000003</v>
      </c>
      <c r="F227" s="283">
        <v>145460.47</v>
      </c>
      <c r="G227" s="283">
        <v>193407.86</v>
      </c>
      <c r="H227" s="283">
        <v>1664327.3199999996</v>
      </c>
      <c r="I227" s="283">
        <v>1657215.1700000004</v>
      </c>
    </row>
    <row r="228" spans="1:9" ht="26.25" customHeight="1" x14ac:dyDescent="0.25">
      <c r="A228" s="282" t="s">
        <v>192</v>
      </c>
      <c r="B228" s="283"/>
      <c r="C228" s="283"/>
      <c r="D228" s="283">
        <v>3505295.6099999994</v>
      </c>
      <c r="E228" s="283">
        <v>3387417.23</v>
      </c>
      <c r="F228" s="283">
        <v>335698.8</v>
      </c>
      <c r="G228" s="283">
        <v>435452.84</v>
      </c>
      <c r="H228" s="283">
        <v>3840994.4099999992</v>
      </c>
      <c r="I228" s="283">
        <v>3822870.07</v>
      </c>
    </row>
    <row r="229" spans="1:9" ht="26.25" customHeight="1" x14ac:dyDescent="0.25">
      <c r="A229" s="282" t="s">
        <v>193</v>
      </c>
      <c r="B229" s="283"/>
      <c r="C229" s="283"/>
      <c r="D229" s="283">
        <v>1676322.3000000003</v>
      </c>
      <c r="E229" s="283">
        <v>1593525.3</v>
      </c>
      <c r="F229" s="283">
        <v>160539.85999999999</v>
      </c>
      <c r="G229" s="283">
        <v>211774.44</v>
      </c>
      <c r="H229" s="283">
        <v>1836862.1600000001</v>
      </c>
      <c r="I229" s="283">
        <v>1805299.74</v>
      </c>
    </row>
    <row r="230" spans="1:9" ht="26.25" customHeight="1" x14ac:dyDescent="0.25">
      <c r="A230" s="282" t="s">
        <v>194</v>
      </c>
      <c r="B230" s="283"/>
      <c r="C230" s="283"/>
      <c r="D230" s="283">
        <v>3573177.13</v>
      </c>
      <c r="E230" s="283">
        <v>3378422.27</v>
      </c>
      <c r="F230" s="283">
        <v>342170.52</v>
      </c>
      <c r="G230" s="283">
        <v>440949.97</v>
      </c>
      <c r="H230" s="283">
        <v>3915347.65</v>
      </c>
      <c r="I230" s="283">
        <v>3819372.24</v>
      </c>
    </row>
    <row r="231" spans="1:9" ht="26.25" customHeight="1" x14ac:dyDescent="0.25">
      <c r="A231" s="282" t="s">
        <v>195</v>
      </c>
      <c r="B231" s="283"/>
      <c r="C231" s="283"/>
      <c r="D231" s="283">
        <v>3516893.0500000003</v>
      </c>
      <c r="E231" s="283">
        <v>3500879.35</v>
      </c>
      <c r="F231" s="283">
        <v>336809.62</v>
      </c>
      <c r="G231" s="283">
        <v>441105.44</v>
      </c>
      <c r="H231" s="283">
        <v>3853702.6700000004</v>
      </c>
      <c r="I231" s="283">
        <v>3941984.79</v>
      </c>
    </row>
    <row r="232" spans="1:9" ht="26.25" customHeight="1" x14ac:dyDescent="0.25">
      <c r="A232" s="282" t="s">
        <v>196</v>
      </c>
      <c r="B232" s="283"/>
      <c r="C232" s="283"/>
      <c r="D232" s="283">
        <v>1128591.5</v>
      </c>
      <c r="E232" s="283">
        <v>1290652.55</v>
      </c>
      <c r="F232" s="283">
        <v>108084.18</v>
      </c>
      <c r="G232" s="283">
        <v>131684.10999999999</v>
      </c>
      <c r="H232" s="283">
        <v>1236675.68</v>
      </c>
      <c r="I232" s="283">
        <v>1422336.6600000001</v>
      </c>
    </row>
    <row r="233" spans="1:9" ht="26.25" customHeight="1" x14ac:dyDescent="0.25">
      <c r="A233" s="282" t="s">
        <v>197</v>
      </c>
      <c r="B233" s="283"/>
      <c r="C233" s="283"/>
      <c r="D233" s="283">
        <v>1200077.53</v>
      </c>
      <c r="E233" s="283">
        <v>1180651.46</v>
      </c>
      <c r="F233" s="283">
        <v>114542.71</v>
      </c>
      <c r="G233" s="283">
        <v>164570.23000000001</v>
      </c>
      <c r="H233" s="283">
        <v>1314620.24</v>
      </c>
      <c r="I233" s="283">
        <v>1345221.69</v>
      </c>
    </row>
    <row r="234" spans="1:9" ht="26.25" customHeight="1" x14ac:dyDescent="0.25">
      <c r="A234" s="282" t="s">
        <v>198</v>
      </c>
      <c r="B234" s="283"/>
      <c r="C234" s="283"/>
      <c r="D234" s="283">
        <v>1712112.76</v>
      </c>
      <c r="E234" s="283">
        <v>1667420.91</v>
      </c>
      <c r="F234" s="283">
        <v>163418.71</v>
      </c>
      <c r="G234" s="283">
        <v>203866.39</v>
      </c>
      <c r="H234" s="283">
        <v>1875531.47</v>
      </c>
      <c r="I234" s="283">
        <v>1871287.2999999998</v>
      </c>
    </row>
    <row r="235" spans="1:9" ht="26.25" customHeight="1" x14ac:dyDescent="0.25">
      <c r="A235" s="282" t="s">
        <v>199</v>
      </c>
      <c r="B235" s="283"/>
      <c r="C235" s="283"/>
      <c r="D235" s="283">
        <v>1711437.6099999996</v>
      </c>
      <c r="E235" s="283">
        <v>1603253.5700000003</v>
      </c>
      <c r="F235" s="283">
        <v>163881.76</v>
      </c>
      <c r="G235" s="283">
        <v>204362</v>
      </c>
      <c r="H235" s="283">
        <v>1875319.3699999996</v>
      </c>
      <c r="I235" s="283">
        <v>1807615.5700000003</v>
      </c>
    </row>
    <row r="236" spans="1:9" ht="26.25" customHeight="1" x14ac:dyDescent="0.25">
      <c r="A236" s="282" t="s">
        <v>200</v>
      </c>
      <c r="B236" s="283"/>
      <c r="C236" s="283"/>
      <c r="D236" s="283">
        <v>1201338.7099999997</v>
      </c>
      <c r="E236" s="283">
        <v>1119171.3799999999</v>
      </c>
      <c r="F236" s="283">
        <v>114668.37</v>
      </c>
      <c r="G236" s="283">
        <v>148928.87</v>
      </c>
      <c r="H236" s="283">
        <v>1316007.0799999996</v>
      </c>
      <c r="I236" s="283">
        <v>1268100.25</v>
      </c>
    </row>
    <row r="237" spans="1:9" ht="26.25" customHeight="1" x14ac:dyDescent="0.25">
      <c r="A237" s="282" t="s">
        <v>201</v>
      </c>
      <c r="B237" s="283"/>
      <c r="C237" s="283"/>
      <c r="D237" s="283">
        <v>1210690.23</v>
      </c>
      <c r="E237" s="283">
        <v>1091993.71</v>
      </c>
      <c r="F237" s="283">
        <v>115561.01</v>
      </c>
      <c r="G237" s="283">
        <v>132192.63</v>
      </c>
      <c r="H237" s="283">
        <v>1326251.24</v>
      </c>
      <c r="I237" s="283">
        <v>1224186.3399999999</v>
      </c>
    </row>
    <row r="238" spans="1:9" ht="26.25" customHeight="1" x14ac:dyDescent="0.25">
      <c r="A238" s="282" t="s">
        <v>202</v>
      </c>
      <c r="B238" s="283"/>
      <c r="C238" s="283"/>
      <c r="D238" s="283">
        <v>1720869.63</v>
      </c>
      <c r="E238" s="283">
        <v>1734100.2999999998</v>
      </c>
      <c r="F238" s="283">
        <v>164257.89000000001</v>
      </c>
      <c r="G238" s="283">
        <v>212351.96</v>
      </c>
      <c r="H238" s="283">
        <v>1885127.52</v>
      </c>
      <c r="I238" s="283">
        <v>1946452.2599999998</v>
      </c>
    </row>
    <row r="239" spans="1:9" ht="26.25" customHeight="1" x14ac:dyDescent="0.25">
      <c r="A239" s="282" t="s">
        <v>203</v>
      </c>
      <c r="B239" s="283"/>
      <c r="C239" s="283"/>
      <c r="D239" s="283">
        <v>1709988.9799999995</v>
      </c>
      <c r="E239" s="283">
        <v>1633734.9699999997</v>
      </c>
      <c r="F239" s="283">
        <v>163342.43</v>
      </c>
      <c r="G239" s="283">
        <v>209116.43</v>
      </c>
      <c r="H239" s="283">
        <v>1873331.4099999995</v>
      </c>
      <c r="I239" s="283">
        <v>1842851.3999999997</v>
      </c>
    </row>
    <row r="240" spans="1:9" ht="26.25" customHeight="1" x14ac:dyDescent="0.25">
      <c r="A240" s="282" t="s">
        <v>204</v>
      </c>
      <c r="B240" s="283"/>
      <c r="C240" s="283"/>
      <c r="D240" s="283">
        <v>1055856.1300000001</v>
      </c>
      <c r="E240" s="283">
        <v>979923.15999999992</v>
      </c>
      <c r="F240" s="283">
        <v>100778.47</v>
      </c>
      <c r="G240" s="283">
        <v>136490.26999999999</v>
      </c>
      <c r="H240" s="283">
        <v>1156634.6000000001</v>
      </c>
      <c r="I240" s="283">
        <v>1116413.43</v>
      </c>
    </row>
    <row r="241" spans="1:9" ht="26.25" customHeight="1" x14ac:dyDescent="0.25">
      <c r="A241" s="282" t="s">
        <v>1777</v>
      </c>
      <c r="B241" s="283"/>
      <c r="C241" s="283"/>
      <c r="D241" s="283">
        <v>0</v>
      </c>
      <c r="E241" s="283">
        <v>0</v>
      </c>
      <c r="F241" s="283">
        <v>0</v>
      </c>
      <c r="G241" s="283">
        <v>0</v>
      </c>
      <c r="H241" s="283">
        <v>0</v>
      </c>
      <c r="I241" s="283">
        <v>0</v>
      </c>
    </row>
    <row r="242" spans="1:9" ht="26.25" customHeight="1" x14ac:dyDescent="0.25">
      <c r="A242" s="282" t="s">
        <v>221</v>
      </c>
      <c r="B242" s="283"/>
      <c r="C242" s="283"/>
      <c r="D242" s="283">
        <v>1284063.0000000002</v>
      </c>
      <c r="E242" s="283">
        <v>1243178.6200000003</v>
      </c>
      <c r="F242" s="283">
        <v>122958.04</v>
      </c>
      <c r="G242" s="283">
        <v>169583.94</v>
      </c>
      <c r="H242" s="283">
        <v>1407021.0400000003</v>
      </c>
      <c r="I242" s="283">
        <v>1412762.5600000003</v>
      </c>
    </row>
    <row r="243" spans="1:9" ht="26.25" customHeight="1" x14ac:dyDescent="0.25">
      <c r="A243" s="282" t="s">
        <v>222</v>
      </c>
      <c r="B243" s="283"/>
      <c r="C243" s="283"/>
      <c r="D243" s="283">
        <v>1068612</v>
      </c>
      <c r="E243" s="283">
        <v>1114981.92</v>
      </c>
      <c r="F243" s="283">
        <v>108206.18</v>
      </c>
      <c r="G243" s="283">
        <v>140585.73000000001</v>
      </c>
      <c r="H243" s="283">
        <v>1176818.18</v>
      </c>
      <c r="I243" s="283">
        <v>1255567.6499999999</v>
      </c>
    </row>
    <row r="244" spans="1:9" ht="26.25" customHeight="1" x14ac:dyDescent="0.25">
      <c r="A244" s="282" t="s">
        <v>223</v>
      </c>
      <c r="B244" s="283"/>
      <c r="C244" s="283"/>
      <c r="D244" s="283">
        <v>1957546.9499999997</v>
      </c>
      <c r="E244" s="283">
        <v>1987987.0800000003</v>
      </c>
      <c r="F244" s="283">
        <v>187472.53</v>
      </c>
      <c r="G244" s="283">
        <v>231666.08</v>
      </c>
      <c r="H244" s="283">
        <v>2145019.4799999995</v>
      </c>
      <c r="I244" s="283">
        <v>2219653.16</v>
      </c>
    </row>
    <row r="245" spans="1:9" ht="26.25" customHeight="1" x14ac:dyDescent="0.25">
      <c r="A245" s="282" t="s">
        <v>224</v>
      </c>
      <c r="B245" s="283"/>
      <c r="C245" s="283"/>
      <c r="D245" s="283">
        <v>1967258.3100000005</v>
      </c>
      <c r="E245" s="283">
        <v>1920574.9</v>
      </c>
      <c r="F245" s="283">
        <v>188402.58</v>
      </c>
      <c r="G245" s="283">
        <v>237473.51</v>
      </c>
      <c r="H245" s="283">
        <v>2155660.8900000006</v>
      </c>
      <c r="I245" s="283">
        <v>2158048.41</v>
      </c>
    </row>
    <row r="246" spans="1:9" ht="26.25" customHeight="1" x14ac:dyDescent="0.25">
      <c r="A246" s="286" t="s">
        <v>1778</v>
      </c>
      <c r="B246" s="283"/>
      <c r="C246" s="283"/>
      <c r="D246" s="283">
        <v>0</v>
      </c>
      <c r="E246" s="283">
        <v>0</v>
      </c>
      <c r="F246" s="283">
        <v>0</v>
      </c>
      <c r="G246" s="283">
        <v>0</v>
      </c>
      <c r="H246" s="283">
        <v>0</v>
      </c>
      <c r="I246" s="283">
        <v>0</v>
      </c>
    </row>
    <row r="247" spans="1:9" ht="26.25" customHeight="1" x14ac:dyDescent="0.25">
      <c r="A247" s="286" t="s">
        <v>1779</v>
      </c>
      <c r="B247" s="283"/>
      <c r="C247" s="283"/>
      <c r="D247" s="283">
        <v>0</v>
      </c>
      <c r="E247" s="283">
        <v>0</v>
      </c>
      <c r="F247" s="283"/>
      <c r="G247" s="283"/>
      <c r="H247" s="283">
        <v>0</v>
      </c>
      <c r="I247" s="283">
        <v>0</v>
      </c>
    </row>
    <row r="248" spans="1:9" ht="26.25" customHeight="1" x14ac:dyDescent="0.25">
      <c r="A248" s="286" t="s">
        <v>1780</v>
      </c>
      <c r="B248" s="283"/>
      <c r="C248" s="283"/>
      <c r="D248" s="283">
        <v>0</v>
      </c>
      <c r="E248" s="283">
        <v>0</v>
      </c>
      <c r="F248" s="283">
        <v>0</v>
      </c>
      <c r="G248" s="283">
        <v>0</v>
      </c>
      <c r="H248" s="283">
        <v>0</v>
      </c>
      <c r="I248" s="283">
        <v>0</v>
      </c>
    </row>
    <row r="249" spans="1:9" ht="26.25" customHeight="1" x14ac:dyDescent="0.25">
      <c r="A249" s="286" t="s">
        <v>1781</v>
      </c>
      <c r="B249" s="283"/>
      <c r="C249" s="283"/>
      <c r="D249" s="283">
        <v>0</v>
      </c>
      <c r="E249" s="283">
        <v>0</v>
      </c>
      <c r="F249" s="283">
        <v>0</v>
      </c>
      <c r="G249" s="283">
        <v>0</v>
      </c>
      <c r="H249" s="283">
        <v>0</v>
      </c>
      <c r="I249" s="283">
        <v>0</v>
      </c>
    </row>
    <row r="250" spans="1:9" ht="26.25" customHeight="1" x14ac:dyDescent="0.25">
      <c r="A250" s="286" t="s">
        <v>1782</v>
      </c>
      <c r="B250" s="283"/>
      <c r="C250" s="283"/>
      <c r="D250" s="283">
        <v>0</v>
      </c>
      <c r="E250" s="283">
        <v>0</v>
      </c>
      <c r="F250" s="283">
        <v>0</v>
      </c>
      <c r="G250" s="283">
        <v>0</v>
      </c>
      <c r="H250" s="283">
        <v>0</v>
      </c>
      <c r="I250" s="283">
        <v>0</v>
      </c>
    </row>
    <row r="251" spans="1:9" ht="26.25" customHeight="1" x14ac:dyDescent="0.25">
      <c r="A251" s="286" t="s">
        <v>1783</v>
      </c>
      <c r="B251" s="283"/>
      <c r="C251" s="283"/>
      <c r="D251" s="283">
        <v>0</v>
      </c>
      <c r="E251" s="283">
        <v>0</v>
      </c>
      <c r="F251" s="283">
        <v>0</v>
      </c>
      <c r="G251" s="283">
        <v>0</v>
      </c>
      <c r="H251" s="283">
        <v>0</v>
      </c>
      <c r="I251" s="283">
        <v>0</v>
      </c>
    </row>
    <row r="252" spans="1:9" ht="26.25" customHeight="1" x14ac:dyDescent="0.25">
      <c r="A252" s="286" t="s">
        <v>1784</v>
      </c>
      <c r="B252" s="283"/>
      <c r="C252" s="283"/>
      <c r="D252" s="283">
        <v>0</v>
      </c>
      <c r="E252" s="283">
        <v>0</v>
      </c>
      <c r="F252" s="283">
        <v>0</v>
      </c>
      <c r="G252" s="283">
        <v>0</v>
      </c>
      <c r="H252" s="283">
        <v>0</v>
      </c>
      <c r="I252" s="283">
        <v>0</v>
      </c>
    </row>
    <row r="253" spans="1:9" ht="26.25" customHeight="1" x14ac:dyDescent="0.25">
      <c r="A253" s="286" t="s">
        <v>1785</v>
      </c>
      <c r="B253" s="283"/>
      <c r="C253" s="283"/>
      <c r="D253" s="283">
        <v>0</v>
      </c>
      <c r="E253" s="283">
        <v>0</v>
      </c>
      <c r="F253" s="283">
        <v>0</v>
      </c>
      <c r="G253" s="283">
        <v>0</v>
      </c>
      <c r="H253" s="283">
        <v>0</v>
      </c>
      <c r="I253" s="283">
        <v>0</v>
      </c>
    </row>
    <row r="254" spans="1:9" ht="26.25" customHeight="1" x14ac:dyDescent="0.25">
      <c r="A254" s="286" t="s">
        <v>1786</v>
      </c>
      <c r="B254" s="283"/>
      <c r="C254" s="283"/>
      <c r="D254" s="283">
        <v>0</v>
      </c>
      <c r="E254" s="283">
        <v>0</v>
      </c>
      <c r="F254" s="283">
        <v>0</v>
      </c>
      <c r="G254" s="283">
        <v>0</v>
      </c>
      <c r="H254" s="283">
        <v>0</v>
      </c>
      <c r="I254" s="283">
        <v>0</v>
      </c>
    </row>
    <row r="255" spans="1:9" ht="26.25" customHeight="1" x14ac:dyDescent="0.25">
      <c r="A255" s="282" t="s">
        <v>225</v>
      </c>
      <c r="B255" s="283"/>
      <c r="C255" s="283"/>
      <c r="D255" s="283">
        <v>6669225.169999999</v>
      </c>
      <c r="E255" s="283">
        <v>6596710.3900000006</v>
      </c>
      <c r="F255" s="283">
        <v>639338.44999999995</v>
      </c>
      <c r="G255" s="283">
        <v>848077.29</v>
      </c>
      <c r="H255" s="283">
        <v>7308563.6199999992</v>
      </c>
      <c r="I255" s="283">
        <v>7444787.6800000006</v>
      </c>
    </row>
    <row r="256" spans="1:9" ht="26.25" customHeight="1" x14ac:dyDescent="0.25">
      <c r="A256" s="282" t="s">
        <v>226</v>
      </c>
      <c r="B256" s="283"/>
      <c r="C256" s="283"/>
      <c r="D256" s="283">
        <v>1931212.3400000003</v>
      </c>
      <c r="E256" s="283">
        <v>1855898.96</v>
      </c>
      <c r="F256" s="283">
        <v>185281.12</v>
      </c>
      <c r="G256" s="283">
        <v>233458.36</v>
      </c>
      <c r="H256" s="283">
        <v>2116493.4600000004</v>
      </c>
      <c r="I256" s="283">
        <v>2089357.3199999998</v>
      </c>
    </row>
    <row r="257" spans="1:9" ht="26.25" customHeight="1" x14ac:dyDescent="0.25">
      <c r="A257" s="282" t="s">
        <v>227</v>
      </c>
      <c r="B257" s="283"/>
      <c r="C257" s="283"/>
      <c r="D257" s="283">
        <v>1955682.5899999996</v>
      </c>
      <c r="E257" s="283">
        <v>1894080.58</v>
      </c>
      <c r="F257" s="283">
        <v>187294.23</v>
      </c>
      <c r="G257" s="283">
        <v>247984.64000000001</v>
      </c>
      <c r="H257" s="283">
        <v>2142976.8199999998</v>
      </c>
      <c r="I257" s="283">
        <v>2142065.2200000002</v>
      </c>
    </row>
    <row r="258" spans="1:9" ht="26.25" customHeight="1" x14ac:dyDescent="0.25">
      <c r="A258" s="282" t="s">
        <v>228</v>
      </c>
      <c r="B258" s="283"/>
      <c r="C258" s="283"/>
      <c r="D258" s="283">
        <v>1755941.44</v>
      </c>
      <c r="E258" s="283">
        <v>1807520.9700000002</v>
      </c>
      <c r="F258" s="283">
        <v>87697.36</v>
      </c>
      <c r="G258" s="283">
        <v>120645.82</v>
      </c>
      <c r="H258" s="283">
        <v>1843638.8</v>
      </c>
      <c r="I258" s="283">
        <v>1928166.7900000003</v>
      </c>
    </row>
    <row r="259" spans="1:9" ht="26.25" customHeight="1" x14ac:dyDescent="0.25">
      <c r="A259" s="282" t="s">
        <v>229</v>
      </c>
      <c r="B259" s="283"/>
      <c r="C259" s="283"/>
      <c r="D259" s="283">
        <v>1739084.2899999996</v>
      </c>
      <c r="E259" s="283">
        <v>1842869.36</v>
      </c>
      <c r="F259" s="283">
        <v>85775.76</v>
      </c>
      <c r="G259" s="283">
        <v>114368.71</v>
      </c>
      <c r="H259" s="283">
        <v>1824860.0499999996</v>
      </c>
      <c r="I259" s="283">
        <v>1957238.07</v>
      </c>
    </row>
    <row r="260" spans="1:9" ht="26.25" customHeight="1" x14ac:dyDescent="0.25">
      <c r="A260" s="282" t="s">
        <v>230</v>
      </c>
      <c r="B260" s="283"/>
      <c r="C260" s="283"/>
      <c r="D260" s="283">
        <v>1838894.8699999999</v>
      </c>
      <c r="E260" s="283">
        <v>1905561.4099999997</v>
      </c>
      <c r="F260" s="283">
        <v>186400.86</v>
      </c>
      <c r="G260" s="283">
        <v>260190.35</v>
      </c>
      <c r="H260" s="283">
        <v>2025295.73</v>
      </c>
      <c r="I260" s="283">
        <v>2165751.7599999998</v>
      </c>
    </row>
    <row r="261" spans="1:9" ht="26.25" customHeight="1" x14ac:dyDescent="0.25">
      <c r="A261" s="282" t="s">
        <v>231</v>
      </c>
      <c r="B261" s="283"/>
      <c r="C261" s="283"/>
      <c r="D261" s="283">
        <v>1937244.54</v>
      </c>
      <c r="E261" s="283">
        <v>1826425.59</v>
      </c>
      <c r="F261" s="283">
        <v>185526.74</v>
      </c>
      <c r="G261" s="283">
        <v>235544.29</v>
      </c>
      <c r="H261" s="283">
        <v>2122771.2800000003</v>
      </c>
      <c r="I261" s="283">
        <v>2061969.8800000001</v>
      </c>
    </row>
    <row r="262" spans="1:9" ht="26.25" customHeight="1" x14ac:dyDescent="0.25">
      <c r="A262" s="286" t="s">
        <v>1787</v>
      </c>
      <c r="B262" s="283"/>
      <c r="C262" s="283"/>
      <c r="D262" s="283">
        <v>0</v>
      </c>
      <c r="E262" s="283">
        <v>0</v>
      </c>
      <c r="F262" s="283">
        <v>0</v>
      </c>
      <c r="G262" s="283">
        <v>0</v>
      </c>
      <c r="H262" s="283">
        <v>0</v>
      </c>
      <c r="I262" s="283">
        <v>0</v>
      </c>
    </row>
    <row r="263" spans="1:9" ht="26.25" customHeight="1" x14ac:dyDescent="0.25">
      <c r="A263" s="282" t="s">
        <v>1788</v>
      </c>
      <c r="B263" s="283"/>
      <c r="C263" s="283"/>
      <c r="D263" s="283">
        <v>0</v>
      </c>
      <c r="E263" s="283">
        <v>0</v>
      </c>
      <c r="F263" s="283">
        <v>0</v>
      </c>
      <c r="G263" s="283">
        <v>0</v>
      </c>
      <c r="H263" s="283">
        <v>0</v>
      </c>
      <c r="I263" s="283">
        <v>0</v>
      </c>
    </row>
    <row r="264" spans="1:9" ht="26.25" customHeight="1" x14ac:dyDescent="0.25">
      <c r="A264" s="282" t="s">
        <v>1789</v>
      </c>
      <c r="B264" s="283"/>
      <c r="C264" s="283"/>
      <c r="D264" s="283">
        <v>0</v>
      </c>
      <c r="E264" s="283">
        <v>0</v>
      </c>
      <c r="F264" s="283">
        <v>0</v>
      </c>
      <c r="G264" s="283">
        <v>0</v>
      </c>
      <c r="H264" s="283">
        <v>0</v>
      </c>
      <c r="I264" s="283">
        <v>0</v>
      </c>
    </row>
    <row r="265" spans="1:9" ht="26.25" customHeight="1" x14ac:dyDescent="0.25">
      <c r="A265" s="282" t="s">
        <v>1790</v>
      </c>
      <c r="B265" s="283"/>
      <c r="C265" s="283"/>
      <c r="D265" s="283">
        <v>0</v>
      </c>
      <c r="E265" s="283">
        <v>0</v>
      </c>
      <c r="F265" s="283">
        <v>0</v>
      </c>
      <c r="G265" s="283">
        <v>0</v>
      </c>
      <c r="H265" s="283">
        <v>0</v>
      </c>
      <c r="I265" s="283">
        <v>0</v>
      </c>
    </row>
    <row r="266" spans="1:9" ht="26.25" customHeight="1" x14ac:dyDescent="0.25">
      <c r="A266" s="282" t="s">
        <v>1791</v>
      </c>
      <c r="B266" s="283"/>
      <c r="C266" s="283"/>
      <c r="D266" s="283">
        <v>0</v>
      </c>
      <c r="E266" s="283">
        <v>0</v>
      </c>
      <c r="F266" s="283">
        <v>0</v>
      </c>
      <c r="G266" s="283">
        <v>0</v>
      </c>
      <c r="H266" s="283">
        <v>0</v>
      </c>
      <c r="I266" s="283">
        <v>0</v>
      </c>
    </row>
    <row r="267" spans="1:9" ht="26.25" customHeight="1" x14ac:dyDescent="0.25">
      <c r="A267" s="282" t="s">
        <v>1792</v>
      </c>
      <c r="B267" s="283"/>
      <c r="C267" s="283"/>
      <c r="D267" s="283">
        <v>0</v>
      </c>
      <c r="E267" s="283">
        <v>0</v>
      </c>
      <c r="F267" s="283">
        <v>0</v>
      </c>
      <c r="G267" s="283">
        <v>0</v>
      </c>
      <c r="H267" s="283">
        <v>0</v>
      </c>
      <c r="I267" s="283">
        <v>0</v>
      </c>
    </row>
    <row r="268" spans="1:9" ht="26.25" customHeight="1" x14ac:dyDescent="0.25">
      <c r="A268" s="286" t="s">
        <v>1793</v>
      </c>
      <c r="B268" s="283"/>
      <c r="C268" s="283"/>
      <c r="D268" s="283">
        <v>0</v>
      </c>
      <c r="E268" s="283">
        <v>0</v>
      </c>
      <c r="F268" s="283">
        <v>0</v>
      </c>
      <c r="G268" s="283">
        <v>0</v>
      </c>
      <c r="H268" s="283">
        <v>0</v>
      </c>
      <c r="I268" s="283">
        <v>0</v>
      </c>
    </row>
    <row r="269" spans="1:9" ht="26.25" customHeight="1" x14ac:dyDescent="0.25">
      <c r="A269" s="282" t="s">
        <v>1794</v>
      </c>
      <c r="B269" s="283"/>
      <c r="C269" s="283"/>
      <c r="D269" s="283">
        <v>0</v>
      </c>
      <c r="E269" s="283">
        <v>0</v>
      </c>
      <c r="F269" s="283">
        <v>0</v>
      </c>
      <c r="G269" s="283">
        <v>0</v>
      </c>
      <c r="H269" s="283">
        <v>0</v>
      </c>
      <c r="I269" s="283">
        <v>0</v>
      </c>
    </row>
    <row r="270" spans="1:9" ht="26.25" customHeight="1" x14ac:dyDescent="0.25">
      <c r="A270" s="282" t="s">
        <v>1795</v>
      </c>
      <c r="B270" s="283"/>
      <c r="C270" s="283"/>
      <c r="D270" s="283">
        <v>0</v>
      </c>
      <c r="E270" s="283">
        <v>0</v>
      </c>
      <c r="F270" s="283">
        <v>0</v>
      </c>
      <c r="G270" s="283">
        <v>0</v>
      </c>
      <c r="H270" s="283">
        <v>0</v>
      </c>
      <c r="I270" s="283">
        <v>0</v>
      </c>
    </row>
    <row r="271" spans="1:9" ht="26.25" customHeight="1" x14ac:dyDescent="0.25">
      <c r="A271" s="282" t="s">
        <v>1796</v>
      </c>
      <c r="B271" s="283"/>
      <c r="C271" s="283"/>
      <c r="D271" s="283">
        <v>0</v>
      </c>
      <c r="E271" s="283">
        <v>0</v>
      </c>
      <c r="F271" s="283">
        <v>0</v>
      </c>
      <c r="G271" s="283">
        <v>0</v>
      </c>
      <c r="H271" s="283">
        <v>0</v>
      </c>
      <c r="I271" s="283">
        <v>0</v>
      </c>
    </row>
    <row r="272" spans="1:9" ht="26.25" customHeight="1" x14ac:dyDescent="0.25">
      <c r="A272" s="282" t="s">
        <v>1797</v>
      </c>
      <c r="B272" s="283"/>
      <c r="C272" s="283"/>
      <c r="D272" s="283">
        <v>0</v>
      </c>
      <c r="E272" s="283">
        <v>0</v>
      </c>
      <c r="F272" s="283">
        <v>0</v>
      </c>
      <c r="G272" s="283">
        <v>0</v>
      </c>
      <c r="H272" s="283">
        <v>0</v>
      </c>
      <c r="I272" s="283">
        <v>0</v>
      </c>
    </row>
    <row r="273" spans="1:9" ht="26.25" customHeight="1" x14ac:dyDescent="0.25">
      <c r="A273" s="282" t="s">
        <v>1798</v>
      </c>
      <c r="B273" s="283"/>
      <c r="C273" s="283"/>
      <c r="D273" s="283">
        <v>0</v>
      </c>
      <c r="E273" s="283">
        <v>0</v>
      </c>
      <c r="F273" s="283">
        <v>0</v>
      </c>
      <c r="G273" s="283">
        <v>0</v>
      </c>
      <c r="H273" s="283">
        <v>0</v>
      </c>
      <c r="I273" s="283">
        <v>0</v>
      </c>
    </row>
    <row r="274" spans="1:9" ht="26.25" customHeight="1" x14ac:dyDescent="0.25">
      <c r="A274" s="282" t="s">
        <v>1799</v>
      </c>
      <c r="B274" s="283"/>
      <c r="C274" s="283"/>
      <c r="D274" s="283">
        <v>0</v>
      </c>
      <c r="E274" s="283">
        <v>0</v>
      </c>
      <c r="F274" s="283">
        <v>0</v>
      </c>
      <c r="G274" s="283">
        <v>0</v>
      </c>
      <c r="H274" s="283">
        <v>0</v>
      </c>
      <c r="I274" s="283">
        <v>0</v>
      </c>
    </row>
    <row r="275" spans="1:9" ht="26.25" customHeight="1" x14ac:dyDescent="0.25">
      <c r="A275" s="282" t="s">
        <v>1800</v>
      </c>
      <c r="B275" s="283"/>
      <c r="C275" s="283"/>
      <c r="D275" s="283">
        <v>0</v>
      </c>
      <c r="E275" s="283">
        <v>0</v>
      </c>
      <c r="F275" s="283">
        <v>0</v>
      </c>
      <c r="G275" s="283">
        <v>0</v>
      </c>
      <c r="H275" s="283">
        <v>0</v>
      </c>
      <c r="I275" s="283">
        <v>0</v>
      </c>
    </row>
    <row r="276" spans="1:9" ht="26.25" customHeight="1" x14ac:dyDescent="0.25">
      <c r="A276" s="282" t="s">
        <v>232</v>
      </c>
      <c r="B276" s="283"/>
      <c r="C276" s="283"/>
      <c r="D276" s="283">
        <v>3956631.0700000003</v>
      </c>
      <c r="E276" s="283">
        <v>5467746.6399999987</v>
      </c>
      <c r="F276" s="283">
        <v>3605484.17</v>
      </c>
      <c r="G276" s="283">
        <v>2209000.2200000002</v>
      </c>
      <c r="H276" s="283">
        <v>7562115.2400000002</v>
      </c>
      <c r="I276" s="283">
        <v>7676746.8599999994</v>
      </c>
    </row>
    <row r="277" spans="1:9" ht="26.25" customHeight="1" x14ac:dyDescent="0.25">
      <c r="A277" s="282" t="s">
        <v>233</v>
      </c>
      <c r="B277" s="283"/>
      <c r="C277" s="283"/>
      <c r="D277" s="283">
        <v>10097163.459999999</v>
      </c>
      <c r="E277" s="283">
        <v>11188942.709999997</v>
      </c>
      <c r="F277" s="283">
        <v>1088260.26</v>
      </c>
      <c r="G277" s="283">
        <v>1475164.09</v>
      </c>
      <c r="H277" s="283">
        <v>11185423.719999999</v>
      </c>
      <c r="I277" s="283">
        <v>12664106.799999997</v>
      </c>
    </row>
    <row r="278" spans="1:9" ht="26.25" customHeight="1" x14ac:dyDescent="0.25">
      <c r="A278" s="282" t="s">
        <v>234</v>
      </c>
      <c r="B278" s="283"/>
      <c r="C278" s="283"/>
      <c r="D278" s="283">
        <v>1722296.7799999998</v>
      </c>
      <c r="E278" s="283">
        <v>1771053.03</v>
      </c>
      <c r="F278" s="283">
        <v>166226.70000000001</v>
      </c>
      <c r="G278" s="283">
        <v>244633.04</v>
      </c>
      <c r="H278" s="283">
        <v>1888523.4799999997</v>
      </c>
      <c r="I278" s="283">
        <v>2015686.07</v>
      </c>
    </row>
    <row r="279" spans="1:9" ht="26.25" customHeight="1" x14ac:dyDescent="0.25">
      <c r="A279" s="282" t="s">
        <v>1801</v>
      </c>
      <c r="B279" s="283"/>
      <c r="C279" s="283"/>
      <c r="D279" s="283">
        <v>0</v>
      </c>
      <c r="E279" s="283">
        <v>0</v>
      </c>
      <c r="F279" s="283">
        <v>0</v>
      </c>
      <c r="G279" s="283">
        <v>0</v>
      </c>
      <c r="H279" s="283">
        <v>0</v>
      </c>
      <c r="I279" s="283">
        <v>0</v>
      </c>
    </row>
    <row r="280" spans="1:9" ht="26.25" customHeight="1" x14ac:dyDescent="0.25">
      <c r="A280" s="282" t="s">
        <v>235</v>
      </c>
      <c r="B280" s="283"/>
      <c r="C280" s="283"/>
      <c r="D280" s="283">
        <v>1806363.5200000003</v>
      </c>
      <c r="E280" s="283">
        <v>1650586.75</v>
      </c>
      <c r="F280" s="283">
        <v>172993.76</v>
      </c>
      <c r="G280" s="283">
        <v>227082.47</v>
      </c>
      <c r="H280" s="283">
        <v>1979357.2800000003</v>
      </c>
      <c r="I280" s="283">
        <v>1877669.22</v>
      </c>
    </row>
    <row r="281" spans="1:9" ht="26.25" customHeight="1" x14ac:dyDescent="0.25">
      <c r="A281" s="282" t="s">
        <v>236</v>
      </c>
      <c r="B281" s="283"/>
      <c r="C281" s="283"/>
      <c r="D281" s="283">
        <v>2627183.21</v>
      </c>
      <c r="E281" s="283">
        <v>2561892.36</v>
      </c>
      <c r="F281" s="283">
        <v>252136.83</v>
      </c>
      <c r="G281" s="283">
        <v>356631.89</v>
      </c>
      <c r="H281" s="283">
        <v>2879320.04</v>
      </c>
      <c r="I281" s="283">
        <v>2918524.25</v>
      </c>
    </row>
    <row r="282" spans="1:9" ht="26.25" customHeight="1" x14ac:dyDescent="0.25">
      <c r="A282" s="282" t="s">
        <v>240</v>
      </c>
      <c r="B282" s="283"/>
      <c r="C282" s="283"/>
      <c r="D282" s="283">
        <v>2748668.9</v>
      </c>
      <c r="E282" s="283">
        <v>2703627.1999999997</v>
      </c>
      <c r="F282" s="283">
        <v>263237.5</v>
      </c>
      <c r="G282" s="283">
        <v>357895.59</v>
      </c>
      <c r="H282" s="283">
        <v>3011906.4</v>
      </c>
      <c r="I282" s="283">
        <v>3061522.7899999996</v>
      </c>
    </row>
    <row r="283" spans="1:9" ht="26.25" customHeight="1" x14ac:dyDescent="0.25">
      <c r="A283" s="282" t="s">
        <v>241</v>
      </c>
      <c r="B283" s="283"/>
      <c r="C283" s="283"/>
      <c r="D283" s="283">
        <v>2106521.6700000004</v>
      </c>
      <c r="E283" s="283">
        <v>2044511.18</v>
      </c>
      <c r="F283" s="283">
        <v>206550.57</v>
      </c>
      <c r="G283" s="283">
        <v>260552.11</v>
      </c>
      <c r="H283" s="283">
        <v>2313072.2400000002</v>
      </c>
      <c r="I283" s="283">
        <v>2305063.29</v>
      </c>
    </row>
    <row r="284" spans="1:9" ht="26.25" customHeight="1" x14ac:dyDescent="0.25">
      <c r="A284" s="282" t="s">
        <v>242</v>
      </c>
      <c r="B284" s="283"/>
      <c r="C284" s="283"/>
      <c r="D284" s="283">
        <v>2114999.8099999996</v>
      </c>
      <c r="E284" s="283">
        <v>2002767.3099999998</v>
      </c>
      <c r="F284" s="283">
        <v>202634.22</v>
      </c>
      <c r="G284" s="283">
        <v>259871.48</v>
      </c>
      <c r="H284" s="283">
        <v>2317634.0299999998</v>
      </c>
      <c r="I284" s="283">
        <v>2262638.79</v>
      </c>
    </row>
    <row r="285" spans="1:9" ht="26.25" customHeight="1" x14ac:dyDescent="0.25">
      <c r="A285" s="282" t="s">
        <v>243</v>
      </c>
      <c r="B285" s="283">
        <v>0</v>
      </c>
      <c r="C285" s="283">
        <v>0</v>
      </c>
      <c r="D285" s="283">
        <v>2564928.11</v>
      </c>
      <c r="E285" s="283">
        <v>2623818.4799999995</v>
      </c>
      <c r="F285" s="283">
        <v>182898.67</v>
      </c>
      <c r="G285" s="283">
        <v>225907.79</v>
      </c>
      <c r="H285" s="283">
        <v>2747826.78</v>
      </c>
      <c r="I285" s="283">
        <v>2849726.2699999996</v>
      </c>
    </row>
    <row r="286" spans="1:9" ht="26.25" customHeight="1" x14ac:dyDescent="0.25">
      <c r="A286" s="282" t="s">
        <v>244</v>
      </c>
      <c r="B286" s="283"/>
      <c r="C286" s="283"/>
      <c r="D286" s="283">
        <v>2706181.7</v>
      </c>
      <c r="E286" s="283">
        <v>2709527.91</v>
      </c>
      <c r="F286" s="283">
        <v>259168.54</v>
      </c>
      <c r="G286" s="283">
        <v>293539.69</v>
      </c>
      <c r="H286" s="283">
        <v>2965350.24</v>
      </c>
      <c r="I286" s="283">
        <v>3003067.6</v>
      </c>
    </row>
    <row r="287" spans="1:9" ht="26.25" customHeight="1" x14ac:dyDescent="0.25">
      <c r="A287" s="282" t="s">
        <v>245</v>
      </c>
      <c r="B287" s="283"/>
      <c r="C287" s="283"/>
      <c r="D287" s="283">
        <v>2717427.8000000007</v>
      </c>
      <c r="E287" s="283">
        <v>2766763.16</v>
      </c>
      <c r="F287" s="283">
        <v>260428.01</v>
      </c>
      <c r="G287" s="283">
        <v>385968.56</v>
      </c>
      <c r="H287" s="283">
        <v>2977855.8100000005</v>
      </c>
      <c r="I287" s="283">
        <v>3152731.72</v>
      </c>
    </row>
    <row r="288" spans="1:9" ht="26.25" customHeight="1" x14ac:dyDescent="0.25">
      <c r="A288" s="282" t="s">
        <v>246</v>
      </c>
      <c r="B288" s="283"/>
      <c r="C288" s="283"/>
      <c r="D288" s="283">
        <v>2129436.2500000005</v>
      </c>
      <c r="E288" s="283">
        <v>2314520.3400000003</v>
      </c>
      <c r="F288" s="283">
        <v>203927.58</v>
      </c>
      <c r="G288" s="283">
        <v>254396.56</v>
      </c>
      <c r="H288" s="283">
        <v>2333363.8300000005</v>
      </c>
      <c r="I288" s="283">
        <v>2568916.9000000004</v>
      </c>
    </row>
    <row r="289" spans="1:9" ht="26.25" customHeight="1" x14ac:dyDescent="0.25">
      <c r="A289" s="282" t="s">
        <v>247</v>
      </c>
      <c r="B289" s="283"/>
      <c r="C289" s="283"/>
      <c r="D289" s="283">
        <v>3175195.33</v>
      </c>
      <c r="E289" s="283">
        <v>3129842.7299999995</v>
      </c>
      <c r="F289" s="283">
        <v>304029.31</v>
      </c>
      <c r="G289" s="283">
        <v>411153.37</v>
      </c>
      <c r="H289" s="283">
        <v>3479224.64</v>
      </c>
      <c r="I289" s="283">
        <v>3540996.0999999996</v>
      </c>
    </row>
    <row r="290" spans="1:9" ht="26.25" customHeight="1" x14ac:dyDescent="0.25">
      <c r="A290" s="282" t="s">
        <v>248</v>
      </c>
      <c r="B290" s="283"/>
      <c r="C290" s="283"/>
      <c r="D290" s="283">
        <v>10261659.890000001</v>
      </c>
      <c r="E290" s="283">
        <v>10003392.51</v>
      </c>
      <c r="F290" s="283">
        <v>1189106.94</v>
      </c>
      <c r="G290" s="283">
        <v>1579050.88</v>
      </c>
      <c r="H290" s="283">
        <v>11450766.83</v>
      </c>
      <c r="I290" s="283">
        <v>11582443.390000001</v>
      </c>
    </row>
    <row r="291" spans="1:9" ht="26.25" customHeight="1" x14ac:dyDescent="0.25">
      <c r="A291" s="282" t="s">
        <v>237</v>
      </c>
      <c r="B291" s="283"/>
      <c r="C291" s="283"/>
      <c r="D291" s="283">
        <v>2108164.9500000002</v>
      </c>
      <c r="E291" s="283">
        <v>2080770.9900000002</v>
      </c>
      <c r="F291" s="283">
        <v>202760.16</v>
      </c>
      <c r="G291" s="283">
        <v>305432.13</v>
      </c>
      <c r="H291" s="283">
        <v>2310925.1100000003</v>
      </c>
      <c r="I291" s="283">
        <v>2386203.12</v>
      </c>
    </row>
    <row r="292" spans="1:9" ht="26.25" customHeight="1" x14ac:dyDescent="0.25">
      <c r="A292" s="282" t="s">
        <v>1802</v>
      </c>
      <c r="B292" s="283"/>
      <c r="C292" s="283"/>
      <c r="D292" s="283">
        <v>0</v>
      </c>
      <c r="E292" s="283">
        <v>0</v>
      </c>
      <c r="F292" s="283">
        <v>0</v>
      </c>
      <c r="G292" s="283">
        <v>0</v>
      </c>
      <c r="H292" s="283">
        <v>0</v>
      </c>
      <c r="I292" s="283">
        <v>0</v>
      </c>
    </row>
    <row r="293" spans="1:9" ht="26.25" customHeight="1" x14ac:dyDescent="0.25">
      <c r="A293" s="282" t="s">
        <v>249</v>
      </c>
      <c r="B293" s="283"/>
      <c r="C293" s="283"/>
      <c r="D293" s="283">
        <v>1235033.4300000002</v>
      </c>
      <c r="E293" s="283">
        <v>1190012.54</v>
      </c>
      <c r="F293" s="283">
        <v>117744.22</v>
      </c>
      <c r="G293" s="283">
        <v>149848.87</v>
      </c>
      <c r="H293" s="283">
        <v>1352777.6500000001</v>
      </c>
      <c r="I293" s="283">
        <v>1339861.4100000001</v>
      </c>
    </row>
    <row r="294" spans="1:9" ht="26.25" customHeight="1" x14ac:dyDescent="0.25">
      <c r="A294" s="282" t="s">
        <v>250</v>
      </c>
      <c r="B294" s="283"/>
      <c r="C294" s="283"/>
      <c r="D294" s="283">
        <v>2420650.56</v>
      </c>
      <c r="E294" s="283">
        <v>2458069.29</v>
      </c>
      <c r="F294" s="283">
        <v>231052.32</v>
      </c>
      <c r="G294" s="283">
        <v>307860.28999999998</v>
      </c>
      <c r="H294" s="283">
        <v>2651702.88</v>
      </c>
      <c r="I294" s="283">
        <v>2765929.58</v>
      </c>
    </row>
    <row r="295" spans="1:9" ht="26.25" customHeight="1" x14ac:dyDescent="0.25">
      <c r="A295" s="282" t="s">
        <v>251</v>
      </c>
      <c r="B295" s="283"/>
      <c r="C295" s="283"/>
      <c r="D295" s="283">
        <v>1177990.81</v>
      </c>
      <c r="E295" s="283">
        <v>1189279.17</v>
      </c>
      <c r="F295" s="283">
        <v>116056.9</v>
      </c>
      <c r="G295" s="283">
        <v>166716.76999999999</v>
      </c>
      <c r="H295" s="283">
        <v>1294047.71</v>
      </c>
      <c r="I295" s="283">
        <v>1355995.94</v>
      </c>
    </row>
    <row r="296" spans="1:9" ht="26.25" customHeight="1" x14ac:dyDescent="0.25">
      <c r="A296" s="282" t="s">
        <v>252</v>
      </c>
      <c r="B296" s="283"/>
      <c r="C296" s="283"/>
      <c r="D296" s="283">
        <v>1216771.6100000001</v>
      </c>
      <c r="E296" s="283">
        <v>1150998.69</v>
      </c>
      <c r="F296" s="283">
        <v>116141.47</v>
      </c>
      <c r="G296" s="283">
        <v>162646.23000000001</v>
      </c>
      <c r="H296" s="283">
        <v>1332913.08</v>
      </c>
      <c r="I296" s="283">
        <v>1313644.92</v>
      </c>
    </row>
    <row r="297" spans="1:9" ht="26.25" customHeight="1" x14ac:dyDescent="0.25">
      <c r="A297" s="282" t="s">
        <v>1803</v>
      </c>
      <c r="B297" s="283">
        <v>0</v>
      </c>
      <c r="C297" s="283">
        <v>0</v>
      </c>
      <c r="D297" s="283"/>
      <c r="E297" s="283"/>
      <c r="F297" s="283">
        <v>0</v>
      </c>
      <c r="G297" s="283">
        <v>0</v>
      </c>
      <c r="H297" s="283">
        <v>0</v>
      </c>
      <c r="I297" s="283">
        <v>0</v>
      </c>
    </row>
    <row r="298" spans="1:9" ht="26.25" customHeight="1" x14ac:dyDescent="0.25">
      <c r="A298" s="282" t="s">
        <v>253</v>
      </c>
      <c r="B298" s="283"/>
      <c r="C298" s="283"/>
      <c r="D298" s="283">
        <v>1220976.55</v>
      </c>
      <c r="E298" s="283">
        <v>1174247.07</v>
      </c>
      <c r="F298" s="283">
        <v>116542.85</v>
      </c>
      <c r="G298" s="283">
        <v>160956.46</v>
      </c>
      <c r="H298" s="283">
        <v>1337519.4000000001</v>
      </c>
      <c r="I298" s="283">
        <v>1335203.53</v>
      </c>
    </row>
    <row r="299" spans="1:9" ht="26.25" customHeight="1" x14ac:dyDescent="0.25">
      <c r="A299" s="282" t="s">
        <v>254</v>
      </c>
      <c r="B299" s="283"/>
      <c r="C299" s="283"/>
      <c r="D299" s="283">
        <v>1207362.8999999999</v>
      </c>
      <c r="E299" s="283">
        <v>1195653.0900000001</v>
      </c>
      <c r="F299" s="283">
        <v>115459.15</v>
      </c>
      <c r="G299" s="283">
        <v>148501.07999999999</v>
      </c>
      <c r="H299" s="283">
        <v>1322822.0499999998</v>
      </c>
      <c r="I299" s="283">
        <v>1344154.1700000002</v>
      </c>
    </row>
    <row r="300" spans="1:9" ht="26.25" customHeight="1" x14ac:dyDescent="0.25">
      <c r="A300" s="282" t="s">
        <v>255</v>
      </c>
      <c r="B300" s="283"/>
      <c r="C300" s="283"/>
      <c r="D300" s="283">
        <v>2410297.44</v>
      </c>
      <c r="E300" s="283">
        <v>2271933.4500000002</v>
      </c>
      <c r="F300" s="283">
        <v>231182.82</v>
      </c>
      <c r="G300" s="283">
        <v>295174.78000000003</v>
      </c>
      <c r="H300" s="283">
        <v>2641480.2599999998</v>
      </c>
      <c r="I300" s="283">
        <v>2567108.2300000004</v>
      </c>
    </row>
    <row r="301" spans="1:9" ht="26.25" customHeight="1" x14ac:dyDescent="0.25">
      <c r="A301" s="282" t="s">
        <v>1804</v>
      </c>
      <c r="B301" s="283"/>
      <c r="C301" s="283"/>
      <c r="D301" s="283">
        <v>0</v>
      </c>
      <c r="E301" s="283">
        <v>0</v>
      </c>
      <c r="F301" s="283">
        <v>0</v>
      </c>
      <c r="G301" s="283">
        <v>0</v>
      </c>
      <c r="H301" s="283">
        <v>0</v>
      </c>
      <c r="I301" s="283">
        <v>0</v>
      </c>
    </row>
    <row r="302" spans="1:9" ht="26.25" customHeight="1" x14ac:dyDescent="0.25">
      <c r="A302" s="282" t="s">
        <v>1805</v>
      </c>
      <c r="B302" s="283"/>
      <c r="C302" s="283"/>
      <c r="D302" s="283">
        <v>0</v>
      </c>
      <c r="E302" s="283">
        <v>0</v>
      </c>
      <c r="F302" s="283">
        <v>0</v>
      </c>
      <c r="G302" s="283">
        <v>0</v>
      </c>
      <c r="H302" s="283">
        <v>0</v>
      </c>
      <c r="I302" s="283">
        <v>0</v>
      </c>
    </row>
    <row r="303" spans="1:9" ht="26.25" customHeight="1" x14ac:dyDescent="0.25">
      <c r="A303" s="282" t="s">
        <v>1806</v>
      </c>
      <c r="B303" s="283"/>
      <c r="C303" s="283"/>
      <c r="D303" s="283">
        <v>0</v>
      </c>
      <c r="E303" s="283">
        <v>0</v>
      </c>
      <c r="F303" s="283">
        <v>0</v>
      </c>
      <c r="G303" s="283">
        <v>0</v>
      </c>
      <c r="H303" s="283">
        <v>0</v>
      </c>
      <c r="I303" s="283">
        <v>0</v>
      </c>
    </row>
    <row r="304" spans="1:9" ht="26.25" customHeight="1" x14ac:dyDescent="0.25">
      <c r="A304" s="282" t="s">
        <v>238</v>
      </c>
      <c r="B304" s="283"/>
      <c r="C304" s="283"/>
      <c r="D304" s="283">
        <v>1809853.6099999996</v>
      </c>
      <c r="E304" s="283">
        <v>1701600.4199999997</v>
      </c>
      <c r="F304" s="283">
        <v>173328</v>
      </c>
      <c r="G304" s="283">
        <v>258300.38</v>
      </c>
      <c r="H304" s="283">
        <v>1983181.6099999996</v>
      </c>
      <c r="I304" s="283">
        <v>1959900.7999999998</v>
      </c>
    </row>
    <row r="305" spans="1:9" ht="26.25" customHeight="1" x14ac:dyDescent="0.25">
      <c r="A305" s="282" t="s">
        <v>256</v>
      </c>
      <c r="B305" s="283"/>
      <c r="C305" s="283"/>
      <c r="D305" s="283">
        <v>1532693.1900000004</v>
      </c>
      <c r="E305" s="283">
        <v>1462832.5999999996</v>
      </c>
      <c r="F305" s="283">
        <v>146778.04</v>
      </c>
      <c r="G305" s="283">
        <v>175995.45</v>
      </c>
      <c r="H305" s="283">
        <v>1679471.2300000004</v>
      </c>
      <c r="I305" s="283">
        <v>1638828.0499999996</v>
      </c>
    </row>
    <row r="306" spans="1:9" ht="26.25" customHeight="1" x14ac:dyDescent="0.25">
      <c r="A306" s="282" t="s">
        <v>257</v>
      </c>
      <c r="B306" s="283"/>
      <c r="C306" s="283"/>
      <c r="D306" s="283">
        <v>1547394.05</v>
      </c>
      <c r="E306" s="283">
        <v>1518061.5599999998</v>
      </c>
      <c r="F306" s="283">
        <v>148192.47</v>
      </c>
      <c r="G306" s="283">
        <v>205982.72</v>
      </c>
      <c r="H306" s="283">
        <v>1695586.52</v>
      </c>
      <c r="I306" s="283">
        <v>1724044.2799999998</v>
      </c>
    </row>
    <row r="307" spans="1:9" ht="26.25" customHeight="1" x14ac:dyDescent="0.25">
      <c r="A307" s="282" t="s">
        <v>258</v>
      </c>
      <c r="B307" s="283"/>
      <c r="C307" s="283"/>
      <c r="D307" s="283">
        <v>2429581.5399999996</v>
      </c>
      <c r="E307" s="283">
        <v>2362873.5099999998</v>
      </c>
      <c r="F307" s="283">
        <v>231904.78</v>
      </c>
      <c r="G307" s="283">
        <v>307517.48</v>
      </c>
      <c r="H307" s="283">
        <v>2661486.3199999994</v>
      </c>
      <c r="I307" s="283">
        <v>2670390.9899999998</v>
      </c>
    </row>
    <row r="308" spans="1:9" ht="26.25" customHeight="1" x14ac:dyDescent="0.25">
      <c r="A308" s="282" t="s">
        <v>239</v>
      </c>
      <c r="B308" s="283"/>
      <c r="C308" s="283"/>
      <c r="D308" s="283">
        <v>2126621.46</v>
      </c>
      <c r="E308" s="283">
        <v>2131017.7799999998</v>
      </c>
      <c r="F308" s="283">
        <v>204910.91</v>
      </c>
      <c r="G308" s="283">
        <v>255333.26</v>
      </c>
      <c r="H308" s="283">
        <v>2331532.37</v>
      </c>
      <c r="I308" s="283">
        <v>2386351.04</v>
      </c>
    </row>
    <row r="309" spans="1:9" ht="26.25" customHeight="1" x14ac:dyDescent="0.25">
      <c r="A309" s="282" t="s">
        <v>259</v>
      </c>
      <c r="B309" s="283"/>
      <c r="C309" s="283"/>
      <c r="D309" s="283">
        <v>3804060.9499999997</v>
      </c>
      <c r="E309" s="283">
        <v>3675927.52</v>
      </c>
      <c r="F309" s="283">
        <v>369622.53</v>
      </c>
      <c r="G309" s="283">
        <v>489363.92</v>
      </c>
      <c r="H309" s="283">
        <v>4173683.4799999995</v>
      </c>
      <c r="I309" s="283">
        <v>4165291.44</v>
      </c>
    </row>
    <row r="310" spans="1:9" ht="26.25" customHeight="1" x14ac:dyDescent="0.25">
      <c r="A310" s="282" t="s">
        <v>266</v>
      </c>
      <c r="B310" s="283"/>
      <c r="C310" s="283"/>
      <c r="D310" s="283">
        <v>44423.719999999994</v>
      </c>
      <c r="E310" s="283">
        <v>128548.01</v>
      </c>
      <c r="F310" s="283">
        <v>169205.8</v>
      </c>
      <c r="G310" s="283">
        <v>61872.079999999994</v>
      </c>
      <c r="H310" s="283">
        <v>213629.52</v>
      </c>
      <c r="I310" s="283">
        <v>190420.09</v>
      </c>
    </row>
    <row r="311" spans="1:9" ht="26.25" customHeight="1" x14ac:dyDescent="0.25">
      <c r="A311" s="282" t="s">
        <v>267</v>
      </c>
      <c r="B311" s="283"/>
      <c r="C311" s="283"/>
      <c r="D311" s="283">
        <v>125559.60000000003</v>
      </c>
      <c r="E311" s="283">
        <v>145612.57</v>
      </c>
      <c r="F311" s="283">
        <v>93932.68</v>
      </c>
      <c r="G311" s="283">
        <v>70128.420000000013</v>
      </c>
      <c r="H311" s="283">
        <v>219492.28000000003</v>
      </c>
      <c r="I311" s="283">
        <v>215740.99000000002</v>
      </c>
    </row>
    <row r="312" spans="1:9" ht="26.25" customHeight="1" x14ac:dyDescent="0.25">
      <c r="A312" s="286" t="s">
        <v>268</v>
      </c>
      <c r="B312" s="283"/>
      <c r="C312" s="283"/>
      <c r="D312" s="283">
        <v>40213.360000000015</v>
      </c>
      <c r="E312" s="283">
        <v>37766.78</v>
      </c>
      <c r="F312" s="283">
        <v>3655.76</v>
      </c>
      <c r="G312" s="283">
        <v>3585.27</v>
      </c>
      <c r="H312" s="283">
        <v>43869.120000000017</v>
      </c>
      <c r="I312" s="283">
        <v>41352.049999999996</v>
      </c>
    </row>
    <row r="313" spans="1:9" ht="26.25" customHeight="1" x14ac:dyDescent="0.25">
      <c r="A313" s="282" t="s">
        <v>260</v>
      </c>
      <c r="B313" s="283"/>
      <c r="C313" s="283"/>
      <c r="D313" s="283">
        <v>13170.66</v>
      </c>
      <c r="E313" s="283">
        <v>116607.9</v>
      </c>
      <c r="F313" s="283">
        <v>199822.38</v>
      </c>
      <c r="G313" s="283">
        <v>59524.420000000006</v>
      </c>
      <c r="H313" s="283">
        <v>212993.04</v>
      </c>
      <c r="I313" s="283">
        <v>176132.32</v>
      </c>
    </row>
    <row r="314" spans="1:9" ht="26.25" customHeight="1" x14ac:dyDescent="0.25">
      <c r="A314" s="282" t="s">
        <v>261</v>
      </c>
      <c r="B314" s="283">
        <v>686914.24</v>
      </c>
      <c r="C314" s="283">
        <v>646431.09000000008</v>
      </c>
      <c r="D314" s="283"/>
      <c r="E314" s="283"/>
      <c r="F314" s="283">
        <v>69907.92</v>
      </c>
      <c r="G314" s="283">
        <v>75436.100000000006</v>
      </c>
      <c r="H314" s="283">
        <v>756822.16</v>
      </c>
      <c r="I314" s="283">
        <v>721867.19000000006</v>
      </c>
    </row>
    <row r="315" spans="1:9" ht="26.25" customHeight="1" x14ac:dyDescent="0.25">
      <c r="A315" s="282" t="s">
        <v>262</v>
      </c>
      <c r="B315" s="283"/>
      <c r="C315" s="283"/>
      <c r="D315" s="283">
        <v>118681.96999999999</v>
      </c>
      <c r="E315" s="283">
        <v>131486.19</v>
      </c>
      <c r="F315" s="283">
        <v>93138.59</v>
      </c>
      <c r="G315" s="283">
        <v>71294.459999999992</v>
      </c>
      <c r="H315" s="283">
        <v>211820.56</v>
      </c>
      <c r="I315" s="283">
        <v>202780.65</v>
      </c>
    </row>
    <row r="316" spans="1:9" ht="26.25" customHeight="1" x14ac:dyDescent="0.25">
      <c r="A316" s="282" t="s">
        <v>263</v>
      </c>
      <c r="B316" s="283"/>
      <c r="C316" s="283"/>
      <c r="D316" s="283">
        <v>3531.7100000000137</v>
      </c>
      <c r="E316" s="283">
        <v>129129.09999999999</v>
      </c>
      <c r="F316" s="283">
        <v>214855.01</v>
      </c>
      <c r="G316" s="283">
        <v>65158.830000000009</v>
      </c>
      <c r="H316" s="283">
        <v>218386.72000000003</v>
      </c>
      <c r="I316" s="283">
        <v>194287.93</v>
      </c>
    </row>
    <row r="317" spans="1:9" ht="26.25" customHeight="1" x14ac:dyDescent="0.25">
      <c r="A317" s="282" t="s">
        <v>264</v>
      </c>
      <c r="B317" s="283"/>
      <c r="C317" s="283"/>
      <c r="D317" s="283">
        <v>124486.58999999997</v>
      </c>
      <c r="E317" s="283">
        <v>147955.66</v>
      </c>
      <c r="F317" s="283">
        <v>90590.61</v>
      </c>
      <c r="G317" s="283">
        <v>75359.26999999999</v>
      </c>
      <c r="H317" s="283">
        <v>215077.19999999995</v>
      </c>
      <c r="I317" s="283">
        <v>223314.93</v>
      </c>
    </row>
    <row r="318" spans="1:9" ht="26.25" customHeight="1" x14ac:dyDescent="0.25">
      <c r="A318" s="282" t="s">
        <v>265</v>
      </c>
      <c r="B318" s="283"/>
      <c r="C318" s="283"/>
      <c r="D318" s="283">
        <v>1137963.97</v>
      </c>
      <c r="E318" s="283">
        <v>1113631.53</v>
      </c>
      <c r="F318" s="283">
        <v>116145.82</v>
      </c>
      <c r="G318" s="283">
        <v>135689.20000000001</v>
      </c>
      <c r="H318" s="283">
        <v>1254109.79</v>
      </c>
      <c r="I318" s="283">
        <v>1249320.73</v>
      </c>
    </row>
    <row r="319" spans="1:9" ht="26.25" customHeight="1" x14ac:dyDescent="0.25">
      <c r="A319" s="282" t="s">
        <v>269</v>
      </c>
      <c r="B319" s="283"/>
      <c r="C319" s="283"/>
      <c r="D319" s="283">
        <v>1860037.5200000005</v>
      </c>
      <c r="E319" s="283">
        <v>1790180.97</v>
      </c>
      <c r="F319" s="283">
        <v>192799.32</v>
      </c>
      <c r="G319" s="283">
        <v>206495.34</v>
      </c>
      <c r="H319" s="283">
        <v>2052836.8400000005</v>
      </c>
      <c r="I319" s="283">
        <v>1996676.31</v>
      </c>
    </row>
    <row r="320" spans="1:9" ht="26.25" customHeight="1" x14ac:dyDescent="0.25">
      <c r="A320" s="282" t="s">
        <v>905</v>
      </c>
      <c r="B320" s="283"/>
      <c r="C320" s="283"/>
      <c r="D320" s="283">
        <v>0</v>
      </c>
      <c r="E320" s="283">
        <v>2096.34</v>
      </c>
      <c r="F320" s="283">
        <v>0</v>
      </c>
      <c r="G320" s="283">
        <v>328.11</v>
      </c>
      <c r="H320" s="283">
        <v>0</v>
      </c>
      <c r="I320" s="283">
        <v>2424.4500000000003</v>
      </c>
    </row>
    <row r="321" spans="1:9" ht="26.25" customHeight="1" x14ac:dyDescent="0.25">
      <c r="A321" s="282" t="s">
        <v>270</v>
      </c>
      <c r="B321" s="283"/>
      <c r="C321" s="283"/>
      <c r="D321" s="283">
        <v>2660743.0300000003</v>
      </c>
      <c r="E321" s="283">
        <v>2725838.81</v>
      </c>
      <c r="F321" s="283">
        <v>267279</v>
      </c>
      <c r="G321" s="283">
        <v>297335.82</v>
      </c>
      <c r="H321" s="283">
        <v>2928022.0300000003</v>
      </c>
      <c r="I321" s="283">
        <v>3023174.63</v>
      </c>
    </row>
    <row r="322" spans="1:9" ht="26.25" customHeight="1" x14ac:dyDescent="0.25">
      <c r="A322" s="286" t="s">
        <v>910</v>
      </c>
      <c r="B322" s="283">
        <v>0</v>
      </c>
      <c r="C322" s="283">
        <v>0</v>
      </c>
      <c r="D322" s="283"/>
      <c r="E322" s="283"/>
      <c r="F322" s="283">
        <v>0</v>
      </c>
      <c r="G322" s="283">
        <v>0</v>
      </c>
      <c r="H322" s="283">
        <v>0</v>
      </c>
      <c r="I322" s="283">
        <v>0</v>
      </c>
    </row>
    <row r="323" spans="1:9" ht="26.25" customHeight="1" x14ac:dyDescent="0.25">
      <c r="A323" s="282" t="s">
        <v>272</v>
      </c>
      <c r="B323" s="283"/>
      <c r="C323" s="283"/>
      <c r="D323" s="283">
        <v>2916820.45</v>
      </c>
      <c r="E323" s="283">
        <v>3177940.12</v>
      </c>
      <c r="F323" s="283">
        <v>52252.09</v>
      </c>
      <c r="G323" s="283">
        <v>52926</v>
      </c>
      <c r="H323" s="283">
        <v>2969072.54</v>
      </c>
      <c r="I323" s="283">
        <v>3230866.12</v>
      </c>
    </row>
    <row r="324" spans="1:9" ht="26.25" customHeight="1" x14ac:dyDescent="0.25">
      <c r="A324" s="282" t="s">
        <v>912</v>
      </c>
      <c r="B324" s="283"/>
      <c r="C324" s="283"/>
      <c r="D324" s="283">
        <v>-10649.66</v>
      </c>
      <c r="E324" s="283">
        <v>2355.9699999999998</v>
      </c>
      <c r="F324" s="283">
        <v>0</v>
      </c>
      <c r="G324" s="283">
        <v>33.46</v>
      </c>
      <c r="H324" s="283">
        <v>-10649.66</v>
      </c>
      <c r="I324" s="283">
        <v>2389.4299999999998</v>
      </c>
    </row>
    <row r="325" spans="1:9" ht="26.25" customHeight="1" x14ac:dyDescent="0.25">
      <c r="A325" s="282" t="s">
        <v>273</v>
      </c>
      <c r="B325" s="283"/>
      <c r="C325" s="283"/>
      <c r="D325" s="283">
        <v>3507598.9099999992</v>
      </c>
      <c r="E325" s="283">
        <v>3453038.0999999996</v>
      </c>
      <c r="F325" s="283">
        <v>357290.81</v>
      </c>
      <c r="G325" s="283">
        <v>422929.14</v>
      </c>
      <c r="H325" s="283">
        <v>3864889.7199999993</v>
      </c>
      <c r="I325" s="283">
        <v>3875967.2399999998</v>
      </c>
    </row>
    <row r="326" spans="1:9" ht="26.25" customHeight="1" x14ac:dyDescent="0.25">
      <c r="A326" s="282" t="s">
        <v>274</v>
      </c>
      <c r="B326" s="283"/>
      <c r="C326" s="283"/>
      <c r="D326" s="283">
        <v>941367.90000000014</v>
      </c>
      <c r="E326" s="283">
        <v>898791.82000000007</v>
      </c>
      <c r="F326" s="283">
        <v>95677.08</v>
      </c>
      <c r="G326" s="283">
        <v>110044.46</v>
      </c>
      <c r="H326" s="283">
        <v>1037044.9800000001</v>
      </c>
      <c r="I326" s="283">
        <v>1008836.28</v>
      </c>
    </row>
    <row r="327" spans="1:9" ht="26.25" customHeight="1" x14ac:dyDescent="0.25">
      <c r="A327" s="282" t="s">
        <v>275</v>
      </c>
      <c r="B327" s="283"/>
      <c r="C327" s="283"/>
      <c r="D327" s="283">
        <v>1693108.9999999998</v>
      </c>
      <c r="E327" s="283">
        <v>1862129.62</v>
      </c>
      <c r="F327" s="283">
        <v>4719.38</v>
      </c>
      <c r="G327" s="283">
        <v>20817.18</v>
      </c>
      <c r="H327" s="283">
        <v>1697828.3799999997</v>
      </c>
      <c r="I327" s="283">
        <v>1882946.8</v>
      </c>
    </row>
    <row r="328" spans="1:9" ht="26.25" customHeight="1" x14ac:dyDescent="0.25">
      <c r="A328" s="282" t="s">
        <v>916</v>
      </c>
      <c r="B328" s="283"/>
      <c r="C328" s="283"/>
      <c r="D328" s="283">
        <v>0</v>
      </c>
      <c r="E328" s="283">
        <v>13.46</v>
      </c>
      <c r="F328" s="283">
        <v>0</v>
      </c>
      <c r="G328" s="283">
        <v>0.67</v>
      </c>
      <c r="H328" s="283">
        <v>0</v>
      </c>
      <c r="I328" s="283">
        <v>14.13</v>
      </c>
    </row>
    <row r="329" spans="1:9" ht="26.25" customHeight="1" x14ac:dyDescent="0.25">
      <c r="A329" s="282" t="s">
        <v>917</v>
      </c>
      <c r="B329" s="283"/>
      <c r="C329" s="283"/>
      <c r="D329" s="283">
        <v>0</v>
      </c>
      <c r="E329" s="283">
        <v>0</v>
      </c>
      <c r="F329" s="283">
        <v>0</v>
      </c>
      <c r="G329" s="283">
        <v>0</v>
      </c>
      <c r="H329" s="283">
        <v>0</v>
      </c>
      <c r="I329" s="283">
        <v>0</v>
      </c>
    </row>
    <row r="330" spans="1:9" ht="26.25" customHeight="1" x14ac:dyDescent="0.25">
      <c r="A330" s="282" t="s">
        <v>276</v>
      </c>
      <c r="B330" s="283"/>
      <c r="C330" s="283"/>
      <c r="D330" s="283">
        <v>2138983.65</v>
      </c>
      <c r="E330" s="283">
        <v>2110703.9300000002</v>
      </c>
      <c r="F330" s="283">
        <v>218275.39</v>
      </c>
      <c r="G330" s="283">
        <v>274440.45</v>
      </c>
      <c r="H330" s="283">
        <v>2357259.04</v>
      </c>
      <c r="I330" s="283">
        <v>2385144.3800000004</v>
      </c>
    </row>
    <row r="331" spans="1:9" ht="26.25" customHeight="1" x14ac:dyDescent="0.25">
      <c r="A331" s="282" t="s">
        <v>271</v>
      </c>
      <c r="B331" s="283"/>
      <c r="C331" s="283"/>
      <c r="D331" s="283">
        <v>6693596.9099999992</v>
      </c>
      <c r="E331" s="283">
        <v>6466834.9399999985</v>
      </c>
      <c r="F331" s="283">
        <v>655893.52</v>
      </c>
      <c r="G331" s="283">
        <v>834397.28</v>
      </c>
      <c r="H331" s="283">
        <v>7349490.4299999997</v>
      </c>
      <c r="I331" s="283">
        <v>7301232.2199999988</v>
      </c>
    </row>
    <row r="332" spans="1:9" ht="26.25" customHeight="1" x14ac:dyDescent="0.25">
      <c r="A332" s="282" t="s">
        <v>914</v>
      </c>
      <c r="B332" s="283"/>
      <c r="C332" s="283"/>
      <c r="D332" s="283">
        <v>0</v>
      </c>
      <c r="E332" s="283">
        <v>0</v>
      </c>
      <c r="F332" s="283">
        <v>0</v>
      </c>
      <c r="G332" s="283">
        <v>0</v>
      </c>
      <c r="H332" s="283">
        <v>0</v>
      </c>
      <c r="I332" s="283">
        <v>0</v>
      </c>
    </row>
    <row r="333" spans="1:9" ht="26.25" customHeight="1" x14ac:dyDescent="0.25">
      <c r="A333" s="286" t="s">
        <v>1807</v>
      </c>
      <c r="B333" s="283"/>
      <c r="C333" s="283"/>
      <c r="D333" s="283">
        <v>0</v>
      </c>
      <c r="E333" s="283">
        <v>0</v>
      </c>
      <c r="F333" s="283">
        <v>0</v>
      </c>
      <c r="G333" s="283">
        <v>0</v>
      </c>
      <c r="H333" s="283">
        <v>0</v>
      </c>
      <c r="I333" s="283">
        <v>0</v>
      </c>
    </row>
    <row r="334" spans="1:9" ht="26.25" customHeight="1" x14ac:dyDescent="0.25">
      <c r="A334" s="286" t="s">
        <v>1808</v>
      </c>
      <c r="B334" s="283"/>
      <c r="C334" s="283"/>
      <c r="D334" s="283">
        <v>0</v>
      </c>
      <c r="E334" s="283">
        <v>0</v>
      </c>
      <c r="F334" s="283">
        <v>0</v>
      </c>
      <c r="G334" s="283">
        <v>0</v>
      </c>
      <c r="H334" s="283">
        <v>0</v>
      </c>
      <c r="I334" s="283">
        <v>0</v>
      </c>
    </row>
    <row r="335" spans="1:9" ht="26.25" customHeight="1" x14ac:dyDescent="0.25">
      <c r="A335" s="282" t="s">
        <v>277</v>
      </c>
      <c r="B335" s="283"/>
      <c r="C335" s="283"/>
      <c r="D335" s="283">
        <v>1856381.4299999997</v>
      </c>
      <c r="E335" s="283">
        <v>1824106.8099999998</v>
      </c>
      <c r="F335" s="283">
        <v>177782.61</v>
      </c>
      <c r="G335" s="283">
        <v>229001.21</v>
      </c>
      <c r="H335" s="283">
        <v>2034164.0399999996</v>
      </c>
      <c r="I335" s="283">
        <v>2053108.0199999998</v>
      </c>
    </row>
    <row r="336" spans="1:9" ht="26.25" customHeight="1" x14ac:dyDescent="0.25">
      <c r="A336" s="282" t="s">
        <v>278</v>
      </c>
      <c r="B336" s="283"/>
      <c r="C336" s="283"/>
      <c r="D336" s="283">
        <v>139010.72</v>
      </c>
      <c r="E336" s="283">
        <v>309601.99000000005</v>
      </c>
      <c r="F336" s="283">
        <v>458493.97</v>
      </c>
      <c r="G336" s="283">
        <v>223516.25000000003</v>
      </c>
      <c r="H336" s="283">
        <v>597504.68999999994</v>
      </c>
      <c r="I336" s="283">
        <v>533118.24000000011</v>
      </c>
    </row>
    <row r="337" spans="1:9" ht="26.25" customHeight="1" x14ac:dyDescent="0.25">
      <c r="A337" s="282" t="s">
        <v>280</v>
      </c>
      <c r="B337" s="283"/>
      <c r="C337" s="283"/>
      <c r="D337" s="283">
        <v>420910.92000000004</v>
      </c>
      <c r="E337" s="283">
        <v>585952.52</v>
      </c>
      <c r="F337" s="283">
        <v>556552.77</v>
      </c>
      <c r="G337" s="283">
        <v>373435.9</v>
      </c>
      <c r="H337" s="283">
        <v>977463.69000000006</v>
      </c>
      <c r="I337" s="283">
        <v>959388.42</v>
      </c>
    </row>
    <row r="338" spans="1:9" ht="26.25" customHeight="1" x14ac:dyDescent="0.25">
      <c r="A338" s="282" t="s">
        <v>281</v>
      </c>
      <c r="B338" s="283"/>
      <c r="C338" s="283"/>
      <c r="D338" s="283">
        <v>844823.63</v>
      </c>
      <c r="E338" s="283">
        <v>1038604.27</v>
      </c>
      <c r="F338" s="283">
        <v>838675.12999999989</v>
      </c>
      <c r="G338" s="283">
        <v>611043.28</v>
      </c>
      <c r="H338" s="283">
        <v>1683498.7599999998</v>
      </c>
      <c r="I338" s="283">
        <v>1649647.55</v>
      </c>
    </row>
    <row r="339" spans="1:9" ht="26.25" customHeight="1" x14ac:dyDescent="0.25">
      <c r="A339" s="282" t="s">
        <v>285</v>
      </c>
      <c r="B339" s="283"/>
      <c r="C339" s="283"/>
      <c r="D339" s="283">
        <v>346496.48000000004</v>
      </c>
      <c r="E339" s="283">
        <v>472016.65999999992</v>
      </c>
      <c r="F339" s="283">
        <v>447542.83999999997</v>
      </c>
      <c r="G339" s="283">
        <v>267539.23</v>
      </c>
      <c r="H339" s="283">
        <v>794039.32000000007</v>
      </c>
      <c r="I339" s="283">
        <v>739555.8899999999</v>
      </c>
    </row>
    <row r="340" spans="1:9" ht="26.25" customHeight="1" x14ac:dyDescent="0.25">
      <c r="A340" s="282" t="s">
        <v>286</v>
      </c>
      <c r="B340" s="283"/>
      <c r="C340" s="283"/>
      <c r="D340" s="283">
        <v>380090.73</v>
      </c>
      <c r="E340" s="283">
        <v>504648.33999999997</v>
      </c>
      <c r="F340" s="283">
        <v>430090.63</v>
      </c>
      <c r="G340" s="283">
        <v>273221.75</v>
      </c>
      <c r="H340" s="283">
        <v>810181.36</v>
      </c>
      <c r="I340" s="283">
        <v>777870.09</v>
      </c>
    </row>
    <row r="341" spans="1:9" ht="26.25" customHeight="1" x14ac:dyDescent="0.25">
      <c r="A341" s="282" t="s">
        <v>287</v>
      </c>
      <c r="B341" s="283"/>
      <c r="C341" s="283"/>
      <c r="D341" s="283">
        <v>554767.35999999999</v>
      </c>
      <c r="E341" s="283">
        <v>822198.99</v>
      </c>
      <c r="F341" s="283">
        <v>766644.64</v>
      </c>
      <c r="G341" s="283">
        <v>469151.29</v>
      </c>
      <c r="H341" s="283">
        <v>1321412</v>
      </c>
      <c r="I341" s="283">
        <v>1291350.28</v>
      </c>
    </row>
    <row r="342" spans="1:9" ht="26.25" customHeight="1" x14ac:dyDescent="0.25">
      <c r="A342" s="282" t="s">
        <v>288</v>
      </c>
      <c r="B342" s="283"/>
      <c r="C342" s="283"/>
      <c r="D342" s="283">
        <v>501998.59999999992</v>
      </c>
      <c r="E342" s="283">
        <v>625282.02</v>
      </c>
      <c r="F342" s="283">
        <v>491895.44</v>
      </c>
      <c r="G342" s="283">
        <v>346350.31</v>
      </c>
      <c r="H342" s="283">
        <v>993894.03999999992</v>
      </c>
      <c r="I342" s="283">
        <v>971632.33000000007</v>
      </c>
    </row>
    <row r="343" spans="1:9" ht="26.25" customHeight="1" x14ac:dyDescent="0.25">
      <c r="A343" s="282" t="s">
        <v>282</v>
      </c>
      <c r="B343" s="283"/>
      <c r="C343" s="283"/>
      <c r="D343" s="283">
        <v>-28917.439999999981</v>
      </c>
      <c r="E343" s="283">
        <v>113936.61000000002</v>
      </c>
      <c r="F343" s="283">
        <v>232202.15000000002</v>
      </c>
      <c r="G343" s="283">
        <v>61458.42</v>
      </c>
      <c r="H343" s="283">
        <v>203284.71000000005</v>
      </c>
      <c r="I343" s="283">
        <v>175395.03000000003</v>
      </c>
    </row>
    <row r="344" spans="1:9" ht="26.25" customHeight="1" x14ac:dyDescent="0.25">
      <c r="A344" s="286" t="s">
        <v>1497</v>
      </c>
      <c r="B344" s="283"/>
      <c r="C344" s="283"/>
      <c r="D344" s="283">
        <v>-73124.14</v>
      </c>
      <c r="E344" s="283">
        <v>0</v>
      </c>
      <c r="F344" s="283">
        <v>0</v>
      </c>
      <c r="G344" s="283">
        <v>0</v>
      </c>
      <c r="H344" s="283">
        <v>-73124.14</v>
      </c>
      <c r="I344" s="283">
        <v>0</v>
      </c>
    </row>
    <row r="345" spans="1:9" ht="26.25" customHeight="1" x14ac:dyDescent="0.25">
      <c r="A345" s="286" t="s">
        <v>283</v>
      </c>
      <c r="B345" s="283"/>
      <c r="C345" s="283"/>
      <c r="D345" s="283">
        <v>-25645.160000000014</v>
      </c>
      <c r="E345" s="283">
        <v>153455.96</v>
      </c>
      <c r="F345" s="283">
        <v>260574.96</v>
      </c>
      <c r="G345" s="283">
        <v>71892.76999999999</v>
      </c>
      <c r="H345" s="283">
        <v>234929.8</v>
      </c>
      <c r="I345" s="283">
        <v>225348.72999999998</v>
      </c>
    </row>
    <row r="346" spans="1:9" ht="26.25" customHeight="1" x14ac:dyDescent="0.25">
      <c r="A346" s="282" t="s">
        <v>284</v>
      </c>
      <c r="B346" s="283"/>
      <c r="C346" s="283"/>
      <c r="D346" s="283">
        <v>1149985.8100000003</v>
      </c>
      <c r="E346" s="283">
        <v>1755209.5099999998</v>
      </c>
      <c r="F346" s="283">
        <v>1411972.8</v>
      </c>
      <c r="G346" s="283">
        <v>1032204.55</v>
      </c>
      <c r="H346" s="283">
        <v>2561958.6100000003</v>
      </c>
      <c r="I346" s="283">
        <v>2787414.0599999996</v>
      </c>
    </row>
    <row r="347" spans="1:9" ht="26.25" customHeight="1" x14ac:dyDescent="0.25">
      <c r="A347" s="286" t="s">
        <v>1809</v>
      </c>
      <c r="B347" s="283"/>
      <c r="C347" s="283"/>
      <c r="D347" s="283">
        <v>0</v>
      </c>
      <c r="E347" s="283">
        <v>0</v>
      </c>
      <c r="F347" s="283">
        <v>0</v>
      </c>
      <c r="G347" s="283">
        <v>0</v>
      </c>
      <c r="H347" s="283">
        <v>0</v>
      </c>
      <c r="I347" s="283">
        <v>0</v>
      </c>
    </row>
    <row r="348" spans="1:9" ht="26.25" customHeight="1" x14ac:dyDescent="0.25">
      <c r="A348" s="286" t="s">
        <v>1810</v>
      </c>
      <c r="B348" s="283"/>
      <c r="C348" s="283"/>
      <c r="D348" s="283">
        <v>0</v>
      </c>
      <c r="E348" s="283">
        <v>0</v>
      </c>
      <c r="F348" s="283">
        <v>0</v>
      </c>
      <c r="G348" s="283">
        <v>0</v>
      </c>
      <c r="H348" s="283">
        <v>0</v>
      </c>
      <c r="I348" s="283">
        <v>0</v>
      </c>
    </row>
    <row r="349" spans="1:9" ht="26.25" customHeight="1" x14ac:dyDescent="0.25">
      <c r="A349" s="286" t="s">
        <v>1811</v>
      </c>
      <c r="B349" s="283"/>
      <c r="C349" s="283"/>
      <c r="D349" s="283">
        <v>0</v>
      </c>
      <c r="E349" s="283">
        <v>0</v>
      </c>
      <c r="F349" s="283">
        <v>0</v>
      </c>
      <c r="G349" s="283">
        <v>0</v>
      </c>
      <c r="H349" s="283">
        <v>0</v>
      </c>
      <c r="I349" s="283">
        <v>0</v>
      </c>
    </row>
    <row r="350" spans="1:9" ht="26.25" customHeight="1" x14ac:dyDescent="0.25">
      <c r="A350" s="282" t="s">
        <v>290</v>
      </c>
      <c r="B350" s="283"/>
      <c r="C350" s="283"/>
      <c r="D350" s="283">
        <v>82249.5</v>
      </c>
      <c r="E350" s="283">
        <v>80704.81</v>
      </c>
      <c r="F350" s="283">
        <v>7471.5</v>
      </c>
      <c r="G350" s="283">
        <v>8391.35</v>
      </c>
      <c r="H350" s="283">
        <v>89721</v>
      </c>
      <c r="I350" s="283">
        <v>89096.16</v>
      </c>
    </row>
    <row r="351" spans="1:9" ht="26.25" customHeight="1" x14ac:dyDescent="0.25">
      <c r="A351" s="286" t="s">
        <v>1812</v>
      </c>
      <c r="B351" s="283"/>
      <c r="C351" s="283"/>
      <c r="D351" s="283">
        <v>0</v>
      </c>
      <c r="E351" s="283">
        <v>0</v>
      </c>
      <c r="F351" s="283">
        <v>0</v>
      </c>
      <c r="G351" s="283">
        <v>0</v>
      </c>
      <c r="H351" s="283">
        <v>0</v>
      </c>
      <c r="I351" s="283">
        <v>0</v>
      </c>
    </row>
    <row r="352" spans="1:9" ht="26.25" customHeight="1" x14ac:dyDescent="0.25">
      <c r="A352" s="286" t="s">
        <v>1813</v>
      </c>
      <c r="B352" s="283"/>
      <c r="C352" s="283"/>
      <c r="D352" s="283">
        <v>0</v>
      </c>
      <c r="E352" s="283">
        <v>0</v>
      </c>
      <c r="F352" s="283">
        <v>0</v>
      </c>
      <c r="G352" s="283">
        <v>0</v>
      </c>
      <c r="H352" s="283">
        <v>0</v>
      </c>
      <c r="I352" s="283">
        <v>0</v>
      </c>
    </row>
    <row r="353" spans="1:9" ht="26.25" customHeight="1" x14ac:dyDescent="0.25">
      <c r="A353" s="286" t="s">
        <v>1814</v>
      </c>
      <c r="B353" s="283"/>
      <c r="C353" s="283"/>
      <c r="D353" s="283">
        <v>0</v>
      </c>
      <c r="E353" s="283">
        <v>0</v>
      </c>
      <c r="F353" s="283">
        <v>0</v>
      </c>
      <c r="G353" s="283">
        <v>0</v>
      </c>
      <c r="H353" s="283">
        <v>0</v>
      </c>
      <c r="I353" s="283">
        <v>0</v>
      </c>
    </row>
    <row r="354" spans="1:9" ht="26.25" customHeight="1" x14ac:dyDescent="0.25">
      <c r="A354" s="286" t="s">
        <v>1815</v>
      </c>
      <c r="B354" s="283"/>
      <c r="C354" s="283"/>
      <c r="D354" s="283">
        <v>0</v>
      </c>
      <c r="E354" s="283">
        <v>0</v>
      </c>
      <c r="F354" s="283">
        <v>0</v>
      </c>
      <c r="G354" s="283">
        <v>0</v>
      </c>
      <c r="H354" s="283">
        <v>0</v>
      </c>
      <c r="I354" s="283">
        <v>0</v>
      </c>
    </row>
    <row r="355" spans="1:9" ht="26.25" customHeight="1" x14ac:dyDescent="0.25">
      <c r="A355" s="286" t="s">
        <v>1816</v>
      </c>
      <c r="B355" s="283"/>
      <c r="C355" s="283"/>
      <c r="D355" s="283">
        <v>0</v>
      </c>
      <c r="E355" s="283">
        <v>0</v>
      </c>
      <c r="F355" s="283">
        <v>0</v>
      </c>
      <c r="G355" s="283">
        <v>0</v>
      </c>
      <c r="H355" s="283">
        <v>0</v>
      </c>
      <c r="I355" s="283">
        <v>0</v>
      </c>
    </row>
    <row r="356" spans="1:9" ht="26.25" customHeight="1" x14ac:dyDescent="0.25">
      <c r="A356" s="286" t="s">
        <v>1817</v>
      </c>
      <c r="B356" s="283"/>
      <c r="C356" s="283"/>
      <c r="D356" s="283">
        <v>0</v>
      </c>
      <c r="E356" s="283">
        <v>0</v>
      </c>
      <c r="F356" s="283">
        <v>0</v>
      </c>
      <c r="G356" s="283">
        <v>0</v>
      </c>
      <c r="H356" s="283">
        <v>0</v>
      </c>
      <c r="I356" s="283">
        <v>0</v>
      </c>
    </row>
    <row r="357" spans="1:9" ht="26.25" customHeight="1" x14ac:dyDescent="0.25">
      <c r="A357" s="286" t="s">
        <v>1818</v>
      </c>
      <c r="B357" s="283"/>
      <c r="C357" s="283"/>
      <c r="D357" s="283">
        <v>0</v>
      </c>
      <c r="E357" s="283">
        <v>0</v>
      </c>
      <c r="F357" s="283">
        <v>-44512.69</v>
      </c>
      <c r="G357" s="283">
        <v>0</v>
      </c>
      <c r="H357" s="283">
        <v>-44512.69</v>
      </c>
      <c r="I357" s="283">
        <v>0</v>
      </c>
    </row>
    <row r="358" spans="1:9" ht="26.25" customHeight="1" x14ac:dyDescent="0.25">
      <c r="A358" s="286" t="s">
        <v>1819</v>
      </c>
      <c r="B358" s="283"/>
      <c r="C358" s="283"/>
      <c r="D358" s="283">
        <v>0</v>
      </c>
      <c r="E358" s="283">
        <v>0</v>
      </c>
      <c r="F358" s="283">
        <v>0</v>
      </c>
      <c r="G358" s="283">
        <v>0</v>
      </c>
      <c r="H358" s="283">
        <v>0</v>
      </c>
      <c r="I358" s="283">
        <v>0</v>
      </c>
    </row>
    <row r="359" spans="1:9" ht="26.25" customHeight="1" x14ac:dyDescent="0.25">
      <c r="A359" s="282" t="s">
        <v>291</v>
      </c>
      <c r="B359" s="283"/>
      <c r="C359" s="283"/>
      <c r="D359" s="283">
        <v>58234.989999999991</v>
      </c>
      <c r="E359" s="283">
        <v>47868.14</v>
      </c>
      <c r="F359" s="283">
        <v>5294.09</v>
      </c>
      <c r="G359" s="283">
        <v>6085.71</v>
      </c>
      <c r="H359" s="283">
        <v>63529.079999999987</v>
      </c>
      <c r="I359" s="283">
        <v>53953.85</v>
      </c>
    </row>
    <row r="360" spans="1:9" ht="26.25" customHeight="1" x14ac:dyDescent="0.25">
      <c r="A360" s="282" t="s">
        <v>292</v>
      </c>
      <c r="B360" s="283"/>
      <c r="C360" s="283"/>
      <c r="D360" s="283">
        <v>38494.06</v>
      </c>
      <c r="E360" s="283">
        <v>12029.230000000001</v>
      </c>
      <c r="F360" s="283">
        <v>3499.46</v>
      </c>
      <c r="G360" s="283">
        <v>1130.6099999999999</v>
      </c>
      <c r="H360" s="283">
        <v>41993.52</v>
      </c>
      <c r="I360" s="283">
        <v>13159.840000000002</v>
      </c>
    </row>
    <row r="361" spans="1:9" ht="26.25" customHeight="1" x14ac:dyDescent="0.25">
      <c r="A361" s="286" t="s">
        <v>1820</v>
      </c>
      <c r="B361" s="283"/>
      <c r="C361" s="283"/>
      <c r="D361" s="283">
        <v>-5011.3999999999996</v>
      </c>
      <c r="E361" s="283">
        <v>0</v>
      </c>
      <c r="F361" s="283">
        <v>0</v>
      </c>
      <c r="G361" s="283">
        <v>0</v>
      </c>
      <c r="H361" s="283">
        <v>-5011.3999999999996</v>
      </c>
      <c r="I361" s="283">
        <v>0</v>
      </c>
    </row>
    <row r="362" spans="1:9" ht="26.25" customHeight="1" x14ac:dyDescent="0.25">
      <c r="A362" s="286" t="s">
        <v>289</v>
      </c>
      <c r="B362" s="283"/>
      <c r="C362" s="283"/>
      <c r="D362" s="283">
        <v>-139306.43000000008</v>
      </c>
      <c r="E362" s="283">
        <v>8558.3100000000013</v>
      </c>
      <c r="F362" s="283">
        <v>246603.06</v>
      </c>
      <c r="G362" s="283">
        <v>3810.4500000000003</v>
      </c>
      <c r="H362" s="283">
        <v>107296.62999999992</v>
      </c>
      <c r="I362" s="283">
        <v>12368.760000000002</v>
      </c>
    </row>
    <row r="363" spans="1:9" ht="26.25" customHeight="1" x14ac:dyDescent="0.25">
      <c r="A363" s="287" t="s">
        <v>1821</v>
      </c>
      <c r="B363" s="288">
        <v>141504309.13000003</v>
      </c>
      <c r="C363" s="288">
        <v>129894775.17999998</v>
      </c>
      <c r="D363" s="288">
        <v>414850283.38000005</v>
      </c>
      <c r="E363" s="288">
        <v>414848622.04999989</v>
      </c>
      <c r="F363" s="288">
        <v>66947257.399999969</v>
      </c>
      <c r="G363" s="288">
        <v>75448034.919999972</v>
      </c>
      <c r="H363" s="288">
        <v>623301849.91000009</v>
      </c>
      <c r="I363" s="288">
        <v>620191432.14999986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1"/>
  <sheetViews>
    <sheetView workbookViewId="0">
      <selection activeCell="EB284" sqref="EB284"/>
    </sheetView>
  </sheetViews>
  <sheetFormatPr defaultRowHeight="15" x14ac:dyDescent="0.25"/>
  <cols>
    <col min="1" max="1" width="31.85546875" customWidth="1"/>
  </cols>
  <sheetData>
    <row r="1" spans="1:9" ht="51.75" x14ac:dyDescent="0.25">
      <c r="A1" s="279"/>
      <c r="B1" s="279" t="s">
        <v>1822</v>
      </c>
      <c r="C1" s="279"/>
      <c r="D1" s="279"/>
      <c r="E1" s="279"/>
      <c r="F1" s="279"/>
      <c r="G1" s="279"/>
      <c r="H1" s="279"/>
      <c r="I1" s="279"/>
    </row>
    <row r="2" spans="1:9" ht="77.25" x14ac:dyDescent="0.25">
      <c r="A2" s="279"/>
      <c r="B2" s="280" t="s">
        <v>1741</v>
      </c>
      <c r="C2" s="280"/>
      <c r="D2" s="280"/>
      <c r="E2" s="280"/>
      <c r="F2" s="280" t="s">
        <v>1742</v>
      </c>
      <c r="G2" s="280" t="s">
        <v>1743</v>
      </c>
      <c r="H2" s="280" t="s">
        <v>1823</v>
      </c>
      <c r="I2" s="280" t="s">
        <v>1824</v>
      </c>
    </row>
    <row r="3" spans="1:9" ht="64.5" x14ac:dyDescent="0.25">
      <c r="A3" s="280" t="s">
        <v>1744</v>
      </c>
      <c r="B3" s="281" t="s">
        <v>1745</v>
      </c>
      <c r="C3" s="281" t="s">
        <v>1746</v>
      </c>
      <c r="D3" s="281" t="s">
        <v>1825</v>
      </c>
      <c r="E3" s="281" t="s">
        <v>1826</v>
      </c>
      <c r="F3" s="280"/>
      <c r="G3" s="280"/>
      <c r="H3" s="280"/>
      <c r="I3" s="280"/>
    </row>
    <row r="4" spans="1:9" x14ac:dyDescent="0.25">
      <c r="A4" s="282" t="s">
        <v>320</v>
      </c>
      <c r="B4" s="283">
        <v>345992.66</v>
      </c>
      <c r="C4" s="283">
        <v>433900.3</v>
      </c>
      <c r="D4" s="283">
        <v>360270.52</v>
      </c>
      <c r="E4" s="283">
        <v>3305.47</v>
      </c>
      <c r="F4" s="283">
        <v>345992.66</v>
      </c>
      <c r="G4" s="283">
        <v>433900.3</v>
      </c>
      <c r="H4" s="283">
        <v>360270.52</v>
      </c>
      <c r="I4" s="283">
        <v>3305.47</v>
      </c>
    </row>
    <row r="5" spans="1:9" x14ac:dyDescent="0.25">
      <c r="A5" s="282" t="s">
        <v>330</v>
      </c>
      <c r="B5" s="283">
        <v>459226.37</v>
      </c>
      <c r="C5" s="283">
        <v>594879.1</v>
      </c>
      <c r="D5" s="283">
        <v>752290.13</v>
      </c>
      <c r="E5" s="283">
        <v>3224.36</v>
      </c>
      <c r="F5" s="283">
        <v>459226.37</v>
      </c>
      <c r="G5" s="283">
        <v>594879.1</v>
      </c>
      <c r="H5" s="283">
        <v>752290.13</v>
      </c>
      <c r="I5" s="283">
        <v>3224.36</v>
      </c>
    </row>
    <row r="6" spans="1:9" x14ac:dyDescent="0.25">
      <c r="A6" s="282" t="s">
        <v>323</v>
      </c>
      <c r="B6" s="283">
        <v>468032.97</v>
      </c>
      <c r="C6" s="283">
        <v>595271.59</v>
      </c>
      <c r="D6" s="283">
        <v>732894.37</v>
      </c>
      <c r="E6" s="283">
        <v>87.14</v>
      </c>
      <c r="F6" s="283">
        <v>468032.97</v>
      </c>
      <c r="G6" s="283">
        <v>595271.59</v>
      </c>
      <c r="H6" s="283">
        <v>732894.37</v>
      </c>
      <c r="I6" s="283">
        <v>87.14</v>
      </c>
    </row>
    <row r="7" spans="1:9" x14ac:dyDescent="0.25">
      <c r="A7" s="282" t="s">
        <v>324</v>
      </c>
      <c r="B7" s="283">
        <v>529455.92000000004</v>
      </c>
      <c r="C7" s="283">
        <v>651919.82999999996</v>
      </c>
      <c r="D7" s="283">
        <v>1027170.48</v>
      </c>
      <c r="E7" s="283">
        <v>19539.98</v>
      </c>
      <c r="F7" s="283">
        <v>529455.92000000004</v>
      </c>
      <c r="G7" s="283">
        <v>651919.82999999996</v>
      </c>
      <c r="H7" s="283">
        <v>1027170.48</v>
      </c>
      <c r="I7" s="283">
        <v>19539.98</v>
      </c>
    </row>
    <row r="8" spans="1:9" x14ac:dyDescent="0.25">
      <c r="A8" s="282" t="s">
        <v>325</v>
      </c>
      <c r="B8" s="283">
        <v>463381.69</v>
      </c>
      <c r="C8" s="283">
        <v>549092.37</v>
      </c>
      <c r="D8" s="283">
        <v>764062.8</v>
      </c>
      <c r="E8" s="283">
        <v>909.81</v>
      </c>
      <c r="F8" s="283">
        <v>463381.69</v>
      </c>
      <c r="G8" s="283">
        <v>549092.37</v>
      </c>
      <c r="H8" s="283">
        <v>764062.8</v>
      </c>
      <c r="I8" s="283">
        <v>909.81</v>
      </c>
    </row>
    <row r="9" spans="1:9" x14ac:dyDescent="0.25">
      <c r="A9" s="282" t="s">
        <v>326</v>
      </c>
      <c r="B9" s="283">
        <v>811501.71</v>
      </c>
      <c r="C9" s="283">
        <v>1061014.5900000001</v>
      </c>
      <c r="D9" s="283">
        <v>1233496.82</v>
      </c>
      <c r="E9" s="283">
        <v>14493.58</v>
      </c>
      <c r="F9" s="283">
        <v>811501.71</v>
      </c>
      <c r="G9" s="283">
        <v>1061014.5900000001</v>
      </c>
      <c r="H9" s="283">
        <v>1233496.82</v>
      </c>
      <c r="I9" s="283">
        <v>14493.58</v>
      </c>
    </row>
    <row r="10" spans="1:9" x14ac:dyDescent="0.25">
      <c r="A10" s="282" t="s">
        <v>327</v>
      </c>
      <c r="B10" s="283">
        <v>462141.74</v>
      </c>
      <c r="C10" s="283">
        <v>560029.13</v>
      </c>
      <c r="D10" s="283">
        <v>481185.83</v>
      </c>
      <c r="E10" s="283">
        <v>20.88</v>
      </c>
      <c r="F10" s="283">
        <v>462141.74</v>
      </c>
      <c r="G10" s="283">
        <v>560029.13</v>
      </c>
      <c r="H10" s="283">
        <v>481185.83</v>
      </c>
      <c r="I10" s="283">
        <v>20.88</v>
      </c>
    </row>
    <row r="11" spans="1:9" x14ac:dyDescent="0.25">
      <c r="A11" s="282" t="s">
        <v>328</v>
      </c>
      <c r="B11" s="283">
        <v>820077.61</v>
      </c>
      <c r="C11" s="283">
        <v>1100505.93</v>
      </c>
      <c r="D11" s="283">
        <v>1043697.38</v>
      </c>
      <c r="E11" s="283">
        <v>7574.93</v>
      </c>
      <c r="F11" s="283">
        <v>820077.61</v>
      </c>
      <c r="G11" s="283">
        <v>1100505.93</v>
      </c>
      <c r="H11" s="283">
        <v>1043697.38</v>
      </c>
      <c r="I11" s="283">
        <v>7574.93</v>
      </c>
    </row>
    <row r="12" spans="1:9" x14ac:dyDescent="0.25">
      <c r="A12" s="282" t="s">
        <v>329</v>
      </c>
      <c r="B12" s="283">
        <v>460818.9</v>
      </c>
      <c r="C12" s="283">
        <v>592691.9</v>
      </c>
      <c r="D12" s="283">
        <v>524881.79</v>
      </c>
      <c r="E12" s="283">
        <v>4144.1000000000004</v>
      </c>
      <c r="F12" s="283">
        <v>460818.9</v>
      </c>
      <c r="G12" s="283">
        <v>592691.9</v>
      </c>
      <c r="H12" s="283">
        <v>524881.79</v>
      </c>
      <c r="I12" s="283">
        <v>4144.1000000000004</v>
      </c>
    </row>
    <row r="13" spans="1:9" x14ac:dyDescent="0.25">
      <c r="A13" s="282" t="s">
        <v>333</v>
      </c>
      <c r="B13" s="283">
        <v>11714.03</v>
      </c>
      <c r="C13" s="283">
        <v>10305.43</v>
      </c>
      <c r="D13" s="283">
        <v>41492.959999999999</v>
      </c>
      <c r="E13" s="283">
        <v>0</v>
      </c>
      <c r="F13" s="283">
        <v>11714.03</v>
      </c>
      <c r="G13" s="283">
        <v>10305.43</v>
      </c>
      <c r="H13" s="283">
        <v>41492.959999999999</v>
      </c>
      <c r="I13" s="283">
        <v>0</v>
      </c>
    </row>
    <row r="14" spans="1:9" x14ac:dyDescent="0.25">
      <c r="A14" s="282" t="s">
        <v>331</v>
      </c>
      <c r="B14" s="283">
        <v>126291.43</v>
      </c>
      <c r="C14" s="283">
        <v>134851.81</v>
      </c>
      <c r="D14" s="283">
        <v>460680.92</v>
      </c>
      <c r="E14" s="283">
        <v>2684.18</v>
      </c>
      <c r="F14" s="283">
        <v>126291.43</v>
      </c>
      <c r="G14" s="283">
        <v>134851.81</v>
      </c>
      <c r="H14" s="283">
        <v>460680.92</v>
      </c>
      <c r="I14" s="283">
        <v>2684.18</v>
      </c>
    </row>
    <row r="15" spans="1:9" x14ac:dyDescent="0.25">
      <c r="A15" s="282" t="s">
        <v>332</v>
      </c>
      <c r="B15" s="283">
        <v>126196.61</v>
      </c>
      <c r="C15" s="283">
        <v>157634.28</v>
      </c>
      <c r="D15" s="283">
        <v>159509.10999999999</v>
      </c>
      <c r="E15" s="283">
        <v>205.09</v>
      </c>
      <c r="F15" s="283">
        <v>126196.61</v>
      </c>
      <c r="G15" s="283">
        <v>157634.28</v>
      </c>
      <c r="H15" s="283">
        <v>159509.10999999999</v>
      </c>
      <c r="I15" s="283">
        <v>205.09</v>
      </c>
    </row>
    <row r="16" spans="1:9" x14ac:dyDescent="0.25">
      <c r="A16" s="282" t="s">
        <v>334</v>
      </c>
      <c r="B16" s="283">
        <v>388884.99</v>
      </c>
      <c r="C16" s="283">
        <v>526434.68999999994</v>
      </c>
      <c r="D16" s="283">
        <v>498957.47</v>
      </c>
      <c r="E16" s="283">
        <v>622.25</v>
      </c>
      <c r="F16" s="283">
        <v>388884.99</v>
      </c>
      <c r="G16" s="283">
        <v>526434.68999999994</v>
      </c>
      <c r="H16" s="283">
        <v>498957.47</v>
      </c>
      <c r="I16" s="283">
        <v>622.25</v>
      </c>
    </row>
    <row r="17" spans="1:9" x14ac:dyDescent="0.25">
      <c r="A17" s="282" t="s">
        <v>341</v>
      </c>
      <c r="B17" s="283">
        <v>231041.72</v>
      </c>
      <c r="C17" s="283">
        <v>280422.71000000002</v>
      </c>
      <c r="D17" s="283">
        <v>346795.63</v>
      </c>
      <c r="E17" s="283">
        <v>5565.13</v>
      </c>
      <c r="F17" s="283">
        <v>231041.72</v>
      </c>
      <c r="G17" s="283">
        <v>280422.71000000002</v>
      </c>
      <c r="H17" s="283">
        <v>346795.63</v>
      </c>
      <c r="I17" s="283">
        <v>5565.13</v>
      </c>
    </row>
    <row r="18" spans="1:9" x14ac:dyDescent="0.25">
      <c r="A18" s="282" t="s">
        <v>342</v>
      </c>
      <c r="B18" s="283">
        <v>386160.45</v>
      </c>
      <c r="C18" s="283">
        <v>477760.22</v>
      </c>
      <c r="D18" s="283">
        <v>562701.56999999995</v>
      </c>
      <c r="E18" s="283">
        <v>3.93</v>
      </c>
      <c r="F18" s="283">
        <v>386160.45</v>
      </c>
      <c r="G18" s="283">
        <v>477760.22</v>
      </c>
      <c r="H18" s="283">
        <v>562701.56999999995</v>
      </c>
      <c r="I18" s="283">
        <v>3.93</v>
      </c>
    </row>
    <row r="19" spans="1:9" x14ac:dyDescent="0.25">
      <c r="A19" s="282" t="s">
        <v>343</v>
      </c>
      <c r="B19" s="283">
        <v>492746.52</v>
      </c>
      <c r="C19" s="283">
        <v>613901.57999999996</v>
      </c>
      <c r="D19" s="283">
        <v>949969.93</v>
      </c>
      <c r="E19" s="283">
        <v>26395.52</v>
      </c>
      <c r="F19" s="283">
        <v>492746.52</v>
      </c>
      <c r="G19" s="283">
        <v>613901.57999999996</v>
      </c>
      <c r="H19" s="283">
        <v>949969.93</v>
      </c>
      <c r="I19" s="283">
        <v>26395.52</v>
      </c>
    </row>
    <row r="20" spans="1:9" x14ac:dyDescent="0.25">
      <c r="A20" s="282" t="s">
        <v>344</v>
      </c>
      <c r="B20" s="283">
        <v>125203.69</v>
      </c>
      <c r="C20" s="283">
        <v>145779.34</v>
      </c>
      <c r="D20" s="283">
        <v>192729.32</v>
      </c>
      <c r="E20" s="283">
        <v>6632.16</v>
      </c>
      <c r="F20" s="283">
        <v>125203.69</v>
      </c>
      <c r="G20" s="283">
        <v>145779.34</v>
      </c>
      <c r="H20" s="283">
        <v>192729.32</v>
      </c>
      <c r="I20" s="283">
        <v>6632.16</v>
      </c>
    </row>
    <row r="21" spans="1:9" x14ac:dyDescent="0.25">
      <c r="A21" s="282" t="s">
        <v>345</v>
      </c>
      <c r="B21" s="283">
        <v>385911.61</v>
      </c>
      <c r="C21" s="283">
        <v>508748.73</v>
      </c>
      <c r="D21" s="283">
        <v>410209.65</v>
      </c>
      <c r="E21" s="283">
        <v>1708.47</v>
      </c>
      <c r="F21" s="283">
        <v>385911.61</v>
      </c>
      <c r="G21" s="283">
        <v>508748.73</v>
      </c>
      <c r="H21" s="283">
        <v>410209.65</v>
      </c>
      <c r="I21" s="283">
        <v>1708.47</v>
      </c>
    </row>
    <row r="22" spans="1:9" x14ac:dyDescent="0.25">
      <c r="A22" s="282" t="s">
        <v>346</v>
      </c>
      <c r="B22" s="283">
        <v>314267.99</v>
      </c>
      <c r="C22" s="283">
        <v>421401.82</v>
      </c>
      <c r="D22" s="283">
        <v>518592.15</v>
      </c>
      <c r="E22" s="283">
        <v>3282.69</v>
      </c>
      <c r="F22" s="283">
        <v>314267.99</v>
      </c>
      <c r="G22" s="283">
        <v>421401.82</v>
      </c>
      <c r="H22" s="283">
        <v>518592.15</v>
      </c>
      <c r="I22" s="283">
        <v>3282.69</v>
      </c>
    </row>
    <row r="23" spans="1:9" x14ac:dyDescent="0.25">
      <c r="A23" s="282" t="s">
        <v>347</v>
      </c>
      <c r="B23" s="283">
        <v>387105.96</v>
      </c>
      <c r="C23" s="283">
        <v>445022.78</v>
      </c>
      <c r="D23" s="283">
        <v>526594.46</v>
      </c>
      <c r="E23" s="283">
        <v>1845.64</v>
      </c>
      <c r="F23" s="283">
        <v>387105.96</v>
      </c>
      <c r="G23" s="283">
        <v>445022.78</v>
      </c>
      <c r="H23" s="283">
        <v>526594.46</v>
      </c>
      <c r="I23" s="283">
        <v>1845.64</v>
      </c>
    </row>
    <row r="24" spans="1:9" x14ac:dyDescent="0.25">
      <c r="A24" s="282" t="s">
        <v>335</v>
      </c>
      <c r="B24" s="283">
        <v>234724.37</v>
      </c>
      <c r="C24" s="283">
        <v>307011.82</v>
      </c>
      <c r="D24" s="283">
        <v>366755.23</v>
      </c>
      <c r="E24" s="283">
        <v>4047.47</v>
      </c>
      <c r="F24" s="283">
        <v>234724.37</v>
      </c>
      <c r="G24" s="283">
        <v>307011.82</v>
      </c>
      <c r="H24" s="283">
        <v>366755.23</v>
      </c>
      <c r="I24" s="283">
        <v>4047.47</v>
      </c>
    </row>
    <row r="25" spans="1:9" x14ac:dyDescent="0.25">
      <c r="A25" s="282" t="s">
        <v>336</v>
      </c>
      <c r="B25" s="283">
        <v>502554.28</v>
      </c>
      <c r="C25" s="283">
        <v>648418</v>
      </c>
      <c r="D25" s="283">
        <v>640976.56999999995</v>
      </c>
      <c r="E25" s="283">
        <v>32.049999999999997</v>
      </c>
      <c r="F25" s="283">
        <v>502554.28</v>
      </c>
      <c r="G25" s="283">
        <v>648418</v>
      </c>
      <c r="H25" s="283">
        <v>640976.56999999995</v>
      </c>
      <c r="I25" s="283">
        <v>32.049999999999997</v>
      </c>
    </row>
    <row r="26" spans="1:9" x14ac:dyDescent="0.25">
      <c r="A26" s="282" t="s">
        <v>337</v>
      </c>
      <c r="B26" s="283">
        <v>738037.62</v>
      </c>
      <c r="C26" s="283">
        <v>1015137.75</v>
      </c>
      <c r="D26" s="283">
        <v>1056431.18</v>
      </c>
      <c r="E26" s="283">
        <v>13258.54</v>
      </c>
      <c r="F26" s="283">
        <v>738037.62</v>
      </c>
      <c r="G26" s="283">
        <v>1015137.75</v>
      </c>
      <c r="H26" s="283">
        <v>1056431.18</v>
      </c>
      <c r="I26" s="283">
        <v>13258.54</v>
      </c>
    </row>
    <row r="27" spans="1:9" x14ac:dyDescent="0.25">
      <c r="A27" s="282" t="s">
        <v>338</v>
      </c>
      <c r="B27" s="283">
        <v>124497.12</v>
      </c>
      <c r="C27" s="283">
        <v>120315.54</v>
      </c>
      <c r="D27" s="283">
        <v>287949.46999999997</v>
      </c>
      <c r="E27" s="283">
        <v>255.53</v>
      </c>
      <c r="F27" s="283">
        <v>124497.12</v>
      </c>
      <c r="G27" s="283">
        <v>120315.54</v>
      </c>
      <c r="H27" s="283">
        <v>287949.46999999997</v>
      </c>
      <c r="I27" s="283">
        <v>255.53</v>
      </c>
    </row>
    <row r="28" spans="1:9" x14ac:dyDescent="0.25">
      <c r="A28" s="282" t="s">
        <v>339</v>
      </c>
      <c r="B28" s="283">
        <v>284160.78999999998</v>
      </c>
      <c r="C28" s="283">
        <v>338064.89</v>
      </c>
      <c r="D28" s="283">
        <v>564796.21</v>
      </c>
      <c r="E28" s="283">
        <v>328.56</v>
      </c>
      <c r="F28" s="283">
        <v>284160.78999999998</v>
      </c>
      <c r="G28" s="283">
        <v>338064.89</v>
      </c>
      <c r="H28" s="283">
        <v>564796.21</v>
      </c>
      <c r="I28" s="283">
        <v>328.56</v>
      </c>
    </row>
    <row r="29" spans="1:9" x14ac:dyDescent="0.25">
      <c r="A29" s="282" t="s">
        <v>340</v>
      </c>
      <c r="B29" s="283">
        <v>387595.31</v>
      </c>
      <c r="C29" s="283">
        <v>510932.45</v>
      </c>
      <c r="D29" s="283">
        <v>554752.97</v>
      </c>
      <c r="E29" s="283">
        <v>8964.31</v>
      </c>
      <c r="F29" s="283">
        <v>387595.31</v>
      </c>
      <c r="G29" s="283">
        <v>510932.45</v>
      </c>
      <c r="H29" s="283">
        <v>554752.97</v>
      </c>
      <c r="I29" s="283">
        <v>8964.31</v>
      </c>
    </row>
    <row r="30" spans="1:9" x14ac:dyDescent="0.25">
      <c r="A30" s="282" t="s">
        <v>348</v>
      </c>
      <c r="B30" s="283">
        <v>415251.7</v>
      </c>
      <c r="C30" s="283">
        <v>564594.75</v>
      </c>
      <c r="D30" s="283">
        <v>507850.22</v>
      </c>
      <c r="E30" s="283">
        <v>5089.66</v>
      </c>
      <c r="F30" s="283">
        <v>415251.7</v>
      </c>
      <c r="G30" s="283">
        <v>564594.75</v>
      </c>
      <c r="H30" s="283">
        <v>507850.22</v>
      </c>
      <c r="I30" s="283">
        <v>5089.66</v>
      </c>
    </row>
    <row r="31" spans="1:9" x14ac:dyDescent="0.25">
      <c r="A31" s="282" t="s">
        <v>355</v>
      </c>
      <c r="B31" s="283">
        <v>138426.85999999999</v>
      </c>
      <c r="C31" s="283">
        <v>163021.28</v>
      </c>
      <c r="D31" s="283">
        <v>167220.91</v>
      </c>
      <c r="E31" s="283">
        <v>5229.6499999999996</v>
      </c>
      <c r="F31" s="283">
        <v>138426.85999999999</v>
      </c>
      <c r="G31" s="283">
        <v>163021.28</v>
      </c>
      <c r="H31" s="283">
        <v>167220.91</v>
      </c>
      <c r="I31" s="283">
        <v>5229.6499999999996</v>
      </c>
    </row>
    <row r="32" spans="1:9" x14ac:dyDescent="0.25">
      <c r="A32" s="282" t="s">
        <v>349</v>
      </c>
      <c r="B32" s="283">
        <v>510997.59</v>
      </c>
      <c r="C32" s="283">
        <v>636792.96</v>
      </c>
      <c r="D32" s="283">
        <v>726645.49</v>
      </c>
      <c r="E32" s="283">
        <v>3566.51</v>
      </c>
      <c r="F32" s="283">
        <v>510997.59</v>
      </c>
      <c r="G32" s="283">
        <v>636792.96</v>
      </c>
      <c r="H32" s="283">
        <v>726645.49</v>
      </c>
      <c r="I32" s="283">
        <v>3566.51</v>
      </c>
    </row>
    <row r="33" spans="1:9" x14ac:dyDescent="0.25">
      <c r="A33" s="284" t="s">
        <v>350</v>
      </c>
      <c r="B33" s="285">
        <v>513921.18</v>
      </c>
      <c r="C33" s="285">
        <v>619842.78</v>
      </c>
      <c r="D33" s="285">
        <v>729940.96</v>
      </c>
      <c r="E33" s="285">
        <v>14825.16</v>
      </c>
      <c r="F33" s="285">
        <v>513921.18</v>
      </c>
      <c r="G33" s="285">
        <v>619842.78</v>
      </c>
      <c r="H33" s="285">
        <v>729940.96</v>
      </c>
      <c r="I33" s="285">
        <v>14825.16</v>
      </c>
    </row>
    <row r="34" spans="1:9" x14ac:dyDescent="0.25">
      <c r="A34" s="282" t="s">
        <v>351</v>
      </c>
      <c r="B34" s="283">
        <v>330659.46000000002</v>
      </c>
      <c r="C34" s="283">
        <v>441417.92</v>
      </c>
      <c r="D34" s="283">
        <v>419498.3</v>
      </c>
      <c r="E34" s="283">
        <v>7394.74</v>
      </c>
      <c r="F34" s="283">
        <v>330659.46000000002</v>
      </c>
      <c r="G34" s="283">
        <v>441417.92</v>
      </c>
      <c r="H34" s="283">
        <v>419498.3</v>
      </c>
      <c r="I34" s="283">
        <v>7394.74</v>
      </c>
    </row>
    <row r="35" spans="1:9" x14ac:dyDescent="0.25">
      <c r="A35" s="282" t="s">
        <v>352</v>
      </c>
      <c r="B35" s="283">
        <v>145381.42000000001</v>
      </c>
      <c r="C35" s="283">
        <v>188484.9</v>
      </c>
      <c r="D35" s="283">
        <v>198838.65</v>
      </c>
      <c r="E35" s="283">
        <v>494.89</v>
      </c>
      <c r="F35" s="283">
        <v>145381.42000000001</v>
      </c>
      <c r="G35" s="283">
        <v>188484.9</v>
      </c>
      <c r="H35" s="283">
        <v>198838.65</v>
      </c>
      <c r="I35" s="283">
        <v>494.89</v>
      </c>
    </row>
    <row r="36" spans="1:9" x14ac:dyDescent="0.25">
      <c r="A36" s="282" t="s">
        <v>353</v>
      </c>
      <c r="B36" s="283">
        <v>508385.08</v>
      </c>
      <c r="C36" s="283">
        <v>690309.77</v>
      </c>
      <c r="D36" s="283">
        <v>594206.29</v>
      </c>
      <c r="E36" s="283">
        <v>2542.96</v>
      </c>
      <c r="F36" s="283">
        <v>508385.08</v>
      </c>
      <c r="G36" s="283">
        <v>690309.77</v>
      </c>
      <c r="H36" s="283">
        <v>594206.29</v>
      </c>
      <c r="I36" s="283">
        <v>2542.96</v>
      </c>
    </row>
    <row r="37" spans="1:9" x14ac:dyDescent="0.25">
      <c r="A37" s="282" t="s">
        <v>354</v>
      </c>
      <c r="B37" s="283">
        <v>137925.12</v>
      </c>
      <c r="C37" s="283">
        <v>227343.78</v>
      </c>
      <c r="D37" s="283">
        <v>98865.17</v>
      </c>
      <c r="E37" s="283">
        <v>1886</v>
      </c>
      <c r="F37" s="283">
        <v>137925.12</v>
      </c>
      <c r="G37" s="283">
        <v>227343.78</v>
      </c>
      <c r="H37" s="283">
        <v>98865.17</v>
      </c>
      <c r="I37" s="283">
        <v>1886</v>
      </c>
    </row>
    <row r="38" spans="1:9" x14ac:dyDescent="0.25">
      <c r="A38" s="282" t="s">
        <v>878</v>
      </c>
      <c r="B38" s="283">
        <v>19888.73</v>
      </c>
      <c r="C38" s="283">
        <v>0</v>
      </c>
      <c r="D38" s="283">
        <v>376429.15</v>
      </c>
      <c r="E38" s="283">
        <v>7858.6</v>
      </c>
      <c r="F38" s="283">
        <v>19888.73</v>
      </c>
      <c r="G38" s="283">
        <v>0</v>
      </c>
      <c r="H38" s="283">
        <v>376429.15</v>
      </c>
      <c r="I38" s="283">
        <v>7858.6</v>
      </c>
    </row>
    <row r="39" spans="1:9" x14ac:dyDescent="0.25">
      <c r="A39" s="282" t="s">
        <v>879</v>
      </c>
      <c r="B39" s="283">
        <v>15416.1</v>
      </c>
      <c r="C39" s="283">
        <v>0</v>
      </c>
      <c r="D39" s="283">
        <v>298248.3</v>
      </c>
      <c r="E39" s="283">
        <v>1324.87</v>
      </c>
      <c r="F39" s="283">
        <v>15416.1</v>
      </c>
      <c r="G39" s="283">
        <v>0</v>
      </c>
      <c r="H39" s="283">
        <v>298248.3</v>
      </c>
      <c r="I39" s="283">
        <v>1324.87</v>
      </c>
    </row>
    <row r="40" spans="1:9" x14ac:dyDescent="0.25">
      <c r="A40" s="282" t="s">
        <v>1754</v>
      </c>
      <c r="B40" s="283">
        <v>0</v>
      </c>
      <c r="C40" s="283">
        <v>0</v>
      </c>
      <c r="D40" s="283">
        <v>0</v>
      </c>
      <c r="E40" s="283">
        <v>0</v>
      </c>
      <c r="F40" s="283">
        <v>0</v>
      </c>
      <c r="G40" s="283">
        <v>0</v>
      </c>
      <c r="H40" s="283">
        <v>0</v>
      </c>
      <c r="I40" s="283">
        <v>0</v>
      </c>
    </row>
    <row r="41" spans="1:9" x14ac:dyDescent="0.25">
      <c r="A41" s="282" t="s">
        <v>1336</v>
      </c>
      <c r="B41" s="283">
        <v>0</v>
      </c>
      <c r="C41" s="283">
        <v>0</v>
      </c>
      <c r="D41" s="283">
        <v>0</v>
      </c>
      <c r="E41" s="283">
        <v>0</v>
      </c>
      <c r="F41" s="283">
        <v>0</v>
      </c>
      <c r="G41" s="283">
        <v>0</v>
      </c>
      <c r="H41" s="283">
        <v>0</v>
      </c>
      <c r="I41" s="283">
        <v>0</v>
      </c>
    </row>
    <row r="42" spans="1:9" x14ac:dyDescent="0.25">
      <c r="A42" s="282" t="s">
        <v>50</v>
      </c>
      <c r="B42" s="283">
        <v>43785.4</v>
      </c>
      <c r="C42" s="283">
        <v>42908.29</v>
      </c>
      <c r="D42" s="283">
        <v>1333413.44</v>
      </c>
      <c r="E42" s="283">
        <v>16143.61</v>
      </c>
      <c r="F42" s="283">
        <v>43785.4</v>
      </c>
      <c r="G42" s="283">
        <v>42908.29</v>
      </c>
      <c r="H42" s="283">
        <v>1333413.44</v>
      </c>
      <c r="I42" s="283">
        <v>16143.61</v>
      </c>
    </row>
    <row r="43" spans="1:9" x14ac:dyDescent="0.25">
      <c r="A43" s="282" t="s">
        <v>1338</v>
      </c>
      <c r="B43" s="283">
        <v>0</v>
      </c>
      <c r="C43" s="283">
        <v>0</v>
      </c>
      <c r="D43" s="283">
        <v>0</v>
      </c>
      <c r="E43" s="283">
        <v>0</v>
      </c>
      <c r="F43" s="283">
        <v>0</v>
      </c>
      <c r="G43" s="283">
        <v>0</v>
      </c>
      <c r="H43" s="283">
        <v>0</v>
      </c>
      <c r="I43" s="283">
        <v>0</v>
      </c>
    </row>
    <row r="44" spans="1:9" x14ac:dyDescent="0.25">
      <c r="A44" s="282" t="s">
        <v>53</v>
      </c>
      <c r="B44" s="283">
        <v>36559.300000000003</v>
      </c>
      <c r="C44" s="283">
        <v>39164.57</v>
      </c>
      <c r="D44" s="283">
        <v>793551.57</v>
      </c>
      <c r="E44" s="283">
        <v>0</v>
      </c>
      <c r="F44" s="283">
        <v>36559.300000000003</v>
      </c>
      <c r="G44" s="283">
        <v>39164.57</v>
      </c>
      <c r="H44" s="283">
        <v>793551.57</v>
      </c>
      <c r="I44" s="283">
        <v>0</v>
      </c>
    </row>
    <row r="45" spans="1:9" x14ac:dyDescent="0.25">
      <c r="A45" s="282" t="s">
        <v>54</v>
      </c>
      <c r="B45" s="283">
        <v>43514.080000000002</v>
      </c>
      <c r="C45" s="283">
        <v>56882.43</v>
      </c>
      <c r="D45" s="283">
        <v>118548.99</v>
      </c>
      <c r="E45" s="283">
        <v>20.82</v>
      </c>
      <c r="F45" s="283">
        <v>43514.080000000002</v>
      </c>
      <c r="G45" s="283">
        <v>56882.43</v>
      </c>
      <c r="H45" s="283">
        <v>118548.99</v>
      </c>
      <c r="I45" s="283">
        <v>20.82</v>
      </c>
    </row>
    <row r="46" spans="1:9" x14ac:dyDescent="0.25">
      <c r="A46" s="282" t="s">
        <v>55</v>
      </c>
      <c r="B46" s="283">
        <v>109600.86</v>
      </c>
      <c r="C46" s="283">
        <v>146715.63</v>
      </c>
      <c r="D46" s="283">
        <v>111854</v>
      </c>
      <c r="E46" s="283">
        <v>62.59</v>
      </c>
      <c r="F46" s="283">
        <v>109600.86</v>
      </c>
      <c r="G46" s="283">
        <v>146715.63</v>
      </c>
      <c r="H46" s="283">
        <v>111854</v>
      </c>
      <c r="I46" s="283">
        <v>62.59</v>
      </c>
    </row>
    <row r="47" spans="1:9" x14ac:dyDescent="0.25">
      <c r="A47" s="282" t="s">
        <v>56</v>
      </c>
      <c r="B47" s="283">
        <v>109086.89</v>
      </c>
      <c r="C47" s="283">
        <v>134604</v>
      </c>
      <c r="D47" s="283">
        <v>244065.72</v>
      </c>
      <c r="E47" s="283">
        <v>810.98</v>
      </c>
      <c r="F47" s="283">
        <v>109086.89</v>
      </c>
      <c r="G47" s="283">
        <v>134604</v>
      </c>
      <c r="H47" s="283">
        <v>244065.72</v>
      </c>
      <c r="I47" s="283">
        <v>810.98</v>
      </c>
    </row>
    <row r="48" spans="1:9" x14ac:dyDescent="0.25">
      <c r="A48" s="282" t="s">
        <v>57</v>
      </c>
      <c r="B48" s="283">
        <v>109308.76</v>
      </c>
      <c r="C48" s="283">
        <v>139248.82</v>
      </c>
      <c r="D48" s="283">
        <v>741281.08</v>
      </c>
      <c r="E48" s="283">
        <v>11646.31</v>
      </c>
      <c r="F48" s="283">
        <v>109308.76</v>
      </c>
      <c r="G48" s="283">
        <v>139248.82</v>
      </c>
      <c r="H48" s="283">
        <v>741281.08</v>
      </c>
      <c r="I48" s="283">
        <v>11646.31</v>
      </c>
    </row>
    <row r="49" spans="1:9" x14ac:dyDescent="0.25">
      <c r="A49" s="282" t="s">
        <v>1755</v>
      </c>
      <c r="B49" s="283">
        <v>0</v>
      </c>
      <c r="C49" s="283">
        <v>0</v>
      </c>
      <c r="D49" s="283">
        <v>0</v>
      </c>
      <c r="E49" s="283">
        <v>0</v>
      </c>
      <c r="F49" s="283">
        <v>0</v>
      </c>
      <c r="G49" s="283">
        <v>0</v>
      </c>
      <c r="H49" s="283">
        <v>0</v>
      </c>
      <c r="I49" s="283">
        <v>0</v>
      </c>
    </row>
    <row r="50" spans="1:9" x14ac:dyDescent="0.25">
      <c r="A50" s="282" t="s">
        <v>1756</v>
      </c>
      <c r="B50" s="283">
        <v>0</v>
      </c>
      <c r="C50" s="283">
        <v>0</v>
      </c>
      <c r="D50" s="283">
        <v>0</v>
      </c>
      <c r="E50" s="283">
        <v>0</v>
      </c>
      <c r="F50" s="283">
        <v>0</v>
      </c>
      <c r="G50" s="283">
        <v>0</v>
      </c>
      <c r="H50" s="283">
        <v>0</v>
      </c>
      <c r="I50" s="283">
        <v>0</v>
      </c>
    </row>
    <row r="51" spans="1:9" x14ac:dyDescent="0.25">
      <c r="A51" s="282" t="s">
        <v>1757</v>
      </c>
      <c r="B51" s="283">
        <v>0</v>
      </c>
      <c r="C51" s="283">
        <v>0</v>
      </c>
      <c r="D51" s="283">
        <v>0</v>
      </c>
      <c r="E51" s="283">
        <v>0</v>
      </c>
      <c r="F51" s="283">
        <v>0</v>
      </c>
      <c r="G51" s="283">
        <v>0</v>
      </c>
      <c r="H51" s="283">
        <v>0</v>
      </c>
      <c r="I51" s="283">
        <v>0</v>
      </c>
    </row>
    <row r="52" spans="1:9" x14ac:dyDescent="0.25">
      <c r="A52" s="282" t="s">
        <v>1758</v>
      </c>
      <c r="B52" s="283">
        <v>0</v>
      </c>
      <c r="C52" s="283">
        <v>0</v>
      </c>
      <c r="D52" s="283">
        <v>0</v>
      </c>
      <c r="E52" s="283">
        <v>2146.4</v>
      </c>
      <c r="F52" s="283">
        <v>0</v>
      </c>
      <c r="G52" s="283">
        <v>0</v>
      </c>
      <c r="H52" s="283">
        <v>0</v>
      </c>
      <c r="I52" s="283">
        <v>2146.4</v>
      </c>
    </row>
    <row r="53" spans="1:9" x14ac:dyDescent="0.25">
      <c r="A53" s="282" t="s">
        <v>58</v>
      </c>
      <c r="B53" s="283">
        <v>18112.82</v>
      </c>
      <c r="C53" s="283">
        <v>20815.77</v>
      </c>
      <c r="D53" s="283">
        <v>21484.45</v>
      </c>
      <c r="E53" s="283">
        <v>0</v>
      </c>
      <c r="F53" s="283">
        <v>18112.82</v>
      </c>
      <c r="G53" s="283">
        <v>20815.77</v>
      </c>
      <c r="H53" s="283">
        <v>21484.45</v>
      </c>
      <c r="I53" s="283">
        <v>0</v>
      </c>
    </row>
    <row r="54" spans="1:9" x14ac:dyDescent="0.25">
      <c r="A54" s="282" t="s">
        <v>59</v>
      </c>
      <c r="B54" s="283">
        <v>18597.75</v>
      </c>
      <c r="C54" s="283">
        <v>15253.34</v>
      </c>
      <c r="D54" s="283">
        <v>65444.91</v>
      </c>
      <c r="E54" s="283">
        <v>5360.09</v>
      </c>
      <c r="F54" s="283">
        <v>18597.75</v>
      </c>
      <c r="G54" s="283">
        <v>15253.34</v>
      </c>
      <c r="H54" s="283">
        <v>65444.91</v>
      </c>
      <c r="I54" s="283">
        <v>5360.09</v>
      </c>
    </row>
    <row r="55" spans="1:9" x14ac:dyDescent="0.25">
      <c r="A55" s="282" t="s">
        <v>60</v>
      </c>
      <c r="B55" s="283">
        <v>21301.79</v>
      </c>
      <c r="C55" s="283">
        <v>20845.04</v>
      </c>
      <c r="D55" s="283">
        <v>229110.47</v>
      </c>
      <c r="E55" s="283">
        <v>0</v>
      </c>
      <c r="F55" s="283">
        <v>21301.79</v>
      </c>
      <c r="G55" s="283">
        <v>20845.04</v>
      </c>
      <c r="H55" s="283">
        <v>229110.47</v>
      </c>
      <c r="I55" s="283">
        <v>0</v>
      </c>
    </row>
    <row r="56" spans="1:9" x14ac:dyDescent="0.25">
      <c r="A56" s="282" t="s">
        <v>61</v>
      </c>
      <c r="B56" s="283">
        <v>21454.38</v>
      </c>
      <c r="C56" s="283">
        <v>29086.09</v>
      </c>
      <c r="D56" s="283">
        <v>44163.47</v>
      </c>
      <c r="E56" s="283">
        <v>0</v>
      </c>
      <c r="F56" s="283">
        <v>21454.38</v>
      </c>
      <c r="G56" s="283">
        <v>29086.09</v>
      </c>
      <c r="H56" s="283">
        <v>44163.47</v>
      </c>
      <c r="I56" s="283">
        <v>0</v>
      </c>
    </row>
    <row r="57" spans="1:9" x14ac:dyDescent="0.25">
      <c r="A57" s="282" t="s">
        <v>62</v>
      </c>
      <c r="B57" s="283">
        <v>20996.61</v>
      </c>
      <c r="C57" s="283">
        <v>35746.35</v>
      </c>
      <c r="D57" s="283">
        <v>80061.429999999993</v>
      </c>
      <c r="E57" s="283">
        <v>0</v>
      </c>
      <c r="F57" s="283">
        <v>20996.61</v>
      </c>
      <c r="G57" s="283">
        <v>35746.35</v>
      </c>
      <c r="H57" s="283">
        <v>80061.429999999993</v>
      </c>
      <c r="I57" s="283">
        <v>0</v>
      </c>
    </row>
    <row r="58" spans="1:9" x14ac:dyDescent="0.25">
      <c r="A58" s="282" t="s">
        <v>63</v>
      </c>
      <c r="B58" s="283">
        <v>20061.23</v>
      </c>
      <c r="C58" s="283">
        <v>25534.28</v>
      </c>
      <c r="D58" s="283">
        <v>99833.22</v>
      </c>
      <c r="E58" s="283">
        <v>0</v>
      </c>
      <c r="F58" s="283">
        <v>20061.23</v>
      </c>
      <c r="G58" s="283">
        <v>25534.28</v>
      </c>
      <c r="H58" s="283">
        <v>99833.22</v>
      </c>
      <c r="I58" s="283">
        <v>0</v>
      </c>
    </row>
    <row r="59" spans="1:9" x14ac:dyDescent="0.25">
      <c r="A59" s="282" t="s">
        <v>64</v>
      </c>
      <c r="B59" s="283">
        <v>33898.400000000001</v>
      </c>
      <c r="C59" s="283">
        <v>33208.79</v>
      </c>
      <c r="D59" s="283">
        <v>143540.44</v>
      </c>
      <c r="E59" s="283">
        <v>0</v>
      </c>
      <c r="F59" s="283">
        <v>33898.400000000001</v>
      </c>
      <c r="G59" s="283">
        <v>33208.79</v>
      </c>
      <c r="H59" s="283">
        <v>143540.44</v>
      </c>
      <c r="I59" s="283">
        <v>0</v>
      </c>
    </row>
    <row r="60" spans="1:9" ht="30" x14ac:dyDescent="0.25">
      <c r="A60" s="286" t="s">
        <v>1759</v>
      </c>
      <c r="B60" s="283">
        <v>0</v>
      </c>
      <c r="C60" s="283">
        <v>0</v>
      </c>
      <c r="D60" s="283">
        <v>0</v>
      </c>
      <c r="E60" s="283">
        <v>0</v>
      </c>
      <c r="F60" s="283">
        <v>0</v>
      </c>
      <c r="G60" s="283">
        <v>0</v>
      </c>
      <c r="H60" s="283">
        <v>0</v>
      </c>
      <c r="I60" s="283">
        <v>0</v>
      </c>
    </row>
    <row r="61" spans="1:9" ht="30" x14ac:dyDescent="0.25">
      <c r="A61" s="286" t="s">
        <v>1760</v>
      </c>
      <c r="B61" s="283">
        <v>0</v>
      </c>
      <c r="C61" s="283">
        <v>0</v>
      </c>
      <c r="D61" s="283">
        <v>0</v>
      </c>
      <c r="E61" s="283">
        <v>0</v>
      </c>
      <c r="F61" s="283">
        <v>0</v>
      </c>
      <c r="G61" s="283">
        <v>0</v>
      </c>
      <c r="H61" s="283">
        <v>0</v>
      </c>
      <c r="I61" s="283">
        <v>0</v>
      </c>
    </row>
    <row r="62" spans="1:9" ht="30" x14ac:dyDescent="0.25">
      <c r="A62" s="282" t="s">
        <v>69</v>
      </c>
      <c r="B62" s="283">
        <v>472672.78</v>
      </c>
      <c r="C62" s="283">
        <v>622612.89</v>
      </c>
      <c r="D62" s="283">
        <v>592980.43999999994</v>
      </c>
      <c r="E62" s="283">
        <v>370.93</v>
      </c>
      <c r="F62" s="283">
        <v>472672.78</v>
      </c>
      <c r="G62" s="283">
        <v>622612.89</v>
      </c>
      <c r="H62" s="283">
        <v>592980.43999999994</v>
      </c>
      <c r="I62" s="283">
        <v>370.93</v>
      </c>
    </row>
    <row r="63" spans="1:9" ht="30" x14ac:dyDescent="0.25">
      <c r="A63" s="282" t="s">
        <v>72</v>
      </c>
      <c r="B63" s="283">
        <v>430921.24</v>
      </c>
      <c r="C63" s="283">
        <v>569109.82999999996</v>
      </c>
      <c r="D63" s="283">
        <v>552020.56999999995</v>
      </c>
      <c r="E63" s="283">
        <v>3904.57</v>
      </c>
      <c r="F63" s="283">
        <v>430921.24</v>
      </c>
      <c r="G63" s="283">
        <v>569109.82999999996</v>
      </c>
      <c r="H63" s="283">
        <v>552020.56999999995</v>
      </c>
      <c r="I63" s="283">
        <v>3904.57</v>
      </c>
    </row>
    <row r="64" spans="1:9" ht="30" x14ac:dyDescent="0.25">
      <c r="A64" s="282" t="s">
        <v>71</v>
      </c>
      <c r="B64" s="283">
        <v>176008.23</v>
      </c>
      <c r="C64" s="283">
        <v>233320.71</v>
      </c>
      <c r="D64" s="283">
        <v>277670.58</v>
      </c>
      <c r="E64" s="283">
        <v>3578.15</v>
      </c>
      <c r="F64" s="283">
        <v>176008.23</v>
      </c>
      <c r="G64" s="283">
        <v>233320.71</v>
      </c>
      <c r="H64" s="283">
        <v>277670.58</v>
      </c>
      <c r="I64" s="283">
        <v>3578.15</v>
      </c>
    </row>
    <row r="65" spans="1:9" ht="30" x14ac:dyDescent="0.25">
      <c r="A65" s="282" t="s">
        <v>880</v>
      </c>
      <c r="B65" s="283">
        <v>0</v>
      </c>
      <c r="C65" s="283">
        <v>18479.63</v>
      </c>
      <c r="D65" s="283">
        <v>48792.75</v>
      </c>
      <c r="E65" s="283">
        <v>1526.59</v>
      </c>
      <c r="F65" s="283">
        <v>0</v>
      </c>
      <c r="G65" s="283">
        <v>18479.63</v>
      </c>
      <c r="H65" s="283">
        <v>48792.75</v>
      </c>
      <c r="I65" s="283">
        <v>1526.59</v>
      </c>
    </row>
    <row r="66" spans="1:9" ht="30" x14ac:dyDescent="0.25">
      <c r="A66" s="282" t="s">
        <v>73</v>
      </c>
      <c r="B66" s="283">
        <v>158611.5</v>
      </c>
      <c r="C66" s="283">
        <v>181016.94</v>
      </c>
      <c r="D66" s="283">
        <v>218393.18</v>
      </c>
      <c r="E66" s="283">
        <v>10038.530000000001</v>
      </c>
      <c r="F66" s="283">
        <v>158611.5</v>
      </c>
      <c r="G66" s="283">
        <v>181016.94</v>
      </c>
      <c r="H66" s="283">
        <v>218393.18</v>
      </c>
      <c r="I66" s="283">
        <v>10038.530000000001</v>
      </c>
    </row>
    <row r="67" spans="1:9" ht="30" x14ac:dyDescent="0.25">
      <c r="A67" s="282" t="s">
        <v>882</v>
      </c>
      <c r="B67" s="283">
        <v>0</v>
      </c>
      <c r="C67" s="283">
        <v>0</v>
      </c>
      <c r="D67" s="283">
        <v>0</v>
      </c>
      <c r="E67" s="283">
        <v>0</v>
      </c>
      <c r="F67" s="283">
        <v>0</v>
      </c>
      <c r="G67" s="283">
        <v>0</v>
      </c>
      <c r="H67" s="283">
        <v>0</v>
      </c>
      <c r="I67" s="283">
        <v>0</v>
      </c>
    </row>
    <row r="68" spans="1:9" ht="30" x14ac:dyDescent="0.25">
      <c r="A68" s="282" t="s">
        <v>78</v>
      </c>
      <c r="B68" s="283">
        <v>41605.550000000003</v>
      </c>
      <c r="C68" s="283">
        <v>60759.03</v>
      </c>
      <c r="D68" s="283">
        <v>39454.78</v>
      </c>
      <c r="E68" s="283">
        <v>31708.22</v>
      </c>
      <c r="F68" s="283">
        <v>41605.550000000003</v>
      </c>
      <c r="G68" s="283">
        <v>60759.03</v>
      </c>
      <c r="H68" s="283">
        <v>39454.78</v>
      </c>
      <c r="I68" s="283">
        <v>31708.22</v>
      </c>
    </row>
    <row r="69" spans="1:9" ht="30" x14ac:dyDescent="0.25">
      <c r="A69" s="282" t="s">
        <v>76</v>
      </c>
      <c r="B69" s="283">
        <v>161486.9</v>
      </c>
      <c r="C69" s="283">
        <v>196726.13</v>
      </c>
      <c r="D69" s="283">
        <v>139828.20000000001</v>
      </c>
      <c r="E69" s="283">
        <v>47429.2</v>
      </c>
      <c r="F69" s="283">
        <v>161486.9</v>
      </c>
      <c r="G69" s="283">
        <v>196726.13</v>
      </c>
      <c r="H69" s="283">
        <v>139828.20000000001</v>
      </c>
      <c r="I69" s="283">
        <v>47429.2</v>
      </c>
    </row>
    <row r="70" spans="1:9" ht="30" x14ac:dyDescent="0.25">
      <c r="A70" s="282" t="s">
        <v>77</v>
      </c>
      <c r="B70" s="283">
        <v>159467.95000000001</v>
      </c>
      <c r="C70" s="283">
        <v>186242.43</v>
      </c>
      <c r="D70" s="283">
        <v>170292.48000000001</v>
      </c>
      <c r="E70" s="283">
        <v>61134.1</v>
      </c>
      <c r="F70" s="283">
        <v>159467.95000000001</v>
      </c>
      <c r="G70" s="283">
        <v>186242.43</v>
      </c>
      <c r="H70" s="283">
        <v>170292.48000000001</v>
      </c>
      <c r="I70" s="283">
        <v>61134.1</v>
      </c>
    </row>
    <row r="71" spans="1:9" ht="30" x14ac:dyDescent="0.25">
      <c r="A71" s="282" t="s">
        <v>79</v>
      </c>
      <c r="B71" s="283">
        <v>68335.28</v>
      </c>
      <c r="C71" s="283">
        <v>75937.03</v>
      </c>
      <c r="D71" s="283">
        <v>160089.73000000001</v>
      </c>
      <c r="E71" s="283">
        <v>1563.27</v>
      </c>
      <c r="F71" s="283">
        <v>68335.28</v>
      </c>
      <c r="G71" s="283">
        <v>75937.03</v>
      </c>
      <c r="H71" s="283">
        <v>160089.73000000001</v>
      </c>
      <c r="I71" s="283">
        <v>1563.27</v>
      </c>
    </row>
    <row r="72" spans="1:9" ht="30" x14ac:dyDescent="0.25">
      <c r="A72" s="282" t="s">
        <v>80</v>
      </c>
      <c r="B72" s="283">
        <v>12889.22</v>
      </c>
      <c r="C72" s="283">
        <v>14323.52</v>
      </c>
      <c r="D72" s="283">
        <v>116829.5</v>
      </c>
      <c r="E72" s="283">
        <v>0</v>
      </c>
      <c r="F72" s="283">
        <v>12889.22</v>
      </c>
      <c r="G72" s="283">
        <v>14323.52</v>
      </c>
      <c r="H72" s="283">
        <v>116829.5</v>
      </c>
      <c r="I72" s="283">
        <v>0</v>
      </c>
    </row>
    <row r="73" spans="1:9" ht="30" x14ac:dyDescent="0.25">
      <c r="A73" s="282" t="s">
        <v>83</v>
      </c>
      <c r="B73" s="283">
        <v>41477.800000000003</v>
      </c>
      <c r="C73" s="283">
        <v>48670.04</v>
      </c>
      <c r="D73" s="283">
        <v>272458.43</v>
      </c>
      <c r="E73" s="283">
        <v>29927.79</v>
      </c>
      <c r="F73" s="283">
        <v>41477.800000000003</v>
      </c>
      <c r="G73" s="283">
        <v>48670.04</v>
      </c>
      <c r="H73" s="283">
        <v>272458.43</v>
      </c>
      <c r="I73" s="283">
        <v>29927.79</v>
      </c>
    </row>
    <row r="74" spans="1:9" ht="30" x14ac:dyDescent="0.25">
      <c r="A74" s="286" t="s">
        <v>1346</v>
      </c>
      <c r="B74" s="283">
        <v>0</v>
      </c>
      <c r="C74" s="283">
        <v>305.98</v>
      </c>
      <c r="D74" s="283">
        <v>54256.01</v>
      </c>
      <c r="E74" s="283">
        <v>83.46</v>
      </c>
      <c r="F74" s="283">
        <v>0</v>
      </c>
      <c r="G74" s="283">
        <v>305.98</v>
      </c>
      <c r="H74" s="283">
        <v>54256.01</v>
      </c>
      <c r="I74" s="283">
        <v>83.46</v>
      </c>
    </row>
    <row r="75" spans="1:9" ht="30" x14ac:dyDescent="0.25">
      <c r="A75" s="286" t="s">
        <v>1347</v>
      </c>
      <c r="B75" s="283">
        <v>0</v>
      </c>
      <c r="C75" s="283">
        <v>0</v>
      </c>
      <c r="D75" s="283">
        <v>0</v>
      </c>
      <c r="E75" s="283">
        <v>0</v>
      </c>
      <c r="F75" s="283">
        <v>0</v>
      </c>
      <c r="G75" s="283">
        <v>0</v>
      </c>
      <c r="H75" s="283">
        <v>0</v>
      </c>
      <c r="I75" s="283">
        <v>0</v>
      </c>
    </row>
    <row r="76" spans="1:9" ht="30" x14ac:dyDescent="0.25">
      <c r="A76" s="286" t="s">
        <v>1490</v>
      </c>
      <c r="B76" s="283">
        <v>0</v>
      </c>
      <c r="C76" s="283">
        <v>0</v>
      </c>
      <c r="D76" s="283">
        <v>4763.58</v>
      </c>
      <c r="E76" s="283">
        <v>0</v>
      </c>
      <c r="F76" s="283">
        <v>0</v>
      </c>
      <c r="G76" s="283">
        <v>0</v>
      </c>
      <c r="H76" s="283">
        <v>4763.58</v>
      </c>
      <c r="I76" s="283">
        <v>0</v>
      </c>
    </row>
    <row r="77" spans="1:9" x14ac:dyDescent="0.25">
      <c r="A77" s="282" t="s">
        <v>86</v>
      </c>
      <c r="B77" s="283">
        <v>519233.21</v>
      </c>
      <c r="C77" s="283">
        <v>670125.78</v>
      </c>
      <c r="D77" s="283">
        <v>1209930.32</v>
      </c>
      <c r="E77" s="283">
        <v>1940.46</v>
      </c>
      <c r="F77" s="283">
        <v>519233.21</v>
      </c>
      <c r="G77" s="283">
        <v>670125.78</v>
      </c>
      <c r="H77" s="283">
        <v>1209930.32</v>
      </c>
      <c r="I77" s="283">
        <v>1940.46</v>
      </c>
    </row>
    <row r="78" spans="1:9" x14ac:dyDescent="0.25">
      <c r="A78" s="282" t="s">
        <v>87</v>
      </c>
      <c r="B78" s="283">
        <v>166028.1</v>
      </c>
      <c r="C78" s="283">
        <v>195978.92</v>
      </c>
      <c r="D78" s="283">
        <v>271831.64</v>
      </c>
      <c r="E78" s="283">
        <v>0</v>
      </c>
      <c r="F78" s="283">
        <v>166028.1</v>
      </c>
      <c r="G78" s="283">
        <v>195978.92</v>
      </c>
      <c r="H78" s="283">
        <v>271831.64</v>
      </c>
      <c r="I78" s="283">
        <v>0</v>
      </c>
    </row>
    <row r="79" spans="1:9" x14ac:dyDescent="0.25">
      <c r="A79" s="282" t="s">
        <v>88</v>
      </c>
      <c r="B79" s="283">
        <v>172790.37</v>
      </c>
      <c r="C79" s="283">
        <v>218196.21</v>
      </c>
      <c r="D79" s="283">
        <v>567272.9</v>
      </c>
      <c r="E79" s="283">
        <v>1934.23</v>
      </c>
      <c r="F79" s="283">
        <v>172790.37</v>
      </c>
      <c r="G79" s="283">
        <v>218196.21</v>
      </c>
      <c r="H79" s="283">
        <v>567272.9</v>
      </c>
      <c r="I79" s="283">
        <v>1934.23</v>
      </c>
    </row>
    <row r="80" spans="1:9" x14ac:dyDescent="0.25">
      <c r="A80" s="282" t="s">
        <v>1761</v>
      </c>
      <c r="B80" s="283">
        <v>0</v>
      </c>
      <c r="C80" s="283">
        <v>0</v>
      </c>
      <c r="D80" s="283">
        <v>17783472.25</v>
      </c>
      <c r="E80" s="283">
        <v>1726.34</v>
      </c>
      <c r="F80" s="283">
        <v>0</v>
      </c>
      <c r="G80" s="283">
        <v>0</v>
      </c>
      <c r="H80" s="283">
        <v>17783472.25</v>
      </c>
      <c r="I80" s="283">
        <v>1726.34</v>
      </c>
    </row>
    <row r="81" spans="1:9" x14ac:dyDescent="0.25">
      <c r="A81" s="282" t="s">
        <v>89</v>
      </c>
      <c r="B81" s="283">
        <v>973708.5</v>
      </c>
      <c r="C81" s="283">
        <v>1331957.1599999999</v>
      </c>
      <c r="D81" s="283">
        <v>2031229.06</v>
      </c>
      <c r="E81" s="283">
        <v>16793.62</v>
      </c>
      <c r="F81" s="283">
        <v>973708.5</v>
      </c>
      <c r="G81" s="283">
        <v>1331957.1599999999</v>
      </c>
      <c r="H81" s="283">
        <v>2031229.06</v>
      </c>
      <c r="I81" s="283">
        <v>16793.62</v>
      </c>
    </row>
    <row r="82" spans="1:9" x14ac:dyDescent="0.25">
      <c r="A82" s="282" t="s">
        <v>90</v>
      </c>
      <c r="B82" s="283">
        <v>21391.3</v>
      </c>
      <c r="C82" s="283">
        <v>25868.17</v>
      </c>
      <c r="D82" s="283">
        <v>17264.88</v>
      </c>
      <c r="E82" s="283">
        <v>0</v>
      </c>
      <c r="F82" s="283">
        <v>21391.3</v>
      </c>
      <c r="G82" s="283">
        <v>25868.17</v>
      </c>
      <c r="H82" s="283">
        <v>17264.88</v>
      </c>
      <c r="I82" s="283">
        <v>0</v>
      </c>
    </row>
    <row r="83" spans="1:9" x14ac:dyDescent="0.25">
      <c r="A83" s="282" t="s">
        <v>84</v>
      </c>
      <c r="B83" s="283">
        <v>522416.64000000001</v>
      </c>
      <c r="C83" s="283">
        <v>653954.68999999994</v>
      </c>
      <c r="D83" s="283">
        <v>1351434.42</v>
      </c>
      <c r="E83" s="283">
        <v>4243.97</v>
      </c>
      <c r="F83" s="283">
        <v>522416.64000000001</v>
      </c>
      <c r="G83" s="283">
        <v>653954.68999999994</v>
      </c>
      <c r="H83" s="283">
        <v>1351434.42</v>
      </c>
      <c r="I83" s="283">
        <v>4243.97</v>
      </c>
    </row>
    <row r="84" spans="1:9" x14ac:dyDescent="0.25">
      <c r="A84" s="282" t="s">
        <v>85</v>
      </c>
      <c r="B84" s="283">
        <v>522502.97</v>
      </c>
      <c r="C84" s="283">
        <v>745966.03</v>
      </c>
      <c r="D84" s="283">
        <v>1336014.51</v>
      </c>
      <c r="E84" s="283">
        <v>7829.38</v>
      </c>
      <c r="F84" s="283">
        <v>522502.97</v>
      </c>
      <c r="G84" s="283">
        <v>745966.03</v>
      </c>
      <c r="H84" s="283">
        <v>1336014.51</v>
      </c>
      <c r="I84" s="283">
        <v>7829.38</v>
      </c>
    </row>
    <row r="85" spans="1:9" x14ac:dyDescent="0.25">
      <c r="A85" s="286" t="s">
        <v>93</v>
      </c>
      <c r="B85" s="283">
        <v>23859.200000000001</v>
      </c>
      <c r="C85" s="283">
        <v>28908.44</v>
      </c>
      <c r="D85" s="283">
        <v>65197.38</v>
      </c>
      <c r="E85" s="283">
        <v>0</v>
      </c>
      <c r="F85" s="283">
        <v>23859.200000000001</v>
      </c>
      <c r="G85" s="283">
        <v>28908.44</v>
      </c>
      <c r="H85" s="283">
        <v>65197.38</v>
      </c>
      <c r="I85" s="283">
        <v>0</v>
      </c>
    </row>
    <row r="86" spans="1:9" x14ac:dyDescent="0.25">
      <c r="A86" s="286" t="s">
        <v>94</v>
      </c>
      <c r="B86" s="283">
        <v>23796.53</v>
      </c>
      <c r="C86" s="283">
        <v>38796.17</v>
      </c>
      <c r="D86" s="283">
        <v>24994</v>
      </c>
      <c r="E86" s="283">
        <v>0.08</v>
      </c>
      <c r="F86" s="283">
        <v>23796.53</v>
      </c>
      <c r="G86" s="283">
        <v>38796.17</v>
      </c>
      <c r="H86" s="283">
        <v>24994</v>
      </c>
      <c r="I86" s="283">
        <v>0.08</v>
      </c>
    </row>
    <row r="87" spans="1:9" x14ac:dyDescent="0.25">
      <c r="A87" s="282" t="s">
        <v>95</v>
      </c>
      <c r="B87" s="283">
        <v>37532.74</v>
      </c>
      <c r="C87" s="283">
        <v>50200.84</v>
      </c>
      <c r="D87" s="283">
        <v>100989.28</v>
      </c>
      <c r="E87" s="283">
        <v>38.020000000000003</v>
      </c>
      <c r="F87" s="283">
        <v>37532.74</v>
      </c>
      <c r="G87" s="283">
        <v>50200.84</v>
      </c>
      <c r="H87" s="283">
        <v>100989.28</v>
      </c>
      <c r="I87" s="283">
        <v>38.020000000000003</v>
      </c>
    </row>
    <row r="88" spans="1:9" x14ac:dyDescent="0.25">
      <c r="A88" s="282" t="s">
        <v>91</v>
      </c>
      <c r="B88" s="283">
        <v>37221.93</v>
      </c>
      <c r="C88" s="283">
        <v>49987.97</v>
      </c>
      <c r="D88" s="283">
        <v>35643.410000000003</v>
      </c>
      <c r="E88" s="283">
        <v>2003.3</v>
      </c>
      <c r="F88" s="283">
        <v>37221.93</v>
      </c>
      <c r="G88" s="283">
        <v>49987.97</v>
      </c>
      <c r="H88" s="283">
        <v>35643.410000000003</v>
      </c>
      <c r="I88" s="283">
        <v>2003.3</v>
      </c>
    </row>
    <row r="89" spans="1:9" x14ac:dyDescent="0.25">
      <c r="A89" s="282" t="s">
        <v>96</v>
      </c>
      <c r="B89" s="283">
        <v>12576.41</v>
      </c>
      <c r="C89" s="283">
        <v>13584.78</v>
      </c>
      <c r="D89" s="283">
        <v>34368.69</v>
      </c>
      <c r="E89" s="283">
        <v>0</v>
      </c>
      <c r="F89" s="283">
        <v>12576.41</v>
      </c>
      <c r="G89" s="283">
        <v>13584.78</v>
      </c>
      <c r="H89" s="283">
        <v>34368.69</v>
      </c>
      <c r="I89" s="283">
        <v>0</v>
      </c>
    </row>
    <row r="90" spans="1:9" x14ac:dyDescent="0.25">
      <c r="A90" s="282" t="s">
        <v>97</v>
      </c>
      <c r="B90" s="283">
        <v>13527.14</v>
      </c>
      <c r="C90" s="283">
        <v>18562.150000000001</v>
      </c>
      <c r="D90" s="283">
        <v>35234.76</v>
      </c>
      <c r="E90" s="283">
        <v>3.88</v>
      </c>
      <c r="F90" s="283">
        <v>13527.14</v>
      </c>
      <c r="G90" s="283">
        <v>18562.150000000001</v>
      </c>
      <c r="H90" s="283">
        <v>35234.76</v>
      </c>
      <c r="I90" s="283">
        <v>3.88</v>
      </c>
    </row>
    <row r="91" spans="1:9" x14ac:dyDescent="0.25">
      <c r="A91" s="286" t="s">
        <v>98</v>
      </c>
      <c r="B91" s="283">
        <v>20424.439999999999</v>
      </c>
      <c r="C91" s="283">
        <v>27715.13</v>
      </c>
      <c r="D91" s="283">
        <v>22582.28</v>
      </c>
      <c r="E91" s="283">
        <v>0</v>
      </c>
      <c r="F91" s="283">
        <v>20424.439999999999</v>
      </c>
      <c r="G91" s="283">
        <v>27715.13</v>
      </c>
      <c r="H91" s="283">
        <v>22582.28</v>
      </c>
      <c r="I91" s="283">
        <v>0</v>
      </c>
    </row>
    <row r="92" spans="1:9" x14ac:dyDescent="0.25">
      <c r="A92" s="286" t="s">
        <v>92</v>
      </c>
      <c r="B92" s="283">
        <v>23678.13</v>
      </c>
      <c r="C92" s="283">
        <v>29667.14</v>
      </c>
      <c r="D92" s="283">
        <v>22470.080000000002</v>
      </c>
      <c r="E92" s="283">
        <v>0</v>
      </c>
      <c r="F92" s="283">
        <v>23678.13</v>
      </c>
      <c r="G92" s="283">
        <v>29667.14</v>
      </c>
      <c r="H92" s="283">
        <v>22470.080000000002</v>
      </c>
      <c r="I92" s="283">
        <v>0</v>
      </c>
    </row>
    <row r="93" spans="1:9" x14ac:dyDescent="0.25">
      <c r="A93" s="282" t="s">
        <v>101</v>
      </c>
      <c r="B93" s="283">
        <v>463761.54</v>
      </c>
      <c r="C93" s="283">
        <v>585198.13</v>
      </c>
      <c r="D93" s="283">
        <v>845148.33</v>
      </c>
      <c r="E93" s="283">
        <v>8008.5</v>
      </c>
      <c r="F93" s="283">
        <v>463761.54</v>
      </c>
      <c r="G93" s="283">
        <v>585198.13</v>
      </c>
      <c r="H93" s="283">
        <v>845148.33</v>
      </c>
      <c r="I93" s="283">
        <v>8008.5</v>
      </c>
    </row>
    <row r="94" spans="1:9" x14ac:dyDescent="0.25">
      <c r="A94" s="282" t="s">
        <v>102</v>
      </c>
      <c r="B94" s="283">
        <v>236013.4</v>
      </c>
      <c r="C94" s="283">
        <v>298010.3</v>
      </c>
      <c r="D94" s="283">
        <v>447304.72</v>
      </c>
      <c r="E94" s="283">
        <v>11947.42</v>
      </c>
      <c r="F94" s="283">
        <v>236013.4</v>
      </c>
      <c r="G94" s="283">
        <v>298010.3</v>
      </c>
      <c r="H94" s="283">
        <v>447304.72</v>
      </c>
      <c r="I94" s="283">
        <v>11947.42</v>
      </c>
    </row>
    <row r="95" spans="1:9" x14ac:dyDescent="0.25">
      <c r="A95" s="282" t="s">
        <v>99</v>
      </c>
      <c r="B95" s="283">
        <v>278965.96999999997</v>
      </c>
      <c r="C95" s="283">
        <v>396932.82</v>
      </c>
      <c r="D95" s="283">
        <v>806736.12</v>
      </c>
      <c r="E95" s="283">
        <v>4653.51</v>
      </c>
      <c r="F95" s="283">
        <v>278965.96999999997</v>
      </c>
      <c r="G95" s="283">
        <v>396932.82</v>
      </c>
      <c r="H95" s="283">
        <v>806736.12</v>
      </c>
      <c r="I95" s="283">
        <v>4653.51</v>
      </c>
    </row>
    <row r="96" spans="1:9" x14ac:dyDescent="0.25">
      <c r="A96" s="282" t="s">
        <v>100</v>
      </c>
      <c r="B96" s="283">
        <v>281189.37</v>
      </c>
      <c r="C96" s="283">
        <v>372426.75</v>
      </c>
      <c r="D96" s="283">
        <v>990950.84</v>
      </c>
      <c r="E96" s="283">
        <v>3982.33</v>
      </c>
      <c r="F96" s="283">
        <v>281189.37</v>
      </c>
      <c r="G96" s="283">
        <v>372426.75</v>
      </c>
      <c r="H96" s="283">
        <v>990950.84</v>
      </c>
      <c r="I96" s="283">
        <v>3982.33</v>
      </c>
    </row>
    <row r="97" spans="1:9" x14ac:dyDescent="0.25">
      <c r="A97" s="282" t="s">
        <v>1762</v>
      </c>
      <c r="B97" s="283">
        <v>0</v>
      </c>
      <c r="C97" s="283">
        <v>0</v>
      </c>
      <c r="D97" s="283">
        <v>0</v>
      </c>
      <c r="E97" s="283">
        <v>0</v>
      </c>
      <c r="F97" s="283">
        <v>0</v>
      </c>
      <c r="G97" s="283">
        <v>0</v>
      </c>
      <c r="H97" s="283">
        <v>0</v>
      </c>
      <c r="I97" s="283">
        <v>0</v>
      </c>
    </row>
    <row r="98" spans="1:9" x14ac:dyDescent="0.25">
      <c r="A98" s="282" t="s">
        <v>1763</v>
      </c>
      <c r="B98" s="283">
        <v>0</v>
      </c>
      <c r="C98" s="283">
        <v>0</v>
      </c>
      <c r="D98" s="283">
        <v>0</v>
      </c>
      <c r="E98" s="283">
        <v>0</v>
      </c>
      <c r="F98" s="283">
        <v>0</v>
      </c>
      <c r="G98" s="283">
        <v>0</v>
      </c>
      <c r="H98" s="283">
        <v>0</v>
      </c>
      <c r="I98" s="283">
        <v>0</v>
      </c>
    </row>
    <row r="99" spans="1:9" ht="30" x14ac:dyDescent="0.25">
      <c r="A99" s="286" t="s">
        <v>1764</v>
      </c>
      <c r="B99" s="283">
        <v>0</v>
      </c>
      <c r="C99" s="283">
        <v>0</v>
      </c>
      <c r="D99" s="283">
        <v>0</v>
      </c>
      <c r="E99" s="283">
        <v>0</v>
      </c>
      <c r="F99" s="283">
        <v>0</v>
      </c>
      <c r="G99" s="283">
        <v>0</v>
      </c>
      <c r="H99" s="283">
        <v>0</v>
      </c>
      <c r="I99" s="283">
        <v>0</v>
      </c>
    </row>
    <row r="100" spans="1:9" ht="30" x14ac:dyDescent="0.25">
      <c r="A100" s="286" t="s">
        <v>1765</v>
      </c>
      <c r="B100" s="283">
        <v>0</v>
      </c>
      <c r="C100" s="283">
        <v>0</v>
      </c>
      <c r="D100" s="283">
        <v>0</v>
      </c>
      <c r="E100" s="283">
        <v>0</v>
      </c>
      <c r="F100" s="283">
        <v>0</v>
      </c>
      <c r="G100" s="283">
        <v>0</v>
      </c>
      <c r="H100" s="283">
        <v>0</v>
      </c>
      <c r="I100" s="283">
        <v>0</v>
      </c>
    </row>
    <row r="101" spans="1:9" ht="30" x14ac:dyDescent="0.25">
      <c r="A101" s="286" t="s">
        <v>1766</v>
      </c>
      <c r="B101" s="283">
        <v>0</v>
      </c>
      <c r="C101" s="283">
        <v>0</v>
      </c>
      <c r="D101" s="283">
        <v>0</v>
      </c>
      <c r="E101" s="283">
        <v>0</v>
      </c>
      <c r="F101" s="283">
        <v>0</v>
      </c>
      <c r="G101" s="283">
        <v>0</v>
      </c>
      <c r="H101" s="283">
        <v>0</v>
      </c>
      <c r="I101" s="283">
        <v>0</v>
      </c>
    </row>
    <row r="102" spans="1:9" ht="30" x14ac:dyDescent="0.25">
      <c r="A102" s="286" t="s">
        <v>1767</v>
      </c>
      <c r="B102" s="283">
        <v>0</v>
      </c>
      <c r="C102" s="283">
        <v>0</v>
      </c>
      <c r="D102" s="283">
        <v>0</v>
      </c>
      <c r="E102" s="283">
        <v>0</v>
      </c>
      <c r="F102" s="283">
        <v>0</v>
      </c>
      <c r="G102" s="283">
        <v>0</v>
      </c>
      <c r="H102" s="283">
        <v>0</v>
      </c>
      <c r="I102" s="283">
        <v>0</v>
      </c>
    </row>
    <row r="103" spans="1:9" ht="30" x14ac:dyDescent="0.25">
      <c r="A103" s="282" t="s">
        <v>892</v>
      </c>
      <c r="B103" s="283">
        <v>0</v>
      </c>
      <c r="C103" s="283">
        <v>366.98</v>
      </c>
      <c r="D103" s="283">
        <v>17655.23</v>
      </c>
      <c r="E103" s="283">
        <v>361.14</v>
      </c>
      <c r="F103" s="283">
        <v>0</v>
      </c>
      <c r="G103" s="283">
        <v>366.98</v>
      </c>
      <c r="H103" s="283">
        <v>17655.23</v>
      </c>
      <c r="I103" s="283">
        <v>361.14</v>
      </c>
    </row>
    <row r="104" spans="1:9" x14ac:dyDescent="0.25">
      <c r="A104" s="282" t="s">
        <v>103</v>
      </c>
      <c r="B104" s="283">
        <v>60700.5</v>
      </c>
      <c r="C104" s="283">
        <v>74638.990000000005</v>
      </c>
      <c r="D104" s="283">
        <v>162082.22</v>
      </c>
      <c r="E104" s="283">
        <v>9198.02</v>
      </c>
      <c r="F104" s="283">
        <v>60700.5</v>
      </c>
      <c r="G104" s="283">
        <v>74638.990000000005</v>
      </c>
      <c r="H104" s="283">
        <v>162082.22</v>
      </c>
      <c r="I104" s="283">
        <v>9198.02</v>
      </c>
    </row>
    <row r="105" spans="1:9" x14ac:dyDescent="0.25">
      <c r="A105" s="282" t="s">
        <v>104</v>
      </c>
      <c r="B105" s="283">
        <v>160562.12</v>
      </c>
      <c r="C105" s="283">
        <v>162525.76999999999</v>
      </c>
      <c r="D105" s="283">
        <v>210188.62</v>
      </c>
      <c r="E105" s="283">
        <v>5520.45</v>
      </c>
      <c r="F105" s="283">
        <v>160562.12</v>
      </c>
      <c r="G105" s="283">
        <v>162525.76999999999</v>
      </c>
      <c r="H105" s="283">
        <v>210188.62</v>
      </c>
      <c r="I105" s="283">
        <v>5520.45</v>
      </c>
    </row>
    <row r="106" spans="1:9" x14ac:dyDescent="0.25">
      <c r="A106" s="282" t="s">
        <v>105</v>
      </c>
      <c r="B106" s="283">
        <v>140005.44</v>
      </c>
      <c r="C106" s="283">
        <v>155536.95999999999</v>
      </c>
      <c r="D106" s="283">
        <v>318266.71999999997</v>
      </c>
      <c r="E106" s="283">
        <v>32814.629999999997</v>
      </c>
      <c r="F106" s="283">
        <v>140005.44</v>
      </c>
      <c r="G106" s="283">
        <v>155536.95999999999</v>
      </c>
      <c r="H106" s="283">
        <v>318266.71999999997</v>
      </c>
      <c r="I106" s="283">
        <v>32814.629999999997</v>
      </c>
    </row>
    <row r="107" spans="1:9" x14ac:dyDescent="0.25">
      <c r="A107" s="282" t="s">
        <v>106</v>
      </c>
      <c r="B107" s="283">
        <v>216903</v>
      </c>
      <c r="C107" s="283">
        <v>269448.75</v>
      </c>
      <c r="D107" s="283">
        <v>381976.74</v>
      </c>
      <c r="E107" s="283">
        <v>3924.63</v>
      </c>
      <c r="F107" s="283">
        <v>216903</v>
      </c>
      <c r="G107" s="283">
        <v>269448.75</v>
      </c>
      <c r="H107" s="283">
        <v>381976.74</v>
      </c>
      <c r="I107" s="283">
        <v>3924.63</v>
      </c>
    </row>
    <row r="108" spans="1:9" x14ac:dyDescent="0.25">
      <c r="A108" s="282" t="s">
        <v>107</v>
      </c>
      <c r="B108" s="283">
        <v>217334.43</v>
      </c>
      <c r="C108" s="283">
        <v>246520.63</v>
      </c>
      <c r="D108" s="283">
        <v>411772.48</v>
      </c>
      <c r="E108" s="283">
        <v>13096.8</v>
      </c>
      <c r="F108" s="283">
        <v>217334.43</v>
      </c>
      <c r="G108" s="283">
        <v>246520.63</v>
      </c>
      <c r="H108" s="283">
        <v>411772.48</v>
      </c>
      <c r="I108" s="283">
        <v>13096.8</v>
      </c>
    </row>
    <row r="109" spans="1:9" x14ac:dyDescent="0.25">
      <c r="A109" s="282" t="s">
        <v>108</v>
      </c>
      <c r="B109" s="283">
        <v>6730.16</v>
      </c>
      <c r="C109" s="283">
        <v>15796.91</v>
      </c>
      <c r="D109" s="283">
        <v>76981.64</v>
      </c>
      <c r="E109" s="283">
        <v>15479.43</v>
      </c>
      <c r="F109" s="283">
        <v>6730.16</v>
      </c>
      <c r="G109" s="283">
        <v>15796.91</v>
      </c>
      <c r="H109" s="283">
        <v>76981.64</v>
      </c>
      <c r="I109" s="283">
        <v>15479.43</v>
      </c>
    </row>
    <row r="110" spans="1:9" ht="30" x14ac:dyDescent="0.25">
      <c r="A110" s="282" t="s">
        <v>109</v>
      </c>
      <c r="B110" s="283">
        <v>189723.51999999999</v>
      </c>
      <c r="C110" s="283">
        <v>231715.32</v>
      </c>
      <c r="D110" s="283">
        <v>347684.73</v>
      </c>
      <c r="E110" s="283">
        <v>128.44999999999999</v>
      </c>
      <c r="F110" s="283">
        <v>189723.51999999999</v>
      </c>
      <c r="G110" s="283">
        <v>231715.32</v>
      </c>
      <c r="H110" s="283">
        <v>347684.73</v>
      </c>
      <c r="I110" s="283">
        <v>128.44999999999999</v>
      </c>
    </row>
    <row r="111" spans="1:9" ht="30" x14ac:dyDescent="0.25">
      <c r="A111" s="286" t="s">
        <v>1768</v>
      </c>
      <c r="B111" s="283">
        <v>0</v>
      </c>
      <c r="C111" s="283">
        <v>0</v>
      </c>
      <c r="D111" s="283">
        <v>0</v>
      </c>
      <c r="E111" s="283">
        <v>0</v>
      </c>
      <c r="F111" s="283">
        <v>0</v>
      </c>
      <c r="G111" s="283">
        <v>0</v>
      </c>
      <c r="H111" s="283">
        <v>0</v>
      </c>
      <c r="I111" s="283">
        <v>0</v>
      </c>
    </row>
    <row r="112" spans="1:9" ht="30" x14ac:dyDescent="0.25">
      <c r="A112" s="286" t="s">
        <v>1769</v>
      </c>
      <c r="B112" s="283">
        <v>0</v>
      </c>
      <c r="C112" s="283">
        <v>0</v>
      </c>
      <c r="D112" s="283">
        <v>1326.33</v>
      </c>
      <c r="E112" s="283">
        <v>6922.46</v>
      </c>
      <c r="F112" s="283">
        <v>0</v>
      </c>
      <c r="G112" s="283">
        <v>0</v>
      </c>
      <c r="H112" s="283">
        <v>1326.33</v>
      </c>
      <c r="I112" s="283">
        <v>6922.46</v>
      </c>
    </row>
    <row r="113" spans="1:9" x14ac:dyDescent="0.25">
      <c r="A113" s="286" t="s">
        <v>1770</v>
      </c>
      <c r="B113" s="283">
        <v>0</v>
      </c>
      <c r="C113" s="283">
        <v>0</v>
      </c>
      <c r="D113" s="283">
        <v>0</v>
      </c>
      <c r="E113" s="283">
        <v>0</v>
      </c>
      <c r="F113" s="283">
        <v>0</v>
      </c>
      <c r="G113" s="283">
        <v>0</v>
      </c>
      <c r="H113" s="283">
        <v>0</v>
      </c>
      <c r="I113" s="283">
        <v>0</v>
      </c>
    </row>
    <row r="114" spans="1:9" x14ac:dyDescent="0.25">
      <c r="A114" s="286" t="s">
        <v>1771</v>
      </c>
      <c r="B114" s="283">
        <v>0</v>
      </c>
      <c r="C114" s="283">
        <v>0</v>
      </c>
      <c r="D114" s="283">
        <v>0</v>
      </c>
      <c r="E114" s="283">
        <v>0</v>
      </c>
      <c r="F114" s="283">
        <v>0</v>
      </c>
      <c r="G114" s="283">
        <v>0</v>
      </c>
      <c r="H114" s="283">
        <v>0</v>
      </c>
      <c r="I114" s="283">
        <v>0</v>
      </c>
    </row>
    <row r="115" spans="1:9" ht="30" x14ac:dyDescent="0.25">
      <c r="A115" s="282" t="s">
        <v>110</v>
      </c>
      <c r="B115" s="283">
        <v>148439.56</v>
      </c>
      <c r="C115" s="283">
        <v>178348.33</v>
      </c>
      <c r="D115" s="283">
        <v>272123.31</v>
      </c>
      <c r="E115" s="283">
        <v>0</v>
      </c>
      <c r="F115" s="283">
        <v>148439.56</v>
      </c>
      <c r="G115" s="283">
        <v>178348.33</v>
      </c>
      <c r="H115" s="283">
        <v>272123.31</v>
      </c>
      <c r="I115" s="283">
        <v>0</v>
      </c>
    </row>
    <row r="116" spans="1:9" ht="30" x14ac:dyDescent="0.25">
      <c r="A116" s="282" t="s">
        <v>112</v>
      </c>
      <c r="B116" s="283">
        <v>139739.68</v>
      </c>
      <c r="C116" s="283">
        <v>184258.13</v>
      </c>
      <c r="D116" s="283">
        <v>169730</v>
      </c>
      <c r="E116" s="283">
        <v>0.15</v>
      </c>
      <c r="F116" s="283">
        <v>139739.68</v>
      </c>
      <c r="G116" s="283">
        <v>184258.13</v>
      </c>
      <c r="H116" s="283">
        <v>169730</v>
      </c>
      <c r="I116" s="283">
        <v>0.15</v>
      </c>
    </row>
    <row r="117" spans="1:9" ht="30" x14ac:dyDescent="0.25">
      <c r="A117" s="282" t="s">
        <v>124</v>
      </c>
      <c r="B117" s="283">
        <v>150343.20000000001</v>
      </c>
      <c r="C117" s="283">
        <v>284845.21999999997</v>
      </c>
      <c r="D117" s="283">
        <v>709691.25</v>
      </c>
      <c r="E117" s="283">
        <v>43.79</v>
      </c>
      <c r="F117" s="283">
        <v>150343.20000000001</v>
      </c>
      <c r="G117" s="283">
        <v>284845.21999999997</v>
      </c>
      <c r="H117" s="283">
        <v>709691.25</v>
      </c>
      <c r="I117" s="283">
        <v>43.79</v>
      </c>
    </row>
    <row r="118" spans="1:9" ht="30" x14ac:dyDescent="0.25">
      <c r="A118" s="282" t="s">
        <v>122</v>
      </c>
      <c r="B118" s="283">
        <v>139943.13</v>
      </c>
      <c r="C118" s="283">
        <v>182415.9</v>
      </c>
      <c r="D118" s="283">
        <v>158609.13</v>
      </c>
      <c r="E118" s="283">
        <v>376.74</v>
      </c>
      <c r="F118" s="283">
        <v>139943.13</v>
      </c>
      <c r="G118" s="283">
        <v>182415.9</v>
      </c>
      <c r="H118" s="283">
        <v>158609.13</v>
      </c>
      <c r="I118" s="283">
        <v>376.74</v>
      </c>
    </row>
    <row r="119" spans="1:9" ht="30" x14ac:dyDescent="0.25">
      <c r="A119" s="282" t="s">
        <v>123</v>
      </c>
      <c r="B119" s="283">
        <v>138402.76999999999</v>
      </c>
      <c r="C119" s="283">
        <v>166948.91</v>
      </c>
      <c r="D119" s="283">
        <v>377560.79</v>
      </c>
      <c r="E119" s="283">
        <v>3985.98</v>
      </c>
      <c r="F119" s="283">
        <v>138402.76999999999</v>
      </c>
      <c r="G119" s="283">
        <v>166948.91</v>
      </c>
      <c r="H119" s="283">
        <v>377560.79</v>
      </c>
      <c r="I119" s="283">
        <v>3985.98</v>
      </c>
    </row>
    <row r="120" spans="1:9" ht="30" x14ac:dyDescent="0.25">
      <c r="A120" s="282" t="s">
        <v>125</v>
      </c>
      <c r="B120" s="283">
        <v>147262.42000000001</v>
      </c>
      <c r="C120" s="283">
        <v>195800.42</v>
      </c>
      <c r="D120" s="283">
        <v>152688.53</v>
      </c>
      <c r="E120" s="283">
        <v>0</v>
      </c>
      <c r="F120" s="283">
        <v>147262.42000000001</v>
      </c>
      <c r="G120" s="283">
        <v>195800.42</v>
      </c>
      <c r="H120" s="283">
        <v>152688.53</v>
      </c>
      <c r="I120" s="283">
        <v>0</v>
      </c>
    </row>
    <row r="121" spans="1:9" ht="30" x14ac:dyDescent="0.25">
      <c r="A121" s="282" t="s">
        <v>126</v>
      </c>
      <c r="B121" s="283">
        <v>145552.49</v>
      </c>
      <c r="C121" s="283">
        <v>189044.04</v>
      </c>
      <c r="D121" s="283">
        <v>179278.2</v>
      </c>
      <c r="E121" s="283">
        <v>322.05</v>
      </c>
      <c r="F121" s="283">
        <v>145552.49</v>
      </c>
      <c r="G121" s="283">
        <v>189044.04</v>
      </c>
      <c r="H121" s="283">
        <v>179278.2</v>
      </c>
      <c r="I121" s="283">
        <v>322.05</v>
      </c>
    </row>
    <row r="122" spans="1:9" ht="30" x14ac:dyDescent="0.25">
      <c r="A122" s="282" t="s">
        <v>127</v>
      </c>
      <c r="B122" s="283">
        <v>231640.95</v>
      </c>
      <c r="C122" s="283">
        <v>287893.48</v>
      </c>
      <c r="D122" s="283">
        <v>712497.03</v>
      </c>
      <c r="E122" s="283">
        <v>14.45</v>
      </c>
      <c r="F122" s="283">
        <v>231640.95</v>
      </c>
      <c r="G122" s="283">
        <v>287893.48</v>
      </c>
      <c r="H122" s="283">
        <v>712497.03</v>
      </c>
      <c r="I122" s="283">
        <v>14.45</v>
      </c>
    </row>
    <row r="123" spans="1:9" ht="30" x14ac:dyDescent="0.25">
      <c r="A123" s="282" t="s">
        <v>128</v>
      </c>
      <c r="B123" s="283">
        <v>263415.95</v>
      </c>
      <c r="C123" s="283">
        <v>333908.92</v>
      </c>
      <c r="D123" s="283">
        <v>254630.06</v>
      </c>
      <c r="E123" s="283">
        <v>8521.2199999999993</v>
      </c>
      <c r="F123" s="283">
        <v>263415.95</v>
      </c>
      <c r="G123" s="283">
        <v>333908.92</v>
      </c>
      <c r="H123" s="283">
        <v>254630.06</v>
      </c>
      <c r="I123" s="283">
        <v>8521.2199999999993</v>
      </c>
    </row>
    <row r="124" spans="1:9" ht="30" x14ac:dyDescent="0.25">
      <c r="A124" s="282" t="s">
        <v>129</v>
      </c>
      <c r="B124" s="283">
        <v>88570.6</v>
      </c>
      <c r="C124" s="283">
        <v>113851.68</v>
      </c>
      <c r="D124" s="283">
        <v>299971.58</v>
      </c>
      <c r="E124" s="283">
        <v>15.16</v>
      </c>
      <c r="F124" s="283">
        <v>88570.6</v>
      </c>
      <c r="G124" s="283">
        <v>113851.68</v>
      </c>
      <c r="H124" s="283">
        <v>299971.58</v>
      </c>
      <c r="I124" s="283">
        <v>15.16</v>
      </c>
    </row>
    <row r="125" spans="1:9" ht="30" x14ac:dyDescent="0.25">
      <c r="A125" s="282" t="s">
        <v>130</v>
      </c>
      <c r="B125" s="283">
        <v>105354.6</v>
      </c>
      <c r="C125" s="283">
        <v>124305.03</v>
      </c>
      <c r="D125" s="283">
        <v>599419.81000000006</v>
      </c>
      <c r="E125" s="283">
        <v>823.17</v>
      </c>
      <c r="F125" s="283">
        <v>105354.6</v>
      </c>
      <c r="G125" s="283">
        <v>124305.03</v>
      </c>
      <c r="H125" s="283">
        <v>599419.81000000006</v>
      </c>
      <c r="I125" s="283">
        <v>823.17</v>
      </c>
    </row>
    <row r="126" spans="1:9" ht="30" x14ac:dyDescent="0.25">
      <c r="A126" s="282" t="s">
        <v>113</v>
      </c>
      <c r="B126" s="283">
        <v>136901.15</v>
      </c>
      <c r="C126" s="283">
        <v>191294.92</v>
      </c>
      <c r="D126" s="283">
        <v>307914.39</v>
      </c>
      <c r="E126" s="283">
        <v>1157.1099999999999</v>
      </c>
      <c r="F126" s="283">
        <v>136901.15</v>
      </c>
      <c r="G126" s="283">
        <v>191294.92</v>
      </c>
      <c r="H126" s="283">
        <v>307914.39</v>
      </c>
      <c r="I126" s="283">
        <v>1157.1099999999999</v>
      </c>
    </row>
    <row r="127" spans="1:9" ht="30" x14ac:dyDescent="0.25">
      <c r="A127" s="282" t="s">
        <v>115</v>
      </c>
      <c r="B127" s="283">
        <v>137952.28</v>
      </c>
      <c r="C127" s="283">
        <v>179344.44</v>
      </c>
      <c r="D127" s="283">
        <v>261205.92</v>
      </c>
      <c r="E127" s="283">
        <v>266.13</v>
      </c>
      <c r="F127" s="283">
        <v>137952.28</v>
      </c>
      <c r="G127" s="283">
        <v>179344.44</v>
      </c>
      <c r="H127" s="283">
        <v>261205.92</v>
      </c>
      <c r="I127" s="283">
        <v>266.13</v>
      </c>
    </row>
    <row r="128" spans="1:9" ht="30" x14ac:dyDescent="0.25">
      <c r="A128" s="282" t="s">
        <v>116</v>
      </c>
      <c r="B128" s="283">
        <v>460698.34</v>
      </c>
      <c r="C128" s="283">
        <v>576147.4</v>
      </c>
      <c r="D128" s="283">
        <v>1214946.2</v>
      </c>
      <c r="E128" s="283">
        <v>5339.64</v>
      </c>
      <c r="F128" s="283">
        <v>460698.34</v>
      </c>
      <c r="G128" s="283">
        <v>576147.4</v>
      </c>
      <c r="H128" s="283">
        <v>1214946.2</v>
      </c>
      <c r="I128" s="283">
        <v>5339.64</v>
      </c>
    </row>
    <row r="129" spans="1:9" ht="30" x14ac:dyDescent="0.25">
      <c r="A129" s="282" t="s">
        <v>117</v>
      </c>
      <c r="B129" s="283">
        <v>139003.4</v>
      </c>
      <c r="C129" s="283">
        <v>186762.94</v>
      </c>
      <c r="D129" s="283">
        <v>253365.42</v>
      </c>
      <c r="E129" s="283">
        <v>2177.84</v>
      </c>
      <c r="F129" s="283">
        <v>139003.4</v>
      </c>
      <c r="G129" s="283">
        <v>186762.94</v>
      </c>
      <c r="H129" s="283">
        <v>253365.42</v>
      </c>
      <c r="I129" s="283">
        <v>2177.84</v>
      </c>
    </row>
    <row r="130" spans="1:9" ht="30" x14ac:dyDescent="0.25">
      <c r="A130" s="282" t="s">
        <v>118</v>
      </c>
      <c r="B130" s="283">
        <v>138766.04</v>
      </c>
      <c r="C130" s="283">
        <v>170579.03</v>
      </c>
      <c r="D130" s="283">
        <v>191487.61</v>
      </c>
      <c r="E130" s="283">
        <v>0</v>
      </c>
      <c r="F130" s="283">
        <v>138766.04</v>
      </c>
      <c r="G130" s="283">
        <v>170579.03</v>
      </c>
      <c r="H130" s="283">
        <v>191487.61</v>
      </c>
      <c r="I130" s="283">
        <v>0</v>
      </c>
    </row>
    <row r="131" spans="1:9" ht="30" x14ac:dyDescent="0.25">
      <c r="A131" s="282" t="s">
        <v>119</v>
      </c>
      <c r="B131" s="283">
        <v>289692.06</v>
      </c>
      <c r="C131" s="283">
        <v>405324.19</v>
      </c>
      <c r="D131" s="283">
        <v>567842</v>
      </c>
      <c r="E131" s="283">
        <v>13188.32</v>
      </c>
      <c r="F131" s="283">
        <v>289692.06</v>
      </c>
      <c r="G131" s="283">
        <v>405324.19</v>
      </c>
      <c r="H131" s="283">
        <v>567842</v>
      </c>
      <c r="I131" s="283">
        <v>13188.32</v>
      </c>
    </row>
    <row r="132" spans="1:9" ht="30" x14ac:dyDescent="0.25">
      <c r="A132" s="282" t="s">
        <v>120</v>
      </c>
      <c r="B132" s="283">
        <v>147306.06</v>
      </c>
      <c r="C132" s="283">
        <v>188447.17</v>
      </c>
      <c r="D132" s="283">
        <v>493225.37</v>
      </c>
      <c r="E132" s="283">
        <v>389.42</v>
      </c>
      <c r="F132" s="283">
        <v>147306.06</v>
      </c>
      <c r="G132" s="283">
        <v>188447.17</v>
      </c>
      <c r="H132" s="283">
        <v>493225.37</v>
      </c>
      <c r="I132" s="283">
        <v>389.42</v>
      </c>
    </row>
    <row r="133" spans="1:9" ht="30" x14ac:dyDescent="0.25">
      <c r="A133" s="282" t="s">
        <v>121</v>
      </c>
      <c r="B133" s="283">
        <v>147863.13</v>
      </c>
      <c r="C133" s="283">
        <v>200546.2</v>
      </c>
      <c r="D133" s="283">
        <v>241240.8</v>
      </c>
      <c r="E133" s="283">
        <v>2026.83</v>
      </c>
      <c r="F133" s="283">
        <v>147863.13</v>
      </c>
      <c r="G133" s="283">
        <v>200546.2</v>
      </c>
      <c r="H133" s="283">
        <v>241240.8</v>
      </c>
      <c r="I133" s="283">
        <v>2026.83</v>
      </c>
    </row>
    <row r="134" spans="1:9" ht="30" x14ac:dyDescent="0.25">
      <c r="A134" s="282" t="s">
        <v>136</v>
      </c>
      <c r="B134" s="283">
        <v>148802.85</v>
      </c>
      <c r="C134" s="283">
        <v>185752.39</v>
      </c>
      <c r="D134" s="283">
        <v>323700.14</v>
      </c>
      <c r="E134" s="283">
        <v>114.63</v>
      </c>
      <c r="F134" s="283">
        <v>148802.85</v>
      </c>
      <c r="G134" s="283">
        <v>185752.39</v>
      </c>
      <c r="H134" s="283">
        <v>323700.14</v>
      </c>
      <c r="I134" s="283">
        <v>114.63</v>
      </c>
    </row>
    <row r="135" spans="1:9" ht="30" x14ac:dyDescent="0.25">
      <c r="A135" s="282" t="s">
        <v>137</v>
      </c>
      <c r="B135" s="283">
        <v>147228.53</v>
      </c>
      <c r="C135" s="283">
        <v>186417.53</v>
      </c>
      <c r="D135" s="283">
        <v>330481.91999999998</v>
      </c>
      <c r="E135" s="283">
        <v>735.81</v>
      </c>
      <c r="F135" s="283">
        <v>147228.53</v>
      </c>
      <c r="G135" s="283">
        <v>186417.53</v>
      </c>
      <c r="H135" s="283">
        <v>330481.91999999998</v>
      </c>
      <c r="I135" s="283">
        <v>735.81</v>
      </c>
    </row>
    <row r="136" spans="1:9" ht="30" x14ac:dyDescent="0.25">
      <c r="A136" s="282" t="s">
        <v>138</v>
      </c>
      <c r="B136" s="283">
        <v>435538.61</v>
      </c>
      <c r="C136" s="283">
        <v>599459.93999999994</v>
      </c>
      <c r="D136" s="283">
        <v>1158401.92</v>
      </c>
      <c r="E136" s="283">
        <v>4253.7700000000004</v>
      </c>
      <c r="F136" s="283">
        <v>435538.61</v>
      </c>
      <c r="G136" s="283">
        <v>599459.93999999994</v>
      </c>
      <c r="H136" s="283">
        <v>1158401.92</v>
      </c>
      <c r="I136" s="283">
        <v>4253.7700000000004</v>
      </c>
    </row>
    <row r="137" spans="1:9" ht="30" x14ac:dyDescent="0.25">
      <c r="A137" s="282" t="s">
        <v>139</v>
      </c>
      <c r="B137" s="283">
        <v>90000.23</v>
      </c>
      <c r="C137" s="283">
        <v>109501</v>
      </c>
      <c r="D137" s="283">
        <v>186220.67</v>
      </c>
      <c r="E137" s="283">
        <v>2122.19</v>
      </c>
      <c r="F137" s="283">
        <v>90000.23</v>
      </c>
      <c r="G137" s="283">
        <v>109501</v>
      </c>
      <c r="H137" s="283">
        <v>186220.67</v>
      </c>
      <c r="I137" s="283">
        <v>2122.19</v>
      </c>
    </row>
    <row r="138" spans="1:9" ht="30" x14ac:dyDescent="0.25">
      <c r="A138" s="282" t="s">
        <v>140</v>
      </c>
      <c r="B138" s="283">
        <v>115216.06</v>
      </c>
      <c r="C138" s="283">
        <v>129965.72</v>
      </c>
      <c r="D138" s="283">
        <v>338200.99</v>
      </c>
      <c r="E138" s="283">
        <v>654.25</v>
      </c>
      <c r="F138" s="283">
        <v>115216.06</v>
      </c>
      <c r="G138" s="283">
        <v>129965.72</v>
      </c>
      <c r="H138" s="283">
        <v>338200.99</v>
      </c>
      <c r="I138" s="283">
        <v>654.25</v>
      </c>
    </row>
    <row r="139" spans="1:9" ht="30" x14ac:dyDescent="0.25">
      <c r="A139" s="282" t="s">
        <v>141</v>
      </c>
      <c r="B139" s="283">
        <v>115485.92</v>
      </c>
      <c r="C139" s="283">
        <v>139979.47</v>
      </c>
      <c r="D139" s="283">
        <v>228509.68</v>
      </c>
      <c r="E139" s="283">
        <v>0</v>
      </c>
      <c r="F139" s="283">
        <v>115485.92</v>
      </c>
      <c r="G139" s="283">
        <v>139979.47</v>
      </c>
      <c r="H139" s="283">
        <v>228509.68</v>
      </c>
      <c r="I139" s="283">
        <v>0</v>
      </c>
    </row>
    <row r="140" spans="1:9" ht="30" x14ac:dyDescent="0.25">
      <c r="A140" s="282" t="s">
        <v>131</v>
      </c>
      <c r="B140" s="283">
        <v>498253.86</v>
      </c>
      <c r="C140" s="283">
        <v>670004.68999999994</v>
      </c>
      <c r="D140" s="283">
        <v>1435013.25</v>
      </c>
      <c r="E140" s="283">
        <v>31150.31</v>
      </c>
      <c r="F140" s="283">
        <v>498253.86</v>
      </c>
      <c r="G140" s="283">
        <v>670004.68999999994</v>
      </c>
      <c r="H140" s="283">
        <v>1435013.25</v>
      </c>
      <c r="I140" s="283">
        <v>31150.31</v>
      </c>
    </row>
    <row r="141" spans="1:9" ht="30" x14ac:dyDescent="0.25">
      <c r="A141" s="282" t="s">
        <v>142</v>
      </c>
      <c r="B141" s="283">
        <v>116147.16</v>
      </c>
      <c r="C141" s="283">
        <v>126749.08</v>
      </c>
      <c r="D141" s="283">
        <v>174057.08</v>
      </c>
      <c r="E141" s="283">
        <v>306.27</v>
      </c>
      <c r="F141" s="283">
        <v>116147.16</v>
      </c>
      <c r="G141" s="283">
        <v>126749.08</v>
      </c>
      <c r="H141" s="283">
        <v>174057.08</v>
      </c>
      <c r="I141" s="283">
        <v>306.27</v>
      </c>
    </row>
    <row r="142" spans="1:9" ht="30" x14ac:dyDescent="0.25">
      <c r="A142" s="282" t="s">
        <v>143</v>
      </c>
      <c r="B142" s="283">
        <v>173279.55</v>
      </c>
      <c r="C142" s="283">
        <v>254575.66</v>
      </c>
      <c r="D142" s="283">
        <v>263292.98</v>
      </c>
      <c r="E142" s="283">
        <v>44299.31</v>
      </c>
      <c r="F142" s="283">
        <v>173279.55</v>
      </c>
      <c r="G142" s="283">
        <v>254575.66</v>
      </c>
      <c r="H142" s="283">
        <v>263292.98</v>
      </c>
      <c r="I142" s="283">
        <v>44299.31</v>
      </c>
    </row>
    <row r="143" spans="1:9" ht="30" x14ac:dyDescent="0.25">
      <c r="A143" s="282" t="s">
        <v>144</v>
      </c>
      <c r="B143" s="283">
        <v>176534.73</v>
      </c>
      <c r="C143" s="283">
        <v>238441.81</v>
      </c>
      <c r="D143" s="283">
        <v>140400.32999999999</v>
      </c>
      <c r="E143" s="283">
        <v>2737.66</v>
      </c>
      <c r="F143" s="283">
        <v>176534.73</v>
      </c>
      <c r="G143" s="283">
        <v>238441.81</v>
      </c>
      <c r="H143" s="283">
        <v>140400.32999999999</v>
      </c>
      <c r="I143" s="283">
        <v>2737.66</v>
      </c>
    </row>
    <row r="144" spans="1:9" ht="30" x14ac:dyDescent="0.25">
      <c r="A144" s="282" t="s">
        <v>145</v>
      </c>
      <c r="B144" s="283">
        <v>435050.74</v>
      </c>
      <c r="C144" s="283">
        <v>562162.16</v>
      </c>
      <c r="D144" s="283">
        <v>898107.88</v>
      </c>
      <c r="E144" s="283">
        <v>10020.620000000001</v>
      </c>
      <c r="F144" s="283">
        <v>435050.74</v>
      </c>
      <c r="G144" s="283">
        <v>562162.16</v>
      </c>
      <c r="H144" s="283">
        <v>898107.88</v>
      </c>
      <c r="I144" s="283">
        <v>10020.620000000001</v>
      </c>
    </row>
    <row r="145" spans="1:9" ht="30" x14ac:dyDescent="0.25">
      <c r="A145" s="282" t="s">
        <v>146</v>
      </c>
      <c r="B145" s="283">
        <v>329692.33</v>
      </c>
      <c r="C145" s="283">
        <v>423551.63</v>
      </c>
      <c r="D145" s="283">
        <v>752974.79</v>
      </c>
      <c r="E145" s="283">
        <v>20018.759999999998</v>
      </c>
      <c r="F145" s="283">
        <v>329692.33</v>
      </c>
      <c r="G145" s="283">
        <v>423551.63</v>
      </c>
      <c r="H145" s="283">
        <v>752974.79</v>
      </c>
      <c r="I145" s="283">
        <v>20018.759999999998</v>
      </c>
    </row>
    <row r="146" spans="1:9" ht="30" x14ac:dyDescent="0.25">
      <c r="A146" s="282" t="s">
        <v>132</v>
      </c>
      <c r="B146" s="283">
        <v>873198.54</v>
      </c>
      <c r="C146" s="283">
        <v>1107823.3500000001</v>
      </c>
      <c r="D146" s="283">
        <v>1554855.56</v>
      </c>
      <c r="E146" s="283">
        <v>31021.63</v>
      </c>
      <c r="F146" s="283">
        <v>873198.54</v>
      </c>
      <c r="G146" s="283">
        <v>1107823.3500000001</v>
      </c>
      <c r="H146" s="283">
        <v>1554855.56</v>
      </c>
      <c r="I146" s="283">
        <v>31021.63</v>
      </c>
    </row>
    <row r="147" spans="1:9" ht="30" x14ac:dyDescent="0.25">
      <c r="A147" s="282" t="s">
        <v>147</v>
      </c>
      <c r="B147" s="283">
        <v>243997.11</v>
      </c>
      <c r="C147" s="283">
        <v>333197.55</v>
      </c>
      <c r="D147" s="283">
        <v>359761.52</v>
      </c>
      <c r="E147" s="283">
        <v>2943.77</v>
      </c>
      <c r="F147" s="283">
        <v>243997.11</v>
      </c>
      <c r="G147" s="283">
        <v>333197.55</v>
      </c>
      <c r="H147" s="283">
        <v>359761.52</v>
      </c>
      <c r="I147" s="283">
        <v>2943.77</v>
      </c>
    </row>
    <row r="148" spans="1:9" ht="30" x14ac:dyDescent="0.25">
      <c r="A148" s="282" t="s">
        <v>148</v>
      </c>
      <c r="B148" s="283">
        <v>243270.49</v>
      </c>
      <c r="C148" s="283">
        <v>285634.59000000003</v>
      </c>
      <c r="D148" s="283">
        <v>446272.31</v>
      </c>
      <c r="E148" s="283">
        <v>270.22000000000003</v>
      </c>
      <c r="F148" s="283">
        <v>243270.49</v>
      </c>
      <c r="G148" s="283">
        <v>285634.59000000003</v>
      </c>
      <c r="H148" s="283">
        <v>446272.31</v>
      </c>
      <c r="I148" s="283">
        <v>270.22000000000003</v>
      </c>
    </row>
    <row r="149" spans="1:9" ht="30" x14ac:dyDescent="0.25">
      <c r="A149" s="282" t="s">
        <v>133</v>
      </c>
      <c r="B149" s="283">
        <v>116781.61</v>
      </c>
      <c r="C149" s="283">
        <v>138212.34</v>
      </c>
      <c r="D149" s="283">
        <v>402286.87</v>
      </c>
      <c r="E149" s="283">
        <v>930.07</v>
      </c>
      <c r="F149" s="283">
        <v>116781.61</v>
      </c>
      <c r="G149" s="283">
        <v>138212.34</v>
      </c>
      <c r="H149" s="283">
        <v>402286.87</v>
      </c>
      <c r="I149" s="283">
        <v>930.07</v>
      </c>
    </row>
    <row r="150" spans="1:9" ht="30" x14ac:dyDescent="0.25">
      <c r="A150" s="282" t="s">
        <v>134</v>
      </c>
      <c r="B150" s="283">
        <v>115394.49</v>
      </c>
      <c r="C150" s="283">
        <v>140081.54999999999</v>
      </c>
      <c r="D150" s="283">
        <v>861001.1</v>
      </c>
      <c r="E150" s="283">
        <v>1561.36</v>
      </c>
      <c r="F150" s="283">
        <v>115394.49</v>
      </c>
      <c r="G150" s="283">
        <v>140081.54999999999</v>
      </c>
      <c r="H150" s="283">
        <v>861001.1</v>
      </c>
      <c r="I150" s="283">
        <v>1561.36</v>
      </c>
    </row>
    <row r="151" spans="1:9" ht="30" x14ac:dyDescent="0.25">
      <c r="A151" s="282" t="s">
        <v>135</v>
      </c>
      <c r="B151" s="283">
        <v>115320.84</v>
      </c>
      <c r="C151" s="283">
        <v>169162.9</v>
      </c>
      <c r="D151" s="283">
        <v>472523.3</v>
      </c>
      <c r="E151" s="283">
        <v>21176.63</v>
      </c>
      <c r="F151" s="283">
        <v>115320.84</v>
      </c>
      <c r="G151" s="283">
        <v>169162.9</v>
      </c>
      <c r="H151" s="283">
        <v>472523.3</v>
      </c>
      <c r="I151" s="283">
        <v>21176.63</v>
      </c>
    </row>
    <row r="152" spans="1:9" ht="30" x14ac:dyDescent="0.25">
      <c r="A152" s="282" t="s">
        <v>149</v>
      </c>
      <c r="B152" s="283">
        <v>288020.86</v>
      </c>
      <c r="C152" s="283">
        <v>377440.12</v>
      </c>
      <c r="D152" s="283">
        <v>746783.19</v>
      </c>
      <c r="E152" s="283">
        <v>702.55</v>
      </c>
      <c r="F152" s="283">
        <v>288020.86</v>
      </c>
      <c r="G152" s="283">
        <v>377440.12</v>
      </c>
      <c r="H152" s="283">
        <v>746783.19</v>
      </c>
      <c r="I152" s="283">
        <v>702.55</v>
      </c>
    </row>
    <row r="153" spans="1:9" ht="30" x14ac:dyDescent="0.25">
      <c r="A153" s="282" t="s">
        <v>153</v>
      </c>
      <c r="B153" s="283">
        <v>138829.84</v>
      </c>
      <c r="C153" s="283">
        <v>175183.86</v>
      </c>
      <c r="D153" s="283">
        <v>364052.07</v>
      </c>
      <c r="E153" s="283">
        <v>287.85000000000002</v>
      </c>
      <c r="F153" s="283">
        <v>138829.84</v>
      </c>
      <c r="G153" s="283">
        <v>175183.86</v>
      </c>
      <c r="H153" s="283">
        <v>364052.07</v>
      </c>
      <c r="I153" s="283">
        <v>287.85000000000002</v>
      </c>
    </row>
    <row r="154" spans="1:9" ht="30" x14ac:dyDescent="0.25">
      <c r="A154" s="282" t="s">
        <v>1772</v>
      </c>
      <c r="B154" s="283">
        <v>0</v>
      </c>
      <c r="C154" s="283">
        <v>0</v>
      </c>
      <c r="D154" s="283">
        <v>0</v>
      </c>
      <c r="E154" s="283">
        <v>0</v>
      </c>
      <c r="F154" s="283">
        <v>0</v>
      </c>
      <c r="G154" s="283">
        <v>0</v>
      </c>
      <c r="H154" s="283">
        <v>0</v>
      </c>
      <c r="I154" s="283">
        <v>0</v>
      </c>
    </row>
    <row r="155" spans="1:9" ht="30" x14ac:dyDescent="0.25">
      <c r="A155" s="282" t="s">
        <v>154</v>
      </c>
      <c r="B155" s="283">
        <v>149297.54</v>
      </c>
      <c r="C155" s="283">
        <v>188730.93</v>
      </c>
      <c r="D155" s="283">
        <v>337746.42</v>
      </c>
      <c r="E155" s="283">
        <v>605.5</v>
      </c>
      <c r="F155" s="283">
        <v>149297.54</v>
      </c>
      <c r="G155" s="283">
        <v>188730.93</v>
      </c>
      <c r="H155" s="283">
        <v>337746.42</v>
      </c>
      <c r="I155" s="283">
        <v>605.5</v>
      </c>
    </row>
    <row r="156" spans="1:9" ht="30" x14ac:dyDescent="0.25">
      <c r="A156" s="282" t="s">
        <v>155</v>
      </c>
      <c r="B156" s="283">
        <v>227771.2</v>
      </c>
      <c r="C156" s="283">
        <v>299215.02</v>
      </c>
      <c r="D156" s="283">
        <v>510501.84</v>
      </c>
      <c r="E156" s="283">
        <v>733.41</v>
      </c>
      <c r="F156" s="283">
        <v>227771.2</v>
      </c>
      <c r="G156" s="283">
        <v>299215.02</v>
      </c>
      <c r="H156" s="283">
        <v>510501.84</v>
      </c>
      <c r="I156" s="283">
        <v>733.41</v>
      </c>
    </row>
    <row r="157" spans="1:9" ht="30" x14ac:dyDescent="0.25">
      <c r="A157" s="282" t="s">
        <v>156</v>
      </c>
      <c r="B157" s="283">
        <v>151831.76</v>
      </c>
      <c r="C157" s="283">
        <v>205456.5</v>
      </c>
      <c r="D157" s="283">
        <v>404912.66</v>
      </c>
      <c r="E157" s="283">
        <v>44.94</v>
      </c>
      <c r="F157" s="283">
        <v>151831.76</v>
      </c>
      <c r="G157" s="283">
        <v>205456.5</v>
      </c>
      <c r="H157" s="283">
        <v>404912.66</v>
      </c>
      <c r="I157" s="283">
        <v>44.94</v>
      </c>
    </row>
    <row r="158" spans="1:9" ht="30" x14ac:dyDescent="0.25">
      <c r="A158" s="282" t="s">
        <v>157</v>
      </c>
      <c r="B158" s="283">
        <v>116652.35</v>
      </c>
      <c r="C158" s="283">
        <v>166775.21</v>
      </c>
      <c r="D158" s="283">
        <v>250066.31</v>
      </c>
      <c r="E158" s="283">
        <v>12227.24</v>
      </c>
      <c r="F158" s="283">
        <v>116652.35</v>
      </c>
      <c r="G158" s="283">
        <v>166775.21</v>
      </c>
      <c r="H158" s="283">
        <v>250066.31</v>
      </c>
      <c r="I158" s="283">
        <v>12227.24</v>
      </c>
    </row>
    <row r="159" spans="1:9" ht="30" x14ac:dyDescent="0.25">
      <c r="A159" s="282" t="s">
        <v>158</v>
      </c>
      <c r="B159" s="283">
        <v>90275.44</v>
      </c>
      <c r="C159" s="283">
        <v>107718.73</v>
      </c>
      <c r="D159" s="283">
        <v>144151.69</v>
      </c>
      <c r="E159" s="283">
        <v>7716.57</v>
      </c>
      <c r="F159" s="283">
        <v>90275.44</v>
      </c>
      <c r="G159" s="283">
        <v>107718.73</v>
      </c>
      <c r="H159" s="283">
        <v>144151.69</v>
      </c>
      <c r="I159" s="283">
        <v>7716.57</v>
      </c>
    </row>
    <row r="160" spans="1:9" ht="30" x14ac:dyDescent="0.25">
      <c r="A160" s="282" t="s">
        <v>159</v>
      </c>
      <c r="B160" s="283">
        <v>116161.35</v>
      </c>
      <c r="C160" s="283">
        <v>165420.03</v>
      </c>
      <c r="D160" s="283">
        <v>174814.61</v>
      </c>
      <c r="E160" s="283">
        <v>9438.0499999999993</v>
      </c>
      <c r="F160" s="283">
        <v>116161.35</v>
      </c>
      <c r="G160" s="283">
        <v>165420.03</v>
      </c>
      <c r="H160" s="283">
        <v>174814.61</v>
      </c>
      <c r="I160" s="283">
        <v>9438.0499999999993</v>
      </c>
    </row>
    <row r="161" spans="1:9" ht="30" x14ac:dyDescent="0.25">
      <c r="A161" s="282" t="s">
        <v>160</v>
      </c>
      <c r="B161" s="283">
        <v>113859.34</v>
      </c>
      <c r="C161" s="283">
        <v>145114.70000000001</v>
      </c>
      <c r="D161" s="283">
        <v>191823.77</v>
      </c>
      <c r="E161" s="283">
        <v>4585.1400000000003</v>
      </c>
      <c r="F161" s="283">
        <v>113859.34</v>
      </c>
      <c r="G161" s="283">
        <v>145114.70000000001</v>
      </c>
      <c r="H161" s="283">
        <v>191823.77</v>
      </c>
      <c r="I161" s="283">
        <v>4585.1400000000003</v>
      </c>
    </row>
    <row r="162" spans="1:9" ht="30" x14ac:dyDescent="0.25">
      <c r="A162" s="282" t="s">
        <v>161</v>
      </c>
      <c r="B162" s="283">
        <v>115605.09</v>
      </c>
      <c r="C162" s="283">
        <v>150303.25</v>
      </c>
      <c r="D162" s="283">
        <v>254632.03</v>
      </c>
      <c r="E162" s="283">
        <v>1492.65</v>
      </c>
      <c r="F162" s="283">
        <v>115605.09</v>
      </c>
      <c r="G162" s="283">
        <v>150303.25</v>
      </c>
      <c r="H162" s="283">
        <v>254632.03</v>
      </c>
      <c r="I162" s="283">
        <v>1492.65</v>
      </c>
    </row>
    <row r="163" spans="1:9" ht="30" x14ac:dyDescent="0.25">
      <c r="A163" s="282" t="s">
        <v>1773</v>
      </c>
      <c r="B163" s="283">
        <v>0</v>
      </c>
      <c r="C163" s="283">
        <v>0</v>
      </c>
      <c r="D163" s="283">
        <v>0</v>
      </c>
      <c r="E163" s="283">
        <v>0</v>
      </c>
      <c r="F163" s="283">
        <v>0</v>
      </c>
      <c r="G163" s="283">
        <v>0</v>
      </c>
      <c r="H163" s="283">
        <v>0</v>
      </c>
      <c r="I163" s="283">
        <v>0</v>
      </c>
    </row>
    <row r="164" spans="1:9" ht="30" x14ac:dyDescent="0.25">
      <c r="A164" s="282" t="s">
        <v>162</v>
      </c>
      <c r="B164" s="283">
        <v>130928.46</v>
      </c>
      <c r="C164" s="283">
        <v>167499.13</v>
      </c>
      <c r="D164" s="283">
        <v>169200.64000000001</v>
      </c>
      <c r="E164" s="283">
        <v>4385.71</v>
      </c>
      <c r="F164" s="283">
        <v>130928.46</v>
      </c>
      <c r="G164" s="283">
        <v>167499.13</v>
      </c>
      <c r="H164" s="283">
        <v>169200.64000000001</v>
      </c>
      <c r="I164" s="283">
        <v>4385.71</v>
      </c>
    </row>
    <row r="165" spans="1:9" ht="30" x14ac:dyDescent="0.25">
      <c r="A165" s="282" t="s">
        <v>163</v>
      </c>
      <c r="B165" s="283">
        <v>146638.51</v>
      </c>
      <c r="C165" s="283">
        <v>181865.1</v>
      </c>
      <c r="D165" s="283">
        <v>212551.51</v>
      </c>
      <c r="E165" s="283">
        <v>1840.91</v>
      </c>
      <c r="F165" s="283">
        <v>146638.51</v>
      </c>
      <c r="G165" s="283">
        <v>181865.1</v>
      </c>
      <c r="H165" s="283">
        <v>212551.51</v>
      </c>
      <c r="I165" s="283">
        <v>1840.91</v>
      </c>
    </row>
    <row r="166" spans="1:9" ht="30" x14ac:dyDescent="0.25">
      <c r="A166" s="282" t="s">
        <v>164</v>
      </c>
      <c r="B166" s="283">
        <v>144724.18</v>
      </c>
      <c r="C166" s="283">
        <v>195979.66</v>
      </c>
      <c r="D166" s="283">
        <v>236116.3</v>
      </c>
      <c r="E166" s="283">
        <v>2506.2199999999998</v>
      </c>
      <c r="F166" s="283">
        <v>144724.18</v>
      </c>
      <c r="G166" s="283">
        <v>195979.66</v>
      </c>
      <c r="H166" s="283">
        <v>236116.3</v>
      </c>
      <c r="I166" s="283">
        <v>2506.2199999999998</v>
      </c>
    </row>
    <row r="167" spans="1:9" ht="30" x14ac:dyDescent="0.25">
      <c r="A167" s="282" t="s">
        <v>165</v>
      </c>
      <c r="B167" s="283">
        <v>147950.25</v>
      </c>
      <c r="C167" s="283">
        <v>180192.69</v>
      </c>
      <c r="D167" s="283">
        <v>403027.67</v>
      </c>
      <c r="E167" s="283">
        <v>35.32</v>
      </c>
      <c r="F167" s="283">
        <v>147950.25</v>
      </c>
      <c r="G167" s="283">
        <v>180192.69</v>
      </c>
      <c r="H167" s="283">
        <v>403027.67</v>
      </c>
      <c r="I167" s="283">
        <v>35.32</v>
      </c>
    </row>
    <row r="168" spans="1:9" ht="30" x14ac:dyDescent="0.25">
      <c r="A168" s="282" t="s">
        <v>166</v>
      </c>
      <c r="B168" s="283">
        <v>198023.89</v>
      </c>
      <c r="C168" s="283">
        <v>272900.37</v>
      </c>
      <c r="D168" s="283">
        <v>557308.39</v>
      </c>
      <c r="E168" s="283">
        <v>5210.5600000000004</v>
      </c>
      <c r="F168" s="283">
        <v>198023.89</v>
      </c>
      <c r="G168" s="283">
        <v>272900.37</v>
      </c>
      <c r="H168" s="283">
        <v>557308.39</v>
      </c>
      <c r="I168" s="283">
        <v>5210.5600000000004</v>
      </c>
    </row>
    <row r="169" spans="1:9" ht="30" x14ac:dyDescent="0.25">
      <c r="A169" s="282" t="s">
        <v>898</v>
      </c>
      <c r="B169" s="283">
        <v>0</v>
      </c>
      <c r="C169" s="283">
        <v>0</v>
      </c>
      <c r="D169" s="283">
        <v>0</v>
      </c>
      <c r="E169" s="283">
        <v>0</v>
      </c>
      <c r="F169" s="283">
        <v>0</v>
      </c>
      <c r="G169" s="283">
        <v>0</v>
      </c>
      <c r="H169" s="283">
        <v>0</v>
      </c>
      <c r="I169" s="283">
        <v>0</v>
      </c>
    </row>
    <row r="170" spans="1:9" ht="30" x14ac:dyDescent="0.25">
      <c r="A170" s="282" t="s">
        <v>167</v>
      </c>
      <c r="B170" s="283">
        <v>114877.75</v>
      </c>
      <c r="C170" s="283">
        <v>125144.26</v>
      </c>
      <c r="D170" s="283">
        <v>331141.19</v>
      </c>
      <c r="E170" s="283">
        <v>25718.09</v>
      </c>
      <c r="F170" s="283">
        <v>114877.75</v>
      </c>
      <c r="G170" s="283">
        <v>125144.26</v>
      </c>
      <c r="H170" s="283">
        <v>331141.19</v>
      </c>
      <c r="I170" s="283">
        <v>25718.09</v>
      </c>
    </row>
    <row r="171" spans="1:9" ht="30" x14ac:dyDescent="0.25">
      <c r="A171" s="282" t="s">
        <v>168</v>
      </c>
      <c r="B171" s="283">
        <v>116028.06</v>
      </c>
      <c r="C171" s="283">
        <v>136309.54999999999</v>
      </c>
      <c r="D171" s="283">
        <v>409392.57</v>
      </c>
      <c r="E171" s="283">
        <v>2634.19</v>
      </c>
      <c r="F171" s="283">
        <v>116028.06</v>
      </c>
      <c r="G171" s="283">
        <v>136309.54999999999</v>
      </c>
      <c r="H171" s="283">
        <v>409392.57</v>
      </c>
      <c r="I171" s="283">
        <v>2634.19</v>
      </c>
    </row>
    <row r="172" spans="1:9" ht="30" x14ac:dyDescent="0.25">
      <c r="A172" s="282" t="s">
        <v>169</v>
      </c>
      <c r="B172" s="283">
        <v>232794.76</v>
      </c>
      <c r="C172" s="283">
        <v>307238.12</v>
      </c>
      <c r="D172" s="283">
        <v>307295.26</v>
      </c>
      <c r="E172" s="283">
        <v>1501.82</v>
      </c>
      <c r="F172" s="283">
        <v>232794.76</v>
      </c>
      <c r="G172" s="283">
        <v>307238.12</v>
      </c>
      <c r="H172" s="283">
        <v>307295.26</v>
      </c>
      <c r="I172" s="283">
        <v>1501.82</v>
      </c>
    </row>
    <row r="173" spans="1:9" x14ac:dyDescent="0.25">
      <c r="A173" s="282" t="s">
        <v>150</v>
      </c>
      <c r="B173" s="283">
        <v>111776.27</v>
      </c>
      <c r="C173" s="283">
        <v>138054.81</v>
      </c>
      <c r="D173" s="283">
        <v>640719.42000000004</v>
      </c>
      <c r="E173" s="283">
        <v>0</v>
      </c>
      <c r="F173" s="283">
        <v>111776.27</v>
      </c>
      <c r="G173" s="283">
        <v>138054.81</v>
      </c>
      <c r="H173" s="283">
        <v>640719.42000000004</v>
      </c>
      <c r="I173" s="283">
        <v>0</v>
      </c>
    </row>
    <row r="174" spans="1:9" ht="30" x14ac:dyDescent="0.25">
      <c r="A174" s="282" t="s">
        <v>170</v>
      </c>
      <c r="B174" s="283">
        <v>116818.14</v>
      </c>
      <c r="C174" s="283">
        <v>129018.83</v>
      </c>
      <c r="D174" s="283">
        <v>504520.56</v>
      </c>
      <c r="E174" s="283">
        <v>53.93</v>
      </c>
      <c r="F174" s="283">
        <v>116818.14</v>
      </c>
      <c r="G174" s="283">
        <v>129018.83</v>
      </c>
      <c r="H174" s="283">
        <v>504520.56</v>
      </c>
      <c r="I174" s="283">
        <v>53.93</v>
      </c>
    </row>
    <row r="175" spans="1:9" ht="30" x14ac:dyDescent="0.25">
      <c r="A175" s="282" t="s">
        <v>171</v>
      </c>
      <c r="B175" s="283">
        <v>117425.15</v>
      </c>
      <c r="C175" s="283">
        <v>161193.07</v>
      </c>
      <c r="D175" s="283">
        <v>337993.48</v>
      </c>
      <c r="E175" s="283">
        <v>152.22</v>
      </c>
      <c r="F175" s="283">
        <v>117425.15</v>
      </c>
      <c r="G175" s="283">
        <v>161193.07</v>
      </c>
      <c r="H175" s="283">
        <v>337993.48</v>
      </c>
      <c r="I175" s="283">
        <v>152.22</v>
      </c>
    </row>
    <row r="176" spans="1:9" ht="30" x14ac:dyDescent="0.25">
      <c r="A176" s="282" t="s">
        <v>172</v>
      </c>
      <c r="B176" s="283">
        <v>110628.62</v>
      </c>
      <c r="C176" s="283">
        <v>118849.71</v>
      </c>
      <c r="D176" s="283">
        <v>503043.39</v>
      </c>
      <c r="E176" s="283">
        <v>0</v>
      </c>
      <c r="F176" s="283">
        <v>110628.62</v>
      </c>
      <c r="G176" s="283">
        <v>118849.71</v>
      </c>
      <c r="H176" s="283">
        <v>503043.39</v>
      </c>
      <c r="I176" s="283">
        <v>0</v>
      </c>
    </row>
    <row r="177" spans="1:9" ht="30" x14ac:dyDescent="0.25">
      <c r="A177" s="282" t="s">
        <v>173</v>
      </c>
      <c r="B177" s="283">
        <v>105653.11</v>
      </c>
      <c r="C177" s="283">
        <v>95402.37</v>
      </c>
      <c r="D177" s="283">
        <v>744912.99</v>
      </c>
      <c r="E177" s="283">
        <v>1049.69</v>
      </c>
      <c r="F177" s="283">
        <v>105653.11</v>
      </c>
      <c r="G177" s="283">
        <v>95402.37</v>
      </c>
      <c r="H177" s="283">
        <v>744912.99</v>
      </c>
      <c r="I177" s="283">
        <v>1049.69</v>
      </c>
    </row>
    <row r="178" spans="1:9" ht="30" x14ac:dyDescent="0.25">
      <c r="A178" s="282" t="s">
        <v>174</v>
      </c>
      <c r="B178" s="283">
        <v>243574.04</v>
      </c>
      <c r="C178" s="283">
        <v>303437.57</v>
      </c>
      <c r="D178" s="283">
        <v>199304.3</v>
      </c>
      <c r="E178" s="283">
        <v>0.82</v>
      </c>
      <c r="F178" s="283">
        <v>243574.04</v>
      </c>
      <c r="G178" s="283">
        <v>303437.57</v>
      </c>
      <c r="H178" s="283">
        <v>199304.3</v>
      </c>
      <c r="I178" s="283">
        <v>0.82</v>
      </c>
    </row>
    <row r="179" spans="1:9" ht="30" x14ac:dyDescent="0.25">
      <c r="A179" s="282" t="s">
        <v>151</v>
      </c>
      <c r="B179" s="283">
        <v>147916.37</v>
      </c>
      <c r="C179" s="283">
        <v>172258.47</v>
      </c>
      <c r="D179" s="283">
        <v>364704.42</v>
      </c>
      <c r="E179" s="283">
        <v>577.35</v>
      </c>
      <c r="F179" s="283">
        <v>147916.37</v>
      </c>
      <c r="G179" s="283">
        <v>172258.47</v>
      </c>
      <c r="H179" s="283">
        <v>364704.42</v>
      </c>
      <c r="I179" s="283">
        <v>577.35</v>
      </c>
    </row>
    <row r="180" spans="1:9" ht="30" x14ac:dyDescent="0.25">
      <c r="A180" s="282" t="s">
        <v>152</v>
      </c>
      <c r="B180" s="283">
        <v>147020.28</v>
      </c>
      <c r="C180" s="283">
        <v>170685.98</v>
      </c>
      <c r="D180" s="283">
        <v>510286.39</v>
      </c>
      <c r="E180" s="283">
        <v>0</v>
      </c>
      <c r="F180" s="283">
        <v>147020.28</v>
      </c>
      <c r="G180" s="283">
        <v>170685.98</v>
      </c>
      <c r="H180" s="283">
        <v>510286.39</v>
      </c>
      <c r="I180" s="283">
        <v>0</v>
      </c>
    </row>
    <row r="181" spans="1:9" x14ac:dyDescent="0.25">
      <c r="A181" s="282" t="s">
        <v>1774</v>
      </c>
      <c r="B181" s="283">
        <v>0</v>
      </c>
      <c r="C181" s="283">
        <v>0</v>
      </c>
      <c r="D181" s="283">
        <v>0</v>
      </c>
      <c r="E181" s="283">
        <v>0</v>
      </c>
      <c r="F181" s="283">
        <v>0</v>
      </c>
      <c r="G181" s="283">
        <v>0</v>
      </c>
      <c r="H181" s="283">
        <v>0</v>
      </c>
      <c r="I181" s="283">
        <v>0</v>
      </c>
    </row>
    <row r="182" spans="1:9" ht="30" x14ac:dyDescent="0.25">
      <c r="A182" s="282" t="s">
        <v>1775</v>
      </c>
      <c r="B182" s="283">
        <v>0</v>
      </c>
      <c r="C182" s="283">
        <v>0</v>
      </c>
      <c r="D182" s="283">
        <v>0</v>
      </c>
      <c r="E182" s="283">
        <v>0</v>
      </c>
      <c r="F182" s="283">
        <v>0</v>
      </c>
      <c r="G182" s="283">
        <v>0</v>
      </c>
      <c r="H182" s="283">
        <v>0</v>
      </c>
      <c r="I182" s="283">
        <v>0</v>
      </c>
    </row>
    <row r="183" spans="1:9" ht="30" x14ac:dyDescent="0.25">
      <c r="A183" s="282" t="s">
        <v>1776</v>
      </c>
      <c r="B183" s="283">
        <v>0</v>
      </c>
      <c r="C183" s="283">
        <v>0</v>
      </c>
      <c r="D183" s="283">
        <v>0</v>
      </c>
      <c r="E183" s="283">
        <v>0</v>
      </c>
      <c r="F183" s="283">
        <v>0</v>
      </c>
      <c r="G183" s="283">
        <v>0</v>
      </c>
      <c r="H183" s="283">
        <v>0</v>
      </c>
      <c r="I183" s="283">
        <v>0</v>
      </c>
    </row>
    <row r="184" spans="1:9" ht="30" x14ac:dyDescent="0.25">
      <c r="A184" s="282" t="s">
        <v>205</v>
      </c>
      <c r="B184" s="283">
        <v>101543.87</v>
      </c>
      <c r="C184" s="283">
        <v>125852.13</v>
      </c>
      <c r="D184" s="283">
        <v>151136.88</v>
      </c>
      <c r="E184" s="283">
        <v>0</v>
      </c>
      <c r="F184" s="283">
        <v>101543.87</v>
      </c>
      <c r="G184" s="283">
        <v>125852.13</v>
      </c>
      <c r="H184" s="283">
        <v>151136.88</v>
      </c>
      <c r="I184" s="283">
        <v>0</v>
      </c>
    </row>
    <row r="185" spans="1:9" ht="30" x14ac:dyDescent="0.25">
      <c r="A185" s="282" t="s">
        <v>206</v>
      </c>
      <c r="B185" s="283">
        <v>101799.72</v>
      </c>
      <c r="C185" s="283">
        <v>121390.12</v>
      </c>
      <c r="D185" s="283">
        <v>423006.89</v>
      </c>
      <c r="E185" s="283">
        <v>68.05</v>
      </c>
      <c r="F185" s="283">
        <v>101799.72</v>
      </c>
      <c r="G185" s="283">
        <v>121390.12</v>
      </c>
      <c r="H185" s="283">
        <v>423006.89</v>
      </c>
      <c r="I185" s="283">
        <v>68.05</v>
      </c>
    </row>
    <row r="186" spans="1:9" ht="30" x14ac:dyDescent="0.25">
      <c r="A186" s="282" t="s">
        <v>207</v>
      </c>
      <c r="B186" s="283">
        <v>112035.32</v>
      </c>
      <c r="C186" s="283">
        <v>133843.23000000001</v>
      </c>
      <c r="D186" s="283">
        <v>463994.93</v>
      </c>
      <c r="E186" s="283">
        <v>0</v>
      </c>
      <c r="F186" s="283">
        <v>112035.32</v>
      </c>
      <c r="G186" s="283">
        <v>133843.23000000001</v>
      </c>
      <c r="H186" s="283">
        <v>463994.93</v>
      </c>
      <c r="I186" s="283">
        <v>0</v>
      </c>
    </row>
    <row r="187" spans="1:9" ht="30" x14ac:dyDescent="0.25">
      <c r="A187" s="282" t="s">
        <v>208</v>
      </c>
      <c r="B187" s="283">
        <v>111162.68</v>
      </c>
      <c r="C187" s="283">
        <v>140572.94</v>
      </c>
      <c r="D187" s="283">
        <v>483267.81</v>
      </c>
      <c r="E187" s="283">
        <v>1540.22</v>
      </c>
      <c r="F187" s="283">
        <v>111162.68</v>
      </c>
      <c r="G187" s="283">
        <v>140572.94</v>
      </c>
      <c r="H187" s="283">
        <v>483267.81</v>
      </c>
      <c r="I187" s="283">
        <v>1540.22</v>
      </c>
    </row>
    <row r="188" spans="1:9" ht="30" x14ac:dyDescent="0.25">
      <c r="A188" s="282" t="s">
        <v>209</v>
      </c>
      <c r="B188" s="283">
        <v>111378.26</v>
      </c>
      <c r="C188" s="283">
        <v>131653.59</v>
      </c>
      <c r="D188" s="283">
        <v>461138.76</v>
      </c>
      <c r="E188" s="283">
        <v>22.7</v>
      </c>
      <c r="F188" s="283">
        <v>111378.26</v>
      </c>
      <c r="G188" s="283">
        <v>131653.59</v>
      </c>
      <c r="H188" s="283">
        <v>461138.76</v>
      </c>
      <c r="I188" s="283">
        <v>22.7</v>
      </c>
    </row>
    <row r="189" spans="1:9" ht="30" x14ac:dyDescent="0.25">
      <c r="A189" s="282" t="s">
        <v>210</v>
      </c>
      <c r="B189" s="283">
        <v>223525.01</v>
      </c>
      <c r="C189" s="283">
        <v>293932.48</v>
      </c>
      <c r="D189" s="283">
        <v>241020.68</v>
      </c>
      <c r="E189" s="283">
        <v>2781.65</v>
      </c>
      <c r="F189" s="283">
        <v>223525.01</v>
      </c>
      <c r="G189" s="283">
        <v>293932.48</v>
      </c>
      <c r="H189" s="283">
        <v>241020.68</v>
      </c>
      <c r="I189" s="283">
        <v>2781.65</v>
      </c>
    </row>
    <row r="190" spans="1:9" ht="30" x14ac:dyDescent="0.25">
      <c r="A190" s="282" t="s">
        <v>211</v>
      </c>
      <c r="B190" s="283">
        <v>81817.16</v>
      </c>
      <c r="C190" s="283">
        <v>108040.28</v>
      </c>
      <c r="D190" s="283">
        <v>116263.54</v>
      </c>
      <c r="E190" s="283">
        <v>42.46</v>
      </c>
      <c r="F190" s="283">
        <v>81817.16</v>
      </c>
      <c r="G190" s="283">
        <v>108040.28</v>
      </c>
      <c r="H190" s="283">
        <v>116263.54</v>
      </c>
      <c r="I190" s="283">
        <v>42.46</v>
      </c>
    </row>
    <row r="191" spans="1:9" ht="30" x14ac:dyDescent="0.25">
      <c r="A191" s="282" t="s">
        <v>212</v>
      </c>
      <c r="B191" s="283">
        <v>65750.58</v>
      </c>
      <c r="C191" s="283">
        <v>70214.03</v>
      </c>
      <c r="D191" s="283">
        <v>116930.17</v>
      </c>
      <c r="E191" s="283">
        <v>1570.24</v>
      </c>
      <c r="F191" s="283">
        <v>65750.58</v>
      </c>
      <c r="G191" s="283">
        <v>70214.03</v>
      </c>
      <c r="H191" s="283">
        <v>116930.17</v>
      </c>
      <c r="I191" s="283">
        <v>1570.24</v>
      </c>
    </row>
    <row r="192" spans="1:9" ht="30" x14ac:dyDescent="0.25">
      <c r="A192" s="282" t="s">
        <v>213</v>
      </c>
      <c r="B192" s="283">
        <v>89283.75</v>
      </c>
      <c r="C192" s="283">
        <v>132301.78</v>
      </c>
      <c r="D192" s="283">
        <v>462195.5</v>
      </c>
      <c r="E192" s="283">
        <v>2778.93</v>
      </c>
      <c r="F192" s="283">
        <v>89283.75</v>
      </c>
      <c r="G192" s="283">
        <v>132301.78</v>
      </c>
      <c r="H192" s="283">
        <v>462195.5</v>
      </c>
      <c r="I192" s="283">
        <v>2778.93</v>
      </c>
    </row>
    <row r="193" spans="1:9" ht="30" x14ac:dyDescent="0.25">
      <c r="A193" s="282" t="s">
        <v>214</v>
      </c>
      <c r="B193" s="283">
        <v>162661.04</v>
      </c>
      <c r="C193" s="283">
        <v>211058.35</v>
      </c>
      <c r="D193" s="283">
        <v>553657.19999999995</v>
      </c>
      <c r="E193" s="283">
        <v>1112.72</v>
      </c>
      <c r="F193" s="283">
        <v>162661.04</v>
      </c>
      <c r="G193" s="283">
        <v>211058.35</v>
      </c>
      <c r="H193" s="283">
        <v>553657.19999999995</v>
      </c>
      <c r="I193" s="283">
        <v>1112.72</v>
      </c>
    </row>
    <row r="194" spans="1:9" ht="30" x14ac:dyDescent="0.25">
      <c r="A194" s="282" t="s">
        <v>215</v>
      </c>
      <c r="B194" s="283">
        <v>162433.54999999999</v>
      </c>
      <c r="C194" s="283">
        <v>221873.64</v>
      </c>
      <c r="D194" s="283">
        <v>372312.86</v>
      </c>
      <c r="E194" s="283">
        <v>331.09</v>
      </c>
      <c r="F194" s="283">
        <v>162433.54999999999</v>
      </c>
      <c r="G194" s="283">
        <v>221873.64</v>
      </c>
      <c r="H194" s="283">
        <v>372312.86</v>
      </c>
      <c r="I194" s="283">
        <v>331.09</v>
      </c>
    </row>
    <row r="195" spans="1:9" ht="30" x14ac:dyDescent="0.25">
      <c r="A195" s="282" t="s">
        <v>216</v>
      </c>
      <c r="B195" s="283">
        <v>15793.75</v>
      </c>
      <c r="C195" s="283">
        <v>17460.849999999999</v>
      </c>
      <c r="D195" s="283">
        <v>129580.83</v>
      </c>
      <c r="E195" s="283">
        <v>0</v>
      </c>
      <c r="F195" s="283">
        <v>15793.75</v>
      </c>
      <c r="G195" s="283">
        <v>17460.849999999999</v>
      </c>
      <c r="H195" s="283">
        <v>129580.83</v>
      </c>
      <c r="I195" s="283">
        <v>0</v>
      </c>
    </row>
    <row r="196" spans="1:9" ht="30" x14ac:dyDescent="0.25">
      <c r="A196" s="282" t="s">
        <v>217</v>
      </c>
      <c r="B196" s="283">
        <v>185657.77</v>
      </c>
      <c r="C196" s="283">
        <v>258272.73</v>
      </c>
      <c r="D196" s="283">
        <v>402564.41</v>
      </c>
      <c r="E196" s="283">
        <v>633.66999999999996</v>
      </c>
      <c r="F196" s="283">
        <v>185657.77</v>
      </c>
      <c r="G196" s="283">
        <v>258272.73</v>
      </c>
      <c r="H196" s="283">
        <v>402564.41</v>
      </c>
      <c r="I196" s="283">
        <v>633.66999999999996</v>
      </c>
    </row>
    <row r="197" spans="1:9" ht="30" x14ac:dyDescent="0.25">
      <c r="A197" s="282" t="s">
        <v>218</v>
      </c>
      <c r="B197" s="283">
        <v>184919.71</v>
      </c>
      <c r="C197" s="283">
        <v>222502.62</v>
      </c>
      <c r="D197" s="283">
        <v>413500.31</v>
      </c>
      <c r="E197" s="283">
        <v>1513.36</v>
      </c>
      <c r="F197" s="283">
        <v>184919.71</v>
      </c>
      <c r="G197" s="283">
        <v>222502.62</v>
      </c>
      <c r="H197" s="283">
        <v>413500.31</v>
      </c>
      <c r="I197" s="283">
        <v>1513.36</v>
      </c>
    </row>
    <row r="198" spans="1:9" ht="30" x14ac:dyDescent="0.25">
      <c r="A198" s="282" t="s">
        <v>219</v>
      </c>
      <c r="B198" s="283">
        <v>177895.93</v>
      </c>
      <c r="C198" s="283">
        <v>224891.64</v>
      </c>
      <c r="D198" s="283">
        <v>737495.26</v>
      </c>
      <c r="E198" s="283">
        <v>73.73</v>
      </c>
      <c r="F198" s="283">
        <v>177895.93</v>
      </c>
      <c r="G198" s="283">
        <v>224891.64</v>
      </c>
      <c r="H198" s="283">
        <v>737495.26</v>
      </c>
      <c r="I198" s="283">
        <v>73.73</v>
      </c>
    </row>
    <row r="199" spans="1:9" ht="30" x14ac:dyDescent="0.25">
      <c r="A199" s="282" t="s">
        <v>220</v>
      </c>
      <c r="B199" s="283">
        <v>456142.71</v>
      </c>
      <c r="C199" s="283">
        <v>591379.97</v>
      </c>
      <c r="D199" s="283">
        <v>1101867.5</v>
      </c>
      <c r="E199" s="283">
        <v>696.79</v>
      </c>
      <c r="F199" s="283">
        <v>456142.71</v>
      </c>
      <c r="G199" s="283">
        <v>591379.97</v>
      </c>
      <c r="H199" s="283">
        <v>1101867.5</v>
      </c>
      <c r="I199" s="283">
        <v>696.79</v>
      </c>
    </row>
    <row r="200" spans="1:9" ht="30" x14ac:dyDescent="0.25">
      <c r="A200" s="282" t="s">
        <v>175</v>
      </c>
      <c r="B200" s="283">
        <v>116066.86</v>
      </c>
      <c r="C200" s="283">
        <v>128953.58</v>
      </c>
      <c r="D200" s="283">
        <v>602670.29</v>
      </c>
      <c r="E200" s="283">
        <v>1779.58</v>
      </c>
      <c r="F200" s="283">
        <v>116066.86</v>
      </c>
      <c r="G200" s="283">
        <v>128953.58</v>
      </c>
      <c r="H200" s="283">
        <v>602670.29</v>
      </c>
      <c r="I200" s="283">
        <v>1779.58</v>
      </c>
    </row>
    <row r="201" spans="1:9" ht="30" x14ac:dyDescent="0.25">
      <c r="A201" s="282" t="s">
        <v>176</v>
      </c>
      <c r="B201" s="283">
        <v>104903.47</v>
      </c>
      <c r="C201" s="283">
        <v>123948.21</v>
      </c>
      <c r="D201" s="283">
        <v>597159.81000000006</v>
      </c>
      <c r="E201" s="283">
        <v>385.53</v>
      </c>
      <c r="F201" s="283">
        <v>104903.47</v>
      </c>
      <c r="G201" s="283">
        <v>123948.21</v>
      </c>
      <c r="H201" s="283">
        <v>597159.81000000006</v>
      </c>
      <c r="I201" s="283">
        <v>385.53</v>
      </c>
    </row>
    <row r="202" spans="1:9" ht="30" x14ac:dyDescent="0.25">
      <c r="A202" s="282" t="s">
        <v>177</v>
      </c>
      <c r="B202" s="283">
        <v>117564.51</v>
      </c>
      <c r="C202" s="283">
        <v>146072.43</v>
      </c>
      <c r="D202" s="283">
        <v>380467.51</v>
      </c>
      <c r="E202" s="283">
        <v>3412.44</v>
      </c>
      <c r="F202" s="283">
        <v>117564.51</v>
      </c>
      <c r="G202" s="283">
        <v>146072.43</v>
      </c>
      <c r="H202" s="283">
        <v>380467.51</v>
      </c>
      <c r="I202" s="283">
        <v>3412.44</v>
      </c>
    </row>
    <row r="203" spans="1:9" ht="30" x14ac:dyDescent="0.25">
      <c r="A203" s="282" t="s">
        <v>178</v>
      </c>
      <c r="B203" s="283">
        <v>110502.59</v>
      </c>
      <c r="C203" s="283">
        <v>144703.46</v>
      </c>
      <c r="D203" s="283">
        <v>267864.84000000003</v>
      </c>
      <c r="E203" s="283">
        <v>3148.93</v>
      </c>
      <c r="F203" s="283">
        <v>110502.59</v>
      </c>
      <c r="G203" s="283">
        <v>144703.46</v>
      </c>
      <c r="H203" s="283">
        <v>267864.84000000003</v>
      </c>
      <c r="I203" s="283">
        <v>3148.93</v>
      </c>
    </row>
    <row r="204" spans="1:9" ht="30" x14ac:dyDescent="0.25">
      <c r="A204" s="282" t="s">
        <v>179</v>
      </c>
      <c r="B204" s="283">
        <v>111421.37</v>
      </c>
      <c r="C204" s="283">
        <v>138516.74</v>
      </c>
      <c r="D204" s="283">
        <v>468592.34</v>
      </c>
      <c r="E204" s="283">
        <v>209.13</v>
      </c>
      <c r="F204" s="283">
        <v>111421.37</v>
      </c>
      <c r="G204" s="283">
        <v>138516.74</v>
      </c>
      <c r="H204" s="283">
        <v>468592.34</v>
      </c>
      <c r="I204" s="283">
        <v>209.13</v>
      </c>
    </row>
    <row r="205" spans="1:9" ht="30" x14ac:dyDescent="0.25">
      <c r="A205" s="282" t="s">
        <v>180</v>
      </c>
      <c r="B205" s="283">
        <v>310103.21000000002</v>
      </c>
      <c r="C205" s="283">
        <v>402973.74</v>
      </c>
      <c r="D205" s="283">
        <v>872713.11</v>
      </c>
      <c r="E205" s="283">
        <v>7173.62</v>
      </c>
      <c r="F205" s="283">
        <v>310103.21000000002</v>
      </c>
      <c r="G205" s="283">
        <v>402973.74</v>
      </c>
      <c r="H205" s="283">
        <v>872713.11</v>
      </c>
      <c r="I205" s="283">
        <v>7173.62</v>
      </c>
    </row>
    <row r="206" spans="1:9" ht="30" x14ac:dyDescent="0.25">
      <c r="A206" s="282" t="s">
        <v>181</v>
      </c>
      <c r="B206" s="283">
        <v>168634.14</v>
      </c>
      <c r="C206" s="283">
        <v>218582.12</v>
      </c>
      <c r="D206" s="283">
        <v>380495.6</v>
      </c>
      <c r="E206" s="283">
        <v>1707.34</v>
      </c>
      <c r="F206" s="283">
        <v>168634.14</v>
      </c>
      <c r="G206" s="283">
        <v>218582.12</v>
      </c>
      <c r="H206" s="283">
        <v>380495.6</v>
      </c>
      <c r="I206" s="283">
        <v>1707.34</v>
      </c>
    </row>
    <row r="207" spans="1:9" ht="30" x14ac:dyDescent="0.25">
      <c r="A207" s="282" t="s">
        <v>182</v>
      </c>
      <c r="B207" s="283">
        <v>212125.58</v>
      </c>
      <c r="C207" s="283">
        <v>253850.52</v>
      </c>
      <c r="D207" s="283">
        <v>598920.06999999995</v>
      </c>
      <c r="E207" s="283">
        <v>2284.75</v>
      </c>
      <c r="F207" s="283">
        <v>212125.58</v>
      </c>
      <c r="G207" s="283">
        <v>253850.52</v>
      </c>
      <c r="H207" s="283">
        <v>598920.06999999995</v>
      </c>
      <c r="I207" s="283">
        <v>2284.75</v>
      </c>
    </row>
    <row r="208" spans="1:9" ht="30" x14ac:dyDescent="0.25">
      <c r="A208" s="282" t="s">
        <v>183</v>
      </c>
      <c r="B208" s="283">
        <v>166052.32999999999</v>
      </c>
      <c r="C208" s="283">
        <v>207948.2</v>
      </c>
      <c r="D208" s="283">
        <v>503074</v>
      </c>
      <c r="E208" s="283">
        <v>470.91</v>
      </c>
      <c r="F208" s="283">
        <v>166052.32999999999</v>
      </c>
      <c r="G208" s="283">
        <v>207948.2</v>
      </c>
      <c r="H208" s="283">
        <v>503074</v>
      </c>
      <c r="I208" s="283">
        <v>470.91</v>
      </c>
    </row>
    <row r="209" spans="1:9" ht="30" x14ac:dyDescent="0.25">
      <c r="A209" s="282" t="s">
        <v>184</v>
      </c>
      <c r="B209" s="283">
        <v>115935.86</v>
      </c>
      <c r="C209" s="283">
        <v>142165.38</v>
      </c>
      <c r="D209" s="283">
        <v>236189.18</v>
      </c>
      <c r="E209" s="283">
        <v>14.24</v>
      </c>
      <c r="F209" s="283">
        <v>115935.86</v>
      </c>
      <c r="G209" s="283">
        <v>142165.38</v>
      </c>
      <c r="H209" s="283">
        <v>236189.18</v>
      </c>
      <c r="I209" s="283">
        <v>14.24</v>
      </c>
    </row>
    <row r="210" spans="1:9" ht="30" x14ac:dyDescent="0.25">
      <c r="A210" s="282" t="s">
        <v>185</v>
      </c>
      <c r="B210" s="283">
        <v>368834.71</v>
      </c>
      <c r="C210" s="283">
        <v>471798.24</v>
      </c>
      <c r="D210" s="283">
        <v>987196.8</v>
      </c>
      <c r="E210" s="283">
        <v>591.91</v>
      </c>
      <c r="F210" s="283">
        <v>368834.71</v>
      </c>
      <c r="G210" s="283">
        <v>471798.24</v>
      </c>
      <c r="H210" s="283">
        <v>987196.8</v>
      </c>
      <c r="I210" s="283">
        <v>591.91</v>
      </c>
    </row>
    <row r="211" spans="1:9" ht="30" x14ac:dyDescent="0.25">
      <c r="A211" s="282" t="s">
        <v>186</v>
      </c>
      <c r="B211" s="283">
        <v>241632.2</v>
      </c>
      <c r="C211" s="283">
        <v>320069.98</v>
      </c>
      <c r="D211" s="283">
        <v>235097.93</v>
      </c>
      <c r="E211" s="283">
        <v>607.86</v>
      </c>
      <c r="F211" s="283">
        <v>241632.2</v>
      </c>
      <c r="G211" s="283">
        <v>320069.98</v>
      </c>
      <c r="H211" s="283">
        <v>235097.93</v>
      </c>
      <c r="I211" s="283">
        <v>607.86</v>
      </c>
    </row>
    <row r="212" spans="1:9" ht="30" x14ac:dyDescent="0.25">
      <c r="A212" s="282" t="s">
        <v>187</v>
      </c>
      <c r="B212" s="283">
        <v>460624.81</v>
      </c>
      <c r="C212" s="283">
        <v>641785.87</v>
      </c>
      <c r="D212" s="283">
        <v>1434132.81</v>
      </c>
      <c r="E212" s="283">
        <v>1058.2</v>
      </c>
      <c r="F212" s="283">
        <v>460624.81</v>
      </c>
      <c r="G212" s="283">
        <v>641785.87</v>
      </c>
      <c r="H212" s="283">
        <v>1434132.81</v>
      </c>
      <c r="I212" s="283">
        <v>1058.2</v>
      </c>
    </row>
    <row r="213" spans="1:9" ht="30" x14ac:dyDescent="0.25">
      <c r="A213" s="282" t="s">
        <v>188</v>
      </c>
      <c r="B213" s="283">
        <v>147073.54</v>
      </c>
      <c r="C213" s="283">
        <v>187796.01</v>
      </c>
      <c r="D213" s="283">
        <v>275174.61</v>
      </c>
      <c r="E213" s="283">
        <v>162.44999999999999</v>
      </c>
      <c r="F213" s="283">
        <v>147073.54</v>
      </c>
      <c r="G213" s="283">
        <v>187796.01</v>
      </c>
      <c r="H213" s="283">
        <v>275174.61</v>
      </c>
      <c r="I213" s="283">
        <v>162.44999999999999</v>
      </c>
    </row>
    <row r="214" spans="1:9" ht="30" x14ac:dyDescent="0.25">
      <c r="A214" s="282" t="s">
        <v>189</v>
      </c>
      <c r="B214" s="283">
        <v>147151</v>
      </c>
      <c r="C214" s="283">
        <v>191308.34</v>
      </c>
      <c r="D214" s="283">
        <v>126352.97</v>
      </c>
      <c r="E214" s="283">
        <v>0</v>
      </c>
      <c r="F214" s="283">
        <v>147151</v>
      </c>
      <c r="G214" s="283">
        <v>191308.34</v>
      </c>
      <c r="H214" s="283">
        <v>126352.97</v>
      </c>
      <c r="I214" s="283">
        <v>0</v>
      </c>
    </row>
    <row r="215" spans="1:9" ht="30" x14ac:dyDescent="0.25">
      <c r="A215" s="282" t="s">
        <v>190</v>
      </c>
      <c r="B215" s="283">
        <v>90743.18</v>
      </c>
      <c r="C215" s="283">
        <v>123580.97</v>
      </c>
      <c r="D215" s="283">
        <v>68342.81</v>
      </c>
      <c r="E215" s="283">
        <v>914.25</v>
      </c>
      <c r="F215" s="283">
        <v>90743.18</v>
      </c>
      <c r="G215" s="283">
        <v>123580.97</v>
      </c>
      <c r="H215" s="283">
        <v>68342.81</v>
      </c>
      <c r="I215" s="283">
        <v>914.25</v>
      </c>
    </row>
    <row r="216" spans="1:9" ht="30" x14ac:dyDescent="0.25">
      <c r="A216" s="282" t="s">
        <v>191</v>
      </c>
      <c r="B216" s="283">
        <v>145460.47</v>
      </c>
      <c r="C216" s="283">
        <v>193407.86</v>
      </c>
      <c r="D216" s="283">
        <v>340495.94</v>
      </c>
      <c r="E216" s="283">
        <v>2596.6999999999998</v>
      </c>
      <c r="F216" s="283">
        <v>145460.47</v>
      </c>
      <c r="G216" s="283">
        <v>193407.86</v>
      </c>
      <c r="H216" s="283">
        <v>340495.94</v>
      </c>
      <c r="I216" s="283">
        <v>2596.6999999999998</v>
      </c>
    </row>
    <row r="217" spans="1:9" ht="30" x14ac:dyDescent="0.25">
      <c r="A217" s="282" t="s">
        <v>192</v>
      </c>
      <c r="B217" s="283">
        <v>335698.8</v>
      </c>
      <c r="C217" s="283">
        <v>435452.84</v>
      </c>
      <c r="D217" s="283">
        <v>727776.74</v>
      </c>
      <c r="E217" s="283">
        <v>4022.94</v>
      </c>
      <c r="F217" s="283">
        <v>335698.8</v>
      </c>
      <c r="G217" s="283">
        <v>435452.84</v>
      </c>
      <c r="H217" s="283">
        <v>727776.74</v>
      </c>
      <c r="I217" s="283">
        <v>4022.94</v>
      </c>
    </row>
    <row r="218" spans="1:9" ht="30" x14ac:dyDescent="0.25">
      <c r="A218" s="282" t="s">
        <v>193</v>
      </c>
      <c r="B218" s="283">
        <v>160539.85999999999</v>
      </c>
      <c r="C218" s="283">
        <v>211774.44</v>
      </c>
      <c r="D218" s="283">
        <v>207546.22</v>
      </c>
      <c r="E218" s="283">
        <v>0</v>
      </c>
      <c r="F218" s="283">
        <v>160539.85999999999</v>
      </c>
      <c r="G218" s="283">
        <v>211774.44</v>
      </c>
      <c r="H218" s="283">
        <v>207546.22</v>
      </c>
      <c r="I218" s="283">
        <v>0</v>
      </c>
    </row>
    <row r="219" spans="1:9" ht="30" x14ac:dyDescent="0.25">
      <c r="A219" s="282" t="s">
        <v>194</v>
      </c>
      <c r="B219" s="283">
        <v>342170.52</v>
      </c>
      <c r="C219" s="283">
        <v>440949.97</v>
      </c>
      <c r="D219" s="283">
        <v>717160.44</v>
      </c>
      <c r="E219" s="283">
        <v>9977.36</v>
      </c>
      <c r="F219" s="283">
        <v>342170.52</v>
      </c>
      <c r="G219" s="283">
        <v>440949.97</v>
      </c>
      <c r="H219" s="283">
        <v>717160.44</v>
      </c>
      <c r="I219" s="283">
        <v>9977.36</v>
      </c>
    </row>
    <row r="220" spans="1:9" ht="30" x14ac:dyDescent="0.25">
      <c r="A220" s="282" t="s">
        <v>195</v>
      </c>
      <c r="B220" s="283">
        <v>336809.62</v>
      </c>
      <c r="C220" s="283">
        <v>441105.44</v>
      </c>
      <c r="D220" s="283">
        <v>977830.33</v>
      </c>
      <c r="E220" s="283">
        <v>30841.83</v>
      </c>
      <c r="F220" s="283">
        <v>336809.62</v>
      </c>
      <c r="G220" s="283">
        <v>441105.44</v>
      </c>
      <c r="H220" s="283">
        <v>977830.33</v>
      </c>
      <c r="I220" s="283">
        <v>30841.83</v>
      </c>
    </row>
    <row r="221" spans="1:9" ht="30" x14ac:dyDescent="0.25">
      <c r="A221" s="282" t="s">
        <v>196</v>
      </c>
      <c r="B221" s="283">
        <v>108084.18</v>
      </c>
      <c r="C221" s="283">
        <v>131684.10999999999</v>
      </c>
      <c r="D221" s="283">
        <v>131388.28</v>
      </c>
      <c r="E221" s="283">
        <v>25051.38</v>
      </c>
      <c r="F221" s="283">
        <v>108084.18</v>
      </c>
      <c r="G221" s="283">
        <v>131684.10999999999</v>
      </c>
      <c r="H221" s="283">
        <v>131388.28</v>
      </c>
      <c r="I221" s="283">
        <v>25051.38</v>
      </c>
    </row>
    <row r="222" spans="1:9" ht="30" x14ac:dyDescent="0.25">
      <c r="A222" s="282" t="s">
        <v>197</v>
      </c>
      <c r="B222" s="283">
        <v>114542.71</v>
      </c>
      <c r="C222" s="283">
        <v>164570.23000000001</v>
      </c>
      <c r="D222" s="283">
        <v>472961.2</v>
      </c>
      <c r="E222" s="283">
        <v>3398.54</v>
      </c>
      <c r="F222" s="283">
        <v>114542.71</v>
      </c>
      <c r="G222" s="283">
        <v>164570.23000000001</v>
      </c>
      <c r="H222" s="283">
        <v>472961.2</v>
      </c>
      <c r="I222" s="283">
        <v>3398.54</v>
      </c>
    </row>
    <row r="223" spans="1:9" ht="30" x14ac:dyDescent="0.25">
      <c r="A223" s="282" t="s">
        <v>198</v>
      </c>
      <c r="B223" s="283">
        <v>163418.71</v>
      </c>
      <c r="C223" s="283">
        <v>203866.39</v>
      </c>
      <c r="D223" s="283">
        <v>675871.01</v>
      </c>
      <c r="E223" s="283">
        <v>11452.44</v>
      </c>
      <c r="F223" s="283">
        <v>163418.71</v>
      </c>
      <c r="G223" s="283">
        <v>203866.39</v>
      </c>
      <c r="H223" s="283">
        <v>675871.01</v>
      </c>
      <c r="I223" s="283">
        <v>11452.44</v>
      </c>
    </row>
    <row r="224" spans="1:9" ht="30" x14ac:dyDescent="0.25">
      <c r="A224" s="282" t="s">
        <v>199</v>
      </c>
      <c r="B224" s="283">
        <v>163881.76</v>
      </c>
      <c r="C224" s="283">
        <v>204362</v>
      </c>
      <c r="D224" s="283">
        <v>808765.29</v>
      </c>
      <c r="E224" s="283">
        <v>2323.9699999999998</v>
      </c>
      <c r="F224" s="283">
        <v>163881.76</v>
      </c>
      <c r="G224" s="283">
        <v>204362</v>
      </c>
      <c r="H224" s="283">
        <v>808765.29</v>
      </c>
      <c r="I224" s="283">
        <v>2323.9699999999998</v>
      </c>
    </row>
    <row r="225" spans="1:9" ht="30" x14ac:dyDescent="0.25">
      <c r="A225" s="282" t="s">
        <v>200</v>
      </c>
      <c r="B225" s="283">
        <v>114668.37</v>
      </c>
      <c r="C225" s="283">
        <v>148928.87</v>
      </c>
      <c r="D225" s="283">
        <v>641778.52</v>
      </c>
      <c r="E225" s="283">
        <v>9632.59</v>
      </c>
      <c r="F225" s="283">
        <v>114668.37</v>
      </c>
      <c r="G225" s="283">
        <v>148928.87</v>
      </c>
      <c r="H225" s="283">
        <v>641778.52</v>
      </c>
      <c r="I225" s="283">
        <v>9632.59</v>
      </c>
    </row>
    <row r="226" spans="1:9" ht="30" x14ac:dyDescent="0.25">
      <c r="A226" s="282" t="s">
        <v>201</v>
      </c>
      <c r="B226" s="283">
        <v>115561.01</v>
      </c>
      <c r="C226" s="283">
        <v>132192.63</v>
      </c>
      <c r="D226" s="283">
        <v>585412.71</v>
      </c>
      <c r="E226" s="283">
        <v>1121.83</v>
      </c>
      <c r="F226" s="283">
        <v>115561.01</v>
      </c>
      <c r="G226" s="283">
        <v>132192.63</v>
      </c>
      <c r="H226" s="283">
        <v>585412.71</v>
      </c>
      <c r="I226" s="283">
        <v>1121.83</v>
      </c>
    </row>
    <row r="227" spans="1:9" ht="30" x14ac:dyDescent="0.25">
      <c r="A227" s="282" t="s">
        <v>202</v>
      </c>
      <c r="B227" s="283">
        <v>164257.89000000001</v>
      </c>
      <c r="C227" s="283">
        <v>212351.96</v>
      </c>
      <c r="D227" s="283">
        <v>584754.73</v>
      </c>
      <c r="E227" s="283">
        <v>66.459999999999994</v>
      </c>
      <c r="F227" s="283">
        <v>164257.89000000001</v>
      </c>
      <c r="G227" s="283">
        <v>212351.96</v>
      </c>
      <c r="H227" s="283">
        <v>584754.73</v>
      </c>
      <c r="I227" s="283">
        <v>66.459999999999994</v>
      </c>
    </row>
    <row r="228" spans="1:9" ht="30" x14ac:dyDescent="0.25">
      <c r="A228" s="282" t="s">
        <v>203</v>
      </c>
      <c r="B228" s="283">
        <v>163342.43</v>
      </c>
      <c r="C228" s="283">
        <v>209116.43</v>
      </c>
      <c r="D228" s="283">
        <v>518627.56</v>
      </c>
      <c r="E228" s="283">
        <v>1994.4</v>
      </c>
      <c r="F228" s="283">
        <v>163342.43</v>
      </c>
      <c r="G228" s="283">
        <v>209116.43</v>
      </c>
      <c r="H228" s="283">
        <v>518627.56</v>
      </c>
      <c r="I228" s="283">
        <v>1994.4</v>
      </c>
    </row>
    <row r="229" spans="1:9" ht="30" x14ac:dyDescent="0.25">
      <c r="A229" s="282" t="s">
        <v>204</v>
      </c>
      <c r="B229" s="283">
        <v>100778.47</v>
      </c>
      <c r="C229" s="283">
        <v>136490.26999999999</v>
      </c>
      <c r="D229" s="283">
        <v>224870.95</v>
      </c>
      <c r="E229" s="283">
        <v>0</v>
      </c>
      <c r="F229" s="283">
        <v>100778.47</v>
      </c>
      <c r="G229" s="283">
        <v>136490.26999999999</v>
      </c>
      <c r="H229" s="283">
        <v>224870.95</v>
      </c>
      <c r="I229" s="283">
        <v>0</v>
      </c>
    </row>
    <row r="230" spans="1:9" ht="30" x14ac:dyDescent="0.25">
      <c r="A230" s="282" t="s">
        <v>1777</v>
      </c>
      <c r="B230" s="283">
        <v>0</v>
      </c>
      <c r="C230" s="283">
        <v>0</v>
      </c>
      <c r="D230" s="283">
        <v>0</v>
      </c>
      <c r="E230" s="283">
        <v>0</v>
      </c>
      <c r="F230" s="283">
        <v>0</v>
      </c>
      <c r="G230" s="283">
        <v>0</v>
      </c>
      <c r="H230" s="283">
        <v>0</v>
      </c>
      <c r="I230" s="283">
        <v>0</v>
      </c>
    </row>
    <row r="231" spans="1:9" x14ac:dyDescent="0.25">
      <c r="A231" s="282" t="s">
        <v>221</v>
      </c>
      <c r="B231" s="283">
        <v>122958.04</v>
      </c>
      <c r="C231" s="283">
        <v>169583.94</v>
      </c>
      <c r="D231" s="283">
        <v>637933.36</v>
      </c>
      <c r="E231" s="283">
        <v>0.17</v>
      </c>
      <c r="F231" s="283">
        <v>122958.04</v>
      </c>
      <c r="G231" s="283">
        <v>169583.94</v>
      </c>
      <c r="H231" s="283">
        <v>637933.36</v>
      </c>
      <c r="I231" s="283">
        <v>0.17</v>
      </c>
    </row>
    <row r="232" spans="1:9" x14ac:dyDescent="0.25">
      <c r="A232" s="282" t="s">
        <v>222</v>
      </c>
      <c r="B232" s="283">
        <v>108206.18</v>
      </c>
      <c r="C232" s="283">
        <v>140585.73000000001</v>
      </c>
      <c r="D232" s="283">
        <v>749167.72</v>
      </c>
      <c r="E232" s="283">
        <v>1340.44</v>
      </c>
      <c r="F232" s="283">
        <v>108206.18</v>
      </c>
      <c r="G232" s="283">
        <v>140585.73000000001</v>
      </c>
      <c r="H232" s="283">
        <v>749167.72</v>
      </c>
      <c r="I232" s="283">
        <v>1340.44</v>
      </c>
    </row>
    <row r="233" spans="1:9" x14ac:dyDescent="0.25">
      <c r="A233" s="282" t="s">
        <v>223</v>
      </c>
      <c r="B233" s="283">
        <v>187472.53</v>
      </c>
      <c r="C233" s="283">
        <v>231666.08</v>
      </c>
      <c r="D233" s="283">
        <v>171515</v>
      </c>
      <c r="E233" s="283">
        <v>179.12</v>
      </c>
      <c r="F233" s="283">
        <v>187472.53</v>
      </c>
      <c r="G233" s="283">
        <v>231666.08</v>
      </c>
      <c r="H233" s="283">
        <v>171515</v>
      </c>
      <c r="I233" s="283">
        <v>179.12</v>
      </c>
    </row>
    <row r="234" spans="1:9" x14ac:dyDescent="0.25">
      <c r="A234" s="282" t="s">
        <v>224</v>
      </c>
      <c r="B234" s="283">
        <v>188402.58</v>
      </c>
      <c r="C234" s="283">
        <v>237473.51</v>
      </c>
      <c r="D234" s="283">
        <v>341337.13</v>
      </c>
      <c r="E234" s="283">
        <v>2520.7399999999998</v>
      </c>
      <c r="F234" s="283">
        <v>188402.58</v>
      </c>
      <c r="G234" s="283">
        <v>237473.51</v>
      </c>
      <c r="H234" s="283">
        <v>341337.13</v>
      </c>
      <c r="I234" s="283">
        <v>2520.7399999999998</v>
      </c>
    </row>
    <row r="235" spans="1:9" x14ac:dyDescent="0.25">
      <c r="A235" s="286" t="s">
        <v>1778</v>
      </c>
      <c r="B235" s="283">
        <v>0</v>
      </c>
      <c r="C235" s="283">
        <v>0</v>
      </c>
      <c r="D235" s="283">
        <v>0</v>
      </c>
      <c r="E235" s="283">
        <v>0</v>
      </c>
      <c r="F235" s="283">
        <v>0</v>
      </c>
      <c r="G235" s="283">
        <v>0</v>
      </c>
      <c r="H235" s="283">
        <v>0</v>
      </c>
      <c r="I235" s="283">
        <v>0</v>
      </c>
    </row>
    <row r="236" spans="1:9" x14ac:dyDescent="0.25">
      <c r="A236" s="286" t="s">
        <v>1780</v>
      </c>
      <c r="B236" s="283">
        <v>0</v>
      </c>
      <c r="C236" s="283">
        <v>0</v>
      </c>
      <c r="D236" s="283">
        <v>0</v>
      </c>
      <c r="E236" s="283">
        <v>0</v>
      </c>
      <c r="F236" s="283">
        <v>0</v>
      </c>
      <c r="G236" s="283">
        <v>0</v>
      </c>
      <c r="H236" s="283">
        <v>0</v>
      </c>
      <c r="I236" s="283">
        <v>0</v>
      </c>
    </row>
    <row r="237" spans="1:9" x14ac:dyDescent="0.25">
      <c r="A237" s="286" t="s">
        <v>1781</v>
      </c>
      <c r="B237" s="283">
        <v>0</v>
      </c>
      <c r="C237" s="283">
        <v>0</v>
      </c>
      <c r="D237" s="283">
        <v>0</v>
      </c>
      <c r="E237" s="283">
        <v>0</v>
      </c>
      <c r="F237" s="283">
        <v>0</v>
      </c>
      <c r="G237" s="283">
        <v>0</v>
      </c>
      <c r="H237" s="283">
        <v>0</v>
      </c>
      <c r="I237" s="283">
        <v>0</v>
      </c>
    </row>
    <row r="238" spans="1:9" x14ac:dyDescent="0.25">
      <c r="A238" s="286" t="s">
        <v>1782</v>
      </c>
      <c r="B238" s="283">
        <v>0</v>
      </c>
      <c r="C238" s="283">
        <v>0</v>
      </c>
      <c r="D238" s="283">
        <v>0</v>
      </c>
      <c r="E238" s="283">
        <v>0</v>
      </c>
      <c r="F238" s="283">
        <v>0</v>
      </c>
      <c r="G238" s="283">
        <v>0</v>
      </c>
      <c r="H238" s="283">
        <v>0</v>
      </c>
      <c r="I238" s="283">
        <v>0</v>
      </c>
    </row>
    <row r="239" spans="1:9" x14ac:dyDescent="0.25">
      <c r="A239" s="286" t="s">
        <v>1783</v>
      </c>
      <c r="B239" s="283">
        <v>0</v>
      </c>
      <c r="C239" s="283">
        <v>0</v>
      </c>
      <c r="D239" s="283">
        <v>0</v>
      </c>
      <c r="E239" s="283">
        <v>0</v>
      </c>
      <c r="F239" s="283">
        <v>0</v>
      </c>
      <c r="G239" s="283">
        <v>0</v>
      </c>
      <c r="H239" s="283">
        <v>0</v>
      </c>
      <c r="I239" s="283">
        <v>0</v>
      </c>
    </row>
    <row r="240" spans="1:9" x14ac:dyDescent="0.25">
      <c r="A240" s="286" t="s">
        <v>1784</v>
      </c>
      <c r="B240" s="283">
        <v>0</v>
      </c>
      <c r="C240" s="283">
        <v>0</v>
      </c>
      <c r="D240" s="283">
        <v>0</v>
      </c>
      <c r="E240" s="283">
        <v>0</v>
      </c>
      <c r="F240" s="283">
        <v>0</v>
      </c>
      <c r="G240" s="283">
        <v>0</v>
      </c>
      <c r="H240" s="283">
        <v>0</v>
      </c>
      <c r="I240" s="283">
        <v>0</v>
      </c>
    </row>
    <row r="241" spans="1:9" x14ac:dyDescent="0.25">
      <c r="A241" s="286" t="s">
        <v>1785</v>
      </c>
      <c r="B241" s="283">
        <v>0</v>
      </c>
      <c r="C241" s="283">
        <v>0</v>
      </c>
      <c r="D241" s="283">
        <v>0</v>
      </c>
      <c r="E241" s="283">
        <v>0</v>
      </c>
      <c r="F241" s="283">
        <v>0</v>
      </c>
      <c r="G241" s="283">
        <v>0</v>
      </c>
      <c r="H241" s="283">
        <v>0</v>
      </c>
      <c r="I241" s="283">
        <v>0</v>
      </c>
    </row>
    <row r="242" spans="1:9" x14ac:dyDescent="0.25">
      <c r="A242" s="286" t="s">
        <v>1786</v>
      </c>
      <c r="B242" s="283">
        <v>0</v>
      </c>
      <c r="C242" s="283">
        <v>0</v>
      </c>
      <c r="D242" s="283">
        <v>0</v>
      </c>
      <c r="E242" s="283">
        <v>0</v>
      </c>
      <c r="F242" s="283">
        <v>0</v>
      </c>
      <c r="G242" s="283">
        <v>0</v>
      </c>
      <c r="H242" s="283">
        <v>0</v>
      </c>
      <c r="I242" s="283">
        <v>0</v>
      </c>
    </row>
    <row r="243" spans="1:9" ht="30" x14ac:dyDescent="0.25">
      <c r="A243" s="282" t="s">
        <v>225</v>
      </c>
      <c r="B243" s="283">
        <v>639338.44999999995</v>
      </c>
      <c r="C243" s="283">
        <v>848077.29</v>
      </c>
      <c r="D243" s="283">
        <v>598264.61</v>
      </c>
      <c r="E243" s="283">
        <v>7857.08</v>
      </c>
      <c r="F243" s="283">
        <v>639338.44999999995</v>
      </c>
      <c r="G243" s="283">
        <v>848077.29</v>
      </c>
      <c r="H243" s="283">
        <v>598264.61</v>
      </c>
      <c r="I243" s="283">
        <v>7857.08</v>
      </c>
    </row>
    <row r="244" spans="1:9" ht="30" x14ac:dyDescent="0.25">
      <c r="A244" s="282" t="s">
        <v>226</v>
      </c>
      <c r="B244" s="283">
        <v>185281.12</v>
      </c>
      <c r="C244" s="283">
        <v>233458.36</v>
      </c>
      <c r="D244" s="283">
        <v>605999.35999999999</v>
      </c>
      <c r="E244" s="283">
        <v>2667.72</v>
      </c>
      <c r="F244" s="283">
        <v>185281.12</v>
      </c>
      <c r="G244" s="283">
        <v>233458.36</v>
      </c>
      <c r="H244" s="283">
        <v>605999.35999999999</v>
      </c>
      <c r="I244" s="283">
        <v>2667.72</v>
      </c>
    </row>
    <row r="245" spans="1:9" ht="30" x14ac:dyDescent="0.25">
      <c r="A245" s="282" t="s">
        <v>227</v>
      </c>
      <c r="B245" s="283">
        <v>187294.23</v>
      </c>
      <c r="C245" s="283">
        <v>247984.64000000001</v>
      </c>
      <c r="D245" s="283">
        <v>375510.01</v>
      </c>
      <c r="E245" s="283">
        <v>995.65</v>
      </c>
      <c r="F245" s="283">
        <v>187294.23</v>
      </c>
      <c r="G245" s="283">
        <v>247984.64000000001</v>
      </c>
      <c r="H245" s="283">
        <v>375510.01</v>
      </c>
      <c r="I245" s="283">
        <v>995.65</v>
      </c>
    </row>
    <row r="246" spans="1:9" ht="30" x14ac:dyDescent="0.25">
      <c r="A246" s="282" t="s">
        <v>228</v>
      </c>
      <c r="B246" s="283">
        <v>87697.36</v>
      </c>
      <c r="C246" s="283">
        <v>120645.82</v>
      </c>
      <c r="D246" s="283">
        <v>128452.84</v>
      </c>
      <c r="E246" s="283">
        <v>10616.95</v>
      </c>
      <c r="F246" s="283">
        <v>87697.36</v>
      </c>
      <c r="G246" s="283">
        <v>120645.82</v>
      </c>
      <c r="H246" s="283">
        <v>128452.84</v>
      </c>
      <c r="I246" s="283">
        <v>10616.95</v>
      </c>
    </row>
    <row r="247" spans="1:9" ht="30" x14ac:dyDescent="0.25">
      <c r="A247" s="282" t="s">
        <v>229</v>
      </c>
      <c r="B247" s="283">
        <v>85775.76</v>
      </c>
      <c r="C247" s="283">
        <v>114368.71</v>
      </c>
      <c r="D247" s="283">
        <v>137712.67000000001</v>
      </c>
      <c r="E247" s="283">
        <v>3255.51</v>
      </c>
      <c r="F247" s="283">
        <v>85775.76</v>
      </c>
      <c r="G247" s="283">
        <v>114368.71</v>
      </c>
      <c r="H247" s="283">
        <v>137712.67000000001</v>
      </c>
      <c r="I247" s="283">
        <v>3255.51</v>
      </c>
    </row>
    <row r="248" spans="1:9" ht="30" x14ac:dyDescent="0.25">
      <c r="A248" s="282" t="s">
        <v>230</v>
      </c>
      <c r="B248" s="283">
        <v>186400.86</v>
      </c>
      <c r="C248" s="283">
        <v>260190.35</v>
      </c>
      <c r="D248" s="283">
        <v>281676.03000000003</v>
      </c>
      <c r="E248" s="283">
        <v>20129.87</v>
      </c>
      <c r="F248" s="283">
        <v>186400.86</v>
      </c>
      <c r="G248" s="283">
        <v>260190.35</v>
      </c>
      <c r="H248" s="283">
        <v>281676.03000000003</v>
      </c>
      <c r="I248" s="283">
        <v>20129.87</v>
      </c>
    </row>
    <row r="249" spans="1:9" ht="30" x14ac:dyDescent="0.25">
      <c r="A249" s="282" t="s">
        <v>231</v>
      </c>
      <c r="B249" s="283">
        <v>185526.74</v>
      </c>
      <c r="C249" s="283">
        <v>235544.29</v>
      </c>
      <c r="D249" s="283">
        <v>452958.6</v>
      </c>
      <c r="E249" s="283">
        <v>0.1</v>
      </c>
      <c r="F249" s="283">
        <v>185526.74</v>
      </c>
      <c r="G249" s="283">
        <v>235544.29</v>
      </c>
      <c r="H249" s="283">
        <v>452958.6</v>
      </c>
      <c r="I249" s="283">
        <v>0.1</v>
      </c>
    </row>
    <row r="250" spans="1:9" x14ac:dyDescent="0.25">
      <c r="A250" s="286" t="s">
        <v>1787</v>
      </c>
      <c r="B250" s="283">
        <v>0</v>
      </c>
      <c r="C250" s="283">
        <v>0</v>
      </c>
      <c r="D250" s="283">
        <v>0</v>
      </c>
      <c r="E250" s="283">
        <v>0</v>
      </c>
      <c r="F250" s="283">
        <v>0</v>
      </c>
      <c r="G250" s="283">
        <v>0</v>
      </c>
      <c r="H250" s="283">
        <v>0</v>
      </c>
      <c r="I250" s="283">
        <v>0</v>
      </c>
    </row>
    <row r="251" spans="1:9" x14ac:dyDescent="0.25">
      <c r="A251" s="282" t="s">
        <v>1788</v>
      </c>
      <c r="B251" s="283">
        <v>0</v>
      </c>
      <c r="C251" s="283">
        <v>0</v>
      </c>
      <c r="D251" s="283">
        <v>0</v>
      </c>
      <c r="E251" s="283">
        <v>0</v>
      </c>
      <c r="F251" s="283">
        <v>0</v>
      </c>
      <c r="G251" s="283">
        <v>0</v>
      </c>
      <c r="H251" s="283">
        <v>0</v>
      </c>
      <c r="I251" s="283">
        <v>0</v>
      </c>
    </row>
    <row r="252" spans="1:9" x14ac:dyDescent="0.25">
      <c r="A252" s="282" t="s">
        <v>1789</v>
      </c>
      <c r="B252" s="283">
        <v>0</v>
      </c>
      <c r="C252" s="283">
        <v>0</v>
      </c>
      <c r="D252" s="283">
        <v>0</v>
      </c>
      <c r="E252" s="283">
        <v>0</v>
      </c>
      <c r="F252" s="283">
        <v>0</v>
      </c>
      <c r="G252" s="283">
        <v>0</v>
      </c>
      <c r="H252" s="283">
        <v>0</v>
      </c>
      <c r="I252" s="283">
        <v>0</v>
      </c>
    </row>
    <row r="253" spans="1:9" x14ac:dyDescent="0.25">
      <c r="A253" s="282" t="s">
        <v>1790</v>
      </c>
      <c r="B253" s="283">
        <v>0</v>
      </c>
      <c r="C253" s="283">
        <v>0</v>
      </c>
      <c r="D253" s="283">
        <v>0</v>
      </c>
      <c r="E253" s="283">
        <v>0</v>
      </c>
      <c r="F253" s="283">
        <v>0</v>
      </c>
      <c r="G253" s="283">
        <v>0</v>
      </c>
      <c r="H253" s="283">
        <v>0</v>
      </c>
      <c r="I253" s="283">
        <v>0</v>
      </c>
    </row>
    <row r="254" spans="1:9" x14ac:dyDescent="0.25">
      <c r="A254" s="282" t="s">
        <v>1791</v>
      </c>
      <c r="B254" s="283">
        <v>0</v>
      </c>
      <c r="C254" s="283">
        <v>0</v>
      </c>
      <c r="D254" s="283">
        <v>0</v>
      </c>
      <c r="E254" s="283">
        <v>0</v>
      </c>
      <c r="F254" s="283">
        <v>0</v>
      </c>
      <c r="G254" s="283">
        <v>0</v>
      </c>
      <c r="H254" s="283">
        <v>0</v>
      </c>
      <c r="I254" s="283">
        <v>0</v>
      </c>
    </row>
    <row r="255" spans="1:9" x14ac:dyDescent="0.25">
      <c r="A255" s="282" t="s">
        <v>1792</v>
      </c>
      <c r="B255" s="283">
        <v>0</v>
      </c>
      <c r="C255" s="283">
        <v>0</v>
      </c>
      <c r="D255" s="283">
        <v>0</v>
      </c>
      <c r="E255" s="283">
        <v>0</v>
      </c>
      <c r="F255" s="283">
        <v>0</v>
      </c>
      <c r="G255" s="283">
        <v>0</v>
      </c>
      <c r="H255" s="283">
        <v>0</v>
      </c>
      <c r="I255" s="283">
        <v>0</v>
      </c>
    </row>
    <row r="256" spans="1:9" x14ac:dyDescent="0.25">
      <c r="A256" s="286" t="s">
        <v>1793</v>
      </c>
      <c r="B256" s="283">
        <v>0</v>
      </c>
      <c r="C256" s="283">
        <v>0</v>
      </c>
      <c r="D256" s="283">
        <v>0</v>
      </c>
      <c r="E256" s="283">
        <v>0</v>
      </c>
      <c r="F256" s="283">
        <v>0</v>
      </c>
      <c r="G256" s="283">
        <v>0</v>
      </c>
      <c r="H256" s="283">
        <v>0</v>
      </c>
      <c r="I256" s="283">
        <v>0</v>
      </c>
    </row>
    <row r="257" spans="1:9" x14ac:dyDescent="0.25">
      <c r="A257" s="282" t="s">
        <v>1794</v>
      </c>
      <c r="B257" s="283">
        <v>0</v>
      </c>
      <c r="C257" s="283">
        <v>0</v>
      </c>
      <c r="D257" s="283">
        <v>0</v>
      </c>
      <c r="E257" s="283">
        <v>0</v>
      </c>
      <c r="F257" s="283">
        <v>0</v>
      </c>
      <c r="G257" s="283">
        <v>0</v>
      </c>
      <c r="H257" s="283">
        <v>0</v>
      </c>
      <c r="I257" s="283">
        <v>0</v>
      </c>
    </row>
    <row r="258" spans="1:9" x14ac:dyDescent="0.25">
      <c r="A258" s="282" t="s">
        <v>1795</v>
      </c>
      <c r="B258" s="283">
        <v>0</v>
      </c>
      <c r="C258" s="283">
        <v>0</v>
      </c>
      <c r="D258" s="283">
        <v>0</v>
      </c>
      <c r="E258" s="283">
        <v>0</v>
      </c>
      <c r="F258" s="283">
        <v>0</v>
      </c>
      <c r="G258" s="283">
        <v>0</v>
      </c>
      <c r="H258" s="283">
        <v>0</v>
      </c>
      <c r="I258" s="283">
        <v>0</v>
      </c>
    </row>
    <row r="259" spans="1:9" x14ac:dyDescent="0.25">
      <c r="A259" s="282" t="s">
        <v>1796</v>
      </c>
      <c r="B259" s="283">
        <v>0</v>
      </c>
      <c r="C259" s="283">
        <v>0</v>
      </c>
      <c r="D259" s="283">
        <v>0</v>
      </c>
      <c r="E259" s="283">
        <v>0</v>
      </c>
      <c r="F259" s="283">
        <v>0</v>
      </c>
      <c r="G259" s="283">
        <v>0</v>
      </c>
      <c r="H259" s="283">
        <v>0</v>
      </c>
      <c r="I259" s="283">
        <v>0</v>
      </c>
    </row>
    <row r="260" spans="1:9" x14ac:dyDescent="0.25">
      <c r="A260" s="282" t="s">
        <v>1797</v>
      </c>
      <c r="B260" s="283">
        <v>0</v>
      </c>
      <c r="C260" s="283">
        <v>0</v>
      </c>
      <c r="D260" s="283">
        <v>0</v>
      </c>
      <c r="E260" s="283">
        <v>0</v>
      </c>
      <c r="F260" s="283">
        <v>0</v>
      </c>
      <c r="G260" s="283">
        <v>0</v>
      </c>
      <c r="H260" s="283">
        <v>0</v>
      </c>
      <c r="I260" s="283">
        <v>0</v>
      </c>
    </row>
    <row r="261" spans="1:9" x14ac:dyDescent="0.25">
      <c r="A261" s="282" t="s">
        <v>1798</v>
      </c>
      <c r="B261" s="283">
        <v>0</v>
      </c>
      <c r="C261" s="283">
        <v>0</v>
      </c>
      <c r="D261" s="283">
        <v>0</v>
      </c>
      <c r="E261" s="283">
        <v>0</v>
      </c>
      <c r="F261" s="283">
        <v>0</v>
      </c>
      <c r="G261" s="283">
        <v>0</v>
      </c>
      <c r="H261" s="283">
        <v>0</v>
      </c>
      <c r="I261" s="283">
        <v>0</v>
      </c>
    </row>
    <row r="262" spans="1:9" x14ac:dyDescent="0.25">
      <c r="A262" s="282" t="s">
        <v>1799</v>
      </c>
      <c r="B262" s="283">
        <v>0</v>
      </c>
      <c r="C262" s="283">
        <v>0</v>
      </c>
      <c r="D262" s="283">
        <v>0</v>
      </c>
      <c r="E262" s="283">
        <v>0</v>
      </c>
      <c r="F262" s="283">
        <v>0</v>
      </c>
      <c r="G262" s="283">
        <v>0</v>
      </c>
      <c r="H262" s="283">
        <v>0</v>
      </c>
      <c r="I262" s="283">
        <v>0</v>
      </c>
    </row>
    <row r="263" spans="1:9" x14ac:dyDescent="0.25">
      <c r="A263" s="282" t="s">
        <v>1800</v>
      </c>
      <c r="B263" s="283">
        <v>0</v>
      </c>
      <c r="C263" s="283">
        <v>0</v>
      </c>
      <c r="D263" s="283">
        <v>0</v>
      </c>
      <c r="E263" s="283">
        <v>0</v>
      </c>
      <c r="F263" s="283">
        <v>0</v>
      </c>
      <c r="G263" s="283">
        <v>0</v>
      </c>
      <c r="H263" s="283">
        <v>0</v>
      </c>
      <c r="I263" s="283">
        <v>0</v>
      </c>
    </row>
    <row r="264" spans="1:9" x14ac:dyDescent="0.25">
      <c r="A264" s="282" t="s">
        <v>232</v>
      </c>
      <c r="B264" s="283">
        <v>660913.52</v>
      </c>
      <c r="C264" s="283">
        <v>823824.4</v>
      </c>
      <c r="D264" s="283">
        <v>1405575.8</v>
      </c>
      <c r="E264" s="283">
        <v>12677.64</v>
      </c>
      <c r="F264" s="283">
        <v>660913.52</v>
      </c>
      <c r="G264" s="283">
        <v>823824.4</v>
      </c>
      <c r="H264" s="283">
        <v>1405575.8</v>
      </c>
      <c r="I264" s="283">
        <v>12677.64</v>
      </c>
    </row>
    <row r="265" spans="1:9" x14ac:dyDescent="0.25">
      <c r="A265" s="282" t="s">
        <v>233</v>
      </c>
      <c r="B265" s="283">
        <v>1088260.26</v>
      </c>
      <c r="C265" s="283">
        <v>1475164.09</v>
      </c>
      <c r="D265" s="283">
        <v>1873728.22</v>
      </c>
      <c r="E265" s="283">
        <v>39555.14</v>
      </c>
      <c r="F265" s="283">
        <v>1088260.26</v>
      </c>
      <c r="G265" s="283">
        <v>1475164.09</v>
      </c>
      <c r="H265" s="283">
        <v>1873728.22</v>
      </c>
      <c r="I265" s="283">
        <v>39555.14</v>
      </c>
    </row>
    <row r="266" spans="1:9" x14ac:dyDescent="0.25">
      <c r="A266" s="282" t="s">
        <v>234</v>
      </c>
      <c r="B266" s="283">
        <v>166226.70000000001</v>
      </c>
      <c r="C266" s="283">
        <v>244633.04</v>
      </c>
      <c r="D266" s="283">
        <v>394470.92</v>
      </c>
      <c r="E266" s="283">
        <v>3547.66</v>
      </c>
      <c r="F266" s="283">
        <v>166226.70000000001</v>
      </c>
      <c r="G266" s="283">
        <v>244633.04</v>
      </c>
      <c r="H266" s="283">
        <v>394470.92</v>
      </c>
      <c r="I266" s="283">
        <v>3547.66</v>
      </c>
    </row>
    <row r="267" spans="1:9" x14ac:dyDescent="0.25">
      <c r="A267" s="282" t="s">
        <v>1801</v>
      </c>
      <c r="B267" s="283">
        <v>0</v>
      </c>
      <c r="C267" s="283">
        <v>0</v>
      </c>
      <c r="D267" s="283">
        <v>0</v>
      </c>
      <c r="E267" s="283">
        <v>0</v>
      </c>
      <c r="F267" s="283">
        <v>0</v>
      </c>
      <c r="G267" s="283">
        <v>0</v>
      </c>
      <c r="H267" s="283">
        <v>0</v>
      </c>
      <c r="I267" s="283">
        <v>0</v>
      </c>
    </row>
    <row r="268" spans="1:9" x14ac:dyDescent="0.25">
      <c r="A268" s="282" t="s">
        <v>235</v>
      </c>
      <c r="B268" s="283">
        <v>172993.76</v>
      </c>
      <c r="C268" s="283">
        <v>227082.47</v>
      </c>
      <c r="D268" s="283">
        <v>802281.91</v>
      </c>
      <c r="E268" s="283">
        <v>2443.9499999999998</v>
      </c>
      <c r="F268" s="283">
        <v>172993.76</v>
      </c>
      <c r="G268" s="283">
        <v>227082.47</v>
      </c>
      <c r="H268" s="283">
        <v>802281.91</v>
      </c>
      <c r="I268" s="283">
        <v>2443.9499999999998</v>
      </c>
    </row>
    <row r="269" spans="1:9" x14ac:dyDescent="0.25">
      <c r="A269" s="282" t="s">
        <v>236</v>
      </c>
      <c r="B269" s="283">
        <v>252136.83</v>
      </c>
      <c r="C269" s="283">
        <v>356631.89</v>
      </c>
      <c r="D269" s="283">
        <v>405480.78</v>
      </c>
      <c r="E269" s="283">
        <v>590.48</v>
      </c>
      <c r="F269" s="283">
        <v>252136.83</v>
      </c>
      <c r="G269" s="283">
        <v>356631.89</v>
      </c>
      <c r="H269" s="283">
        <v>405480.78</v>
      </c>
      <c r="I269" s="283">
        <v>590.48</v>
      </c>
    </row>
    <row r="270" spans="1:9" x14ac:dyDescent="0.25">
      <c r="A270" s="282" t="s">
        <v>240</v>
      </c>
      <c r="B270" s="283">
        <v>263237.5</v>
      </c>
      <c r="C270" s="283">
        <v>357895.59</v>
      </c>
      <c r="D270" s="283">
        <v>469637.59</v>
      </c>
      <c r="E270" s="283">
        <v>3478.06</v>
      </c>
      <c r="F270" s="283">
        <v>263237.5</v>
      </c>
      <c r="G270" s="283">
        <v>357895.59</v>
      </c>
      <c r="H270" s="283">
        <v>469637.59</v>
      </c>
      <c r="I270" s="283">
        <v>3478.06</v>
      </c>
    </row>
    <row r="271" spans="1:9" x14ac:dyDescent="0.25">
      <c r="A271" s="282" t="s">
        <v>241</v>
      </c>
      <c r="B271" s="283">
        <v>206550.57</v>
      </c>
      <c r="C271" s="283">
        <v>260552.11</v>
      </c>
      <c r="D271" s="283">
        <v>204658.59</v>
      </c>
      <c r="E271" s="283">
        <v>1053.96</v>
      </c>
      <c r="F271" s="283">
        <v>206550.57</v>
      </c>
      <c r="G271" s="283">
        <v>260552.11</v>
      </c>
      <c r="H271" s="283">
        <v>204658.59</v>
      </c>
      <c r="I271" s="283">
        <v>1053.96</v>
      </c>
    </row>
    <row r="272" spans="1:9" x14ac:dyDescent="0.25">
      <c r="A272" s="282" t="s">
        <v>242</v>
      </c>
      <c r="B272" s="283">
        <v>202634.22</v>
      </c>
      <c r="C272" s="283">
        <v>259871.48</v>
      </c>
      <c r="D272" s="283">
        <v>478355.09</v>
      </c>
      <c r="E272" s="283">
        <v>280.98</v>
      </c>
      <c r="F272" s="283">
        <v>202634.22</v>
      </c>
      <c r="G272" s="283">
        <v>259871.48</v>
      </c>
      <c r="H272" s="283">
        <v>478355.09</v>
      </c>
      <c r="I272" s="283">
        <v>280.98</v>
      </c>
    </row>
    <row r="273" spans="1:9" x14ac:dyDescent="0.25">
      <c r="A273" s="282" t="s">
        <v>243</v>
      </c>
      <c r="B273" s="283">
        <v>182898.67</v>
      </c>
      <c r="C273" s="283">
        <v>225907.79</v>
      </c>
      <c r="D273" s="283">
        <v>272357.44</v>
      </c>
      <c r="E273" s="283">
        <v>4592.03</v>
      </c>
      <c r="F273" s="283">
        <v>182898.67</v>
      </c>
      <c r="G273" s="283">
        <v>225907.79</v>
      </c>
      <c r="H273" s="283">
        <v>272357.44</v>
      </c>
      <c r="I273" s="283">
        <v>4592.03</v>
      </c>
    </row>
    <row r="274" spans="1:9" x14ac:dyDescent="0.25">
      <c r="A274" s="282" t="s">
        <v>244</v>
      </c>
      <c r="B274" s="283">
        <v>259168.54</v>
      </c>
      <c r="C274" s="283">
        <v>293539.69</v>
      </c>
      <c r="D274" s="283">
        <v>361631.62</v>
      </c>
      <c r="E274" s="283">
        <v>1718.05</v>
      </c>
      <c r="F274" s="283">
        <v>259168.54</v>
      </c>
      <c r="G274" s="283">
        <v>293539.69</v>
      </c>
      <c r="H274" s="283">
        <v>361631.62</v>
      </c>
      <c r="I274" s="283">
        <v>1718.05</v>
      </c>
    </row>
    <row r="275" spans="1:9" x14ac:dyDescent="0.25">
      <c r="A275" s="282" t="s">
        <v>245</v>
      </c>
      <c r="B275" s="283">
        <v>260428.01</v>
      </c>
      <c r="C275" s="283">
        <v>385968.56</v>
      </c>
      <c r="D275" s="283">
        <v>355855.92</v>
      </c>
      <c r="E275" s="283">
        <v>12.72</v>
      </c>
      <c r="F275" s="283">
        <v>260428.01</v>
      </c>
      <c r="G275" s="283">
        <v>385968.56</v>
      </c>
      <c r="H275" s="283">
        <v>355855.92</v>
      </c>
      <c r="I275" s="283">
        <v>12.72</v>
      </c>
    </row>
    <row r="276" spans="1:9" x14ac:dyDescent="0.25">
      <c r="A276" s="282" t="s">
        <v>246</v>
      </c>
      <c r="B276" s="283">
        <v>203927.58</v>
      </c>
      <c r="C276" s="283">
        <v>254396.56</v>
      </c>
      <c r="D276" s="283">
        <v>1184474.71</v>
      </c>
      <c r="E276" s="283">
        <v>91380.01</v>
      </c>
      <c r="F276" s="283">
        <v>203927.58</v>
      </c>
      <c r="G276" s="283">
        <v>254396.56</v>
      </c>
      <c r="H276" s="283">
        <v>1184474.71</v>
      </c>
      <c r="I276" s="283">
        <v>91380.01</v>
      </c>
    </row>
    <row r="277" spans="1:9" x14ac:dyDescent="0.25">
      <c r="A277" s="282" t="s">
        <v>247</v>
      </c>
      <c r="B277" s="283">
        <v>304029.31</v>
      </c>
      <c r="C277" s="283">
        <v>411153.37</v>
      </c>
      <c r="D277" s="283">
        <v>375448.38</v>
      </c>
      <c r="E277" s="283">
        <v>5194.41</v>
      </c>
      <c r="F277" s="283">
        <v>304029.31</v>
      </c>
      <c r="G277" s="283">
        <v>411153.37</v>
      </c>
      <c r="H277" s="283">
        <v>375448.38</v>
      </c>
      <c r="I277" s="283">
        <v>5194.41</v>
      </c>
    </row>
    <row r="278" spans="1:9" x14ac:dyDescent="0.25">
      <c r="A278" s="282" t="s">
        <v>248</v>
      </c>
      <c r="B278" s="283">
        <v>1189106.94</v>
      </c>
      <c r="C278" s="283">
        <v>1579050.88</v>
      </c>
      <c r="D278" s="283">
        <v>2805987.98</v>
      </c>
      <c r="E278" s="283">
        <v>191399.58</v>
      </c>
      <c r="F278" s="283">
        <v>1189106.94</v>
      </c>
      <c r="G278" s="283">
        <v>1579050.88</v>
      </c>
      <c r="H278" s="283">
        <v>2805987.98</v>
      </c>
      <c r="I278" s="283">
        <v>191399.58</v>
      </c>
    </row>
    <row r="279" spans="1:9" x14ac:dyDescent="0.25">
      <c r="A279" s="282" t="s">
        <v>237</v>
      </c>
      <c r="B279" s="283">
        <v>202760.16</v>
      </c>
      <c r="C279" s="283">
        <v>305432.13</v>
      </c>
      <c r="D279" s="283">
        <v>236762.65</v>
      </c>
      <c r="E279" s="283">
        <v>4188.25</v>
      </c>
      <c r="F279" s="283">
        <v>202760.16</v>
      </c>
      <c r="G279" s="283">
        <v>305432.13</v>
      </c>
      <c r="H279" s="283">
        <v>236762.65</v>
      </c>
      <c r="I279" s="283">
        <v>4188.25</v>
      </c>
    </row>
    <row r="280" spans="1:9" x14ac:dyDescent="0.25">
      <c r="A280" s="282" t="s">
        <v>1802</v>
      </c>
      <c r="B280" s="283">
        <v>0</v>
      </c>
      <c r="C280" s="283">
        <v>0</v>
      </c>
      <c r="D280" s="283">
        <v>0</v>
      </c>
      <c r="E280" s="283">
        <v>0</v>
      </c>
      <c r="F280" s="283">
        <v>0</v>
      </c>
      <c r="G280" s="283">
        <v>0</v>
      </c>
      <c r="H280" s="283">
        <v>0</v>
      </c>
      <c r="I280" s="283">
        <v>0</v>
      </c>
    </row>
    <row r="281" spans="1:9" x14ac:dyDescent="0.25">
      <c r="A281" s="282" t="s">
        <v>249</v>
      </c>
      <c r="B281" s="283">
        <v>117744.22</v>
      </c>
      <c r="C281" s="283">
        <v>149848.87</v>
      </c>
      <c r="D281" s="283">
        <v>282906.52</v>
      </c>
      <c r="E281" s="283">
        <v>5195.91</v>
      </c>
      <c r="F281" s="283">
        <v>117744.22</v>
      </c>
      <c r="G281" s="283">
        <v>149848.87</v>
      </c>
      <c r="H281" s="283">
        <v>282906.52</v>
      </c>
      <c r="I281" s="283">
        <v>5195.91</v>
      </c>
    </row>
    <row r="282" spans="1:9" x14ac:dyDescent="0.25">
      <c r="A282" s="282" t="s">
        <v>250</v>
      </c>
      <c r="B282" s="283">
        <v>231052.32</v>
      </c>
      <c r="C282" s="283">
        <v>307860.28999999998</v>
      </c>
      <c r="D282" s="283">
        <v>462417.87</v>
      </c>
      <c r="E282" s="283">
        <v>49.25</v>
      </c>
      <c r="F282" s="283">
        <v>231052.32</v>
      </c>
      <c r="G282" s="283">
        <v>307860.28999999998</v>
      </c>
      <c r="H282" s="283">
        <v>462417.87</v>
      </c>
      <c r="I282" s="283">
        <v>49.25</v>
      </c>
    </row>
    <row r="283" spans="1:9" x14ac:dyDescent="0.25">
      <c r="A283" s="282" t="s">
        <v>251</v>
      </c>
      <c r="B283" s="283">
        <v>116056.9</v>
      </c>
      <c r="C283" s="283">
        <v>166716.76999999999</v>
      </c>
      <c r="D283" s="283">
        <v>400081.64</v>
      </c>
      <c r="E283" s="283">
        <v>1489.02</v>
      </c>
      <c r="F283" s="283">
        <v>116056.9</v>
      </c>
      <c r="G283" s="283">
        <v>166716.76999999999</v>
      </c>
      <c r="H283" s="283">
        <v>400081.64</v>
      </c>
      <c r="I283" s="283">
        <v>1489.02</v>
      </c>
    </row>
    <row r="284" spans="1:9" x14ac:dyDescent="0.25">
      <c r="A284" s="282" t="s">
        <v>252</v>
      </c>
      <c r="B284" s="283">
        <v>116141.47</v>
      </c>
      <c r="C284" s="283">
        <v>162646.23000000001</v>
      </c>
      <c r="D284" s="283">
        <v>340488.32</v>
      </c>
      <c r="E284" s="283">
        <v>6156.46</v>
      </c>
      <c r="F284" s="283">
        <v>116141.47</v>
      </c>
      <c r="G284" s="283">
        <v>162646.23000000001</v>
      </c>
      <c r="H284" s="283">
        <v>340488.32</v>
      </c>
      <c r="I284" s="283">
        <v>6156.46</v>
      </c>
    </row>
    <row r="285" spans="1:9" x14ac:dyDescent="0.25">
      <c r="A285" s="282" t="s">
        <v>1803</v>
      </c>
      <c r="B285" s="283">
        <v>0</v>
      </c>
      <c r="C285" s="283">
        <v>0</v>
      </c>
      <c r="D285" s="283">
        <v>3502.4</v>
      </c>
      <c r="E285" s="283">
        <v>0</v>
      </c>
      <c r="F285" s="283">
        <v>0</v>
      </c>
      <c r="G285" s="283">
        <v>0</v>
      </c>
      <c r="H285" s="283">
        <v>3502.4</v>
      </c>
      <c r="I285" s="283">
        <v>0</v>
      </c>
    </row>
    <row r="286" spans="1:9" x14ac:dyDescent="0.25">
      <c r="A286" s="282" t="s">
        <v>253</v>
      </c>
      <c r="B286" s="283">
        <v>116542.85</v>
      </c>
      <c r="C286" s="283">
        <v>160956.46</v>
      </c>
      <c r="D286" s="283">
        <v>435138.78</v>
      </c>
      <c r="E286" s="283">
        <v>3743.67</v>
      </c>
      <c r="F286" s="283">
        <v>116542.85</v>
      </c>
      <c r="G286" s="283">
        <v>160956.46</v>
      </c>
      <c r="H286" s="283">
        <v>435138.78</v>
      </c>
      <c r="I286" s="283">
        <v>3743.67</v>
      </c>
    </row>
    <row r="287" spans="1:9" x14ac:dyDescent="0.25">
      <c r="A287" s="282" t="s">
        <v>254</v>
      </c>
      <c r="B287" s="283">
        <v>115459.15</v>
      </c>
      <c r="C287" s="283">
        <v>148501.07999999999</v>
      </c>
      <c r="D287" s="283">
        <v>119161.42</v>
      </c>
      <c r="E287" s="283">
        <v>2315.63</v>
      </c>
      <c r="F287" s="283">
        <v>115459.15</v>
      </c>
      <c r="G287" s="283">
        <v>148501.07999999999</v>
      </c>
      <c r="H287" s="283">
        <v>119161.42</v>
      </c>
      <c r="I287" s="283">
        <v>2315.63</v>
      </c>
    </row>
    <row r="288" spans="1:9" x14ac:dyDescent="0.25">
      <c r="A288" s="282" t="s">
        <v>255</v>
      </c>
      <c r="B288" s="283">
        <v>231182.82</v>
      </c>
      <c r="C288" s="283">
        <v>295174.78000000003</v>
      </c>
      <c r="D288" s="283">
        <v>672790.34</v>
      </c>
      <c r="E288" s="283">
        <v>963.27</v>
      </c>
      <c r="F288" s="283">
        <v>231182.82</v>
      </c>
      <c r="G288" s="283">
        <v>295174.78000000003</v>
      </c>
      <c r="H288" s="283">
        <v>672790.34</v>
      </c>
      <c r="I288" s="283">
        <v>963.27</v>
      </c>
    </row>
    <row r="289" spans="1:9" x14ac:dyDescent="0.25">
      <c r="A289" s="282" t="s">
        <v>1804</v>
      </c>
      <c r="B289" s="283">
        <v>0</v>
      </c>
      <c r="C289" s="283">
        <v>0</v>
      </c>
      <c r="D289" s="283">
        <v>0</v>
      </c>
      <c r="E289" s="283">
        <v>387.73</v>
      </c>
      <c r="F289" s="283">
        <v>0</v>
      </c>
      <c r="G289" s="283">
        <v>0</v>
      </c>
      <c r="H289" s="283">
        <v>0</v>
      </c>
      <c r="I289" s="283">
        <v>387.73</v>
      </c>
    </row>
    <row r="290" spans="1:9" x14ac:dyDescent="0.25">
      <c r="A290" s="282" t="s">
        <v>1805</v>
      </c>
      <c r="B290" s="283">
        <v>0</v>
      </c>
      <c r="C290" s="283">
        <v>0</v>
      </c>
      <c r="D290" s="283">
        <v>0</v>
      </c>
      <c r="E290" s="283">
        <v>1.02</v>
      </c>
      <c r="F290" s="283">
        <v>0</v>
      </c>
      <c r="G290" s="283">
        <v>0</v>
      </c>
      <c r="H290" s="283">
        <v>0</v>
      </c>
      <c r="I290" s="283">
        <v>1.02</v>
      </c>
    </row>
    <row r="291" spans="1:9" x14ac:dyDescent="0.25">
      <c r="A291" s="282" t="s">
        <v>1806</v>
      </c>
      <c r="B291" s="283">
        <v>0</v>
      </c>
      <c r="C291" s="283">
        <v>0</v>
      </c>
      <c r="D291" s="283">
        <v>0</v>
      </c>
      <c r="E291" s="283">
        <v>1719.52</v>
      </c>
      <c r="F291" s="283">
        <v>0</v>
      </c>
      <c r="G291" s="283">
        <v>0</v>
      </c>
      <c r="H291" s="283">
        <v>0</v>
      </c>
      <c r="I291" s="283">
        <v>1719.52</v>
      </c>
    </row>
    <row r="292" spans="1:9" x14ac:dyDescent="0.25">
      <c r="A292" s="282" t="s">
        <v>238</v>
      </c>
      <c r="B292" s="283">
        <v>173328</v>
      </c>
      <c r="C292" s="283">
        <v>258300.38</v>
      </c>
      <c r="D292" s="283">
        <v>185519.39</v>
      </c>
      <c r="E292" s="283">
        <v>2367.56</v>
      </c>
      <c r="F292" s="283">
        <v>173328</v>
      </c>
      <c r="G292" s="283">
        <v>258300.38</v>
      </c>
      <c r="H292" s="283">
        <v>185519.39</v>
      </c>
      <c r="I292" s="283">
        <v>2367.56</v>
      </c>
    </row>
    <row r="293" spans="1:9" x14ac:dyDescent="0.25">
      <c r="A293" s="282" t="s">
        <v>256</v>
      </c>
      <c r="B293" s="283">
        <v>146778.04</v>
      </c>
      <c r="C293" s="283">
        <v>175995.45</v>
      </c>
      <c r="D293" s="283">
        <v>410100.3</v>
      </c>
      <c r="E293" s="283">
        <v>4417.17</v>
      </c>
      <c r="F293" s="283">
        <v>146778.04</v>
      </c>
      <c r="G293" s="283">
        <v>175995.45</v>
      </c>
      <c r="H293" s="283">
        <v>410100.3</v>
      </c>
      <c r="I293" s="283">
        <v>4417.17</v>
      </c>
    </row>
    <row r="294" spans="1:9" x14ac:dyDescent="0.25">
      <c r="A294" s="282" t="s">
        <v>257</v>
      </c>
      <c r="B294" s="283">
        <v>148192.47</v>
      </c>
      <c r="C294" s="283">
        <v>205982.72</v>
      </c>
      <c r="D294" s="283">
        <v>255630.24</v>
      </c>
      <c r="E294" s="283">
        <v>576.30999999999995</v>
      </c>
      <c r="F294" s="283">
        <v>148192.47</v>
      </c>
      <c r="G294" s="283">
        <v>205982.72</v>
      </c>
      <c r="H294" s="283">
        <v>255630.24</v>
      </c>
      <c r="I294" s="283">
        <v>576.30999999999995</v>
      </c>
    </row>
    <row r="295" spans="1:9" x14ac:dyDescent="0.25">
      <c r="A295" s="282" t="s">
        <v>258</v>
      </c>
      <c r="B295" s="283">
        <v>231904.78</v>
      </c>
      <c r="C295" s="283">
        <v>307517.48</v>
      </c>
      <c r="D295" s="283">
        <v>575228.53</v>
      </c>
      <c r="E295" s="283">
        <v>1837.27</v>
      </c>
      <c r="F295" s="283">
        <v>231904.78</v>
      </c>
      <c r="G295" s="283">
        <v>307517.48</v>
      </c>
      <c r="H295" s="283">
        <v>575228.53</v>
      </c>
      <c r="I295" s="283">
        <v>1837.27</v>
      </c>
    </row>
    <row r="296" spans="1:9" x14ac:dyDescent="0.25">
      <c r="A296" s="282" t="s">
        <v>239</v>
      </c>
      <c r="B296" s="283">
        <v>204910.91</v>
      </c>
      <c r="C296" s="283">
        <v>255333.26</v>
      </c>
      <c r="D296" s="283">
        <v>636154.18999999994</v>
      </c>
      <c r="E296" s="283">
        <v>4960.04</v>
      </c>
      <c r="F296" s="283">
        <v>204910.91</v>
      </c>
      <c r="G296" s="283">
        <v>255333.26</v>
      </c>
      <c r="H296" s="283">
        <v>636154.18999999994</v>
      </c>
      <c r="I296" s="283">
        <v>4960.04</v>
      </c>
    </row>
    <row r="297" spans="1:9" x14ac:dyDescent="0.25">
      <c r="A297" s="282" t="s">
        <v>259</v>
      </c>
      <c r="B297" s="283">
        <v>369622.53</v>
      </c>
      <c r="C297" s="283">
        <v>489363.92</v>
      </c>
      <c r="D297" s="283">
        <v>1391407.36</v>
      </c>
      <c r="E297" s="283">
        <v>39532.800000000003</v>
      </c>
      <c r="F297" s="283">
        <v>369622.53</v>
      </c>
      <c r="G297" s="283">
        <v>489363.92</v>
      </c>
      <c r="H297" s="283">
        <v>1391407.36</v>
      </c>
      <c r="I297" s="283">
        <v>39532.800000000003</v>
      </c>
    </row>
    <row r="298" spans="1:9" x14ac:dyDescent="0.25">
      <c r="A298" s="282" t="s">
        <v>266</v>
      </c>
      <c r="B298" s="283">
        <v>21152.52</v>
      </c>
      <c r="C298" s="283">
        <v>21770.91</v>
      </c>
      <c r="D298" s="283">
        <v>107333.72</v>
      </c>
      <c r="E298" s="283">
        <v>0</v>
      </c>
      <c r="F298" s="283">
        <v>21152.52</v>
      </c>
      <c r="G298" s="283">
        <v>21770.91</v>
      </c>
      <c r="H298" s="283">
        <v>107333.72</v>
      </c>
      <c r="I298" s="283">
        <v>0</v>
      </c>
    </row>
    <row r="299" spans="1:9" x14ac:dyDescent="0.25">
      <c r="A299" s="282" t="s">
        <v>267</v>
      </c>
      <c r="B299" s="283">
        <v>21732.99</v>
      </c>
      <c r="C299" s="283">
        <v>29116.63</v>
      </c>
      <c r="D299" s="283">
        <v>23804.26</v>
      </c>
      <c r="E299" s="283">
        <v>0</v>
      </c>
      <c r="F299" s="283">
        <v>21732.99</v>
      </c>
      <c r="G299" s="283">
        <v>29116.63</v>
      </c>
      <c r="H299" s="283">
        <v>23804.26</v>
      </c>
      <c r="I299" s="283">
        <v>0</v>
      </c>
    </row>
    <row r="300" spans="1:9" x14ac:dyDescent="0.25">
      <c r="A300" s="286" t="s">
        <v>268</v>
      </c>
      <c r="B300" s="283">
        <v>3655.76</v>
      </c>
      <c r="C300" s="283">
        <v>3585.27</v>
      </c>
      <c r="D300" s="283">
        <v>10749.45</v>
      </c>
      <c r="E300" s="283">
        <v>339.62</v>
      </c>
      <c r="F300" s="283">
        <v>3655.76</v>
      </c>
      <c r="G300" s="283">
        <v>3585.27</v>
      </c>
      <c r="H300" s="283">
        <v>10749.45</v>
      </c>
      <c r="I300" s="283">
        <v>339.62</v>
      </c>
    </row>
    <row r="301" spans="1:9" x14ac:dyDescent="0.25">
      <c r="A301" s="282" t="s">
        <v>260</v>
      </c>
      <c r="B301" s="283">
        <v>21089.5</v>
      </c>
      <c r="C301" s="283">
        <v>22439.86</v>
      </c>
      <c r="D301" s="283">
        <v>140307.18</v>
      </c>
      <c r="E301" s="283">
        <v>9.2200000000000006</v>
      </c>
      <c r="F301" s="283">
        <v>21089.5</v>
      </c>
      <c r="G301" s="283">
        <v>22439.86</v>
      </c>
      <c r="H301" s="283">
        <v>140307.18</v>
      </c>
      <c r="I301" s="283">
        <v>9.2200000000000006</v>
      </c>
    </row>
    <row r="302" spans="1:9" x14ac:dyDescent="0.25">
      <c r="A302" s="282" t="s">
        <v>261</v>
      </c>
      <c r="B302" s="283">
        <v>69907.92</v>
      </c>
      <c r="C302" s="283">
        <v>75436.100000000006</v>
      </c>
      <c r="D302" s="283">
        <v>150171.70000000001</v>
      </c>
      <c r="E302" s="283">
        <v>0</v>
      </c>
      <c r="F302" s="283">
        <v>69907.92</v>
      </c>
      <c r="G302" s="283">
        <v>75436.100000000006</v>
      </c>
      <c r="H302" s="283">
        <v>150171.70000000001</v>
      </c>
      <c r="I302" s="283">
        <v>0</v>
      </c>
    </row>
    <row r="303" spans="1:9" x14ac:dyDescent="0.25">
      <c r="A303" s="282" t="s">
        <v>262</v>
      </c>
      <c r="B303" s="283">
        <v>20973.4</v>
      </c>
      <c r="C303" s="283">
        <v>28302.18</v>
      </c>
      <c r="D303" s="283">
        <v>23566.42</v>
      </c>
      <c r="E303" s="283">
        <v>1122.67</v>
      </c>
      <c r="F303" s="283">
        <v>20973.4</v>
      </c>
      <c r="G303" s="283">
        <v>28302.18</v>
      </c>
      <c r="H303" s="283">
        <v>23566.42</v>
      </c>
      <c r="I303" s="283">
        <v>1122.67</v>
      </c>
    </row>
    <row r="304" spans="1:9" x14ac:dyDescent="0.25">
      <c r="A304" s="282" t="s">
        <v>263</v>
      </c>
      <c r="B304" s="283">
        <v>21623.54</v>
      </c>
      <c r="C304" s="283">
        <v>28788.99</v>
      </c>
      <c r="D304" s="283">
        <v>149696.18</v>
      </c>
      <c r="E304" s="283">
        <v>0</v>
      </c>
      <c r="F304" s="283">
        <v>21623.54</v>
      </c>
      <c r="G304" s="283">
        <v>28788.99</v>
      </c>
      <c r="H304" s="283">
        <v>149696.18</v>
      </c>
      <c r="I304" s="283">
        <v>0</v>
      </c>
    </row>
    <row r="305" spans="1:9" x14ac:dyDescent="0.25">
      <c r="A305" s="282" t="s">
        <v>264</v>
      </c>
      <c r="B305" s="283">
        <v>21212.22</v>
      </c>
      <c r="C305" s="283">
        <v>28904.78</v>
      </c>
      <c r="D305" s="283">
        <v>16420.95</v>
      </c>
      <c r="E305" s="283">
        <v>0</v>
      </c>
      <c r="F305" s="283">
        <v>21212.22</v>
      </c>
      <c r="G305" s="283">
        <v>28904.78</v>
      </c>
      <c r="H305" s="283">
        <v>16420.95</v>
      </c>
      <c r="I305" s="283">
        <v>0</v>
      </c>
    </row>
    <row r="306" spans="1:9" x14ac:dyDescent="0.25">
      <c r="A306" s="282" t="s">
        <v>265</v>
      </c>
      <c r="B306" s="283">
        <v>116145.82</v>
      </c>
      <c r="C306" s="283">
        <v>135689.20000000001</v>
      </c>
      <c r="D306" s="283">
        <v>192677.68</v>
      </c>
      <c r="E306" s="283">
        <v>2628.33</v>
      </c>
      <c r="F306" s="283">
        <v>116145.82</v>
      </c>
      <c r="G306" s="283">
        <v>135689.20000000001</v>
      </c>
      <c r="H306" s="283">
        <v>192677.68</v>
      </c>
      <c r="I306" s="283">
        <v>2628.33</v>
      </c>
    </row>
    <row r="307" spans="1:9" x14ac:dyDescent="0.25">
      <c r="A307" s="282" t="s">
        <v>269</v>
      </c>
      <c r="B307" s="283">
        <v>192799.32</v>
      </c>
      <c r="C307" s="283">
        <v>206495.34</v>
      </c>
      <c r="D307" s="283">
        <v>732060.05</v>
      </c>
      <c r="E307" s="283">
        <v>5794.51</v>
      </c>
      <c r="F307" s="283">
        <v>192799.32</v>
      </c>
      <c r="G307" s="283">
        <v>206495.34</v>
      </c>
      <c r="H307" s="283">
        <v>732060.05</v>
      </c>
      <c r="I307" s="283">
        <v>5794.51</v>
      </c>
    </row>
    <row r="308" spans="1:9" x14ac:dyDescent="0.25">
      <c r="A308" s="282" t="s">
        <v>905</v>
      </c>
      <c r="B308" s="283">
        <v>0</v>
      </c>
      <c r="C308" s="283">
        <v>328.11</v>
      </c>
      <c r="D308" s="283">
        <v>41093.58</v>
      </c>
      <c r="E308" s="283">
        <v>181.2</v>
      </c>
      <c r="F308" s="283">
        <v>0</v>
      </c>
      <c r="G308" s="283">
        <v>328.11</v>
      </c>
      <c r="H308" s="283">
        <v>41093.58</v>
      </c>
      <c r="I308" s="283">
        <v>181.2</v>
      </c>
    </row>
    <row r="309" spans="1:9" x14ac:dyDescent="0.25">
      <c r="A309" s="282" t="s">
        <v>270</v>
      </c>
      <c r="B309" s="283">
        <v>267279</v>
      </c>
      <c r="C309" s="283">
        <v>297335.82</v>
      </c>
      <c r="D309" s="283">
        <v>260444.97</v>
      </c>
      <c r="E309" s="283">
        <v>810.48</v>
      </c>
      <c r="F309" s="283">
        <v>267279</v>
      </c>
      <c r="G309" s="283">
        <v>297335.82</v>
      </c>
      <c r="H309" s="283">
        <v>260444.97</v>
      </c>
      <c r="I309" s="283">
        <v>810.48</v>
      </c>
    </row>
    <row r="310" spans="1:9" x14ac:dyDescent="0.25">
      <c r="A310" s="286" t="s">
        <v>910</v>
      </c>
      <c r="B310" s="283">
        <v>0</v>
      </c>
      <c r="C310" s="283">
        <v>0</v>
      </c>
      <c r="D310" s="283">
        <v>0</v>
      </c>
      <c r="E310" s="283">
        <v>289.25</v>
      </c>
      <c r="F310" s="283">
        <v>0</v>
      </c>
      <c r="G310" s="283">
        <v>0</v>
      </c>
      <c r="H310" s="283">
        <v>0</v>
      </c>
      <c r="I310" s="283">
        <v>289.25</v>
      </c>
    </row>
    <row r="311" spans="1:9" x14ac:dyDescent="0.25">
      <c r="A311" s="282" t="s">
        <v>272</v>
      </c>
      <c r="B311" s="283">
        <v>52252.09</v>
      </c>
      <c r="C311" s="283">
        <v>52926</v>
      </c>
      <c r="D311" s="283">
        <v>428372.95</v>
      </c>
      <c r="E311" s="283">
        <v>23379.29</v>
      </c>
      <c r="F311" s="283">
        <v>52252.09</v>
      </c>
      <c r="G311" s="283">
        <v>52926</v>
      </c>
      <c r="H311" s="283">
        <v>428372.95</v>
      </c>
      <c r="I311" s="283">
        <v>23379.29</v>
      </c>
    </row>
    <row r="312" spans="1:9" x14ac:dyDescent="0.25">
      <c r="A312" s="282" t="s">
        <v>912</v>
      </c>
      <c r="B312" s="283">
        <v>0</v>
      </c>
      <c r="C312" s="283">
        <v>33.46</v>
      </c>
      <c r="D312" s="283">
        <v>16855.55</v>
      </c>
      <c r="E312" s="283">
        <v>5384.18</v>
      </c>
      <c r="F312" s="283">
        <v>0</v>
      </c>
      <c r="G312" s="283">
        <v>33.46</v>
      </c>
      <c r="H312" s="283">
        <v>16855.55</v>
      </c>
      <c r="I312" s="283">
        <v>5384.18</v>
      </c>
    </row>
    <row r="313" spans="1:9" x14ac:dyDescent="0.25">
      <c r="A313" s="282" t="s">
        <v>273</v>
      </c>
      <c r="B313" s="283">
        <v>357290.81</v>
      </c>
      <c r="C313" s="283">
        <v>422929.14</v>
      </c>
      <c r="D313" s="283">
        <v>651271.56999999995</v>
      </c>
      <c r="E313" s="283">
        <v>5724.03</v>
      </c>
      <c r="F313" s="283">
        <v>357290.81</v>
      </c>
      <c r="G313" s="283">
        <v>422929.14</v>
      </c>
      <c r="H313" s="283">
        <v>651271.56999999995</v>
      </c>
      <c r="I313" s="283">
        <v>5724.03</v>
      </c>
    </row>
    <row r="314" spans="1:9" x14ac:dyDescent="0.25">
      <c r="A314" s="282" t="s">
        <v>274</v>
      </c>
      <c r="B314" s="283">
        <v>95677.08</v>
      </c>
      <c r="C314" s="283">
        <v>110044.46</v>
      </c>
      <c r="D314" s="283">
        <v>271254.84000000003</v>
      </c>
      <c r="E314" s="283">
        <v>1309.94</v>
      </c>
      <c r="F314" s="283">
        <v>95677.08</v>
      </c>
      <c r="G314" s="283">
        <v>110044.46</v>
      </c>
      <c r="H314" s="283">
        <v>271254.84000000003</v>
      </c>
      <c r="I314" s="283">
        <v>1309.94</v>
      </c>
    </row>
    <row r="315" spans="1:9" x14ac:dyDescent="0.25">
      <c r="A315" s="282" t="s">
        <v>275</v>
      </c>
      <c r="B315" s="283">
        <v>4719.38</v>
      </c>
      <c r="C315" s="283">
        <v>20817.18</v>
      </c>
      <c r="D315" s="283">
        <v>163188.42000000001</v>
      </c>
      <c r="E315" s="283">
        <v>19389.150000000001</v>
      </c>
      <c r="F315" s="283">
        <v>4719.38</v>
      </c>
      <c r="G315" s="283">
        <v>20817.18</v>
      </c>
      <c r="H315" s="283">
        <v>163188.42000000001</v>
      </c>
      <c r="I315" s="283">
        <v>19389.150000000001</v>
      </c>
    </row>
    <row r="316" spans="1:9" x14ac:dyDescent="0.25">
      <c r="A316" s="282" t="s">
        <v>916</v>
      </c>
      <c r="B316" s="283">
        <v>0</v>
      </c>
      <c r="C316" s="283">
        <v>0.67</v>
      </c>
      <c r="D316" s="283">
        <v>41325.5</v>
      </c>
      <c r="E316" s="283">
        <v>70.64</v>
      </c>
      <c r="F316" s="283">
        <v>0</v>
      </c>
      <c r="G316" s="283">
        <v>0.67</v>
      </c>
      <c r="H316" s="283">
        <v>41325.5</v>
      </c>
      <c r="I316" s="283">
        <v>70.64</v>
      </c>
    </row>
    <row r="317" spans="1:9" x14ac:dyDescent="0.25">
      <c r="A317" s="282" t="s">
        <v>917</v>
      </c>
      <c r="B317" s="283">
        <v>0</v>
      </c>
      <c r="C317" s="283">
        <v>0</v>
      </c>
      <c r="D317" s="283">
        <v>0</v>
      </c>
      <c r="E317" s="283">
        <v>0</v>
      </c>
      <c r="F317" s="283">
        <v>0</v>
      </c>
      <c r="G317" s="283">
        <v>0</v>
      </c>
      <c r="H317" s="283">
        <v>0</v>
      </c>
      <c r="I317" s="283">
        <v>0</v>
      </c>
    </row>
    <row r="318" spans="1:9" x14ac:dyDescent="0.25">
      <c r="A318" s="282" t="s">
        <v>276</v>
      </c>
      <c r="B318" s="283">
        <v>218275.39</v>
      </c>
      <c r="C318" s="283">
        <v>274440.45</v>
      </c>
      <c r="D318" s="283">
        <v>417857.35</v>
      </c>
      <c r="E318" s="283">
        <v>1165.03</v>
      </c>
      <c r="F318" s="283">
        <v>218275.39</v>
      </c>
      <c r="G318" s="283">
        <v>274440.45</v>
      </c>
      <c r="H318" s="283">
        <v>417857.35</v>
      </c>
      <c r="I318" s="283">
        <v>1165.03</v>
      </c>
    </row>
    <row r="319" spans="1:9" x14ac:dyDescent="0.25">
      <c r="A319" s="282" t="s">
        <v>271</v>
      </c>
      <c r="B319" s="283">
        <v>655893.52</v>
      </c>
      <c r="C319" s="283">
        <v>834397.28</v>
      </c>
      <c r="D319" s="283">
        <v>999776.83</v>
      </c>
      <c r="E319" s="283">
        <v>54764.44</v>
      </c>
      <c r="F319" s="283">
        <v>655893.52</v>
      </c>
      <c r="G319" s="283">
        <v>834397.28</v>
      </c>
      <c r="H319" s="283">
        <v>999776.83</v>
      </c>
      <c r="I319" s="283">
        <v>54764.44</v>
      </c>
    </row>
    <row r="320" spans="1:9" x14ac:dyDescent="0.25">
      <c r="A320" s="282" t="s">
        <v>914</v>
      </c>
      <c r="B320" s="283">
        <v>0</v>
      </c>
      <c r="C320" s="283">
        <v>0</v>
      </c>
      <c r="D320" s="283">
        <v>0</v>
      </c>
      <c r="E320" s="283">
        <v>9764.09</v>
      </c>
      <c r="F320" s="283">
        <v>0</v>
      </c>
      <c r="G320" s="283">
        <v>0</v>
      </c>
      <c r="H320" s="283">
        <v>0</v>
      </c>
      <c r="I320" s="283">
        <v>9764.09</v>
      </c>
    </row>
    <row r="321" spans="1:9" x14ac:dyDescent="0.25">
      <c r="A321" s="286" t="s">
        <v>1807</v>
      </c>
      <c r="B321" s="283">
        <v>0</v>
      </c>
      <c r="C321" s="283">
        <v>0</v>
      </c>
      <c r="D321" s="283">
        <v>0</v>
      </c>
      <c r="E321" s="283">
        <v>0</v>
      </c>
      <c r="F321" s="283">
        <v>0</v>
      </c>
      <c r="G321" s="283">
        <v>0</v>
      </c>
      <c r="H321" s="283">
        <v>0</v>
      </c>
      <c r="I321" s="283">
        <v>0</v>
      </c>
    </row>
    <row r="322" spans="1:9" x14ac:dyDescent="0.25">
      <c r="A322" s="286" t="s">
        <v>1808</v>
      </c>
      <c r="B322" s="283">
        <v>0</v>
      </c>
      <c r="C322" s="283">
        <v>0</v>
      </c>
      <c r="D322" s="283">
        <v>0</v>
      </c>
      <c r="E322" s="283">
        <v>0</v>
      </c>
      <c r="F322" s="283">
        <v>0</v>
      </c>
      <c r="G322" s="283">
        <v>0</v>
      </c>
      <c r="H322" s="283">
        <v>0</v>
      </c>
      <c r="I322" s="283">
        <v>0</v>
      </c>
    </row>
    <row r="323" spans="1:9" x14ac:dyDescent="0.25">
      <c r="A323" s="282" t="s">
        <v>277</v>
      </c>
      <c r="B323" s="283">
        <v>177782.61</v>
      </c>
      <c r="C323" s="283">
        <v>229001.21</v>
      </c>
      <c r="D323" s="283">
        <v>398710.32</v>
      </c>
      <c r="E323" s="283">
        <v>0</v>
      </c>
      <c r="F323" s="283">
        <v>177782.61</v>
      </c>
      <c r="G323" s="283">
        <v>229001.21</v>
      </c>
      <c r="H323" s="283">
        <v>398710.32</v>
      </c>
      <c r="I323" s="283">
        <v>0</v>
      </c>
    </row>
    <row r="324" spans="1:9" x14ac:dyDescent="0.25">
      <c r="A324" s="282" t="s">
        <v>278</v>
      </c>
      <c r="B324" s="283">
        <v>69978.09</v>
      </c>
      <c r="C324" s="283">
        <v>90814.5</v>
      </c>
      <c r="D324" s="283">
        <v>238187.72</v>
      </c>
      <c r="E324" s="283">
        <v>0</v>
      </c>
      <c r="F324" s="283">
        <v>69978.09</v>
      </c>
      <c r="G324" s="283">
        <v>90814.5</v>
      </c>
      <c r="H324" s="283">
        <v>238187.72</v>
      </c>
      <c r="I324" s="283">
        <v>0</v>
      </c>
    </row>
    <row r="325" spans="1:9" x14ac:dyDescent="0.25">
      <c r="A325" s="282" t="s">
        <v>280</v>
      </c>
      <c r="B325" s="283">
        <v>111878.78</v>
      </c>
      <c r="C325" s="283">
        <v>155998.48000000001</v>
      </c>
      <c r="D325" s="283">
        <v>184538.94</v>
      </c>
      <c r="E325" s="283">
        <v>1277.3699999999999</v>
      </c>
      <c r="F325" s="283">
        <v>111878.78</v>
      </c>
      <c r="G325" s="283">
        <v>155998.48000000001</v>
      </c>
      <c r="H325" s="283">
        <v>184538.94</v>
      </c>
      <c r="I325" s="283">
        <v>1277.3699999999999</v>
      </c>
    </row>
    <row r="326" spans="1:9" x14ac:dyDescent="0.25">
      <c r="A326" s="282" t="s">
        <v>281</v>
      </c>
      <c r="B326" s="283">
        <v>180492.61</v>
      </c>
      <c r="C326" s="283">
        <v>255090.47</v>
      </c>
      <c r="D326" s="283">
        <v>231219.77</v>
      </c>
      <c r="E326" s="283">
        <v>13930.31</v>
      </c>
      <c r="F326" s="283">
        <v>180492.61</v>
      </c>
      <c r="G326" s="283">
        <v>255090.47</v>
      </c>
      <c r="H326" s="283">
        <v>231219.77</v>
      </c>
      <c r="I326" s="283">
        <v>13930.31</v>
      </c>
    </row>
    <row r="327" spans="1:9" x14ac:dyDescent="0.25">
      <c r="A327" s="282" t="s">
        <v>285</v>
      </c>
      <c r="B327" s="283">
        <v>82235.09</v>
      </c>
      <c r="C327" s="283">
        <v>90072.59</v>
      </c>
      <c r="D327" s="283">
        <v>180042.31</v>
      </c>
      <c r="E327" s="283">
        <v>38.700000000000003</v>
      </c>
      <c r="F327" s="283">
        <v>82235.09</v>
      </c>
      <c r="G327" s="283">
        <v>90072.59</v>
      </c>
      <c r="H327" s="283">
        <v>180042.31</v>
      </c>
      <c r="I327" s="283">
        <v>38.700000000000003</v>
      </c>
    </row>
    <row r="328" spans="1:9" x14ac:dyDescent="0.25">
      <c r="A328" s="282" t="s">
        <v>286</v>
      </c>
      <c r="B328" s="283">
        <v>83906.84</v>
      </c>
      <c r="C328" s="283">
        <v>114324.39</v>
      </c>
      <c r="D328" s="283">
        <v>156868.88</v>
      </c>
      <c r="E328" s="283">
        <v>0</v>
      </c>
      <c r="F328" s="283">
        <v>83906.84</v>
      </c>
      <c r="G328" s="283">
        <v>114324.39</v>
      </c>
      <c r="H328" s="283">
        <v>156868.88</v>
      </c>
      <c r="I328" s="283">
        <v>0</v>
      </c>
    </row>
    <row r="329" spans="1:9" x14ac:dyDescent="0.25">
      <c r="A329" s="282" t="s">
        <v>287</v>
      </c>
      <c r="B329" s="283">
        <v>141672.26</v>
      </c>
      <c r="C329" s="283">
        <v>182628.42</v>
      </c>
      <c r="D329" s="283">
        <v>297502.36</v>
      </c>
      <c r="E329" s="283">
        <v>9.01</v>
      </c>
      <c r="F329" s="283">
        <v>141672.26</v>
      </c>
      <c r="G329" s="283">
        <v>182628.42</v>
      </c>
      <c r="H329" s="283">
        <v>297502.36</v>
      </c>
      <c r="I329" s="283">
        <v>9.01</v>
      </c>
    </row>
    <row r="330" spans="1:9" x14ac:dyDescent="0.25">
      <c r="A330" s="282" t="s">
        <v>288</v>
      </c>
      <c r="B330" s="283">
        <v>102933.17</v>
      </c>
      <c r="C330" s="283">
        <v>139840.04</v>
      </c>
      <c r="D330" s="283">
        <v>145545.13</v>
      </c>
      <c r="E330" s="283">
        <v>0</v>
      </c>
      <c r="F330" s="283">
        <v>102933.17</v>
      </c>
      <c r="G330" s="283">
        <v>139840.04</v>
      </c>
      <c r="H330" s="283">
        <v>145545.13</v>
      </c>
      <c r="I330" s="283">
        <v>0</v>
      </c>
    </row>
    <row r="331" spans="1:9" x14ac:dyDescent="0.25">
      <c r="A331" s="282" t="s">
        <v>282</v>
      </c>
      <c r="B331" s="283">
        <v>20736.87</v>
      </c>
      <c r="C331" s="283">
        <v>23932.12</v>
      </c>
      <c r="D331" s="283">
        <v>174529.91</v>
      </c>
      <c r="E331" s="283">
        <v>0.01</v>
      </c>
      <c r="F331" s="283">
        <v>20736.87</v>
      </c>
      <c r="G331" s="283">
        <v>23932.12</v>
      </c>
      <c r="H331" s="283">
        <v>174529.91</v>
      </c>
      <c r="I331" s="283">
        <v>0.01</v>
      </c>
    </row>
    <row r="332" spans="1:9" x14ac:dyDescent="0.25">
      <c r="A332" s="286" t="s">
        <v>1497</v>
      </c>
      <c r="B332" s="283">
        <v>0</v>
      </c>
      <c r="C332" s="283">
        <v>0</v>
      </c>
      <c r="D332" s="283">
        <v>128334.66</v>
      </c>
      <c r="E332" s="283">
        <v>16724.78</v>
      </c>
      <c r="F332" s="283">
        <v>0</v>
      </c>
      <c r="G332" s="283">
        <v>0</v>
      </c>
      <c r="H332" s="283">
        <v>128334.66</v>
      </c>
      <c r="I332" s="283">
        <v>16724.78</v>
      </c>
    </row>
    <row r="333" spans="1:9" x14ac:dyDescent="0.25">
      <c r="A333" s="286" t="s">
        <v>283</v>
      </c>
      <c r="B333" s="283">
        <v>24074.49</v>
      </c>
      <c r="C333" s="283">
        <v>27191.67</v>
      </c>
      <c r="D333" s="283">
        <v>188682.19</v>
      </c>
      <c r="E333" s="283">
        <v>0</v>
      </c>
      <c r="F333" s="283">
        <v>24074.49</v>
      </c>
      <c r="G333" s="283">
        <v>27191.67</v>
      </c>
      <c r="H333" s="283">
        <v>188682.19</v>
      </c>
      <c r="I333" s="283">
        <v>0</v>
      </c>
    </row>
    <row r="334" spans="1:9" x14ac:dyDescent="0.25">
      <c r="A334" s="282" t="s">
        <v>284</v>
      </c>
      <c r="B334" s="283">
        <v>275846</v>
      </c>
      <c r="C334" s="283">
        <v>365112.19</v>
      </c>
      <c r="D334" s="283">
        <v>416754.83</v>
      </c>
      <c r="E334" s="283">
        <v>41442.79</v>
      </c>
      <c r="F334" s="283">
        <v>275846</v>
      </c>
      <c r="G334" s="283">
        <v>365112.19</v>
      </c>
      <c r="H334" s="283">
        <v>416754.83</v>
      </c>
      <c r="I334" s="283">
        <v>41442.79</v>
      </c>
    </row>
    <row r="335" spans="1:9" ht="30" x14ac:dyDescent="0.25">
      <c r="A335" s="286" t="s">
        <v>1809</v>
      </c>
      <c r="B335" s="283">
        <v>0</v>
      </c>
      <c r="C335" s="283">
        <v>0</v>
      </c>
      <c r="D335" s="283">
        <v>0</v>
      </c>
      <c r="E335" s="283">
        <v>0</v>
      </c>
      <c r="F335" s="283">
        <v>0</v>
      </c>
      <c r="G335" s="283">
        <v>0</v>
      </c>
      <c r="H335" s="283">
        <v>0</v>
      </c>
      <c r="I335" s="283">
        <v>0</v>
      </c>
    </row>
    <row r="336" spans="1:9" ht="30" x14ac:dyDescent="0.25">
      <c r="A336" s="286" t="s">
        <v>1810</v>
      </c>
      <c r="B336" s="283">
        <v>0</v>
      </c>
      <c r="C336" s="283">
        <v>0</v>
      </c>
      <c r="D336" s="283">
        <v>0</v>
      </c>
      <c r="E336" s="283">
        <v>0</v>
      </c>
      <c r="F336" s="283">
        <v>0</v>
      </c>
      <c r="G336" s="283">
        <v>0</v>
      </c>
      <c r="H336" s="283">
        <v>0</v>
      </c>
      <c r="I336" s="283">
        <v>0</v>
      </c>
    </row>
    <row r="337" spans="1:9" x14ac:dyDescent="0.25">
      <c r="A337" s="286" t="s">
        <v>1811</v>
      </c>
      <c r="B337" s="283">
        <v>0</v>
      </c>
      <c r="C337" s="283">
        <v>0</v>
      </c>
      <c r="D337" s="283">
        <v>0</v>
      </c>
      <c r="E337" s="283">
        <v>0</v>
      </c>
      <c r="F337" s="283">
        <v>0</v>
      </c>
      <c r="G337" s="283">
        <v>0</v>
      </c>
      <c r="H337" s="283">
        <v>0</v>
      </c>
      <c r="I337" s="283">
        <v>0</v>
      </c>
    </row>
    <row r="338" spans="1:9" x14ac:dyDescent="0.25">
      <c r="A338" s="282" t="s">
        <v>290</v>
      </c>
      <c r="B338" s="283">
        <v>7471.5</v>
      </c>
      <c r="C338" s="283">
        <v>8391.35</v>
      </c>
      <c r="D338" s="283">
        <v>7498.97</v>
      </c>
      <c r="E338" s="283">
        <v>0</v>
      </c>
      <c r="F338" s="283">
        <v>7471.5</v>
      </c>
      <c r="G338" s="283">
        <v>8391.35</v>
      </c>
      <c r="H338" s="283">
        <v>7498.97</v>
      </c>
      <c r="I338" s="283">
        <v>0</v>
      </c>
    </row>
    <row r="339" spans="1:9" x14ac:dyDescent="0.25">
      <c r="A339" s="286" t="s">
        <v>1812</v>
      </c>
      <c r="B339" s="283">
        <v>0</v>
      </c>
      <c r="C339" s="283">
        <v>0</v>
      </c>
      <c r="D339" s="283">
        <v>14665.31</v>
      </c>
      <c r="E339" s="283">
        <v>2615.4699999999998</v>
      </c>
      <c r="F339" s="283">
        <v>0</v>
      </c>
      <c r="G339" s="283">
        <v>0</v>
      </c>
      <c r="H339" s="283">
        <v>14665.31</v>
      </c>
      <c r="I339" s="283">
        <v>2615.4699999999998</v>
      </c>
    </row>
    <row r="340" spans="1:9" ht="30" x14ac:dyDescent="0.25">
      <c r="A340" s="286" t="s">
        <v>1813</v>
      </c>
      <c r="B340" s="283">
        <v>0</v>
      </c>
      <c r="C340" s="283">
        <v>0</v>
      </c>
      <c r="D340" s="283">
        <v>0</v>
      </c>
      <c r="E340" s="283">
        <v>0</v>
      </c>
      <c r="F340" s="283">
        <v>0</v>
      </c>
      <c r="G340" s="283">
        <v>0</v>
      </c>
      <c r="H340" s="283">
        <v>0</v>
      </c>
      <c r="I340" s="283">
        <v>0</v>
      </c>
    </row>
    <row r="341" spans="1:9" x14ac:dyDescent="0.25">
      <c r="A341" s="286" t="s">
        <v>1814</v>
      </c>
      <c r="B341" s="283">
        <v>0</v>
      </c>
      <c r="C341" s="283">
        <v>0</v>
      </c>
      <c r="D341" s="283">
        <v>0</v>
      </c>
      <c r="E341" s="283">
        <v>0</v>
      </c>
      <c r="F341" s="283">
        <v>0</v>
      </c>
      <c r="G341" s="283">
        <v>0</v>
      </c>
      <c r="H341" s="283">
        <v>0</v>
      </c>
      <c r="I341" s="283">
        <v>0</v>
      </c>
    </row>
    <row r="342" spans="1:9" x14ac:dyDescent="0.25">
      <c r="A342" s="286" t="s">
        <v>1815</v>
      </c>
      <c r="B342" s="283">
        <v>0</v>
      </c>
      <c r="C342" s="283">
        <v>0</v>
      </c>
      <c r="D342" s="283">
        <v>0</v>
      </c>
      <c r="E342" s="283">
        <v>0</v>
      </c>
      <c r="F342" s="283">
        <v>0</v>
      </c>
      <c r="G342" s="283">
        <v>0</v>
      </c>
      <c r="H342" s="283">
        <v>0</v>
      </c>
      <c r="I342" s="283">
        <v>0</v>
      </c>
    </row>
    <row r="343" spans="1:9" x14ac:dyDescent="0.25">
      <c r="A343" s="286" t="s">
        <v>1816</v>
      </c>
      <c r="B343" s="283">
        <v>0</v>
      </c>
      <c r="C343" s="283">
        <v>0</v>
      </c>
      <c r="D343" s="283">
        <v>0</v>
      </c>
      <c r="E343" s="283">
        <v>0</v>
      </c>
      <c r="F343" s="283">
        <v>0</v>
      </c>
      <c r="G343" s="283">
        <v>0</v>
      </c>
      <c r="H343" s="283">
        <v>0</v>
      </c>
      <c r="I343" s="283">
        <v>0</v>
      </c>
    </row>
    <row r="344" spans="1:9" x14ac:dyDescent="0.25">
      <c r="A344" s="286" t="s">
        <v>1817</v>
      </c>
      <c r="B344" s="283">
        <v>0</v>
      </c>
      <c r="C344" s="283">
        <v>0</v>
      </c>
      <c r="D344" s="283">
        <v>0</v>
      </c>
      <c r="E344" s="283">
        <v>0</v>
      </c>
      <c r="F344" s="283">
        <v>0</v>
      </c>
      <c r="G344" s="283">
        <v>0</v>
      </c>
      <c r="H344" s="283">
        <v>0</v>
      </c>
      <c r="I344" s="283">
        <v>0</v>
      </c>
    </row>
    <row r="345" spans="1:9" x14ac:dyDescent="0.25">
      <c r="A345" s="286" t="s">
        <v>1818</v>
      </c>
      <c r="B345" s="283">
        <v>-44512.69</v>
      </c>
      <c r="C345" s="283">
        <v>0</v>
      </c>
      <c r="D345" s="283">
        <v>0</v>
      </c>
      <c r="E345" s="283">
        <v>0</v>
      </c>
      <c r="F345" s="283">
        <v>-44512.69</v>
      </c>
      <c r="G345" s="283">
        <v>0</v>
      </c>
      <c r="H345" s="283">
        <v>0</v>
      </c>
      <c r="I345" s="283">
        <v>0</v>
      </c>
    </row>
    <row r="346" spans="1:9" ht="30" x14ac:dyDescent="0.25">
      <c r="A346" s="286" t="s">
        <v>1819</v>
      </c>
      <c r="B346" s="283">
        <v>0</v>
      </c>
      <c r="C346" s="283">
        <v>0</v>
      </c>
      <c r="D346" s="283">
        <v>0</v>
      </c>
      <c r="E346" s="283">
        <v>0</v>
      </c>
      <c r="F346" s="283">
        <v>0</v>
      </c>
      <c r="G346" s="283">
        <v>0</v>
      </c>
      <c r="H346" s="283">
        <v>0</v>
      </c>
      <c r="I346" s="283">
        <v>0</v>
      </c>
    </row>
    <row r="347" spans="1:9" x14ac:dyDescent="0.25">
      <c r="A347" s="282" t="s">
        <v>291</v>
      </c>
      <c r="B347" s="283">
        <v>5294.09</v>
      </c>
      <c r="C347" s="283">
        <v>6085.71</v>
      </c>
      <c r="D347" s="283">
        <v>78196.009999999995</v>
      </c>
      <c r="E347" s="283">
        <v>0</v>
      </c>
      <c r="F347" s="283">
        <v>5294.09</v>
      </c>
      <c r="G347" s="283">
        <v>6085.71</v>
      </c>
      <c r="H347" s="283">
        <v>78196.009999999995</v>
      </c>
      <c r="I347" s="283">
        <v>0</v>
      </c>
    </row>
    <row r="348" spans="1:9" x14ac:dyDescent="0.25">
      <c r="A348" s="282" t="s">
        <v>292</v>
      </c>
      <c r="B348" s="283">
        <v>3499.46</v>
      </c>
      <c r="C348" s="283">
        <v>1130.6099999999999</v>
      </c>
      <c r="D348" s="283">
        <v>107902.81</v>
      </c>
      <c r="E348" s="283">
        <v>0</v>
      </c>
      <c r="F348" s="283">
        <v>3499.46</v>
      </c>
      <c r="G348" s="283">
        <v>1130.6099999999999</v>
      </c>
      <c r="H348" s="283">
        <v>107902.81</v>
      </c>
      <c r="I348" s="283">
        <v>0</v>
      </c>
    </row>
    <row r="349" spans="1:9" x14ac:dyDescent="0.25">
      <c r="A349" s="286" t="s">
        <v>1820</v>
      </c>
      <c r="B349" s="283">
        <v>0</v>
      </c>
      <c r="C349" s="283">
        <v>0</v>
      </c>
      <c r="D349" s="283">
        <v>315929.43</v>
      </c>
      <c r="E349" s="283">
        <v>0</v>
      </c>
      <c r="F349" s="283">
        <v>0</v>
      </c>
      <c r="G349" s="283">
        <v>0</v>
      </c>
      <c r="H349" s="283">
        <v>315929.43</v>
      </c>
      <c r="I349" s="283">
        <v>0</v>
      </c>
    </row>
    <row r="350" spans="1:9" x14ac:dyDescent="0.25">
      <c r="A350" s="286" t="s">
        <v>289</v>
      </c>
      <c r="B350" s="283">
        <v>11229.56</v>
      </c>
      <c r="C350" s="283">
        <v>1270.1500000000001</v>
      </c>
      <c r="D350" s="283">
        <v>249486.87</v>
      </c>
      <c r="E350" s="283">
        <v>5643.16</v>
      </c>
      <c r="F350" s="283">
        <v>11229.56</v>
      </c>
      <c r="G350" s="283">
        <v>1270.1500000000001</v>
      </c>
      <c r="H350" s="283">
        <v>249486.87</v>
      </c>
      <c r="I350" s="283">
        <v>5643.16</v>
      </c>
    </row>
    <row r="351" spans="1:9" x14ac:dyDescent="0.25">
      <c r="A351" s="287" t="s">
        <v>1821</v>
      </c>
      <c r="B351" s="288">
        <v>53480559.989999995</v>
      </c>
      <c r="C351" s="288">
        <v>68952583.720000014</v>
      </c>
      <c r="D351" s="288">
        <v>136244475.05000007</v>
      </c>
      <c r="E351" s="288">
        <v>1696581.219999999</v>
      </c>
      <c r="F351" s="288">
        <v>53480559.989999995</v>
      </c>
      <c r="G351" s="288">
        <v>68952583.720000014</v>
      </c>
      <c r="H351" s="288">
        <v>136244475.05000007</v>
      </c>
      <c r="I351" s="288">
        <v>1696581.219999999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BD1341"/>
  <sheetViews>
    <sheetView workbookViewId="0">
      <pane ySplit="6" topLeftCell="A128" activePane="bottomLeft" state="frozen"/>
      <selection activeCell="EB284" sqref="EB284"/>
      <selection pane="bottomLeft" activeCell="EB284" sqref="EB284"/>
    </sheetView>
  </sheetViews>
  <sheetFormatPr defaultRowHeight="11.25" outlineLevelRow="3" outlineLevelCol="1" x14ac:dyDescent="0.2"/>
  <cols>
    <col min="1" max="1" width="43.7109375" style="67" customWidth="1" collapsed="1"/>
    <col min="2" max="3" width="16.28515625" style="67" hidden="1" customWidth="1" outlineLevel="1"/>
    <col min="4" max="4" width="16.28515625" style="67" customWidth="1" collapsed="1"/>
    <col min="5" max="7" width="16.28515625" style="67" hidden="1" customWidth="1" outlineLevel="1"/>
    <col min="8" max="8" width="37" style="67" customWidth="1"/>
    <col min="9" max="9" width="11.5703125" style="67" customWidth="1"/>
    <col min="10" max="10" width="10" style="67" customWidth="1"/>
    <col min="11" max="11" width="9.5703125" style="67" customWidth="1"/>
    <col min="12" max="12" width="9.140625" style="67" customWidth="1" outlineLevel="1"/>
    <col min="13" max="13" width="16.28515625" style="67" customWidth="1" outlineLevel="1"/>
    <col min="14" max="37" width="9.140625" style="67" customWidth="1" outlineLevel="1"/>
    <col min="38" max="38" width="11" style="67" customWidth="1" outlineLevel="1"/>
    <col min="39" max="41" width="9.140625" style="67" customWidth="1" outlineLevel="1"/>
    <col min="42" max="42" width="10.28515625" style="67" customWidth="1" outlineLevel="1"/>
    <col min="43" max="50" width="9.140625" style="67" customWidth="1" outlineLevel="1"/>
    <col min="51" max="259" width="9.140625" style="67" customWidth="1"/>
    <col min="260" max="16384" width="9.140625" style="67"/>
  </cols>
  <sheetData>
    <row r="1" spans="1:56" ht="12.75" x14ac:dyDescent="0.2">
      <c r="A1" s="88" t="s">
        <v>1309</v>
      </c>
      <c r="B1" s="85"/>
      <c r="C1" s="85"/>
      <c r="D1" s="85"/>
    </row>
    <row r="2" spans="1:56" ht="15.75" x14ac:dyDescent="0.25">
      <c r="A2" s="87" t="s">
        <v>1308</v>
      </c>
      <c r="B2" s="85"/>
      <c r="C2" s="85"/>
      <c r="D2" s="85"/>
    </row>
    <row r="4" spans="1:56" x14ac:dyDescent="0.2">
      <c r="A4" s="386" t="s">
        <v>1307</v>
      </c>
      <c r="B4" s="387"/>
      <c r="C4" s="388"/>
      <c r="D4" s="388"/>
      <c r="E4" s="388"/>
      <c r="F4" s="388"/>
      <c r="G4" s="388"/>
    </row>
    <row r="5" spans="1:56" x14ac:dyDescent="0.2">
      <c r="A5" s="86"/>
      <c r="B5" s="86"/>
      <c r="C5" s="85"/>
      <c r="D5" s="85"/>
      <c r="E5" s="85"/>
      <c r="F5" s="85"/>
      <c r="G5" s="85"/>
    </row>
    <row r="6" spans="1:56" ht="12.75" x14ac:dyDescent="0.2">
      <c r="A6" s="84" t="s">
        <v>1306</v>
      </c>
      <c r="B6" s="389" t="s">
        <v>1305</v>
      </c>
      <c r="C6" s="389"/>
      <c r="D6" s="389" t="s">
        <v>1304</v>
      </c>
      <c r="E6" s="389"/>
      <c r="F6" s="389" t="s">
        <v>1303</v>
      </c>
      <c r="G6" s="389"/>
      <c r="H6" s="67" t="s">
        <v>1</v>
      </c>
      <c r="I6" s="67" t="s">
        <v>1331</v>
      </c>
      <c r="J6" s="67" t="s">
        <v>1345</v>
      </c>
      <c r="K6" s="67" t="s">
        <v>17</v>
      </c>
      <c r="L6" s="67" t="s">
        <v>1289</v>
      </c>
      <c r="M6" s="67" t="s">
        <v>1281</v>
      </c>
      <c r="N6" s="67" t="s">
        <v>1280</v>
      </c>
      <c r="O6" s="67" t="s">
        <v>1279</v>
      </c>
      <c r="P6" s="67" t="s">
        <v>1276</v>
      </c>
      <c r="Q6" s="67" t="s">
        <v>1333</v>
      </c>
      <c r="R6" s="67" t="s">
        <v>1269</v>
      </c>
      <c r="S6" s="67" t="s">
        <v>1268</v>
      </c>
      <c r="T6" s="67" t="s">
        <v>1267</v>
      </c>
      <c r="U6" s="67" t="s">
        <v>1334</v>
      </c>
      <c r="V6" s="67" t="s">
        <v>1335</v>
      </c>
      <c r="W6" s="67" t="s">
        <v>1259</v>
      </c>
      <c r="X6" s="67" t="s">
        <v>1258</v>
      </c>
      <c r="Y6" s="67" t="s">
        <v>1257</v>
      </c>
      <c r="Z6" s="67" t="s">
        <v>1256</v>
      </c>
      <c r="AA6" s="67" t="s">
        <v>1255</v>
      </c>
      <c r="AB6" s="67" t="s">
        <v>1254</v>
      </c>
      <c r="AC6" s="67" t="s">
        <v>1253</v>
      </c>
      <c r="AD6" s="67" t="s">
        <v>1249</v>
      </c>
      <c r="AE6" s="67" t="s">
        <v>1247</v>
      </c>
      <c r="AF6" s="67" t="s">
        <v>1246</v>
      </c>
      <c r="AG6" s="67" t="s">
        <v>1245</v>
      </c>
      <c r="AH6" s="67" t="s">
        <v>1244</v>
      </c>
      <c r="AI6" s="67" t="s">
        <v>1340</v>
      </c>
      <c r="AJ6" s="67" t="s">
        <v>1241</v>
      </c>
      <c r="AK6" s="67" t="s">
        <v>1237</v>
      </c>
      <c r="AL6" s="67" t="s">
        <v>1342</v>
      </c>
      <c r="AM6" s="67" t="s">
        <v>1344</v>
      </c>
      <c r="AN6" s="67" t="s">
        <v>1228</v>
      </c>
      <c r="AO6" s="67" t="s">
        <v>1227</v>
      </c>
      <c r="AP6" s="67" t="s">
        <v>1226</v>
      </c>
      <c r="AQ6" s="67" t="s">
        <v>1224</v>
      </c>
      <c r="AR6" s="67" t="s">
        <v>1223</v>
      </c>
      <c r="AS6" s="67" t="s">
        <v>1348</v>
      </c>
      <c r="AT6" s="67" t="s">
        <v>1349</v>
      </c>
      <c r="AU6" s="67" t="s">
        <v>1114</v>
      </c>
      <c r="AV6" s="67" t="s">
        <v>1110</v>
      </c>
      <c r="AW6" s="67" t="s">
        <v>1109</v>
      </c>
      <c r="AX6" s="67" t="s">
        <v>1084</v>
      </c>
      <c r="AY6" s="67" t="s">
        <v>1081</v>
      </c>
      <c r="AZ6" s="67" t="s">
        <v>956</v>
      </c>
      <c r="BA6" s="67" t="s">
        <v>955</v>
      </c>
      <c r="BB6" s="67" t="s">
        <v>947</v>
      </c>
      <c r="BC6" s="67" t="s">
        <v>935</v>
      </c>
      <c r="BD6" s="67" t="s">
        <v>933</v>
      </c>
    </row>
    <row r="7" spans="1:56" ht="12.75" x14ac:dyDescent="0.2">
      <c r="A7" s="84" t="s">
        <v>1302</v>
      </c>
      <c r="B7" s="390" t="s">
        <v>1301</v>
      </c>
      <c r="C7" s="390" t="s">
        <v>1300</v>
      </c>
      <c r="D7" s="390" t="s">
        <v>1301</v>
      </c>
      <c r="E7" s="390" t="s">
        <v>1300</v>
      </c>
      <c r="F7" s="390" t="s">
        <v>1301</v>
      </c>
      <c r="G7" s="390" t="s">
        <v>1300</v>
      </c>
    </row>
    <row r="8" spans="1:56" ht="12.75" x14ac:dyDescent="0.2">
      <c r="A8" s="84" t="s">
        <v>1299</v>
      </c>
      <c r="B8" s="391"/>
      <c r="C8" s="391"/>
      <c r="D8" s="391"/>
      <c r="E8" s="391"/>
      <c r="F8" s="391"/>
      <c r="G8" s="391"/>
    </row>
    <row r="9" spans="1:56" ht="12.75" x14ac:dyDescent="0.2">
      <c r="A9" s="84" t="s">
        <v>1298</v>
      </c>
      <c r="B9" s="392"/>
      <c r="C9" s="392"/>
      <c r="D9" s="392"/>
      <c r="E9" s="392"/>
      <c r="F9" s="392"/>
      <c r="G9" s="392"/>
    </row>
    <row r="10" spans="1:56" ht="12.75" x14ac:dyDescent="0.2">
      <c r="A10" s="83" t="s">
        <v>1297</v>
      </c>
      <c r="B10" s="81"/>
      <c r="C10" s="81"/>
      <c r="D10" s="82">
        <v>1115421055.3199999</v>
      </c>
      <c r="E10" s="82">
        <v>1115421055.3199999</v>
      </c>
      <c r="F10" s="81"/>
      <c r="G10" s="81"/>
    </row>
    <row r="11" spans="1:56" ht="12" outlineLevel="1" x14ac:dyDescent="0.2">
      <c r="A11" s="78" t="s">
        <v>1296</v>
      </c>
      <c r="B11" s="76"/>
      <c r="C11" s="76"/>
      <c r="D11" s="77">
        <v>157956.76</v>
      </c>
      <c r="E11" s="77">
        <v>157956.76</v>
      </c>
      <c r="F11" s="76"/>
      <c r="G11" s="76"/>
    </row>
    <row r="12" spans="1:56" ht="12" outlineLevel="2" collapsed="1" x14ac:dyDescent="0.2">
      <c r="A12" s="74" t="s">
        <v>921</v>
      </c>
      <c r="B12" s="71"/>
      <c r="C12" s="71"/>
      <c r="D12" s="71"/>
      <c r="E12" s="72">
        <v>162512.21</v>
      </c>
      <c r="F12" s="71"/>
      <c r="G12" s="71"/>
    </row>
    <row r="13" spans="1:56" ht="12" hidden="1" outlineLevel="3" x14ac:dyDescent="0.2">
      <c r="A13" s="73" t="s">
        <v>921</v>
      </c>
      <c r="B13" s="71"/>
      <c r="C13" s="71"/>
      <c r="D13" s="71"/>
      <c r="E13" s="72">
        <v>162512.21</v>
      </c>
      <c r="F13" s="71"/>
      <c r="G13" s="71"/>
    </row>
    <row r="14" spans="1:56" ht="12" outlineLevel="2" collapsed="1" x14ac:dyDescent="0.2">
      <c r="A14" s="74" t="s">
        <v>921</v>
      </c>
      <c r="B14" s="71"/>
      <c r="C14" s="71"/>
      <c r="D14" s="71"/>
      <c r="E14" s="75">
        <v>-4555.45</v>
      </c>
      <c r="F14" s="71"/>
      <c r="G14" s="71"/>
    </row>
    <row r="15" spans="1:56" ht="12" hidden="1" outlineLevel="3" x14ac:dyDescent="0.2">
      <c r="A15" s="73" t="s">
        <v>921</v>
      </c>
      <c r="B15" s="71"/>
      <c r="C15" s="71"/>
      <c r="D15" s="71"/>
      <c r="E15" s="75">
        <v>-4555.45</v>
      </c>
      <c r="F15" s="71"/>
      <c r="G15" s="71"/>
    </row>
    <row r="16" spans="1:56" ht="12" outlineLevel="2" collapsed="1" x14ac:dyDescent="0.2">
      <c r="A16" s="74" t="s">
        <v>1295</v>
      </c>
      <c r="B16" s="71"/>
      <c r="C16" s="71"/>
      <c r="D16" s="72">
        <v>157956.76</v>
      </c>
      <c r="E16" s="71"/>
      <c r="F16" s="71"/>
      <c r="G16" s="71"/>
    </row>
    <row r="17" spans="1:7" ht="12" hidden="1" outlineLevel="3" x14ac:dyDescent="0.2">
      <c r="A17" s="73" t="s">
        <v>1080</v>
      </c>
      <c r="B17" s="71"/>
      <c r="C17" s="71"/>
      <c r="D17" s="72">
        <v>28551.119999999999</v>
      </c>
      <c r="E17" s="71"/>
      <c r="F17" s="71"/>
      <c r="G17" s="71"/>
    </row>
    <row r="18" spans="1:7" ht="12" hidden="1" outlineLevel="3" x14ac:dyDescent="0.2">
      <c r="A18" s="73" t="s">
        <v>1079</v>
      </c>
      <c r="B18" s="71"/>
      <c r="C18" s="71"/>
      <c r="D18" s="72">
        <v>29565.86</v>
      </c>
      <c r="E18" s="71"/>
      <c r="F18" s="71"/>
      <c r="G18" s="71"/>
    </row>
    <row r="19" spans="1:7" ht="12" hidden="1" outlineLevel="3" x14ac:dyDescent="0.2">
      <c r="A19" s="73" t="s">
        <v>927</v>
      </c>
      <c r="B19" s="71"/>
      <c r="C19" s="71"/>
      <c r="D19" s="72">
        <v>99839.78</v>
      </c>
      <c r="E19" s="71"/>
      <c r="F19" s="71"/>
      <c r="G19" s="71"/>
    </row>
    <row r="20" spans="1:7" ht="12" outlineLevel="1" x14ac:dyDescent="0.2">
      <c r="A20" s="78" t="s">
        <v>24</v>
      </c>
      <c r="B20" s="76"/>
      <c r="C20" s="76"/>
      <c r="D20" s="77">
        <v>72843049.920000002</v>
      </c>
      <c r="E20" s="77">
        <v>72843049.920000002</v>
      </c>
      <c r="F20" s="76"/>
      <c r="G20" s="76"/>
    </row>
    <row r="21" spans="1:7" ht="12" outlineLevel="2" collapsed="1" x14ac:dyDescent="0.2">
      <c r="A21" s="74" t="s">
        <v>921</v>
      </c>
      <c r="B21" s="71"/>
      <c r="C21" s="71"/>
      <c r="D21" s="71"/>
      <c r="E21" s="72">
        <v>75529371.629999995</v>
      </c>
      <c r="F21" s="71"/>
      <c r="G21" s="71"/>
    </row>
    <row r="22" spans="1:7" ht="12" hidden="1" outlineLevel="3" x14ac:dyDescent="0.2">
      <c r="A22" s="73" t="s">
        <v>921</v>
      </c>
      <c r="B22" s="71"/>
      <c r="C22" s="71"/>
      <c r="D22" s="71"/>
      <c r="E22" s="72">
        <v>75529371.629999995</v>
      </c>
      <c r="F22" s="71"/>
      <c r="G22" s="71"/>
    </row>
    <row r="23" spans="1:7" ht="12" outlineLevel="2" collapsed="1" x14ac:dyDescent="0.2">
      <c r="A23" s="74" t="s">
        <v>921</v>
      </c>
      <c r="B23" s="71"/>
      <c r="C23" s="71"/>
      <c r="D23" s="71"/>
      <c r="E23" s="75">
        <v>-2686321.71</v>
      </c>
      <c r="F23" s="71"/>
      <c r="G23" s="71"/>
    </row>
    <row r="24" spans="1:7" ht="12" hidden="1" outlineLevel="3" x14ac:dyDescent="0.2">
      <c r="A24" s="73" t="s">
        <v>921</v>
      </c>
      <c r="B24" s="71"/>
      <c r="C24" s="71"/>
      <c r="D24" s="71"/>
      <c r="E24" s="75">
        <v>-2686321.71</v>
      </c>
      <c r="F24" s="71"/>
      <c r="G24" s="71"/>
    </row>
    <row r="25" spans="1:7" ht="12" outlineLevel="2" collapsed="1" x14ac:dyDescent="0.2">
      <c r="A25" s="74" t="s">
        <v>1294</v>
      </c>
      <c r="B25" s="71"/>
      <c r="C25" s="71"/>
      <c r="D25" s="72">
        <v>72843049.920000002</v>
      </c>
      <c r="E25" s="71"/>
      <c r="F25" s="71"/>
      <c r="G25" s="71"/>
    </row>
    <row r="26" spans="1:7" ht="12" hidden="1" outlineLevel="3" x14ac:dyDescent="0.2">
      <c r="A26" s="73" t="s">
        <v>930</v>
      </c>
      <c r="B26" s="71"/>
      <c r="C26" s="71"/>
      <c r="D26" s="72">
        <v>20493322.329999998</v>
      </c>
      <c r="E26" s="71"/>
      <c r="F26" s="71"/>
      <c r="G26" s="71"/>
    </row>
    <row r="27" spans="1:7" ht="12" hidden="1" outlineLevel="3" x14ac:dyDescent="0.2">
      <c r="A27" s="73" t="s">
        <v>929</v>
      </c>
      <c r="B27" s="71"/>
      <c r="C27" s="71"/>
      <c r="D27" s="72">
        <v>8033.16</v>
      </c>
      <c r="E27" s="71"/>
      <c r="F27" s="71"/>
      <c r="G27" s="71"/>
    </row>
    <row r="28" spans="1:7" ht="12" hidden="1" outlineLevel="3" x14ac:dyDescent="0.2">
      <c r="A28" s="73" t="s">
        <v>928</v>
      </c>
      <c r="B28" s="71"/>
      <c r="C28" s="71"/>
      <c r="D28" s="72">
        <v>2971.32</v>
      </c>
      <c r="E28" s="71"/>
      <c r="F28" s="71"/>
      <c r="G28" s="71"/>
    </row>
    <row r="29" spans="1:7" ht="12" hidden="1" outlineLevel="3" x14ac:dyDescent="0.2">
      <c r="A29" s="73" t="s">
        <v>927</v>
      </c>
      <c r="B29" s="71"/>
      <c r="C29" s="71"/>
      <c r="D29" s="72">
        <v>6124.86</v>
      </c>
      <c r="E29" s="71"/>
      <c r="F29" s="71"/>
      <c r="G29" s="71"/>
    </row>
    <row r="30" spans="1:7" ht="12" hidden="1" outlineLevel="3" x14ac:dyDescent="0.2">
      <c r="A30" s="73" t="s">
        <v>926</v>
      </c>
      <c r="B30" s="71"/>
      <c r="C30" s="71"/>
      <c r="D30" s="79">
        <v>745.35</v>
      </c>
      <c r="E30" s="71"/>
      <c r="F30" s="71"/>
      <c r="G30" s="71"/>
    </row>
    <row r="31" spans="1:7" ht="12" hidden="1" outlineLevel="3" x14ac:dyDescent="0.2">
      <c r="A31" s="73" t="s">
        <v>925</v>
      </c>
      <c r="B31" s="71"/>
      <c r="C31" s="71"/>
      <c r="D31" s="79">
        <v>722.75</v>
      </c>
      <c r="E31" s="71"/>
      <c r="F31" s="71"/>
      <c r="G31" s="71"/>
    </row>
    <row r="32" spans="1:7" ht="12" hidden="1" outlineLevel="3" x14ac:dyDescent="0.2">
      <c r="A32" s="73" t="s">
        <v>924</v>
      </c>
      <c r="B32" s="71"/>
      <c r="C32" s="71"/>
      <c r="D32" s="72">
        <v>9132.1200000000008</v>
      </c>
      <c r="E32" s="71"/>
      <c r="F32" s="71"/>
      <c r="G32" s="71"/>
    </row>
    <row r="33" spans="1:7" ht="12" hidden="1" outlineLevel="3" x14ac:dyDescent="0.2">
      <c r="A33" s="73" t="s">
        <v>923</v>
      </c>
      <c r="B33" s="71"/>
      <c r="C33" s="71"/>
      <c r="D33" s="72">
        <v>1458.96</v>
      </c>
      <c r="E33" s="71"/>
      <c r="F33" s="71"/>
      <c r="G33" s="71"/>
    </row>
    <row r="34" spans="1:7" ht="12" hidden="1" outlineLevel="3" x14ac:dyDescent="0.2">
      <c r="A34" s="73" t="s">
        <v>919</v>
      </c>
      <c r="B34" s="71"/>
      <c r="C34" s="71"/>
      <c r="D34" s="72">
        <v>52320539.07</v>
      </c>
      <c r="E34" s="71"/>
      <c r="F34" s="71"/>
      <c r="G34" s="71"/>
    </row>
    <row r="35" spans="1:7" ht="12" outlineLevel="1" x14ac:dyDescent="0.2">
      <c r="A35" s="78" t="s">
        <v>1293</v>
      </c>
      <c r="B35" s="76"/>
      <c r="C35" s="76"/>
      <c r="D35" s="77">
        <v>122904358.01000001</v>
      </c>
      <c r="E35" s="77">
        <v>122904358.01000001</v>
      </c>
      <c r="F35" s="76"/>
      <c r="G35" s="76"/>
    </row>
    <row r="36" spans="1:7" ht="12" outlineLevel="2" collapsed="1" x14ac:dyDescent="0.2">
      <c r="A36" s="74" t="s">
        <v>921</v>
      </c>
      <c r="B36" s="71"/>
      <c r="C36" s="71"/>
      <c r="D36" s="71"/>
      <c r="E36" s="72">
        <v>128376412.75</v>
      </c>
      <c r="F36" s="71"/>
      <c r="G36" s="71"/>
    </row>
    <row r="37" spans="1:7" ht="12" hidden="1" outlineLevel="3" x14ac:dyDescent="0.2">
      <c r="A37" s="73" t="s">
        <v>921</v>
      </c>
      <c r="B37" s="71"/>
      <c r="C37" s="71"/>
      <c r="D37" s="71"/>
      <c r="E37" s="72">
        <v>128376412.75</v>
      </c>
      <c r="F37" s="71"/>
      <c r="G37" s="71"/>
    </row>
    <row r="38" spans="1:7" ht="12" outlineLevel="2" collapsed="1" x14ac:dyDescent="0.2">
      <c r="A38" s="74" t="s">
        <v>921</v>
      </c>
      <c r="B38" s="71"/>
      <c r="C38" s="71"/>
      <c r="D38" s="71"/>
      <c r="E38" s="75">
        <v>-5472054.7400000002</v>
      </c>
      <c r="F38" s="71"/>
      <c r="G38" s="71"/>
    </row>
    <row r="39" spans="1:7" ht="12" hidden="1" outlineLevel="3" x14ac:dyDescent="0.2">
      <c r="A39" s="73" t="s">
        <v>921</v>
      </c>
      <c r="B39" s="71"/>
      <c r="C39" s="71"/>
      <c r="D39" s="71"/>
      <c r="E39" s="75">
        <v>-5472054.7400000002</v>
      </c>
      <c r="F39" s="71"/>
      <c r="G39" s="71"/>
    </row>
    <row r="40" spans="1:7" ht="12" outlineLevel="2" collapsed="1" x14ac:dyDescent="0.2">
      <c r="A40" s="74" t="s">
        <v>931</v>
      </c>
      <c r="B40" s="71"/>
      <c r="C40" s="71"/>
      <c r="D40" s="72">
        <v>27935707.890000001</v>
      </c>
      <c r="E40" s="71"/>
      <c r="F40" s="71"/>
      <c r="G40" s="71"/>
    </row>
    <row r="41" spans="1:7" ht="12" hidden="1" outlineLevel="3" x14ac:dyDescent="0.2">
      <c r="A41" s="73" t="s">
        <v>930</v>
      </c>
      <c r="B41" s="71"/>
      <c r="C41" s="71"/>
      <c r="D41" s="72">
        <v>8704058.6600000001</v>
      </c>
      <c r="E41" s="71"/>
      <c r="F41" s="71"/>
      <c r="G41" s="71"/>
    </row>
    <row r="42" spans="1:7" ht="12" hidden="1" outlineLevel="3" x14ac:dyDescent="0.2">
      <c r="A42" s="73" t="s">
        <v>929</v>
      </c>
      <c r="B42" s="71"/>
      <c r="C42" s="71"/>
      <c r="D42" s="72">
        <v>3755.34</v>
      </c>
      <c r="E42" s="71"/>
      <c r="F42" s="71"/>
      <c r="G42" s="71"/>
    </row>
    <row r="43" spans="1:7" ht="12" hidden="1" outlineLevel="3" x14ac:dyDescent="0.2">
      <c r="A43" s="73" t="s">
        <v>928</v>
      </c>
      <c r="B43" s="71"/>
      <c r="C43" s="71"/>
      <c r="D43" s="72">
        <v>1388.82</v>
      </c>
      <c r="E43" s="71"/>
      <c r="F43" s="71"/>
      <c r="G43" s="71"/>
    </row>
    <row r="44" spans="1:7" ht="12" hidden="1" outlineLevel="3" x14ac:dyDescent="0.2">
      <c r="A44" s="73" t="s">
        <v>927</v>
      </c>
      <c r="B44" s="71"/>
      <c r="C44" s="71"/>
      <c r="D44" s="72">
        <v>110938.07</v>
      </c>
      <c r="E44" s="71"/>
      <c r="F44" s="71"/>
      <c r="G44" s="71"/>
    </row>
    <row r="45" spans="1:7" ht="12" hidden="1" outlineLevel="3" x14ac:dyDescent="0.2">
      <c r="A45" s="73" t="s">
        <v>919</v>
      </c>
      <c r="B45" s="71"/>
      <c r="C45" s="71"/>
      <c r="D45" s="72">
        <v>19115567</v>
      </c>
      <c r="E45" s="71"/>
      <c r="F45" s="71"/>
      <c r="G45" s="71"/>
    </row>
    <row r="46" spans="1:7" ht="12" outlineLevel="2" collapsed="1" x14ac:dyDescent="0.2">
      <c r="A46" s="74" t="s">
        <v>1291</v>
      </c>
      <c r="B46" s="71"/>
      <c r="C46" s="71"/>
      <c r="D46" s="72">
        <v>94968650.120000005</v>
      </c>
      <c r="E46" s="71"/>
      <c r="F46" s="71"/>
      <c r="G46" s="71"/>
    </row>
    <row r="47" spans="1:7" ht="12" hidden="1" outlineLevel="3" x14ac:dyDescent="0.2">
      <c r="A47" s="73" t="s">
        <v>930</v>
      </c>
      <c r="B47" s="71"/>
      <c r="C47" s="71"/>
      <c r="D47" s="72">
        <v>5581546.6299999999</v>
      </c>
      <c r="E47" s="71"/>
      <c r="F47" s="71"/>
      <c r="G47" s="71"/>
    </row>
    <row r="48" spans="1:7" ht="12" hidden="1" outlineLevel="3" x14ac:dyDescent="0.2">
      <c r="A48" s="73" t="s">
        <v>929</v>
      </c>
      <c r="B48" s="71"/>
      <c r="C48" s="71"/>
      <c r="D48" s="72">
        <v>14851.44</v>
      </c>
      <c r="E48" s="71"/>
      <c r="F48" s="71"/>
      <c r="G48" s="71"/>
    </row>
    <row r="49" spans="1:7" ht="12" hidden="1" outlineLevel="3" x14ac:dyDescent="0.2">
      <c r="A49" s="73" t="s">
        <v>928</v>
      </c>
      <c r="B49" s="71"/>
      <c r="C49" s="71"/>
      <c r="D49" s="72">
        <v>5493.48</v>
      </c>
      <c r="E49" s="71"/>
      <c r="F49" s="71"/>
      <c r="G49" s="71"/>
    </row>
    <row r="50" spans="1:7" ht="12" hidden="1" outlineLevel="3" x14ac:dyDescent="0.2">
      <c r="A50" s="73" t="s">
        <v>927</v>
      </c>
      <c r="B50" s="71"/>
      <c r="C50" s="71"/>
      <c r="D50" s="72">
        <v>438633.25</v>
      </c>
      <c r="E50" s="71"/>
      <c r="F50" s="71"/>
      <c r="G50" s="71"/>
    </row>
    <row r="51" spans="1:7" ht="12" hidden="1" outlineLevel="3" x14ac:dyDescent="0.2">
      <c r="A51" s="73" t="s">
        <v>924</v>
      </c>
      <c r="B51" s="71"/>
      <c r="C51" s="71"/>
      <c r="D51" s="72">
        <v>145773.96</v>
      </c>
      <c r="E51" s="71"/>
      <c r="F51" s="71"/>
      <c r="G51" s="71"/>
    </row>
    <row r="52" spans="1:7" ht="12" hidden="1" outlineLevel="3" x14ac:dyDescent="0.2">
      <c r="A52" s="73" t="s">
        <v>919</v>
      </c>
      <c r="B52" s="71"/>
      <c r="C52" s="71"/>
      <c r="D52" s="72">
        <v>88782351.359999999</v>
      </c>
      <c r="E52" s="71"/>
      <c r="F52" s="71"/>
      <c r="G52" s="71"/>
    </row>
    <row r="53" spans="1:7" ht="12" outlineLevel="1" x14ac:dyDescent="0.2">
      <c r="A53" s="78" t="s">
        <v>1292</v>
      </c>
      <c r="B53" s="76"/>
      <c r="C53" s="76"/>
      <c r="D53" s="76"/>
      <c r="E53" s="76"/>
      <c r="F53" s="76"/>
      <c r="G53" s="76"/>
    </row>
    <row r="54" spans="1:7" ht="12" outlineLevel="2" collapsed="1" x14ac:dyDescent="0.2">
      <c r="A54" s="74" t="s">
        <v>921</v>
      </c>
      <c r="B54" s="71"/>
      <c r="C54" s="71"/>
      <c r="D54" s="71"/>
      <c r="E54" s="79">
        <v>590.37</v>
      </c>
      <c r="F54" s="71"/>
      <c r="G54" s="71"/>
    </row>
    <row r="55" spans="1:7" ht="12" hidden="1" outlineLevel="3" x14ac:dyDescent="0.2">
      <c r="A55" s="73" t="s">
        <v>921</v>
      </c>
      <c r="B55" s="71"/>
      <c r="C55" s="71"/>
      <c r="D55" s="71"/>
      <c r="E55" s="79">
        <v>590.37</v>
      </c>
      <c r="F55" s="71"/>
      <c r="G55" s="71"/>
    </row>
    <row r="56" spans="1:7" ht="12" outlineLevel="2" collapsed="1" x14ac:dyDescent="0.2">
      <c r="A56" s="74" t="s">
        <v>921</v>
      </c>
      <c r="B56" s="71"/>
      <c r="C56" s="71"/>
      <c r="D56" s="71"/>
      <c r="E56" s="80">
        <v>-590.37</v>
      </c>
      <c r="F56" s="71"/>
      <c r="G56" s="71"/>
    </row>
    <row r="57" spans="1:7" ht="12" hidden="1" outlineLevel="3" x14ac:dyDescent="0.2">
      <c r="A57" s="73" t="s">
        <v>921</v>
      </c>
      <c r="B57" s="71"/>
      <c r="C57" s="71"/>
      <c r="D57" s="71"/>
      <c r="E57" s="80">
        <v>-590.37</v>
      </c>
      <c r="F57" s="71"/>
      <c r="G57" s="71"/>
    </row>
    <row r="58" spans="1:7" ht="12" outlineLevel="1" x14ac:dyDescent="0.2">
      <c r="A58" s="78" t="s">
        <v>25</v>
      </c>
      <c r="B58" s="76"/>
      <c r="C58" s="76"/>
      <c r="D58" s="77">
        <v>331440279.05000001</v>
      </c>
      <c r="E58" s="77">
        <v>331440279.05000001</v>
      </c>
      <c r="F58" s="76"/>
      <c r="G58" s="76"/>
    </row>
    <row r="59" spans="1:7" ht="12" outlineLevel="2" collapsed="1" x14ac:dyDescent="0.2">
      <c r="A59" s="74" t="s">
        <v>921</v>
      </c>
      <c r="B59" s="71"/>
      <c r="C59" s="71"/>
      <c r="D59" s="71"/>
      <c r="E59" s="72">
        <v>343420883.83999997</v>
      </c>
      <c r="F59" s="71"/>
      <c r="G59" s="71"/>
    </row>
    <row r="60" spans="1:7" ht="12" hidden="1" outlineLevel="3" x14ac:dyDescent="0.2">
      <c r="A60" s="73" t="s">
        <v>921</v>
      </c>
      <c r="B60" s="71"/>
      <c r="C60" s="71"/>
      <c r="D60" s="71"/>
      <c r="E60" s="72">
        <v>343420883.83999997</v>
      </c>
      <c r="F60" s="71"/>
      <c r="G60" s="71"/>
    </row>
    <row r="61" spans="1:7" ht="12" outlineLevel="2" collapsed="1" x14ac:dyDescent="0.2">
      <c r="A61" s="74" t="s">
        <v>921</v>
      </c>
      <c r="B61" s="71"/>
      <c r="C61" s="71"/>
      <c r="D61" s="71"/>
      <c r="E61" s="75">
        <v>-11980604.789999999</v>
      </c>
      <c r="F61" s="71"/>
      <c r="G61" s="71"/>
    </row>
    <row r="62" spans="1:7" ht="12" hidden="1" outlineLevel="3" x14ac:dyDescent="0.2">
      <c r="A62" s="73" t="s">
        <v>921</v>
      </c>
      <c r="B62" s="71"/>
      <c r="C62" s="71"/>
      <c r="D62" s="71"/>
      <c r="E62" s="75">
        <v>-11980604.789999999</v>
      </c>
      <c r="F62" s="71"/>
      <c r="G62" s="71"/>
    </row>
    <row r="63" spans="1:7" ht="12" outlineLevel="2" collapsed="1" x14ac:dyDescent="0.2">
      <c r="A63" s="74" t="s">
        <v>1291</v>
      </c>
      <c r="B63" s="71"/>
      <c r="C63" s="71"/>
      <c r="D63" s="72">
        <v>331440279.05000001</v>
      </c>
      <c r="E63" s="71"/>
      <c r="F63" s="71"/>
      <c r="G63" s="71"/>
    </row>
    <row r="64" spans="1:7" ht="12" hidden="1" outlineLevel="3" x14ac:dyDescent="0.2">
      <c r="A64" s="73" t="s">
        <v>930</v>
      </c>
      <c r="B64" s="71"/>
      <c r="C64" s="71"/>
      <c r="D64" s="72">
        <v>111824901.55</v>
      </c>
      <c r="E64" s="71"/>
      <c r="F64" s="71"/>
      <c r="G64" s="71"/>
    </row>
    <row r="65" spans="1:12" ht="12" hidden="1" outlineLevel="3" x14ac:dyDescent="0.2">
      <c r="A65" s="73" t="s">
        <v>919</v>
      </c>
      <c r="B65" s="71"/>
      <c r="C65" s="71"/>
      <c r="D65" s="72">
        <v>219615377.5</v>
      </c>
      <c r="E65" s="71"/>
      <c r="F65" s="71"/>
      <c r="G65" s="71"/>
    </row>
    <row r="66" spans="1:12" ht="12" outlineLevel="1" x14ac:dyDescent="0.2">
      <c r="A66" s="78" t="s">
        <v>1290</v>
      </c>
      <c r="B66" s="76"/>
      <c r="C66" s="76"/>
      <c r="D66" s="77">
        <v>497770709.79000002</v>
      </c>
      <c r="E66" s="77">
        <v>497770709.79000002</v>
      </c>
      <c r="F66" s="76"/>
      <c r="G66" s="76"/>
    </row>
    <row r="67" spans="1:12" ht="12" outlineLevel="2" collapsed="1" x14ac:dyDescent="0.2">
      <c r="A67" s="74" t="s">
        <v>921</v>
      </c>
      <c r="B67" s="71"/>
      <c r="C67" s="71"/>
      <c r="D67" s="75">
        <v>-7108.01</v>
      </c>
      <c r="E67" s="72">
        <v>523316758.41000003</v>
      </c>
      <c r="F67" s="71"/>
      <c r="G67" s="71"/>
    </row>
    <row r="68" spans="1:12" ht="12" hidden="1" outlineLevel="3" x14ac:dyDescent="0.2">
      <c r="A68" s="73" t="s">
        <v>921</v>
      </c>
      <c r="B68" s="71"/>
      <c r="C68" s="71"/>
      <c r="D68" s="75">
        <v>-7108.01</v>
      </c>
      <c r="E68" s="72">
        <v>523316758.41000003</v>
      </c>
      <c r="F68" s="71"/>
      <c r="G68" s="71"/>
    </row>
    <row r="69" spans="1:12" ht="12" outlineLevel="2" collapsed="1" x14ac:dyDescent="0.2">
      <c r="A69" s="74" t="s">
        <v>921</v>
      </c>
      <c r="B69" s="71"/>
      <c r="C69" s="71"/>
      <c r="D69" s="71"/>
      <c r="E69" s="75">
        <v>-25546048.620000001</v>
      </c>
      <c r="F69" s="71"/>
      <c r="G69" s="71"/>
    </row>
    <row r="70" spans="1:12" ht="12" hidden="1" outlineLevel="3" x14ac:dyDescent="0.2">
      <c r="A70" s="73" t="s">
        <v>921</v>
      </c>
      <c r="B70" s="71"/>
      <c r="C70" s="71"/>
      <c r="D70" s="71"/>
      <c r="E70" s="75">
        <v>-25546048.620000001</v>
      </c>
      <c r="F70" s="71"/>
      <c r="G70" s="71"/>
    </row>
    <row r="71" spans="1:12" ht="24" outlineLevel="2" collapsed="1" x14ac:dyDescent="0.2">
      <c r="A71" s="74" t="s">
        <v>1289</v>
      </c>
      <c r="B71" s="71"/>
      <c r="C71" s="71"/>
      <c r="D71" s="72">
        <v>20013.560000000001</v>
      </c>
      <c r="E71" s="71"/>
      <c r="F71" s="71"/>
      <c r="G71" s="71"/>
    </row>
    <row r="72" spans="1:12" ht="12" hidden="1" outlineLevel="3" x14ac:dyDescent="0.2">
      <c r="A72" s="73" t="s">
        <v>963</v>
      </c>
      <c r="B72" s="71"/>
      <c r="C72" s="71"/>
      <c r="D72" s="72">
        <v>20013.560000000001</v>
      </c>
      <c r="E72" s="71"/>
      <c r="F72" s="71"/>
      <c r="G72" s="71"/>
      <c r="H72" s="4" t="s">
        <v>285</v>
      </c>
      <c r="I72" s="56"/>
      <c r="J72" s="56"/>
      <c r="K72" s="56"/>
      <c r="L72" s="91">
        <f>$D72</f>
        <v>20013.560000000001</v>
      </c>
    </row>
    <row r="73" spans="1:12" ht="12" outlineLevel="2" collapsed="1" x14ac:dyDescent="0.2">
      <c r="A73" s="74" t="s">
        <v>1288</v>
      </c>
      <c r="B73" s="71"/>
      <c r="C73" s="71"/>
      <c r="D73" s="72">
        <v>95754.48</v>
      </c>
      <c r="E73" s="71"/>
      <c r="F73" s="71"/>
      <c r="G73" s="71"/>
    </row>
    <row r="74" spans="1:12" ht="12" hidden="1" outlineLevel="3" x14ac:dyDescent="0.2">
      <c r="A74" s="73" t="s">
        <v>919</v>
      </c>
      <c r="B74" s="71"/>
      <c r="C74" s="71"/>
      <c r="D74" s="72">
        <v>95754.48</v>
      </c>
      <c r="E74" s="71"/>
      <c r="F74" s="71"/>
      <c r="G74" s="71"/>
      <c r="H74" s="67" t="s">
        <v>1331</v>
      </c>
      <c r="I74" s="242">
        <f>$D74</f>
        <v>95754.48</v>
      </c>
      <c r="J74" s="93"/>
      <c r="K74" s="93"/>
    </row>
    <row r="75" spans="1:12" ht="36" outlineLevel="2" collapsed="1" x14ac:dyDescent="0.2">
      <c r="A75" s="74" t="s">
        <v>1287</v>
      </c>
      <c r="B75" s="71"/>
      <c r="C75" s="71"/>
      <c r="D75" s="72">
        <v>806275.08</v>
      </c>
      <c r="E75" s="71"/>
      <c r="F75" s="71"/>
      <c r="G75" s="71"/>
      <c r="H75" s="67" t="s">
        <v>1349</v>
      </c>
      <c r="I75" s="242">
        <f>$D75</f>
        <v>806275.08</v>
      </c>
      <c r="J75" s="93"/>
      <c r="K75" s="93"/>
    </row>
    <row r="76" spans="1:12" ht="12" hidden="1" outlineLevel="3" x14ac:dyDescent="0.2">
      <c r="A76" s="73" t="s">
        <v>919</v>
      </c>
      <c r="B76" s="71"/>
      <c r="C76" s="71"/>
      <c r="D76" s="72">
        <v>806275.08</v>
      </c>
      <c r="E76" s="71"/>
      <c r="F76" s="71"/>
      <c r="G76" s="71"/>
    </row>
    <row r="77" spans="1:12" ht="12" outlineLevel="2" collapsed="1" x14ac:dyDescent="0.2">
      <c r="A77" s="74" t="s">
        <v>1286</v>
      </c>
      <c r="B77" s="71"/>
      <c r="C77" s="71"/>
      <c r="D77" s="72">
        <v>10346.67</v>
      </c>
      <c r="E77" s="71"/>
      <c r="F77" s="71"/>
      <c r="G77" s="71"/>
      <c r="H77" s="67" t="s">
        <v>1723</v>
      </c>
      <c r="I77" s="242">
        <f>$D77</f>
        <v>10346.67</v>
      </c>
      <c r="J77" s="93"/>
      <c r="K77" s="93"/>
    </row>
    <row r="78" spans="1:12" ht="12" hidden="1" outlineLevel="3" x14ac:dyDescent="0.2">
      <c r="A78" s="73" t="s">
        <v>921</v>
      </c>
      <c r="B78" s="71"/>
      <c r="C78" s="71"/>
      <c r="D78" s="72">
        <v>10346.67</v>
      </c>
      <c r="E78" s="71"/>
      <c r="F78" s="71"/>
      <c r="G78" s="71"/>
    </row>
    <row r="79" spans="1:12" ht="12" outlineLevel="2" collapsed="1" x14ac:dyDescent="0.2">
      <c r="A79" s="74" t="s">
        <v>1285</v>
      </c>
      <c r="B79" s="71"/>
      <c r="C79" s="71"/>
      <c r="D79" s="72">
        <v>83128.2</v>
      </c>
      <c r="E79" s="71"/>
      <c r="F79" s="71"/>
      <c r="G79" s="71"/>
      <c r="H79" s="67" t="s">
        <v>1723</v>
      </c>
      <c r="I79" s="242">
        <f>$D79</f>
        <v>83128.2</v>
      </c>
      <c r="J79" s="93"/>
      <c r="K79" s="93"/>
    </row>
    <row r="80" spans="1:12" ht="12" hidden="1" outlineLevel="3" x14ac:dyDescent="0.2">
      <c r="A80" s="73" t="s">
        <v>921</v>
      </c>
      <c r="B80" s="71"/>
      <c r="C80" s="71"/>
      <c r="D80" s="72">
        <v>83128.2</v>
      </c>
      <c r="E80" s="71"/>
      <c r="F80" s="71"/>
      <c r="G80" s="71"/>
    </row>
    <row r="81" spans="1:13" ht="12" outlineLevel="2" collapsed="1" x14ac:dyDescent="0.2">
      <c r="A81" s="74" t="s">
        <v>1284</v>
      </c>
      <c r="B81" s="71"/>
      <c r="C81" s="71"/>
      <c r="D81" s="72">
        <v>1837572.75</v>
      </c>
      <c r="E81" s="71"/>
      <c r="F81" s="71"/>
      <c r="G81" s="71"/>
      <c r="H81" s="67" t="s">
        <v>1723</v>
      </c>
      <c r="I81" s="242">
        <f>$D81</f>
        <v>1837572.75</v>
      </c>
      <c r="J81" s="93"/>
      <c r="K81" s="93"/>
    </row>
    <row r="82" spans="1:13" ht="12" hidden="1" outlineLevel="3" x14ac:dyDescent="0.2">
      <c r="A82" s="73" t="s">
        <v>921</v>
      </c>
      <c r="B82" s="71"/>
      <c r="C82" s="71"/>
      <c r="D82" s="72">
        <v>1837572.75</v>
      </c>
      <c r="E82" s="71"/>
      <c r="F82" s="71"/>
      <c r="G82" s="71"/>
    </row>
    <row r="83" spans="1:13" ht="12" outlineLevel="2" collapsed="1" x14ac:dyDescent="0.2">
      <c r="A83" s="74" t="s">
        <v>1283</v>
      </c>
      <c r="B83" s="71"/>
      <c r="C83" s="71"/>
      <c r="D83" s="72">
        <v>49524.37</v>
      </c>
      <c r="E83" s="71"/>
      <c r="F83" s="71"/>
      <c r="G83" s="71"/>
      <c r="H83" s="67" t="s">
        <v>1723</v>
      </c>
      <c r="I83" s="242">
        <f>$D83</f>
        <v>49524.37</v>
      </c>
      <c r="J83" s="93"/>
      <c r="K83" s="93"/>
    </row>
    <row r="84" spans="1:13" ht="12" hidden="1" outlineLevel="3" x14ac:dyDescent="0.2">
      <c r="A84" s="73" t="s">
        <v>921</v>
      </c>
      <c r="B84" s="71"/>
      <c r="C84" s="71"/>
      <c r="D84" s="72">
        <v>49524.37</v>
      </c>
      <c r="E84" s="71"/>
      <c r="F84" s="71"/>
      <c r="G84" s="71"/>
    </row>
    <row r="85" spans="1:13" ht="12" outlineLevel="2" collapsed="1" x14ac:dyDescent="0.2">
      <c r="A85" s="74" t="s">
        <v>1282</v>
      </c>
      <c r="B85" s="71"/>
      <c r="C85" s="71"/>
      <c r="D85" s="72">
        <v>779203.63</v>
      </c>
      <c r="E85" s="71"/>
      <c r="F85" s="71"/>
      <c r="G85" s="71"/>
    </row>
    <row r="86" spans="1:13" ht="12" hidden="1" outlineLevel="3" x14ac:dyDescent="0.2">
      <c r="A86" s="73" t="s">
        <v>930</v>
      </c>
      <c r="B86" s="71"/>
      <c r="C86" s="71"/>
      <c r="D86" s="72">
        <v>176953.71</v>
      </c>
      <c r="E86" s="71"/>
      <c r="F86" s="71"/>
      <c r="G86" s="71"/>
    </row>
    <row r="87" spans="1:13" ht="12" hidden="1" outlineLevel="3" x14ac:dyDescent="0.2">
      <c r="A87" s="73" t="s">
        <v>919</v>
      </c>
      <c r="B87" s="71"/>
      <c r="C87" s="71"/>
      <c r="D87" s="72">
        <v>602249.92000000004</v>
      </c>
      <c r="E87" s="71"/>
      <c r="F87" s="71"/>
      <c r="G87" s="71"/>
    </row>
    <row r="88" spans="1:13" ht="12" outlineLevel="2" collapsed="1" x14ac:dyDescent="0.2">
      <c r="A88" s="74" t="s">
        <v>1281</v>
      </c>
      <c r="B88" s="71"/>
      <c r="C88" s="71"/>
      <c r="D88" s="72">
        <v>8482205.6400000006</v>
      </c>
      <c r="E88" s="71"/>
      <c r="F88" s="71"/>
      <c r="G88" s="71"/>
    </row>
    <row r="89" spans="1:13" ht="12" hidden="1" outlineLevel="3" x14ac:dyDescent="0.2">
      <c r="A89" s="73" t="s">
        <v>953</v>
      </c>
      <c r="B89" s="71"/>
      <c r="C89" s="71"/>
      <c r="D89" s="72">
        <v>211202.6</v>
      </c>
      <c r="E89" s="71"/>
      <c r="F89" s="71"/>
      <c r="G89" s="71"/>
      <c r="H89" s="67" t="s">
        <v>330</v>
      </c>
      <c r="M89" s="91">
        <f t="shared" ref="M89:M125" si="0">$D89</f>
        <v>211202.6</v>
      </c>
    </row>
    <row r="90" spans="1:13" ht="12" hidden="1" outlineLevel="3" x14ac:dyDescent="0.2">
      <c r="A90" s="73" t="s">
        <v>1107</v>
      </c>
      <c r="B90" s="71"/>
      <c r="C90" s="71"/>
      <c r="D90" s="72">
        <v>258341.54</v>
      </c>
      <c r="E90" s="71"/>
      <c r="F90" s="71"/>
      <c r="G90" s="71"/>
      <c r="H90" s="67" t="s">
        <v>324</v>
      </c>
      <c r="M90" s="91">
        <f t="shared" si="0"/>
        <v>258341.54</v>
      </c>
    </row>
    <row r="91" spans="1:13" ht="12" hidden="1" outlineLevel="3" x14ac:dyDescent="0.2">
      <c r="A91" s="73" t="s">
        <v>1106</v>
      </c>
      <c r="B91" s="71"/>
      <c r="C91" s="71"/>
      <c r="D91" s="72">
        <v>202652.43</v>
      </c>
      <c r="E91" s="71"/>
      <c r="F91" s="71"/>
      <c r="G91" s="71"/>
      <c r="H91" s="67" t="s">
        <v>325</v>
      </c>
      <c r="M91" s="91">
        <f t="shared" si="0"/>
        <v>202652.43</v>
      </c>
    </row>
    <row r="92" spans="1:13" ht="12" hidden="1" outlineLevel="3" x14ac:dyDescent="0.2">
      <c r="A92" s="73" t="s">
        <v>1104</v>
      </c>
      <c r="B92" s="71"/>
      <c r="C92" s="71"/>
      <c r="D92" s="72">
        <v>338156.41</v>
      </c>
      <c r="E92" s="71"/>
      <c r="F92" s="71"/>
      <c r="G92" s="71"/>
      <c r="H92" s="67" t="s">
        <v>328</v>
      </c>
      <c r="M92" s="91">
        <f t="shared" si="0"/>
        <v>338156.41</v>
      </c>
    </row>
    <row r="93" spans="1:13" ht="12" hidden="1" outlineLevel="3" x14ac:dyDescent="0.2">
      <c r="A93" s="73" t="s">
        <v>1097</v>
      </c>
      <c r="B93" s="71"/>
      <c r="C93" s="71"/>
      <c r="D93" s="72">
        <v>250300.1</v>
      </c>
      <c r="E93" s="71"/>
      <c r="F93" s="71"/>
      <c r="G93" s="71"/>
      <c r="H93" s="67" t="s">
        <v>347</v>
      </c>
      <c r="M93" s="91">
        <f t="shared" si="0"/>
        <v>250300.1</v>
      </c>
    </row>
    <row r="94" spans="1:13" ht="12" hidden="1" outlineLevel="3" x14ac:dyDescent="0.2">
      <c r="A94" s="73" t="s">
        <v>1096</v>
      </c>
      <c r="B94" s="71"/>
      <c r="C94" s="71"/>
      <c r="D94" s="72">
        <v>141511.54</v>
      </c>
      <c r="E94" s="71"/>
      <c r="F94" s="71"/>
      <c r="G94" s="71"/>
      <c r="H94" s="67" t="s">
        <v>335</v>
      </c>
      <c r="M94" s="91">
        <f t="shared" si="0"/>
        <v>141511.54</v>
      </c>
    </row>
    <row r="95" spans="1:13" ht="12" hidden="1" outlineLevel="3" x14ac:dyDescent="0.2">
      <c r="A95" s="73" t="s">
        <v>1095</v>
      </c>
      <c r="B95" s="71"/>
      <c r="C95" s="71"/>
      <c r="D95" s="72">
        <v>332298.95</v>
      </c>
      <c r="E95" s="71"/>
      <c r="F95" s="71"/>
      <c r="G95" s="71"/>
      <c r="H95" s="67" t="s">
        <v>337</v>
      </c>
      <c r="M95" s="91">
        <f t="shared" si="0"/>
        <v>332298.95</v>
      </c>
    </row>
    <row r="96" spans="1:13" ht="12" hidden="1" outlineLevel="3" x14ac:dyDescent="0.2">
      <c r="A96" s="73" t="s">
        <v>1093</v>
      </c>
      <c r="B96" s="71"/>
      <c r="C96" s="71"/>
      <c r="D96" s="72">
        <v>147009.71</v>
      </c>
      <c r="E96" s="71"/>
      <c r="F96" s="71"/>
      <c r="G96" s="71"/>
      <c r="H96" s="67" t="s">
        <v>339</v>
      </c>
      <c r="M96" s="91">
        <f t="shared" si="0"/>
        <v>147009.71</v>
      </c>
    </row>
    <row r="97" spans="1:13" ht="12" hidden="1" outlineLevel="3" x14ac:dyDescent="0.2">
      <c r="A97" s="73" t="s">
        <v>1091</v>
      </c>
      <c r="B97" s="71"/>
      <c r="C97" s="71"/>
      <c r="D97" s="72">
        <v>217128.01</v>
      </c>
      <c r="E97" s="71"/>
      <c r="F97" s="71"/>
      <c r="G97" s="71"/>
      <c r="H97" s="67" t="s">
        <v>348</v>
      </c>
      <c r="M97" s="91">
        <f t="shared" si="0"/>
        <v>217128.01</v>
      </c>
    </row>
    <row r="98" spans="1:13" ht="12" hidden="1" outlineLevel="3" x14ac:dyDescent="0.2">
      <c r="A98" s="73" t="s">
        <v>1083</v>
      </c>
      <c r="B98" s="71"/>
      <c r="C98" s="71"/>
      <c r="D98" s="72">
        <v>225169.53</v>
      </c>
      <c r="E98" s="71"/>
      <c r="F98" s="71"/>
      <c r="G98" s="71"/>
      <c r="H98" s="67" t="s">
        <v>349</v>
      </c>
      <c r="M98" s="91">
        <f t="shared" si="0"/>
        <v>225169.53</v>
      </c>
    </row>
    <row r="99" spans="1:13" ht="12" hidden="1" outlineLevel="3" x14ac:dyDescent="0.2">
      <c r="A99" s="73" t="s">
        <v>1089</v>
      </c>
      <c r="B99" s="71"/>
      <c r="C99" s="71"/>
      <c r="D99" s="72">
        <v>232935</v>
      </c>
      <c r="E99" s="71"/>
      <c r="F99" s="71"/>
      <c r="G99" s="71"/>
      <c r="H99" s="67" t="s">
        <v>350</v>
      </c>
      <c r="M99" s="91">
        <f t="shared" si="0"/>
        <v>232935</v>
      </c>
    </row>
    <row r="100" spans="1:13" ht="12" hidden="1" outlineLevel="3" x14ac:dyDescent="0.2">
      <c r="A100" s="73" t="s">
        <v>1086</v>
      </c>
      <c r="B100" s="71"/>
      <c r="C100" s="71"/>
      <c r="D100" s="72">
        <v>246280.08</v>
      </c>
      <c r="E100" s="71"/>
      <c r="F100" s="71"/>
      <c r="G100" s="71"/>
      <c r="H100" s="67" t="s">
        <v>353</v>
      </c>
      <c r="M100" s="91">
        <f t="shared" si="0"/>
        <v>246280.08</v>
      </c>
    </row>
    <row r="101" spans="1:13" ht="12" hidden="1" outlineLevel="3" x14ac:dyDescent="0.2">
      <c r="A101" s="73" t="s">
        <v>1179</v>
      </c>
      <c r="B101" s="71"/>
      <c r="C101" s="71"/>
      <c r="D101" s="72">
        <v>276197.90000000002</v>
      </c>
      <c r="E101" s="71"/>
      <c r="F101" s="71"/>
      <c r="G101" s="71"/>
      <c r="H101" s="4" t="s">
        <v>55</v>
      </c>
      <c r="I101" s="56"/>
      <c r="J101" s="56"/>
      <c r="K101" s="56"/>
      <c r="M101" s="91">
        <f t="shared" si="0"/>
        <v>276197.90000000002</v>
      </c>
    </row>
    <row r="102" spans="1:13" ht="12" hidden="1" outlineLevel="3" x14ac:dyDescent="0.2">
      <c r="A102" s="73" t="s">
        <v>1178</v>
      </c>
      <c r="B102" s="71"/>
      <c r="C102" s="71"/>
      <c r="D102" s="72">
        <v>270414.28999999998</v>
      </c>
      <c r="E102" s="71"/>
      <c r="F102" s="71"/>
      <c r="G102" s="71"/>
      <c r="H102" s="4" t="s">
        <v>56</v>
      </c>
      <c r="I102" s="56"/>
      <c r="J102" s="56"/>
      <c r="K102" s="56"/>
      <c r="M102" s="91">
        <f t="shared" si="0"/>
        <v>270414.28999999998</v>
      </c>
    </row>
    <row r="103" spans="1:13" ht="12" hidden="1" outlineLevel="3" x14ac:dyDescent="0.2">
      <c r="A103" s="73" t="s">
        <v>1064</v>
      </c>
      <c r="B103" s="71"/>
      <c r="C103" s="71"/>
      <c r="D103" s="72">
        <v>281234.52</v>
      </c>
      <c r="E103" s="71"/>
      <c r="F103" s="71"/>
      <c r="G103" s="71"/>
      <c r="H103" s="4" t="s">
        <v>57</v>
      </c>
      <c r="I103" s="56"/>
      <c r="J103" s="56"/>
      <c r="K103" s="56"/>
      <c r="M103" s="91">
        <f t="shared" si="0"/>
        <v>281234.52</v>
      </c>
    </row>
    <row r="104" spans="1:13" ht="12" hidden="1" outlineLevel="3" x14ac:dyDescent="0.2">
      <c r="A104" s="73" t="s">
        <v>1062</v>
      </c>
      <c r="B104" s="71"/>
      <c r="C104" s="71"/>
      <c r="D104" s="72">
        <v>225169.53</v>
      </c>
      <c r="E104" s="71"/>
      <c r="F104" s="71"/>
      <c r="G104" s="71"/>
      <c r="H104" s="4" t="s">
        <v>139</v>
      </c>
      <c r="I104" s="56"/>
      <c r="J104" s="56"/>
      <c r="K104" s="56"/>
      <c r="M104" s="91">
        <f t="shared" si="0"/>
        <v>225169.53</v>
      </c>
    </row>
    <row r="105" spans="1:13" ht="12" hidden="1" outlineLevel="3" x14ac:dyDescent="0.2">
      <c r="A105" s="73" t="s">
        <v>1060</v>
      </c>
      <c r="B105" s="71"/>
      <c r="C105" s="71"/>
      <c r="D105" s="72">
        <v>241662.52</v>
      </c>
      <c r="E105" s="71"/>
      <c r="F105" s="71"/>
      <c r="G105" s="71"/>
      <c r="H105" s="4" t="s">
        <v>141</v>
      </c>
      <c r="I105" s="56"/>
      <c r="J105" s="56"/>
      <c r="K105" s="56"/>
      <c r="M105" s="91">
        <f t="shared" si="0"/>
        <v>241662.52</v>
      </c>
    </row>
    <row r="106" spans="1:13" ht="12" hidden="1" outlineLevel="3" x14ac:dyDescent="0.2">
      <c r="A106" s="73" t="s">
        <v>1052</v>
      </c>
      <c r="B106" s="71"/>
      <c r="C106" s="71"/>
      <c r="D106" s="72">
        <v>236193.59</v>
      </c>
      <c r="E106" s="71"/>
      <c r="F106" s="71"/>
      <c r="G106" s="71"/>
      <c r="H106" s="4" t="s">
        <v>133</v>
      </c>
      <c r="I106" s="56"/>
      <c r="J106" s="56"/>
      <c r="K106" s="56"/>
      <c r="M106" s="91">
        <f t="shared" si="0"/>
        <v>236193.59</v>
      </c>
    </row>
    <row r="107" spans="1:13" ht="12" hidden="1" outlineLevel="3" x14ac:dyDescent="0.2">
      <c r="A107" s="73" t="s">
        <v>1050</v>
      </c>
      <c r="B107" s="71"/>
      <c r="C107" s="71"/>
      <c r="D107" s="72">
        <v>245375.1</v>
      </c>
      <c r="E107" s="71"/>
      <c r="F107" s="71"/>
      <c r="G107" s="71"/>
      <c r="H107" s="4" t="s">
        <v>135</v>
      </c>
      <c r="I107" s="56"/>
      <c r="J107" s="56"/>
      <c r="K107" s="56"/>
      <c r="M107" s="91">
        <f t="shared" si="0"/>
        <v>245375.1</v>
      </c>
    </row>
    <row r="108" spans="1:13" ht="12" hidden="1" outlineLevel="3" x14ac:dyDescent="0.2">
      <c r="A108" s="73" t="s">
        <v>1169</v>
      </c>
      <c r="B108" s="71"/>
      <c r="C108" s="71"/>
      <c r="D108" s="72">
        <v>88572.800000000003</v>
      </c>
      <c r="E108" s="71"/>
      <c r="F108" s="71"/>
      <c r="G108" s="71"/>
      <c r="H108" s="4" t="s">
        <v>128</v>
      </c>
      <c r="I108" s="56"/>
      <c r="J108" s="56"/>
      <c r="K108" s="56"/>
      <c r="M108" s="91">
        <f t="shared" si="0"/>
        <v>88572.800000000003</v>
      </c>
    </row>
    <row r="109" spans="1:13" ht="12" hidden="1" outlineLevel="3" x14ac:dyDescent="0.2">
      <c r="A109" s="73" t="s">
        <v>1160</v>
      </c>
      <c r="B109" s="71"/>
      <c r="C109" s="71"/>
      <c r="D109" s="72">
        <v>95292.54</v>
      </c>
      <c r="E109" s="71"/>
      <c r="F109" s="71"/>
      <c r="G109" s="71"/>
      <c r="H109" s="4" t="s">
        <v>149</v>
      </c>
      <c r="I109" s="56"/>
      <c r="J109" s="56"/>
      <c r="K109" s="56"/>
      <c r="M109" s="91">
        <f t="shared" si="0"/>
        <v>95292.54</v>
      </c>
    </row>
    <row r="110" spans="1:13" ht="12" hidden="1" outlineLevel="3" x14ac:dyDescent="0.2">
      <c r="A110" s="73" t="s">
        <v>1029</v>
      </c>
      <c r="B110" s="71"/>
      <c r="C110" s="71"/>
      <c r="D110" s="72">
        <v>326263.81</v>
      </c>
      <c r="E110" s="71"/>
      <c r="F110" s="71"/>
      <c r="G110" s="71"/>
      <c r="H110" s="4" t="s">
        <v>153</v>
      </c>
      <c r="I110" s="56"/>
      <c r="J110" s="56"/>
      <c r="K110" s="56"/>
      <c r="M110" s="91">
        <f t="shared" si="0"/>
        <v>326263.81</v>
      </c>
    </row>
    <row r="111" spans="1:13" ht="12" hidden="1" outlineLevel="3" x14ac:dyDescent="0.2">
      <c r="A111" s="73" t="s">
        <v>1028</v>
      </c>
      <c r="B111" s="71"/>
      <c r="C111" s="71"/>
      <c r="D111" s="72">
        <v>326070.74</v>
      </c>
      <c r="E111" s="71"/>
      <c r="F111" s="71"/>
      <c r="G111" s="71"/>
      <c r="H111" s="4" t="s">
        <v>154</v>
      </c>
      <c r="I111" s="56"/>
      <c r="J111" s="56"/>
      <c r="K111" s="56"/>
      <c r="M111" s="91">
        <f t="shared" si="0"/>
        <v>326070.74</v>
      </c>
    </row>
    <row r="112" spans="1:13" ht="12" hidden="1" outlineLevel="3" x14ac:dyDescent="0.2">
      <c r="A112" s="73" t="s">
        <v>1025</v>
      </c>
      <c r="B112" s="71"/>
      <c r="C112" s="71"/>
      <c r="D112" s="72">
        <v>241297.34</v>
      </c>
      <c r="E112" s="71"/>
      <c r="F112" s="71"/>
      <c r="G112" s="71"/>
      <c r="H112" s="4" t="s">
        <v>157</v>
      </c>
      <c r="I112" s="56"/>
      <c r="J112" s="56"/>
      <c r="K112" s="56"/>
      <c r="M112" s="91">
        <f t="shared" si="0"/>
        <v>241297.34</v>
      </c>
    </row>
    <row r="113" spans="1:14" ht="12" hidden="1" outlineLevel="3" x14ac:dyDescent="0.2">
      <c r="A113" s="73" t="s">
        <v>1023</v>
      </c>
      <c r="B113" s="71"/>
      <c r="C113" s="71"/>
      <c r="D113" s="72">
        <v>241632.12</v>
      </c>
      <c r="E113" s="71"/>
      <c r="F113" s="71"/>
      <c r="G113" s="71"/>
      <c r="H113" s="4" t="s">
        <v>159</v>
      </c>
      <c r="I113" s="56"/>
      <c r="J113" s="56"/>
      <c r="K113" s="56"/>
      <c r="M113" s="91">
        <f t="shared" si="0"/>
        <v>241632.12</v>
      </c>
    </row>
    <row r="114" spans="1:14" ht="12" hidden="1" outlineLevel="3" x14ac:dyDescent="0.2">
      <c r="A114" s="73" t="s">
        <v>1014</v>
      </c>
      <c r="B114" s="71"/>
      <c r="C114" s="71"/>
      <c r="D114" s="72">
        <v>220333.51</v>
      </c>
      <c r="E114" s="71"/>
      <c r="F114" s="71"/>
      <c r="G114" s="71"/>
      <c r="H114" s="4" t="s">
        <v>150</v>
      </c>
      <c r="I114" s="56"/>
      <c r="J114" s="56"/>
      <c r="K114" s="56"/>
      <c r="M114" s="91">
        <f t="shared" si="0"/>
        <v>220333.51</v>
      </c>
    </row>
    <row r="115" spans="1:14" ht="12" hidden="1" outlineLevel="3" x14ac:dyDescent="0.2">
      <c r="A115" s="73" t="s">
        <v>1212</v>
      </c>
      <c r="B115" s="71"/>
      <c r="C115" s="71"/>
      <c r="D115" s="72">
        <v>342888</v>
      </c>
      <c r="E115" s="71"/>
      <c r="F115" s="71"/>
      <c r="G115" s="71"/>
      <c r="H115" s="4" t="s">
        <v>108</v>
      </c>
      <c r="I115" s="56"/>
      <c r="J115" s="56"/>
      <c r="K115" s="56"/>
      <c r="M115" s="91">
        <f t="shared" si="0"/>
        <v>342888</v>
      </c>
    </row>
    <row r="116" spans="1:14" ht="12" hidden="1" outlineLevel="3" x14ac:dyDescent="0.2">
      <c r="A116" s="73" t="s">
        <v>1005</v>
      </c>
      <c r="B116" s="71"/>
      <c r="C116" s="71"/>
      <c r="D116" s="72">
        <v>341060.03</v>
      </c>
      <c r="E116" s="71"/>
      <c r="F116" s="71"/>
      <c r="G116" s="71"/>
      <c r="H116" s="4" t="s">
        <v>69</v>
      </c>
      <c r="I116" s="56"/>
      <c r="J116" s="56"/>
      <c r="K116" s="56"/>
      <c r="M116" s="91">
        <f t="shared" si="0"/>
        <v>341060.03</v>
      </c>
    </row>
    <row r="117" spans="1:14" ht="12" hidden="1" outlineLevel="3" x14ac:dyDescent="0.2">
      <c r="A117" s="73" t="s">
        <v>1157</v>
      </c>
      <c r="B117" s="71"/>
      <c r="C117" s="71"/>
      <c r="D117" s="72">
        <v>295246.71999999997</v>
      </c>
      <c r="E117" s="71"/>
      <c r="F117" s="71"/>
      <c r="G117" s="71"/>
      <c r="H117" s="4" t="s">
        <v>72</v>
      </c>
      <c r="I117" s="56"/>
      <c r="J117" s="56"/>
      <c r="K117" s="56"/>
      <c r="M117" s="91">
        <f t="shared" si="0"/>
        <v>295246.71999999997</v>
      </c>
    </row>
    <row r="118" spans="1:14" ht="12" hidden="1" outlineLevel="3" x14ac:dyDescent="0.2">
      <c r="A118" s="73" t="s">
        <v>991</v>
      </c>
      <c r="B118" s="71"/>
      <c r="C118" s="71"/>
      <c r="D118" s="72">
        <v>225727.01</v>
      </c>
      <c r="E118" s="71"/>
      <c r="F118" s="71"/>
      <c r="G118" s="71"/>
      <c r="H118" s="4" t="s">
        <v>178</v>
      </c>
      <c r="I118" s="56"/>
      <c r="J118" s="56"/>
      <c r="K118" s="56"/>
      <c r="M118" s="91">
        <f t="shared" si="0"/>
        <v>225727.01</v>
      </c>
    </row>
    <row r="119" spans="1:14" ht="12" hidden="1" outlineLevel="3" x14ac:dyDescent="0.2">
      <c r="A119" s="73" t="s">
        <v>990</v>
      </c>
      <c r="B119" s="71"/>
      <c r="C119" s="71"/>
      <c r="D119" s="72">
        <v>218022.14</v>
      </c>
      <c r="E119" s="71"/>
      <c r="F119" s="71"/>
      <c r="G119" s="71"/>
      <c r="H119" s="4" t="s">
        <v>179</v>
      </c>
      <c r="I119" s="56"/>
      <c r="J119" s="56"/>
      <c r="K119" s="56"/>
      <c r="M119" s="91">
        <f t="shared" si="0"/>
        <v>218022.14</v>
      </c>
    </row>
    <row r="120" spans="1:14" ht="12" hidden="1" outlineLevel="3" x14ac:dyDescent="0.2">
      <c r="A120" s="73" t="s">
        <v>1132</v>
      </c>
      <c r="B120" s="71"/>
      <c r="C120" s="71"/>
      <c r="D120" s="72">
        <v>135144.57</v>
      </c>
      <c r="E120" s="71"/>
      <c r="F120" s="71"/>
      <c r="G120" s="71"/>
      <c r="H120" s="4" t="s">
        <v>247</v>
      </c>
      <c r="I120" s="56"/>
      <c r="J120" s="56"/>
      <c r="K120" s="56"/>
      <c r="M120" s="91">
        <f t="shared" si="0"/>
        <v>135144.57</v>
      </c>
    </row>
    <row r="121" spans="1:14" ht="12" hidden="1" outlineLevel="3" x14ac:dyDescent="0.2">
      <c r="A121" s="73" t="s">
        <v>1131</v>
      </c>
      <c r="B121" s="71"/>
      <c r="C121" s="71"/>
      <c r="D121" s="72">
        <v>229915.67</v>
      </c>
      <c r="E121" s="71"/>
      <c r="F121" s="71"/>
      <c r="G121" s="71"/>
      <c r="H121" s="4" t="s">
        <v>248</v>
      </c>
      <c r="I121" s="56"/>
      <c r="J121" s="56"/>
      <c r="K121" s="56"/>
      <c r="M121" s="91">
        <f t="shared" si="0"/>
        <v>229915.67</v>
      </c>
    </row>
    <row r="122" spans="1:14" ht="12" hidden="1" outlineLevel="3" x14ac:dyDescent="0.2">
      <c r="A122" s="73" t="s">
        <v>1202</v>
      </c>
      <c r="B122" s="71"/>
      <c r="C122" s="71"/>
      <c r="D122" s="72">
        <v>116497.44</v>
      </c>
      <c r="E122" s="71"/>
      <c r="F122" s="71"/>
      <c r="G122" s="71"/>
      <c r="H122" s="4" t="s">
        <v>269</v>
      </c>
      <c r="I122" s="56"/>
      <c r="J122" s="56"/>
      <c r="K122" s="56"/>
      <c r="M122" s="91">
        <f t="shared" si="0"/>
        <v>116497.44</v>
      </c>
    </row>
    <row r="123" spans="1:14" ht="12" hidden="1" outlineLevel="3" x14ac:dyDescent="0.2">
      <c r="A123" s="73" t="s">
        <v>1201</v>
      </c>
      <c r="B123" s="71"/>
      <c r="C123" s="71"/>
      <c r="D123" s="72">
        <v>100178.88</v>
      </c>
      <c r="E123" s="71"/>
      <c r="F123" s="71"/>
      <c r="G123" s="71"/>
      <c r="H123" s="4" t="s">
        <v>270</v>
      </c>
      <c r="I123" s="56"/>
      <c r="J123" s="56"/>
      <c r="K123" s="56"/>
      <c r="M123" s="91">
        <f t="shared" si="0"/>
        <v>100178.88</v>
      </c>
    </row>
    <row r="124" spans="1:14" ht="12" hidden="1" outlineLevel="3" x14ac:dyDescent="0.2">
      <c r="A124" s="73" t="s">
        <v>1200</v>
      </c>
      <c r="B124" s="71"/>
      <c r="C124" s="71"/>
      <c r="D124" s="72">
        <v>124612.55</v>
      </c>
      <c r="E124" s="71"/>
      <c r="F124" s="71"/>
      <c r="G124" s="71"/>
      <c r="H124" s="4" t="s">
        <v>272</v>
      </c>
      <c r="I124" s="56"/>
      <c r="J124" s="56"/>
      <c r="K124" s="56"/>
      <c r="M124" s="91">
        <f t="shared" si="0"/>
        <v>124612.55</v>
      </c>
    </row>
    <row r="125" spans="1:14" ht="12" hidden="1" outlineLevel="3" x14ac:dyDescent="0.2">
      <c r="A125" s="73" t="s">
        <v>961</v>
      </c>
      <c r="B125" s="71"/>
      <c r="C125" s="71"/>
      <c r="D125" s="72">
        <v>234216.42</v>
      </c>
      <c r="E125" s="71"/>
      <c r="F125" s="71"/>
      <c r="G125" s="71"/>
      <c r="H125" s="4" t="s">
        <v>288</v>
      </c>
      <c r="I125" s="56"/>
      <c r="J125" s="56"/>
      <c r="K125" s="56"/>
      <c r="M125" s="91">
        <f t="shared" si="0"/>
        <v>234216.42</v>
      </c>
    </row>
    <row r="126" spans="1:14" ht="12" outlineLevel="2" collapsed="1" x14ac:dyDescent="0.2">
      <c r="A126" s="74" t="s">
        <v>1280</v>
      </c>
      <c r="B126" s="71"/>
      <c r="C126" s="71"/>
      <c r="D126" s="72">
        <v>7333.33</v>
      </c>
      <c r="E126" s="71"/>
      <c r="F126" s="71"/>
      <c r="G126" s="71"/>
    </row>
    <row r="127" spans="1:14" ht="12" hidden="1" outlineLevel="3" x14ac:dyDescent="0.2">
      <c r="A127" s="73" t="s">
        <v>1183</v>
      </c>
      <c r="B127" s="71"/>
      <c r="C127" s="71"/>
      <c r="D127" s="72">
        <v>7333.33</v>
      </c>
      <c r="E127" s="71"/>
      <c r="F127" s="71"/>
      <c r="G127" s="71"/>
      <c r="H127" s="4" t="s">
        <v>1332</v>
      </c>
      <c r="I127" s="56"/>
      <c r="J127" s="56"/>
      <c r="K127" s="56"/>
      <c r="N127" s="91">
        <f>$D127</f>
        <v>7333.33</v>
      </c>
    </row>
    <row r="128" spans="1:14" ht="12" outlineLevel="2" collapsed="1" x14ac:dyDescent="0.2">
      <c r="A128" s="74" t="s">
        <v>1279</v>
      </c>
      <c r="B128" s="71"/>
      <c r="C128" s="71"/>
      <c r="D128" s="72">
        <v>15940494.92</v>
      </c>
      <c r="E128" s="71"/>
      <c r="F128" s="71"/>
      <c r="G128" s="71"/>
    </row>
    <row r="129" spans="1:15" ht="12" hidden="1" outlineLevel="3" x14ac:dyDescent="0.2">
      <c r="A129" s="73" t="s">
        <v>929</v>
      </c>
      <c r="B129" s="71"/>
      <c r="C129" s="71"/>
      <c r="D129" s="72">
        <v>14378.69</v>
      </c>
      <c r="E129" s="71"/>
      <c r="F129" s="71"/>
      <c r="G129" s="71"/>
      <c r="H129" s="31" t="s">
        <v>331</v>
      </c>
      <c r="I129" s="92"/>
      <c r="J129" s="92"/>
      <c r="K129" s="92"/>
      <c r="O129" s="91">
        <f>$D129</f>
        <v>14378.69</v>
      </c>
    </row>
    <row r="130" spans="1:15" ht="12" hidden="1" outlineLevel="3" x14ac:dyDescent="0.2">
      <c r="A130" s="73" t="s">
        <v>1108</v>
      </c>
      <c r="B130" s="71"/>
      <c r="C130" s="71"/>
      <c r="D130" s="72">
        <v>268263.56</v>
      </c>
      <c r="E130" s="71"/>
      <c r="F130" s="71"/>
      <c r="G130" s="71"/>
      <c r="H130" s="31" t="s">
        <v>320</v>
      </c>
      <c r="I130" s="92"/>
      <c r="J130" s="92"/>
      <c r="K130" s="92"/>
      <c r="O130" s="91">
        <f t="shared" ref="O130:O186" si="1">$D130</f>
        <v>268263.56</v>
      </c>
    </row>
    <row r="131" spans="1:15" ht="12" hidden="1" outlineLevel="3" x14ac:dyDescent="0.2">
      <c r="A131" s="73" t="s">
        <v>953</v>
      </c>
      <c r="B131" s="71"/>
      <c r="C131" s="71"/>
      <c r="D131" s="72">
        <v>467213.51</v>
      </c>
      <c r="E131" s="71"/>
      <c r="F131" s="71"/>
      <c r="G131" s="71"/>
      <c r="H131" s="31" t="s">
        <v>330</v>
      </c>
      <c r="I131" s="92"/>
      <c r="J131" s="92"/>
      <c r="K131" s="92"/>
      <c r="O131" s="91">
        <f t="shared" si="1"/>
        <v>467213.51</v>
      </c>
    </row>
    <row r="132" spans="1:15" ht="12" hidden="1" outlineLevel="3" x14ac:dyDescent="0.2">
      <c r="A132" s="73" t="s">
        <v>926</v>
      </c>
      <c r="B132" s="71"/>
      <c r="C132" s="71"/>
      <c r="D132" s="72">
        <v>948158.56</v>
      </c>
      <c r="E132" s="71"/>
      <c r="F132" s="71"/>
      <c r="G132" s="71"/>
      <c r="H132" s="31" t="s">
        <v>323</v>
      </c>
      <c r="I132" s="92"/>
      <c r="J132" s="92"/>
      <c r="K132" s="92"/>
      <c r="O132" s="91">
        <f t="shared" si="1"/>
        <v>948158.56</v>
      </c>
    </row>
    <row r="133" spans="1:15" ht="12" hidden="1" outlineLevel="3" x14ac:dyDescent="0.2">
      <c r="A133" s="73" t="s">
        <v>1107</v>
      </c>
      <c r="B133" s="71"/>
      <c r="C133" s="71"/>
      <c r="D133" s="72">
        <v>1062225.8899999999</v>
      </c>
      <c r="E133" s="71"/>
      <c r="F133" s="71"/>
      <c r="G133" s="71"/>
      <c r="H133" s="31" t="s">
        <v>324</v>
      </c>
      <c r="I133" s="92"/>
      <c r="J133" s="92"/>
      <c r="K133" s="92"/>
      <c r="O133" s="91">
        <f t="shared" si="1"/>
        <v>1062225.8899999999</v>
      </c>
    </row>
    <row r="134" spans="1:15" ht="12" hidden="1" outlineLevel="3" x14ac:dyDescent="0.2">
      <c r="A134" s="73" t="s">
        <v>1106</v>
      </c>
      <c r="B134" s="71"/>
      <c r="C134" s="71"/>
      <c r="D134" s="72">
        <v>474841.4</v>
      </c>
      <c r="E134" s="71"/>
      <c r="F134" s="71"/>
      <c r="G134" s="71"/>
      <c r="H134" s="31" t="s">
        <v>325</v>
      </c>
      <c r="I134" s="92"/>
      <c r="J134" s="92"/>
      <c r="K134" s="92"/>
      <c r="O134" s="91">
        <f t="shared" si="1"/>
        <v>474841.4</v>
      </c>
    </row>
    <row r="135" spans="1:15" ht="12" hidden="1" outlineLevel="3" x14ac:dyDescent="0.2">
      <c r="A135" s="73" t="s">
        <v>1105</v>
      </c>
      <c r="B135" s="71"/>
      <c r="C135" s="71"/>
      <c r="D135" s="72">
        <v>947818.86</v>
      </c>
      <c r="E135" s="71"/>
      <c r="F135" s="71"/>
      <c r="G135" s="71"/>
      <c r="H135" s="31" t="s">
        <v>326</v>
      </c>
      <c r="I135" s="92"/>
      <c r="J135" s="92"/>
      <c r="K135" s="92"/>
      <c r="O135" s="91">
        <f t="shared" si="1"/>
        <v>947818.86</v>
      </c>
    </row>
    <row r="136" spans="1:15" ht="12" hidden="1" outlineLevel="3" x14ac:dyDescent="0.2">
      <c r="A136" s="73" t="s">
        <v>925</v>
      </c>
      <c r="B136" s="71"/>
      <c r="C136" s="71"/>
      <c r="D136" s="72">
        <v>818446.18</v>
      </c>
      <c r="E136" s="71"/>
      <c r="F136" s="71"/>
      <c r="G136" s="71"/>
      <c r="H136" s="31" t="s">
        <v>327</v>
      </c>
      <c r="I136" s="92"/>
      <c r="J136" s="92"/>
      <c r="K136" s="92"/>
      <c r="O136" s="91">
        <f t="shared" si="1"/>
        <v>818446.18</v>
      </c>
    </row>
    <row r="137" spans="1:15" ht="12" hidden="1" outlineLevel="3" x14ac:dyDescent="0.2">
      <c r="A137" s="73" t="s">
        <v>1104</v>
      </c>
      <c r="B137" s="71"/>
      <c r="C137" s="71"/>
      <c r="D137" s="72">
        <v>801087.81</v>
      </c>
      <c r="E137" s="71"/>
      <c r="F137" s="71"/>
      <c r="G137" s="71"/>
      <c r="H137" s="31" t="s">
        <v>328</v>
      </c>
      <c r="I137" s="92"/>
      <c r="J137" s="92"/>
      <c r="K137" s="92"/>
      <c r="O137" s="91">
        <f t="shared" si="1"/>
        <v>801087.81</v>
      </c>
    </row>
    <row r="138" spans="1:15" ht="12" hidden="1" outlineLevel="3" x14ac:dyDescent="0.2">
      <c r="A138" s="73" t="s">
        <v>1103</v>
      </c>
      <c r="B138" s="71"/>
      <c r="C138" s="71"/>
      <c r="D138" s="72">
        <v>1014743.27</v>
      </c>
      <c r="E138" s="71"/>
      <c r="F138" s="71"/>
      <c r="G138" s="71"/>
      <c r="H138" s="31" t="s">
        <v>329</v>
      </c>
      <c r="I138" s="92"/>
      <c r="J138" s="92"/>
      <c r="K138" s="92"/>
      <c r="O138" s="91">
        <f t="shared" si="1"/>
        <v>1014743.27</v>
      </c>
    </row>
    <row r="139" spans="1:15" ht="12" hidden="1" outlineLevel="3" x14ac:dyDescent="0.2">
      <c r="A139" s="73" t="s">
        <v>1102</v>
      </c>
      <c r="B139" s="71"/>
      <c r="C139" s="71"/>
      <c r="D139" s="72">
        <v>914515</v>
      </c>
      <c r="E139" s="71"/>
      <c r="F139" s="71"/>
      <c r="G139" s="71"/>
      <c r="H139" s="31" t="s">
        <v>334</v>
      </c>
      <c r="I139" s="92"/>
      <c r="J139" s="92"/>
      <c r="K139" s="92"/>
      <c r="O139" s="91">
        <f t="shared" si="1"/>
        <v>914515</v>
      </c>
    </row>
    <row r="140" spans="1:15" ht="12" hidden="1" outlineLevel="3" x14ac:dyDescent="0.2">
      <c r="A140" s="73" t="s">
        <v>1101</v>
      </c>
      <c r="B140" s="71"/>
      <c r="C140" s="71"/>
      <c r="D140" s="72">
        <v>49029.93</v>
      </c>
      <c r="E140" s="71"/>
      <c r="F140" s="71"/>
      <c r="G140" s="71"/>
      <c r="H140" s="31" t="s">
        <v>341</v>
      </c>
      <c r="I140" s="92"/>
      <c r="J140" s="92"/>
      <c r="K140" s="92"/>
      <c r="O140" s="91">
        <f t="shared" si="1"/>
        <v>49029.93</v>
      </c>
    </row>
    <row r="141" spans="1:15" ht="12" hidden="1" outlineLevel="3" x14ac:dyDescent="0.2">
      <c r="A141" s="73" t="s">
        <v>1100</v>
      </c>
      <c r="B141" s="71"/>
      <c r="C141" s="71"/>
      <c r="D141" s="72">
        <v>370954.7</v>
      </c>
      <c r="E141" s="71"/>
      <c r="F141" s="71"/>
      <c r="G141" s="71"/>
      <c r="H141" s="31" t="s">
        <v>342</v>
      </c>
      <c r="I141" s="92"/>
      <c r="J141" s="92"/>
      <c r="K141" s="92"/>
      <c r="O141" s="91">
        <f t="shared" si="1"/>
        <v>370954.7</v>
      </c>
    </row>
    <row r="142" spans="1:15" ht="12" hidden="1" outlineLevel="3" x14ac:dyDescent="0.2">
      <c r="A142" s="73" t="s">
        <v>1099</v>
      </c>
      <c r="B142" s="71"/>
      <c r="C142" s="71"/>
      <c r="D142" s="72">
        <v>490664.73</v>
      </c>
      <c r="E142" s="71"/>
      <c r="F142" s="71"/>
      <c r="G142" s="71"/>
      <c r="H142" s="31" t="s">
        <v>343</v>
      </c>
      <c r="I142" s="92"/>
      <c r="J142" s="92"/>
      <c r="K142" s="92"/>
      <c r="O142" s="91">
        <f t="shared" si="1"/>
        <v>490664.73</v>
      </c>
    </row>
    <row r="143" spans="1:15" ht="12" hidden="1" outlineLevel="3" x14ac:dyDescent="0.2">
      <c r="A143" s="73" t="s">
        <v>924</v>
      </c>
      <c r="B143" s="71"/>
      <c r="C143" s="71"/>
      <c r="D143" s="72">
        <v>24837.67</v>
      </c>
      <c r="E143" s="71"/>
      <c r="F143" s="71"/>
      <c r="G143" s="71"/>
      <c r="H143" s="31" t="s">
        <v>344</v>
      </c>
      <c r="I143" s="92"/>
      <c r="J143" s="92"/>
      <c r="K143" s="92"/>
      <c r="O143" s="91">
        <f t="shared" si="1"/>
        <v>24837.67</v>
      </c>
    </row>
    <row r="144" spans="1:15" ht="12" hidden="1" outlineLevel="3" x14ac:dyDescent="0.2">
      <c r="A144" s="73" t="s">
        <v>1098</v>
      </c>
      <c r="B144" s="71"/>
      <c r="C144" s="71"/>
      <c r="D144" s="72">
        <v>193569.4</v>
      </c>
      <c r="E144" s="71"/>
      <c r="F144" s="71"/>
      <c r="G144" s="71"/>
      <c r="H144" s="31" t="s">
        <v>345</v>
      </c>
      <c r="I144" s="92"/>
      <c r="J144" s="92"/>
      <c r="K144" s="92"/>
      <c r="O144" s="91">
        <f t="shared" si="1"/>
        <v>193569.4</v>
      </c>
    </row>
    <row r="145" spans="1:15" ht="12" hidden="1" outlineLevel="3" x14ac:dyDescent="0.2">
      <c r="A145" s="73" t="s">
        <v>923</v>
      </c>
      <c r="B145" s="71"/>
      <c r="C145" s="71"/>
      <c r="D145" s="72">
        <v>223151.4</v>
      </c>
      <c r="E145" s="71"/>
      <c r="F145" s="71"/>
      <c r="G145" s="71"/>
      <c r="H145" s="31" t="s">
        <v>346</v>
      </c>
      <c r="I145" s="92"/>
      <c r="J145" s="92"/>
      <c r="K145" s="92"/>
      <c r="O145" s="91">
        <f t="shared" si="1"/>
        <v>223151.4</v>
      </c>
    </row>
    <row r="146" spans="1:15" ht="12" hidden="1" outlineLevel="3" x14ac:dyDescent="0.2">
      <c r="A146" s="73" t="s">
        <v>1097</v>
      </c>
      <c r="B146" s="71"/>
      <c r="C146" s="71"/>
      <c r="D146" s="72">
        <v>808834.97</v>
      </c>
      <c r="E146" s="71"/>
      <c r="F146" s="71"/>
      <c r="G146" s="71"/>
      <c r="H146" s="31" t="s">
        <v>347</v>
      </c>
      <c r="I146" s="92"/>
      <c r="J146" s="92"/>
      <c r="K146" s="92"/>
      <c r="O146" s="91">
        <f t="shared" si="1"/>
        <v>808834.97</v>
      </c>
    </row>
    <row r="147" spans="1:15" ht="12" hidden="1" outlineLevel="3" x14ac:dyDescent="0.2">
      <c r="A147" s="73" t="s">
        <v>934</v>
      </c>
      <c r="B147" s="71"/>
      <c r="C147" s="71"/>
      <c r="D147" s="72">
        <v>605170.91</v>
      </c>
      <c r="E147" s="71"/>
      <c r="F147" s="71"/>
      <c r="G147" s="71"/>
      <c r="H147" s="31" t="s">
        <v>336</v>
      </c>
      <c r="I147" s="92"/>
      <c r="J147" s="92"/>
      <c r="K147" s="92"/>
      <c r="O147" s="91">
        <f t="shared" si="1"/>
        <v>605170.91</v>
      </c>
    </row>
    <row r="148" spans="1:15" ht="12" hidden="1" outlineLevel="3" x14ac:dyDescent="0.2">
      <c r="A148" s="73" t="s">
        <v>1095</v>
      </c>
      <c r="B148" s="71"/>
      <c r="C148" s="71"/>
      <c r="D148" s="72">
        <v>810567.59</v>
      </c>
      <c r="E148" s="71"/>
      <c r="F148" s="71"/>
      <c r="G148" s="71"/>
      <c r="H148" s="31" t="s">
        <v>337</v>
      </c>
      <c r="I148" s="92"/>
      <c r="J148" s="92"/>
      <c r="K148" s="92"/>
      <c r="O148" s="91">
        <f t="shared" si="1"/>
        <v>810567.59</v>
      </c>
    </row>
    <row r="149" spans="1:15" ht="12" hidden="1" outlineLevel="3" x14ac:dyDescent="0.2">
      <c r="A149" s="73" t="s">
        <v>1094</v>
      </c>
      <c r="B149" s="71"/>
      <c r="C149" s="71"/>
      <c r="D149" s="72">
        <v>23100.05</v>
      </c>
      <c r="E149" s="71"/>
      <c r="F149" s="71"/>
      <c r="G149" s="71"/>
      <c r="H149" s="31" t="s">
        <v>338</v>
      </c>
      <c r="I149" s="92"/>
      <c r="J149" s="92"/>
      <c r="K149" s="92"/>
      <c r="O149" s="91">
        <f t="shared" si="1"/>
        <v>23100.05</v>
      </c>
    </row>
    <row r="150" spans="1:15" ht="12" hidden="1" outlineLevel="3" x14ac:dyDescent="0.2">
      <c r="A150" s="73" t="s">
        <v>1093</v>
      </c>
      <c r="B150" s="71"/>
      <c r="C150" s="71"/>
      <c r="D150" s="72">
        <v>34034.83</v>
      </c>
      <c r="E150" s="71"/>
      <c r="F150" s="71"/>
      <c r="G150" s="71"/>
      <c r="H150" s="31" t="s">
        <v>339</v>
      </c>
      <c r="I150" s="92"/>
      <c r="J150" s="92"/>
      <c r="K150" s="92"/>
      <c r="O150" s="91">
        <f t="shared" si="1"/>
        <v>34034.83</v>
      </c>
    </row>
    <row r="151" spans="1:15" ht="12" hidden="1" outlineLevel="3" x14ac:dyDescent="0.2">
      <c r="A151" s="73" t="s">
        <v>1091</v>
      </c>
      <c r="B151" s="71"/>
      <c r="C151" s="71"/>
      <c r="D151" s="72">
        <v>536778.43000000005</v>
      </c>
      <c r="E151" s="71"/>
      <c r="F151" s="71"/>
      <c r="G151" s="71"/>
      <c r="H151" s="31" t="s">
        <v>348</v>
      </c>
      <c r="I151" s="92"/>
      <c r="J151" s="92"/>
      <c r="K151" s="92"/>
      <c r="O151" s="91">
        <f t="shared" si="1"/>
        <v>536778.43000000005</v>
      </c>
    </row>
    <row r="152" spans="1:15" ht="12" hidden="1" outlineLevel="3" x14ac:dyDescent="0.2">
      <c r="A152" s="73" t="s">
        <v>1090</v>
      </c>
      <c r="B152" s="71"/>
      <c r="C152" s="71"/>
      <c r="D152" s="72">
        <v>256820.37</v>
      </c>
      <c r="E152" s="71"/>
      <c r="F152" s="71"/>
      <c r="G152" s="71"/>
      <c r="H152" s="31" t="s">
        <v>355</v>
      </c>
      <c r="I152" s="92"/>
      <c r="J152" s="92"/>
      <c r="K152" s="92"/>
      <c r="O152" s="91">
        <f t="shared" si="1"/>
        <v>256820.37</v>
      </c>
    </row>
    <row r="153" spans="1:15" ht="12" hidden="1" outlineLevel="3" x14ac:dyDescent="0.2">
      <c r="A153" s="73" t="s">
        <v>1083</v>
      </c>
      <c r="B153" s="71"/>
      <c r="C153" s="71"/>
      <c r="D153" s="72">
        <v>884729.4</v>
      </c>
      <c r="E153" s="71"/>
      <c r="F153" s="71"/>
      <c r="G153" s="71"/>
      <c r="H153" s="31" t="s">
        <v>349</v>
      </c>
      <c r="I153" s="92"/>
      <c r="J153" s="92"/>
      <c r="K153" s="92"/>
      <c r="O153" s="91">
        <f t="shared" si="1"/>
        <v>884729.4</v>
      </c>
    </row>
    <row r="154" spans="1:15" ht="12" hidden="1" outlineLevel="3" x14ac:dyDescent="0.2">
      <c r="A154" s="73" t="s">
        <v>1089</v>
      </c>
      <c r="B154" s="71"/>
      <c r="C154" s="71"/>
      <c r="D154" s="72">
        <v>311808.67</v>
      </c>
      <c r="E154" s="71"/>
      <c r="F154" s="71"/>
      <c r="G154" s="71"/>
      <c r="H154" s="31" t="s">
        <v>350</v>
      </c>
      <c r="I154" s="92"/>
      <c r="J154" s="92"/>
      <c r="K154" s="92"/>
      <c r="O154" s="91">
        <f t="shared" si="1"/>
        <v>311808.67</v>
      </c>
    </row>
    <row r="155" spans="1:15" ht="12" hidden="1" outlineLevel="3" x14ac:dyDescent="0.2">
      <c r="A155" s="73" t="s">
        <v>1088</v>
      </c>
      <c r="B155" s="71"/>
      <c r="C155" s="71"/>
      <c r="D155" s="72">
        <v>431344.15</v>
      </c>
      <c r="E155" s="71"/>
      <c r="F155" s="71"/>
      <c r="G155" s="71"/>
      <c r="H155" s="31" t="s">
        <v>351</v>
      </c>
      <c r="I155" s="92"/>
      <c r="J155" s="92"/>
      <c r="K155" s="92"/>
      <c r="O155" s="91">
        <f t="shared" si="1"/>
        <v>431344.15</v>
      </c>
    </row>
    <row r="156" spans="1:15" ht="12" hidden="1" outlineLevel="3" x14ac:dyDescent="0.2">
      <c r="A156" s="73" t="s">
        <v>1087</v>
      </c>
      <c r="B156" s="71"/>
      <c r="C156" s="71"/>
      <c r="D156" s="72">
        <v>28207.4</v>
      </c>
      <c r="E156" s="71"/>
      <c r="F156" s="71"/>
      <c r="G156" s="71"/>
      <c r="H156" s="31" t="s">
        <v>352</v>
      </c>
      <c r="I156" s="92"/>
      <c r="J156" s="92"/>
      <c r="K156" s="92"/>
      <c r="O156" s="91">
        <f t="shared" si="1"/>
        <v>28207.4</v>
      </c>
    </row>
    <row r="157" spans="1:15" ht="12" hidden="1" outlineLevel="3" x14ac:dyDescent="0.2">
      <c r="A157" s="73" t="s">
        <v>1086</v>
      </c>
      <c r="B157" s="71"/>
      <c r="C157" s="71"/>
      <c r="D157" s="72">
        <v>441319.69</v>
      </c>
      <c r="E157" s="71"/>
      <c r="F157" s="71"/>
      <c r="G157" s="71"/>
      <c r="H157" s="31" t="s">
        <v>353</v>
      </c>
      <c r="I157" s="92"/>
      <c r="J157" s="92"/>
      <c r="K157" s="92"/>
      <c r="O157" s="91">
        <f t="shared" si="1"/>
        <v>441319.69</v>
      </c>
    </row>
    <row r="158" spans="1:15" ht="12" hidden="1" outlineLevel="3" x14ac:dyDescent="0.2">
      <c r="A158" s="73" t="s">
        <v>952</v>
      </c>
      <c r="B158" s="71"/>
      <c r="C158" s="71"/>
      <c r="D158" s="72">
        <v>21171.23</v>
      </c>
      <c r="E158" s="71"/>
      <c r="F158" s="71"/>
      <c r="G158" s="71"/>
      <c r="H158" s="4" t="s">
        <v>131</v>
      </c>
      <c r="I158" s="56"/>
      <c r="J158" s="56"/>
      <c r="K158" s="56"/>
      <c r="O158" s="91">
        <f t="shared" si="1"/>
        <v>21171.23</v>
      </c>
    </row>
    <row r="159" spans="1:15" ht="12" hidden="1" outlineLevel="3" x14ac:dyDescent="0.2">
      <c r="A159" s="73" t="s">
        <v>1173</v>
      </c>
      <c r="B159" s="71"/>
      <c r="C159" s="71"/>
      <c r="D159" s="72">
        <v>19275.3</v>
      </c>
      <c r="E159" s="71"/>
      <c r="F159" s="71"/>
      <c r="G159" s="71"/>
      <c r="H159" s="4" t="s">
        <v>132</v>
      </c>
      <c r="I159" s="56"/>
      <c r="J159" s="56"/>
      <c r="K159" s="56"/>
      <c r="O159" s="91">
        <f t="shared" si="1"/>
        <v>19275.3</v>
      </c>
    </row>
    <row r="160" spans="1:15" ht="12" hidden="1" outlineLevel="3" x14ac:dyDescent="0.2">
      <c r="A160" s="73" t="s">
        <v>1057</v>
      </c>
      <c r="B160" s="71"/>
      <c r="C160" s="71"/>
      <c r="D160" s="72">
        <v>66069.5</v>
      </c>
      <c r="E160" s="71"/>
      <c r="F160" s="71"/>
      <c r="G160" s="71"/>
      <c r="H160" s="4" t="s">
        <v>144</v>
      </c>
      <c r="I160" s="56"/>
      <c r="J160" s="56"/>
      <c r="K160" s="56"/>
      <c r="O160" s="91">
        <f t="shared" si="1"/>
        <v>66069.5</v>
      </c>
    </row>
    <row r="161" spans="1:15" ht="12" hidden="1" outlineLevel="3" x14ac:dyDescent="0.2">
      <c r="A161" s="73" t="s">
        <v>1234</v>
      </c>
      <c r="B161" s="71"/>
      <c r="C161" s="71"/>
      <c r="D161" s="72">
        <v>10479.969999999999</v>
      </c>
      <c r="E161" s="71"/>
      <c r="F161" s="71"/>
      <c r="G161" s="71"/>
      <c r="H161" s="4" t="s">
        <v>146</v>
      </c>
      <c r="I161" s="56"/>
      <c r="J161" s="56"/>
      <c r="K161" s="56"/>
      <c r="O161" s="91">
        <f t="shared" si="1"/>
        <v>10479.969999999999</v>
      </c>
    </row>
    <row r="162" spans="1:15" ht="12" hidden="1" outlineLevel="3" x14ac:dyDescent="0.2">
      <c r="A162" s="73" t="s">
        <v>1219</v>
      </c>
      <c r="B162" s="71"/>
      <c r="C162" s="71"/>
      <c r="D162" s="72">
        <v>3919.58</v>
      </c>
      <c r="E162" s="71"/>
      <c r="F162" s="71"/>
      <c r="G162" s="71"/>
      <c r="H162" s="4" t="s">
        <v>77</v>
      </c>
      <c r="I162" s="56"/>
      <c r="J162" s="56"/>
      <c r="K162" s="56"/>
      <c r="O162" s="91">
        <f t="shared" si="1"/>
        <v>3919.58</v>
      </c>
    </row>
    <row r="163" spans="1:15" ht="12" hidden="1" outlineLevel="3" x14ac:dyDescent="0.2">
      <c r="A163" s="73" t="s">
        <v>944</v>
      </c>
      <c r="B163" s="71"/>
      <c r="C163" s="71"/>
      <c r="D163" s="72">
        <v>35952.300000000003</v>
      </c>
      <c r="E163" s="71"/>
      <c r="F163" s="71"/>
      <c r="G163" s="71"/>
      <c r="H163" s="4" t="s">
        <v>88</v>
      </c>
      <c r="I163" s="56"/>
      <c r="J163" s="56"/>
      <c r="K163" s="56"/>
      <c r="O163" s="91">
        <f t="shared" si="1"/>
        <v>35952.300000000003</v>
      </c>
    </row>
    <row r="164" spans="1:15" ht="12" hidden="1" outlineLevel="3" x14ac:dyDescent="0.2">
      <c r="A164" s="73" t="s">
        <v>1165</v>
      </c>
      <c r="B164" s="71"/>
      <c r="C164" s="71"/>
      <c r="D164" s="72">
        <v>86134.58</v>
      </c>
      <c r="E164" s="71"/>
      <c r="F164" s="71"/>
      <c r="G164" s="71"/>
      <c r="H164" s="4" t="s">
        <v>89</v>
      </c>
      <c r="I164" s="56"/>
      <c r="J164" s="56"/>
      <c r="K164" s="56"/>
      <c r="O164" s="91">
        <f t="shared" si="1"/>
        <v>86134.58</v>
      </c>
    </row>
    <row r="165" spans="1:15" ht="12" hidden="1" outlineLevel="3" x14ac:dyDescent="0.2">
      <c r="A165" s="73" t="s">
        <v>1163</v>
      </c>
      <c r="B165" s="71"/>
      <c r="C165" s="71"/>
      <c r="D165" s="72">
        <v>56875.81</v>
      </c>
      <c r="E165" s="71"/>
      <c r="F165" s="71"/>
      <c r="G165" s="71"/>
      <c r="H165" s="4" t="s">
        <v>101</v>
      </c>
      <c r="I165" s="56"/>
      <c r="J165" s="56"/>
      <c r="K165" s="56"/>
      <c r="O165" s="91">
        <f t="shared" si="1"/>
        <v>56875.81</v>
      </c>
    </row>
    <row r="166" spans="1:15" ht="12" hidden="1" outlineLevel="3" x14ac:dyDescent="0.2">
      <c r="A166" s="73" t="s">
        <v>1162</v>
      </c>
      <c r="B166" s="71"/>
      <c r="C166" s="71"/>
      <c r="D166" s="72">
        <v>79420.02</v>
      </c>
      <c r="E166" s="71"/>
      <c r="F166" s="71"/>
      <c r="G166" s="71"/>
      <c r="H166" s="4" t="s">
        <v>102</v>
      </c>
      <c r="I166" s="56"/>
      <c r="J166" s="56"/>
      <c r="K166" s="56"/>
      <c r="O166" s="91">
        <f t="shared" si="1"/>
        <v>79420.02</v>
      </c>
    </row>
    <row r="167" spans="1:15" ht="12.75" hidden="1" outlineLevel="3" x14ac:dyDescent="0.2">
      <c r="A167" s="73" t="s">
        <v>1161</v>
      </c>
      <c r="B167" s="71"/>
      <c r="C167" s="71"/>
      <c r="D167" s="72">
        <v>147016.85</v>
      </c>
      <c r="E167" s="71"/>
      <c r="F167" s="71"/>
      <c r="G167" s="71"/>
      <c r="H167" s="17" t="s">
        <v>99</v>
      </c>
      <c r="I167" s="17"/>
      <c r="J167" s="17"/>
      <c r="K167" s="17"/>
      <c r="O167" s="91">
        <f t="shared" si="1"/>
        <v>147016.85</v>
      </c>
    </row>
    <row r="168" spans="1:15" ht="12" hidden="1" outlineLevel="3" x14ac:dyDescent="0.2">
      <c r="A168" s="73" t="s">
        <v>1028</v>
      </c>
      <c r="B168" s="71"/>
      <c r="C168" s="71"/>
      <c r="D168" s="72">
        <v>5244.03</v>
      </c>
      <c r="E168" s="71"/>
      <c r="F168" s="71"/>
      <c r="G168" s="71"/>
      <c r="H168" s="4" t="s">
        <v>154</v>
      </c>
      <c r="I168" s="56"/>
      <c r="J168" s="56"/>
      <c r="K168" s="56"/>
      <c r="O168" s="91">
        <f t="shared" si="1"/>
        <v>5244.03</v>
      </c>
    </row>
    <row r="169" spans="1:15" ht="12" hidden="1" outlineLevel="3" x14ac:dyDescent="0.2">
      <c r="A169" s="73" t="s">
        <v>1159</v>
      </c>
      <c r="B169" s="71"/>
      <c r="C169" s="71"/>
      <c r="D169" s="72">
        <v>44834.73</v>
      </c>
      <c r="E169" s="71"/>
      <c r="F169" s="71"/>
      <c r="G169" s="71"/>
      <c r="H169" s="4" t="s">
        <v>174</v>
      </c>
      <c r="I169" s="56"/>
      <c r="J169" s="56"/>
      <c r="K169" s="56"/>
      <c r="O169" s="91">
        <f t="shared" si="1"/>
        <v>44834.73</v>
      </c>
    </row>
    <row r="170" spans="1:15" ht="12" hidden="1" outlineLevel="3" x14ac:dyDescent="0.2">
      <c r="A170" s="73" t="s">
        <v>1213</v>
      </c>
      <c r="B170" s="71"/>
      <c r="C170" s="71"/>
      <c r="D170" s="72">
        <v>65189.05</v>
      </c>
      <c r="E170" s="71"/>
      <c r="F170" s="71"/>
      <c r="G170" s="71"/>
      <c r="H170" s="4" t="s">
        <v>106</v>
      </c>
      <c r="I170" s="56"/>
      <c r="J170" s="56"/>
      <c r="K170" s="56"/>
      <c r="O170" s="91">
        <f t="shared" si="1"/>
        <v>65189.05</v>
      </c>
    </row>
    <row r="171" spans="1:15" ht="12" hidden="1" outlineLevel="3" x14ac:dyDescent="0.2">
      <c r="A171" s="73" t="s">
        <v>1193</v>
      </c>
      <c r="B171" s="71"/>
      <c r="C171" s="71"/>
      <c r="D171" s="72">
        <v>45358.09</v>
      </c>
      <c r="E171" s="71"/>
      <c r="F171" s="71"/>
      <c r="G171" s="71"/>
      <c r="H171" s="4" t="s">
        <v>107</v>
      </c>
      <c r="I171" s="56"/>
      <c r="J171" s="56"/>
      <c r="K171" s="56"/>
      <c r="O171" s="91">
        <f t="shared" si="1"/>
        <v>45358.09</v>
      </c>
    </row>
    <row r="172" spans="1:15" ht="12" hidden="1" outlineLevel="3" x14ac:dyDescent="0.2">
      <c r="A172" s="73" t="s">
        <v>1005</v>
      </c>
      <c r="B172" s="71"/>
      <c r="C172" s="71"/>
      <c r="D172" s="72">
        <v>210862.26</v>
      </c>
      <c r="E172" s="71"/>
      <c r="F172" s="71"/>
      <c r="G172" s="71"/>
      <c r="H172" s="4" t="s">
        <v>69</v>
      </c>
      <c r="I172" s="56"/>
      <c r="J172" s="56"/>
      <c r="K172" s="56"/>
      <c r="O172" s="91">
        <f t="shared" si="1"/>
        <v>210862.26</v>
      </c>
    </row>
    <row r="173" spans="1:15" ht="12" hidden="1" outlineLevel="3" x14ac:dyDescent="0.2">
      <c r="A173" s="73" t="s">
        <v>1157</v>
      </c>
      <c r="B173" s="71"/>
      <c r="C173" s="71"/>
      <c r="D173" s="72">
        <v>21345.63</v>
      </c>
      <c r="E173" s="71"/>
      <c r="F173" s="71"/>
      <c r="G173" s="71"/>
      <c r="H173" s="4" t="s">
        <v>72</v>
      </c>
      <c r="I173" s="56"/>
      <c r="J173" s="56"/>
      <c r="K173" s="56"/>
      <c r="O173" s="91">
        <f t="shared" si="1"/>
        <v>21345.63</v>
      </c>
    </row>
    <row r="174" spans="1:15" ht="12" hidden="1" outlineLevel="3" x14ac:dyDescent="0.2">
      <c r="A174" s="73" t="s">
        <v>942</v>
      </c>
      <c r="B174" s="71"/>
      <c r="C174" s="71"/>
      <c r="D174" s="72">
        <v>259827.97</v>
      </c>
      <c r="E174" s="71"/>
      <c r="F174" s="71"/>
      <c r="G174" s="71"/>
      <c r="H174" s="4" t="s">
        <v>186</v>
      </c>
      <c r="I174" s="56"/>
      <c r="J174" s="56"/>
      <c r="K174" s="56"/>
      <c r="O174" s="91">
        <f t="shared" si="1"/>
        <v>259827.97</v>
      </c>
    </row>
    <row r="175" spans="1:15" ht="12" hidden="1" outlineLevel="3" x14ac:dyDescent="0.2">
      <c r="A175" s="73" t="s">
        <v>977</v>
      </c>
      <c r="B175" s="71"/>
      <c r="C175" s="71"/>
      <c r="D175" s="72">
        <v>25642.799999999999</v>
      </c>
      <c r="E175" s="71"/>
      <c r="F175" s="71"/>
      <c r="G175" s="71"/>
      <c r="H175" s="4" t="s">
        <v>197</v>
      </c>
      <c r="I175" s="56"/>
      <c r="J175" s="56"/>
      <c r="K175" s="56"/>
      <c r="O175" s="91">
        <f t="shared" si="1"/>
        <v>25642.799999999999</v>
      </c>
    </row>
    <row r="176" spans="1:15" ht="12" hidden="1" outlineLevel="3" x14ac:dyDescent="0.2">
      <c r="A176" s="73" t="s">
        <v>1145</v>
      </c>
      <c r="B176" s="71"/>
      <c r="C176" s="71"/>
      <c r="D176" s="72">
        <v>14995.56</v>
      </c>
      <c r="E176" s="71"/>
      <c r="F176" s="71"/>
      <c r="G176" s="71"/>
      <c r="H176" s="4" t="s">
        <v>227</v>
      </c>
      <c r="I176" s="56"/>
      <c r="J176" s="56"/>
      <c r="K176" s="56"/>
      <c r="O176" s="91">
        <f t="shared" si="1"/>
        <v>14995.56</v>
      </c>
    </row>
    <row r="177" spans="1:15" ht="12" hidden="1" outlineLevel="3" x14ac:dyDescent="0.2">
      <c r="A177" s="73" t="s">
        <v>938</v>
      </c>
      <c r="B177" s="71"/>
      <c r="C177" s="71"/>
      <c r="D177" s="72">
        <v>5595.34</v>
      </c>
      <c r="E177" s="71"/>
      <c r="F177" s="71"/>
      <c r="G177" s="71"/>
      <c r="H177" s="4" t="s">
        <v>233</v>
      </c>
      <c r="I177" s="56"/>
      <c r="J177" s="56"/>
      <c r="K177" s="56"/>
      <c r="O177" s="91">
        <f t="shared" si="1"/>
        <v>5595.34</v>
      </c>
    </row>
    <row r="178" spans="1:15" ht="12" hidden="1" outlineLevel="3" x14ac:dyDescent="0.2">
      <c r="A178" s="73" t="s">
        <v>937</v>
      </c>
      <c r="B178" s="71"/>
      <c r="C178" s="71"/>
      <c r="D178" s="72">
        <v>21654.62</v>
      </c>
      <c r="E178" s="71"/>
      <c r="F178" s="71"/>
      <c r="G178" s="71"/>
      <c r="H178" s="4" t="s">
        <v>236</v>
      </c>
      <c r="I178" s="56"/>
      <c r="J178" s="56"/>
      <c r="K178" s="56"/>
      <c r="O178" s="91">
        <f t="shared" si="1"/>
        <v>21654.62</v>
      </c>
    </row>
    <row r="179" spans="1:15" ht="12" hidden="1" outlineLevel="3" x14ac:dyDescent="0.2">
      <c r="A179" s="73" t="s">
        <v>1132</v>
      </c>
      <c r="B179" s="71"/>
      <c r="C179" s="71"/>
      <c r="D179" s="72">
        <v>164002.42000000001</v>
      </c>
      <c r="E179" s="71"/>
      <c r="F179" s="71"/>
      <c r="G179" s="71"/>
      <c r="H179" s="4" t="s">
        <v>247</v>
      </c>
      <c r="I179" s="56"/>
      <c r="J179" s="56"/>
      <c r="K179" s="56"/>
      <c r="O179" s="91">
        <f t="shared" si="1"/>
        <v>164002.42000000001</v>
      </c>
    </row>
    <row r="180" spans="1:15" ht="12" hidden="1" outlineLevel="3" x14ac:dyDescent="0.2">
      <c r="A180" s="73" t="s">
        <v>1131</v>
      </c>
      <c r="B180" s="71"/>
      <c r="C180" s="71"/>
      <c r="D180" s="72">
        <v>65774.59</v>
      </c>
      <c r="E180" s="71"/>
      <c r="F180" s="71"/>
      <c r="G180" s="71"/>
      <c r="H180" s="4" t="s">
        <v>248</v>
      </c>
      <c r="I180" s="56"/>
      <c r="J180" s="56"/>
      <c r="K180" s="56"/>
      <c r="O180" s="91">
        <f t="shared" si="1"/>
        <v>65774.59</v>
      </c>
    </row>
    <row r="181" spans="1:15" ht="12" hidden="1" outlineLevel="3" x14ac:dyDescent="0.2">
      <c r="A181" s="73" t="s">
        <v>936</v>
      </c>
      <c r="B181" s="71"/>
      <c r="C181" s="71"/>
      <c r="D181" s="72">
        <v>34493.51</v>
      </c>
      <c r="E181" s="71"/>
      <c r="F181" s="71"/>
      <c r="G181" s="71"/>
      <c r="H181" s="4" t="s">
        <v>237</v>
      </c>
      <c r="I181" s="56"/>
      <c r="J181" s="56"/>
      <c r="K181" s="56"/>
      <c r="O181" s="91">
        <f t="shared" si="1"/>
        <v>34493.51</v>
      </c>
    </row>
    <row r="182" spans="1:15" ht="12" hidden="1" outlineLevel="3" x14ac:dyDescent="0.2">
      <c r="A182" s="73" t="s">
        <v>1127</v>
      </c>
      <c r="B182" s="71"/>
      <c r="C182" s="71"/>
      <c r="D182" s="72">
        <v>29609.38</v>
      </c>
      <c r="E182" s="71"/>
      <c r="F182" s="71"/>
      <c r="G182" s="71"/>
      <c r="H182" s="4" t="s">
        <v>253</v>
      </c>
      <c r="I182" s="56"/>
      <c r="J182" s="56"/>
      <c r="K182" s="56"/>
      <c r="O182" s="91">
        <f t="shared" si="1"/>
        <v>29609.38</v>
      </c>
    </row>
    <row r="183" spans="1:15" ht="12" hidden="1" outlineLevel="3" x14ac:dyDescent="0.2">
      <c r="A183" s="73" t="s">
        <v>1122</v>
      </c>
      <c r="B183" s="71"/>
      <c r="C183" s="71"/>
      <c r="D183" s="72">
        <v>27000.09</v>
      </c>
      <c r="E183" s="71"/>
      <c r="F183" s="71"/>
      <c r="G183" s="71"/>
      <c r="H183" s="4" t="s">
        <v>259</v>
      </c>
      <c r="I183" s="56"/>
      <c r="J183" s="56"/>
      <c r="K183" s="56"/>
      <c r="O183" s="91">
        <f t="shared" si="1"/>
        <v>27000.09</v>
      </c>
    </row>
    <row r="184" spans="1:15" ht="12" hidden="1" outlineLevel="3" x14ac:dyDescent="0.2">
      <c r="A184" s="73" t="s">
        <v>1201</v>
      </c>
      <c r="B184" s="71"/>
      <c r="C184" s="71"/>
      <c r="D184" s="72">
        <v>10773.85</v>
      </c>
      <c r="E184" s="71"/>
      <c r="F184" s="71"/>
      <c r="G184" s="71"/>
      <c r="H184" s="4" t="s">
        <v>270</v>
      </c>
      <c r="I184" s="56"/>
      <c r="J184" s="56"/>
      <c r="K184" s="56"/>
      <c r="O184" s="91">
        <f t="shared" si="1"/>
        <v>10773.85</v>
      </c>
    </row>
    <row r="185" spans="1:15" ht="12" hidden="1" outlineLevel="3" x14ac:dyDescent="0.2">
      <c r="A185" s="73" t="s">
        <v>1200</v>
      </c>
      <c r="B185" s="71"/>
      <c r="C185" s="71"/>
      <c r="D185" s="72">
        <v>68312.259999999995</v>
      </c>
      <c r="E185" s="71"/>
      <c r="F185" s="71"/>
      <c r="G185" s="71"/>
      <c r="H185" s="4" t="s">
        <v>272</v>
      </c>
      <c r="I185" s="56"/>
      <c r="J185" s="56"/>
      <c r="K185" s="56"/>
      <c r="O185" s="91">
        <f t="shared" si="1"/>
        <v>68312.259999999995</v>
      </c>
    </row>
    <row r="186" spans="1:15" ht="12" hidden="1" outlineLevel="3" x14ac:dyDescent="0.2">
      <c r="A186" s="73" t="s">
        <v>1196</v>
      </c>
      <c r="B186" s="71"/>
      <c r="C186" s="71"/>
      <c r="D186" s="72">
        <v>37046.58</v>
      </c>
      <c r="E186" s="71"/>
      <c r="F186" s="71"/>
      <c r="G186" s="71"/>
      <c r="H186" s="4" t="s">
        <v>271</v>
      </c>
      <c r="I186" s="56"/>
      <c r="J186" s="56"/>
      <c r="K186" s="56"/>
      <c r="O186" s="91">
        <f t="shared" si="1"/>
        <v>37046.58</v>
      </c>
    </row>
    <row r="187" spans="1:15" ht="12" outlineLevel="2" collapsed="1" x14ac:dyDescent="0.2">
      <c r="A187" s="74" t="s">
        <v>1278</v>
      </c>
      <c r="B187" s="71"/>
      <c r="C187" s="71"/>
      <c r="D187" s="72">
        <v>775731.03</v>
      </c>
      <c r="E187" s="71"/>
      <c r="F187" s="71"/>
      <c r="G187" s="71"/>
    </row>
    <row r="188" spans="1:15" ht="12" hidden="1" outlineLevel="3" x14ac:dyDescent="0.2">
      <c r="A188" s="73" t="s">
        <v>930</v>
      </c>
      <c r="B188" s="71"/>
      <c r="C188" s="71"/>
      <c r="D188" s="72">
        <v>176953.71</v>
      </c>
      <c r="E188" s="71"/>
      <c r="F188" s="71"/>
      <c r="G188" s="71"/>
    </row>
    <row r="189" spans="1:15" ht="12" hidden="1" outlineLevel="3" x14ac:dyDescent="0.2">
      <c r="A189" s="73" t="s">
        <v>919</v>
      </c>
      <c r="B189" s="71"/>
      <c r="C189" s="71"/>
      <c r="D189" s="72">
        <v>598777.31999999995</v>
      </c>
      <c r="E189" s="71"/>
      <c r="F189" s="71"/>
      <c r="G189" s="71"/>
    </row>
    <row r="190" spans="1:15" ht="12" outlineLevel="2" collapsed="1" x14ac:dyDescent="0.2">
      <c r="A190" s="74" t="s">
        <v>1277</v>
      </c>
      <c r="B190" s="71"/>
      <c r="C190" s="71"/>
      <c r="D190" s="72">
        <v>2928937.36</v>
      </c>
      <c r="E190" s="71"/>
      <c r="F190" s="71"/>
      <c r="G190" s="71"/>
    </row>
    <row r="191" spans="1:15" ht="12" hidden="1" outlineLevel="3" x14ac:dyDescent="0.2">
      <c r="A191" s="73" t="s">
        <v>930</v>
      </c>
      <c r="B191" s="71"/>
      <c r="C191" s="71"/>
      <c r="D191" s="72">
        <v>602560.81000000006</v>
      </c>
      <c r="E191" s="71"/>
      <c r="F191" s="71"/>
      <c r="G191" s="71"/>
    </row>
    <row r="192" spans="1:15" ht="12" hidden="1" outlineLevel="3" x14ac:dyDescent="0.2">
      <c r="A192" s="73" t="s">
        <v>919</v>
      </c>
      <c r="B192" s="71"/>
      <c r="C192" s="71"/>
      <c r="D192" s="72">
        <v>2326376.5499999998</v>
      </c>
      <c r="E192" s="71"/>
      <c r="F192" s="71"/>
      <c r="G192" s="71"/>
    </row>
    <row r="193" spans="1:17" ht="12" outlineLevel="2" collapsed="1" x14ac:dyDescent="0.2">
      <c r="A193" s="74" t="s">
        <v>1276</v>
      </c>
      <c r="B193" s="71"/>
      <c r="C193" s="71"/>
      <c r="D193" s="72">
        <v>22500</v>
      </c>
      <c r="E193" s="71"/>
      <c r="F193" s="71"/>
      <c r="G193" s="71"/>
    </row>
    <row r="194" spans="1:17" ht="12" hidden="1" outlineLevel="3" x14ac:dyDescent="0.2">
      <c r="A194" s="73" t="s">
        <v>930</v>
      </c>
      <c r="B194" s="71"/>
      <c r="C194" s="71"/>
      <c r="D194" s="72">
        <v>2500</v>
      </c>
      <c r="E194" s="71"/>
      <c r="F194" s="71"/>
      <c r="G194" s="71"/>
    </row>
    <row r="195" spans="1:17" ht="12" hidden="1" outlineLevel="3" x14ac:dyDescent="0.2">
      <c r="A195" s="73" t="s">
        <v>996</v>
      </c>
      <c r="B195" s="71"/>
      <c r="C195" s="71"/>
      <c r="D195" s="72">
        <v>20000</v>
      </c>
      <c r="E195" s="71"/>
      <c r="F195" s="71"/>
      <c r="G195" s="71"/>
      <c r="H195" s="4" t="s">
        <v>216</v>
      </c>
      <c r="P195" s="91">
        <f t="shared" ref="P195:Q210" si="2">$D195</f>
        <v>20000</v>
      </c>
    </row>
    <row r="196" spans="1:17" ht="12" outlineLevel="2" collapsed="1" x14ac:dyDescent="0.2">
      <c r="A196" s="74" t="s">
        <v>1275</v>
      </c>
      <c r="B196" s="71"/>
      <c r="C196" s="71"/>
      <c r="D196" s="72">
        <v>752479.17</v>
      </c>
      <c r="E196" s="71"/>
      <c r="F196" s="71"/>
      <c r="G196" s="71"/>
    </row>
    <row r="197" spans="1:17" ht="12" hidden="1" outlineLevel="3" x14ac:dyDescent="0.2">
      <c r="A197" s="73" t="s">
        <v>979</v>
      </c>
      <c r="B197" s="71"/>
      <c r="C197" s="71"/>
      <c r="D197" s="72">
        <v>752479.17</v>
      </c>
      <c r="E197" s="71"/>
      <c r="F197" s="71"/>
      <c r="G197" s="71"/>
      <c r="H197" s="4" t="s">
        <v>192</v>
      </c>
      <c r="Q197" s="91">
        <f t="shared" si="2"/>
        <v>752479.17</v>
      </c>
    </row>
    <row r="198" spans="1:17" ht="12" outlineLevel="2" collapsed="1" x14ac:dyDescent="0.2">
      <c r="A198" s="74" t="s">
        <v>1274</v>
      </c>
      <c r="B198" s="71"/>
      <c r="C198" s="71"/>
      <c r="D198" s="72">
        <v>1030390.83</v>
      </c>
      <c r="E198" s="71"/>
      <c r="F198" s="71"/>
      <c r="G198" s="71"/>
    </row>
    <row r="199" spans="1:17" ht="12" hidden="1" outlineLevel="3" x14ac:dyDescent="0.2">
      <c r="A199" s="73" t="s">
        <v>928</v>
      </c>
      <c r="B199" s="71"/>
      <c r="C199" s="71"/>
      <c r="D199" s="72">
        <v>112932.5</v>
      </c>
      <c r="E199" s="71"/>
      <c r="F199" s="71"/>
      <c r="G199" s="71"/>
      <c r="H199" s="31" t="s">
        <v>333</v>
      </c>
      <c r="Q199" s="91">
        <f t="shared" si="2"/>
        <v>112932.5</v>
      </c>
    </row>
    <row r="200" spans="1:17" ht="12" hidden="1" outlineLevel="3" x14ac:dyDescent="0.2">
      <c r="A200" s="73" t="s">
        <v>1108</v>
      </c>
      <c r="B200" s="71"/>
      <c r="C200" s="71"/>
      <c r="D200" s="72">
        <v>8000</v>
      </c>
      <c r="E200" s="71"/>
      <c r="F200" s="71"/>
      <c r="G200" s="71"/>
      <c r="H200" s="31" t="s">
        <v>320</v>
      </c>
      <c r="Q200" s="91">
        <f t="shared" si="2"/>
        <v>8000</v>
      </c>
    </row>
    <row r="201" spans="1:17" ht="12" hidden="1" outlineLevel="3" x14ac:dyDescent="0.2">
      <c r="A201" s="73" t="s">
        <v>953</v>
      </c>
      <c r="B201" s="71"/>
      <c r="C201" s="71"/>
      <c r="D201" s="72">
        <v>7345</v>
      </c>
      <c r="E201" s="71"/>
      <c r="F201" s="71"/>
      <c r="G201" s="71"/>
      <c r="H201" s="31" t="s">
        <v>330</v>
      </c>
      <c r="Q201" s="91">
        <f t="shared" si="2"/>
        <v>7345</v>
      </c>
    </row>
    <row r="202" spans="1:17" ht="12" hidden="1" outlineLevel="3" x14ac:dyDescent="0.2">
      <c r="A202" s="73" t="s">
        <v>1106</v>
      </c>
      <c r="B202" s="71"/>
      <c r="C202" s="71"/>
      <c r="D202" s="72">
        <v>19150</v>
      </c>
      <c r="E202" s="71"/>
      <c r="F202" s="71"/>
      <c r="G202" s="71"/>
      <c r="H202" s="31" t="s">
        <v>325</v>
      </c>
      <c r="Q202" s="91">
        <f t="shared" si="2"/>
        <v>19150</v>
      </c>
    </row>
    <row r="203" spans="1:17" ht="12" hidden="1" outlineLevel="3" x14ac:dyDescent="0.2">
      <c r="A203" s="73" t="s">
        <v>1105</v>
      </c>
      <c r="B203" s="71"/>
      <c r="C203" s="71"/>
      <c r="D203" s="72">
        <v>2631.67</v>
      </c>
      <c r="E203" s="71"/>
      <c r="F203" s="71"/>
      <c r="G203" s="71"/>
      <c r="H203" s="31" t="s">
        <v>326</v>
      </c>
      <c r="Q203" s="91">
        <f t="shared" si="2"/>
        <v>2631.67</v>
      </c>
    </row>
    <row r="204" spans="1:17" ht="12" hidden="1" outlineLevel="3" x14ac:dyDescent="0.2">
      <c r="A204" s="73" t="s">
        <v>1088</v>
      </c>
      <c r="B204" s="71"/>
      <c r="C204" s="71"/>
      <c r="D204" s="72">
        <v>33000</v>
      </c>
      <c r="E204" s="71"/>
      <c r="F204" s="71"/>
      <c r="G204" s="71"/>
      <c r="H204" s="31" t="s">
        <v>351</v>
      </c>
      <c r="Q204" s="91">
        <f t="shared" si="2"/>
        <v>33000</v>
      </c>
    </row>
    <row r="205" spans="1:17" ht="12" hidden="1" outlineLevel="3" x14ac:dyDescent="0.2">
      <c r="A205" s="73" t="s">
        <v>1086</v>
      </c>
      <c r="B205" s="71"/>
      <c r="C205" s="71"/>
      <c r="D205" s="72">
        <v>129400</v>
      </c>
      <c r="E205" s="71"/>
      <c r="F205" s="71"/>
      <c r="G205" s="71"/>
      <c r="H205" s="31" t="s">
        <v>353</v>
      </c>
      <c r="Q205" s="91">
        <f t="shared" si="2"/>
        <v>129400</v>
      </c>
    </row>
    <row r="206" spans="1:17" ht="12" hidden="1" outlineLevel="3" x14ac:dyDescent="0.2">
      <c r="A206" s="73" t="s">
        <v>1039</v>
      </c>
      <c r="B206" s="71"/>
      <c r="C206" s="71"/>
      <c r="D206" s="72">
        <v>182895.83</v>
      </c>
      <c r="E206" s="71"/>
      <c r="F206" s="71"/>
      <c r="G206" s="71"/>
      <c r="H206" s="4" t="s">
        <v>120</v>
      </c>
      <c r="Q206" s="91">
        <f t="shared" si="2"/>
        <v>182895.83</v>
      </c>
    </row>
    <row r="207" spans="1:17" ht="12" hidden="1" outlineLevel="3" x14ac:dyDescent="0.2">
      <c r="A207" s="73" t="s">
        <v>1166</v>
      </c>
      <c r="B207" s="71"/>
      <c r="C207" s="71"/>
      <c r="D207" s="72">
        <v>55722.5</v>
      </c>
      <c r="E207" s="71"/>
      <c r="F207" s="71"/>
      <c r="G207" s="71"/>
      <c r="Q207" s="91">
        <f t="shared" si="2"/>
        <v>55722.5</v>
      </c>
    </row>
    <row r="208" spans="1:17" ht="12" hidden="1" outlineLevel="3" x14ac:dyDescent="0.2">
      <c r="A208" s="73" t="s">
        <v>942</v>
      </c>
      <c r="B208" s="71"/>
      <c r="C208" s="71"/>
      <c r="D208" s="72">
        <v>93483.33</v>
      </c>
      <c r="E208" s="71"/>
      <c r="F208" s="71"/>
      <c r="G208" s="71"/>
      <c r="H208" s="4" t="s">
        <v>186</v>
      </c>
      <c r="Q208" s="91">
        <f t="shared" si="2"/>
        <v>93483.33</v>
      </c>
    </row>
    <row r="209" spans="1:18" ht="12" hidden="1" outlineLevel="3" x14ac:dyDescent="0.2">
      <c r="A209" s="73" t="s">
        <v>1146</v>
      </c>
      <c r="B209" s="71"/>
      <c r="C209" s="71"/>
      <c r="D209" s="72">
        <v>210481.67</v>
      </c>
      <c r="E209" s="71"/>
      <c r="F209" s="71"/>
      <c r="G209" s="71"/>
      <c r="H209" s="4" t="s">
        <v>225</v>
      </c>
      <c r="Q209" s="91">
        <f t="shared" si="2"/>
        <v>210481.67</v>
      </c>
    </row>
    <row r="210" spans="1:18" ht="12" hidden="1" outlineLevel="3" x14ac:dyDescent="0.2">
      <c r="A210" s="73" t="s">
        <v>1132</v>
      </c>
      <c r="B210" s="71"/>
      <c r="C210" s="71"/>
      <c r="D210" s="72">
        <v>111450</v>
      </c>
      <c r="E210" s="71"/>
      <c r="F210" s="71"/>
      <c r="G210" s="71"/>
      <c r="H210" s="4" t="s">
        <v>247</v>
      </c>
      <c r="Q210" s="91">
        <f t="shared" si="2"/>
        <v>111450</v>
      </c>
    </row>
    <row r="211" spans="1:18" ht="12" hidden="1" outlineLevel="3" x14ac:dyDescent="0.2">
      <c r="A211" s="73" t="s">
        <v>1201</v>
      </c>
      <c r="B211" s="71"/>
      <c r="C211" s="71"/>
      <c r="D211" s="72">
        <v>35872.5</v>
      </c>
      <c r="E211" s="71"/>
      <c r="F211" s="71"/>
      <c r="G211" s="71"/>
      <c r="H211" s="4" t="s">
        <v>270</v>
      </c>
      <c r="Q211" s="91">
        <f t="shared" ref="Q211:Q214" si="3">$D211</f>
        <v>35872.5</v>
      </c>
    </row>
    <row r="212" spans="1:18" ht="12" hidden="1" outlineLevel="3" x14ac:dyDescent="0.2">
      <c r="A212" s="73" t="s">
        <v>1192</v>
      </c>
      <c r="B212" s="71"/>
      <c r="C212" s="71"/>
      <c r="D212" s="72">
        <v>6091.67</v>
      </c>
      <c r="E212" s="71"/>
      <c r="F212" s="71"/>
      <c r="G212" s="71"/>
      <c r="H212" s="4" t="s">
        <v>273</v>
      </c>
      <c r="Q212" s="91">
        <f t="shared" si="3"/>
        <v>6091.67</v>
      </c>
    </row>
    <row r="213" spans="1:18" ht="12" hidden="1" outlineLevel="3" x14ac:dyDescent="0.2">
      <c r="A213" s="73" t="s">
        <v>1198</v>
      </c>
      <c r="B213" s="71"/>
      <c r="C213" s="71"/>
      <c r="D213" s="72">
        <v>16377.21</v>
      </c>
      <c r="E213" s="71"/>
      <c r="F213" s="71"/>
      <c r="G213" s="71"/>
      <c r="H213" s="4" t="s">
        <v>275</v>
      </c>
      <c r="Q213" s="91">
        <f t="shared" si="3"/>
        <v>16377.21</v>
      </c>
    </row>
    <row r="214" spans="1:18" ht="12" hidden="1" outlineLevel="3" x14ac:dyDescent="0.2">
      <c r="A214" s="73" t="s">
        <v>1196</v>
      </c>
      <c r="B214" s="71"/>
      <c r="C214" s="71"/>
      <c r="D214" s="72">
        <v>5556.95</v>
      </c>
      <c r="E214" s="71"/>
      <c r="F214" s="71"/>
      <c r="G214" s="71"/>
      <c r="H214" s="4" t="s">
        <v>271</v>
      </c>
      <c r="Q214" s="91">
        <f t="shared" si="3"/>
        <v>5556.95</v>
      </c>
    </row>
    <row r="215" spans="1:18" ht="12" outlineLevel="2" collapsed="1" x14ac:dyDescent="0.2">
      <c r="A215" s="74" t="s">
        <v>1273</v>
      </c>
      <c r="B215" s="71"/>
      <c r="C215" s="71"/>
      <c r="D215" s="72">
        <v>31397823.43</v>
      </c>
      <c r="E215" s="71"/>
      <c r="F215" s="71"/>
      <c r="G215" s="71"/>
      <c r="H215" s="67" t="s">
        <v>1724</v>
      </c>
      <c r="I215" s="243">
        <f t="shared" ref="I215" si="4">$D215</f>
        <v>31397823.43</v>
      </c>
      <c r="J215" s="91"/>
      <c r="K215" s="91"/>
    </row>
    <row r="216" spans="1:18" ht="12" hidden="1" outlineLevel="3" x14ac:dyDescent="0.2">
      <c r="A216" s="73" t="s">
        <v>921</v>
      </c>
      <c r="B216" s="71"/>
      <c r="C216" s="71"/>
      <c r="D216" s="72">
        <v>31397823.43</v>
      </c>
      <c r="E216" s="71"/>
      <c r="F216" s="71"/>
      <c r="G216" s="71"/>
    </row>
    <row r="217" spans="1:18" ht="12" outlineLevel="2" x14ac:dyDescent="0.2">
      <c r="A217" s="74" t="s">
        <v>1272</v>
      </c>
      <c r="B217" s="71"/>
      <c r="C217" s="71"/>
      <c r="D217" s="72">
        <v>54304542.789999999</v>
      </c>
      <c r="E217" s="71"/>
      <c r="F217" s="71"/>
      <c r="G217" s="71"/>
      <c r="H217" s="67" t="s">
        <v>1725</v>
      </c>
      <c r="I217" s="243">
        <f t="shared" ref="I217" si="5">$D217</f>
        <v>54304542.789999999</v>
      </c>
      <c r="J217" s="91"/>
      <c r="K217" s="91"/>
    </row>
    <row r="218" spans="1:18" ht="12" outlineLevel="3" x14ac:dyDescent="0.2">
      <c r="A218" s="73" t="s">
        <v>921</v>
      </c>
      <c r="B218" s="71"/>
      <c r="C218" s="71"/>
      <c r="D218" s="72">
        <v>54304542.789999999</v>
      </c>
      <c r="E218" s="71"/>
      <c r="F218" s="71"/>
      <c r="G218" s="71"/>
      <c r="H218" s="91">
        <f>I217-I218</f>
        <v>12160857.490000002</v>
      </c>
      <c r="I218" s="91">
        <f>'26Ф'!D16</f>
        <v>42143685.299999997</v>
      </c>
    </row>
    <row r="219" spans="1:18" ht="12" outlineLevel="2" collapsed="1" x14ac:dyDescent="0.2">
      <c r="A219" s="74" t="s">
        <v>1271</v>
      </c>
      <c r="B219" s="71"/>
      <c r="C219" s="71"/>
      <c r="D219" s="72">
        <v>3670.43</v>
      </c>
      <c r="E219" s="71"/>
      <c r="F219" s="71"/>
      <c r="G219" s="71"/>
    </row>
    <row r="220" spans="1:18" ht="12" hidden="1" outlineLevel="3" x14ac:dyDescent="0.2">
      <c r="A220" s="73" t="s">
        <v>921</v>
      </c>
      <c r="B220" s="71"/>
      <c r="C220" s="71"/>
      <c r="D220" s="72">
        <v>3670.43</v>
      </c>
      <c r="E220" s="71"/>
      <c r="F220" s="71"/>
      <c r="G220" s="71"/>
    </row>
    <row r="221" spans="1:18" ht="12" outlineLevel="2" collapsed="1" x14ac:dyDescent="0.2">
      <c r="A221" s="74" t="s">
        <v>1270</v>
      </c>
      <c r="B221" s="71"/>
      <c r="C221" s="71"/>
      <c r="D221" s="72">
        <v>1575223.58</v>
      </c>
      <c r="E221" s="71"/>
      <c r="F221" s="71"/>
      <c r="G221" s="71"/>
    </row>
    <row r="222" spans="1:18" ht="12" hidden="1" outlineLevel="3" x14ac:dyDescent="0.2">
      <c r="A222" s="73" t="s">
        <v>930</v>
      </c>
      <c r="B222" s="71"/>
      <c r="C222" s="71"/>
      <c r="D222" s="72">
        <v>1575223.58</v>
      </c>
      <c r="E222" s="71"/>
      <c r="F222" s="71"/>
      <c r="G222" s="71"/>
    </row>
    <row r="223" spans="1:18" ht="12" outlineLevel="2" collapsed="1" x14ac:dyDescent="0.2">
      <c r="A223" s="74" t="s">
        <v>1269</v>
      </c>
      <c r="B223" s="71"/>
      <c r="C223" s="71"/>
      <c r="D223" s="72">
        <v>367272.01</v>
      </c>
      <c r="E223" s="71"/>
      <c r="F223" s="71"/>
      <c r="G223" s="71"/>
    </row>
    <row r="224" spans="1:18" ht="12" hidden="1" outlineLevel="3" x14ac:dyDescent="0.2">
      <c r="A224" s="73" t="s">
        <v>919</v>
      </c>
      <c r="B224" s="71"/>
      <c r="C224" s="71"/>
      <c r="D224" s="72">
        <v>271776.5</v>
      </c>
      <c r="E224" s="71"/>
      <c r="F224" s="71"/>
      <c r="G224" s="71"/>
      <c r="I224" s="243">
        <f t="shared" ref="I224" si="6">$D224</f>
        <v>271776.5</v>
      </c>
      <c r="J224" s="91"/>
      <c r="K224" s="91"/>
      <c r="R224" s="91"/>
    </row>
    <row r="225" spans="1:21" ht="12" hidden="1" outlineLevel="3" x14ac:dyDescent="0.2">
      <c r="A225" s="73" t="s">
        <v>1041</v>
      </c>
      <c r="B225" s="71"/>
      <c r="C225" s="71"/>
      <c r="D225" s="72">
        <v>55558.03</v>
      </c>
      <c r="E225" s="71"/>
      <c r="F225" s="71"/>
      <c r="G225" s="71"/>
      <c r="H225" s="4" t="s">
        <v>116</v>
      </c>
      <c r="R225" s="91">
        <f t="shared" ref="R225:U239" si="7">$D225</f>
        <v>55558.03</v>
      </c>
    </row>
    <row r="226" spans="1:21" ht="12" hidden="1" outlineLevel="3" x14ac:dyDescent="0.2">
      <c r="A226" s="73" t="s">
        <v>969</v>
      </c>
      <c r="B226" s="71"/>
      <c r="C226" s="71"/>
      <c r="D226" s="72">
        <v>39937.480000000003</v>
      </c>
      <c r="E226" s="71"/>
      <c r="F226" s="71"/>
      <c r="G226" s="71"/>
      <c r="H226" s="4" t="s">
        <v>223</v>
      </c>
      <c r="R226" s="91">
        <f t="shared" si="7"/>
        <v>39937.480000000003</v>
      </c>
    </row>
    <row r="227" spans="1:21" ht="24" outlineLevel="2" collapsed="1" x14ac:dyDescent="0.2">
      <c r="A227" s="74" t="s">
        <v>1268</v>
      </c>
      <c r="B227" s="71"/>
      <c r="C227" s="71"/>
      <c r="D227" s="72">
        <v>110969.58</v>
      </c>
      <c r="E227" s="71"/>
      <c r="F227" s="71"/>
      <c r="G227" s="71"/>
    </row>
    <row r="228" spans="1:21" ht="12" hidden="1" outlineLevel="3" x14ac:dyDescent="0.2">
      <c r="A228" s="73" t="s">
        <v>1173</v>
      </c>
      <c r="B228" s="71"/>
      <c r="C228" s="71"/>
      <c r="D228" s="72">
        <v>110969.58</v>
      </c>
      <c r="E228" s="71"/>
      <c r="F228" s="71"/>
      <c r="G228" s="71"/>
      <c r="H228" s="4" t="s">
        <v>132</v>
      </c>
      <c r="S228" s="91">
        <f t="shared" si="7"/>
        <v>110969.58</v>
      </c>
    </row>
    <row r="229" spans="1:21" ht="12" outlineLevel="2" collapsed="1" x14ac:dyDescent="0.2">
      <c r="A229" s="74" t="s">
        <v>1267</v>
      </c>
      <c r="B229" s="71"/>
      <c r="C229" s="71"/>
      <c r="D229" s="72">
        <v>37352480.659999996</v>
      </c>
      <c r="E229" s="71"/>
      <c r="F229" s="71"/>
      <c r="G229" s="71"/>
    </row>
    <row r="230" spans="1:21" ht="12" hidden="1" outlineLevel="3" x14ac:dyDescent="0.2">
      <c r="A230" s="73" t="s">
        <v>930</v>
      </c>
      <c r="B230" s="71"/>
      <c r="C230" s="71"/>
      <c r="D230" s="72">
        <v>3574603.44</v>
      </c>
      <c r="E230" s="71"/>
      <c r="F230" s="71"/>
      <c r="G230" s="71"/>
      <c r="I230" s="91"/>
      <c r="J230" s="91"/>
      <c r="K230" s="91"/>
      <c r="T230" s="91"/>
      <c r="U230" s="91">
        <f t="shared" si="7"/>
        <v>3574603.44</v>
      </c>
    </row>
    <row r="231" spans="1:21" ht="12" hidden="1" outlineLevel="3" x14ac:dyDescent="0.2">
      <c r="A231" s="73" t="s">
        <v>929</v>
      </c>
      <c r="B231" s="71"/>
      <c r="C231" s="71"/>
      <c r="D231" s="72">
        <v>2163.4499999999998</v>
      </c>
      <c r="E231" s="71"/>
      <c r="F231" s="71"/>
      <c r="G231" s="71"/>
      <c r="H231" s="67" t="s">
        <v>331</v>
      </c>
      <c r="T231" s="91">
        <f t="shared" si="7"/>
        <v>2163.4499999999998</v>
      </c>
    </row>
    <row r="232" spans="1:21" ht="12" hidden="1" outlineLevel="3" x14ac:dyDescent="0.2">
      <c r="A232" s="73" t="s">
        <v>927</v>
      </c>
      <c r="B232" s="71"/>
      <c r="C232" s="71"/>
      <c r="D232" s="72">
        <v>2163.4499999999998</v>
      </c>
      <c r="E232" s="71"/>
      <c r="F232" s="71"/>
      <c r="G232" s="71"/>
      <c r="H232" s="67" t="s">
        <v>332</v>
      </c>
      <c r="T232" s="91">
        <f t="shared" si="7"/>
        <v>2163.4499999999998</v>
      </c>
    </row>
    <row r="233" spans="1:21" ht="12" hidden="1" outlineLevel="3" x14ac:dyDescent="0.2">
      <c r="A233" s="73" t="s">
        <v>1108</v>
      </c>
      <c r="B233" s="71"/>
      <c r="C233" s="71"/>
      <c r="D233" s="72">
        <v>6490.35</v>
      </c>
      <c r="E233" s="71"/>
      <c r="F233" s="71"/>
      <c r="G233" s="71"/>
      <c r="H233" s="67" t="s">
        <v>320</v>
      </c>
      <c r="T233" s="91">
        <f t="shared" si="7"/>
        <v>6490.35</v>
      </c>
    </row>
    <row r="234" spans="1:21" ht="12" hidden="1" outlineLevel="3" x14ac:dyDescent="0.2">
      <c r="A234" s="73" t="s">
        <v>953</v>
      </c>
      <c r="B234" s="71"/>
      <c r="C234" s="71"/>
      <c r="D234" s="72">
        <v>16398.72</v>
      </c>
      <c r="E234" s="71"/>
      <c r="F234" s="71"/>
      <c r="G234" s="71"/>
      <c r="H234" s="67" t="s">
        <v>330</v>
      </c>
      <c r="T234" s="91">
        <f t="shared" si="7"/>
        <v>16398.72</v>
      </c>
    </row>
    <row r="235" spans="1:21" ht="12" hidden="1" outlineLevel="3" x14ac:dyDescent="0.2">
      <c r="A235" s="73" t="s">
        <v>926</v>
      </c>
      <c r="B235" s="71"/>
      <c r="C235" s="71"/>
      <c r="D235" s="72">
        <v>15031.5</v>
      </c>
      <c r="E235" s="71"/>
      <c r="F235" s="71"/>
      <c r="G235" s="71"/>
      <c r="H235" s="67" t="s">
        <v>323</v>
      </c>
      <c r="T235" s="91">
        <f t="shared" si="7"/>
        <v>15031.5</v>
      </c>
    </row>
    <row r="236" spans="1:21" ht="12" hidden="1" outlineLevel="3" x14ac:dyDescent="0.2">
      <c r="A236" s="73" t="s">
        <v>1107</v>
      </c>
      <c r="B236" s="71"/>
      <c r="C236" s="71"/>
      <c r="D236" s="72">
        <v>16398.72</v>
      </c>
      <c r="E236" s="71"/>
      <c r="F236" s="71"/>
      <c r="G236" s="71"/>
      <c r="H236" s="67" t="s">
        <v>324</v>
      </c>
      <c r="T236" s="91">
        <f t="shared" si="7"/>
        <v>16398.72</v>
      </c>
    </row>
    <row r="237" spans="1:21" ht="12" hidden="1" outlineLevel="3" x14ac:dyDescent="0.2">
      <c r="A237" s="73" t="s">
        <v>1106</v>
      </c>
      <c r="B237" s="71"/>
      <c r="C237" s="71"/>
      <c r="D237" s="72">
        <v>16398.72</v>
      </c>
      <c r="E237" s="71"/>
      <c r="F237" s="71"/>
      <c r="G237" s="71"/>
      <c r="H237" s="67" t="s">
        <v>325</v>
      </c>
      <c r="T237" s="91">
        <f t="shared" si="7"/>
        <v>16398.72</v>
      </c>
    </row>
    <row r="238" spans="1:21" ht="12" hidden="1" outlineLevel="3" x14ac:dyDescent="0.2">
      <c r="A238" s="73" t="s">
        <v>1105</v>
      </c>
      <c r="B238" s="71"/>
      <c r="C238" s="71"/>
      <c r="D238" s="72">
        <v>27331.200000000001</v>
      </c>
      <c r="E238" s="71"/>
      <c r="F238" s="71"/>
      <c r="G238" s="71"/>
      <c r="H238" s="67" t="s">
        <v>326</v>
      </c>
      <c r="T238" s="91">
        <f t="shared" si="7"/>
        <v>27331.200000000001</v>
      </c>
    </row>
    <row r="239" spans="1:21" ht="12" hidden="1" outlineLevel="3" x14ac:dyDescent="0.2">
      <c r="A239" s="73" t="s">
        <v>925</v>
      </c>
      <c r="B239" s="71"/>
      <c r="C239" s="71"/>
      <c r="D239" s="72">
        <v>16398.72</v>
      </c>
      <c r="E239" s="71"/>
      <c r="F239" s="71"/>
      <c r="G239" s="71"/>
      <c r="H239" s="67" t="s">
        <v>327</v>
      </c>
      <c r="T239" s="91">
        <f t="shared" si="7"/>
        <v>16398.72</v>
      </c>
    </row>
    <row r="240" spans="1:21" ht="12" hidden="1" outlineLevel="3" x14ac:dyDescent="0.2">
      <c r="A240" s="73" t="s">
        <v>1104</v>
      </c>
      <c r="B240" s="71"/>
      <c r="C240" s="71"/>
      <c r="D240" s="72">
        <v>27331.200000000001</v>
      </c>
      <c r="E240" s="71"/>
      <c r="F240" s="71"/>
      <c r="G240" s="71"/>
      <c r="H240" s="67" t="s">
        <v>328</v>
      </c>
      <c r="T240" s="91">
        <f t="shared" ref="T240:T264" si="8">$D240</f>
        <v>27331.200000000001</v>
      </c>
    </row>
    <row r="241" spans="1:20" ht="12" hidden="1" outlineLevel="3" x14ac:dyDescent="0.2">
      <c r="A241" s="73" t="s">
        <v>1103</v>
      </c>
      <c r="B241" s="71"/>
      <c r="C241" s="71"/>
      <c r="D241" s="72">
        <v>16398.72</v>
      </c>
      <c r="E241" s="71"/>
      <c r="F241" s="71"/>
      <c r="G241" s="71"/>
      <c r="H241" s="67" t="s">
        <v>329</v>
      </c>
      <c r="T241" s="91">
        <f t="shared" si="8"/>
        <v>16398.72</v>
      </c>
    </row>
    <row r="242" spans="1:20" ht="12" hidden="1" outlineLevel="3" x14ac:dyDescent="0.2">
      <c r="A242" s="73" t="s">
        <v>1102</v>
      </c>
      <c r="B242" s="71"/>
      <c r="C242" s="71"/>
      <c r="D242" s="72">
        <v>12299.68</v>
      </c>
      <c r="E242" s="71"/>
      <c r="F242" s="71"/>
      <c r="G242" s="71"/>
      <c r="H242" s="67" t="s">
        <v>334</v>
      </c>
      <c r="T242" s="91">
        <f t="shared" si="8"/>
        <v>12299.68</v>
      </c>
    </row>
    <row r="243" spans="1:20" ht="12" hidden="1" outlineLevel="3" x14ac:dyDescent="0.2">
      <c r="A243" s="73" t="s">
        <v>1101</v>
      </c>
      <c r="B243" s="71"/>
      <c r="C243" s="71"/>
      <c r="D243" s="72">
        <v>6149.84</v>
      </c>
      <c r="E243" s="71"/>
      <c r="F243" s="71"/>
      <c r="G243" s="71"/>
      <c r="H243" s="67" t="s">
        <v>341</v>
      </c>
      <c r="T243" s="91">
        <f t="shared" si="8"/>
        <v>6149.84</v>
      </c>
    </row>
    <row r="244" spans="1:20" ht="12" hidden="1" outlineLevel="3" x14ac:dyDescent="0.2">
      <c r="A244" s="73" t="s">
        <v>1100</v>
      </c>
      <c r="B244" s="71"/>
      <c r="C244" s="71"/>
      <c r="D244" s="72">
        <v>12299.68</v>
      </c>
      <c r="E244" s="71"/>
      <c r="F244" s="71"/>
      <c r="G244" s="71"/>
      <c r="H244" s="67" t="s">
        <v>342</v>
      </c>
      <c r="T244" s="91">
        <f t="shared" si="8"/>
        <v>12299.68</v>
      </c>
    </row>
    <row r="245" spans="1:20" ht="12" hidden="1" outlineLevel="3" x14ac:dyDescent="0.2">
      <c r="A245" s="73" t="s">
        <v>1099</v>
      </c>
      <c r="B245" s="71"/>
      <c r="C245" s="71"/>
      <c r="D245" s="72">
        <v>18449.52</v>
      </c>
      <c r="E245" s="71"/>
      <c r="F245" s="71"/>
      <c r="G245" s="71"/>
      <c r="H245" s="67" t="s">
        <v>343</v>
      </c>
      <c r="T245" s="91">
        <f t="shared" si="8"/>
        <v>18449.52</v>
      </c>
    </row>
    <row r="246" spans="1:20" ht="12" hidden="1" outlineLevel="3" x14ac:dyDescent="0.2">
      <c r="A246" s="73" t="s">
        <v>924</v>
      </c>
      <c r="B246" s="71"/>
      <c r="C246" s="71"/>
      <c r="D246" s="72">
        <v>6149.84</v>
      </c>
      <c r="E246" s="71"/>
      <c r="F246" s="71"/>
      <c r="G246" s="71"/>
      <c r="H246" s="67" t="s">
        <v>344</v>
      </c>
      <c r="T246" s="91">
        <f t="shared" si="8"/>
        <v>6149.84</v>
      </c>
    </row>
    <row r="247" spans="1:20" ht="12" hidden="1" outlineLevel="3" x14ac:dyDescent="0.2">
      <c r="A247" s="73" t="s">
        <v>1098</v>
      </c>
      <c r="B247" s="71"/>
      <c r="C247" s="71"/>
      <c r="D247" s="72">
        <v>12299.68</v>
      </c>
      <c r="E247" s="71"/>
      <c r="F247" s="71"/>
      <c r="G247" s="71"/>
      <c r="H247" s="67" t="s">
        <v>345</v>
      </c>
      <c r="T247" s="91">
        <f t="shared" si="8"/>
        <v>12299.68</v>
      </c>
    </row>
    <row r="248" spans="1:20" ht="12" hidden="1" outlineLevel="3" x14ac:dyDescent="0.2">
      <c r="A248" s="73" t="s">
        <v>923</v>
      </c>
      <c r="B248" s="71"/>
      <c r="C248" s="71"/>
      <c r="D248" s="72">
        <v>12299.68</v>
      </c>
      <c r="E248" s="71"/>
      <c r="F248" s="71"/>
      <c r="G248" s="71"/>
      <c r="H248" s="67" t="s">
        <v>346</v>
      </c>
      <c r="T248" s="91">
        <f t="shared" si="8"/>
        <v>12299.68</v>
      </c>
    </row>
    <row r="249" spans="1:20" ht="12" hidden="1" outlineLevel="3" x14ac:dyDescent="0.2">
      <c r="A249" s="73" t="s">
        <v>1097</v>
      </c>
      <c r="B249" s="71"/>
      <c r="C249" s="71"/>
      <c r="D249" s="72">
        <v>12299.68</v>
      </c>
      <c r="E249" s="71"/>
      <c r="F249" s="71"/>
      <c r="G249" s="71"/>
      <c r="H249" s="67" t="s">
        <v>347</v>
      </c>
      <c r="T249" s="91">
        <f t="shared" si="8"/>
        <v>12299.68</v>
      </c>
    </row>
    <row r="250" spans="1:20" ht="12" hidden="1" outlineLevel="3" x14ac:dyDescent="0.2">
      <c r="A250" s="73" t="s">
        <v>1096</v>
      </c>
      <c r="B250" s="71"/>
      <c r="C250" s="71"/>
      <c r="D250" s="72">
        <v>6149.84</v>
      </c>
      <c r="E250" s="71"/>
      <c r="F250" s="71"/>
      <c r="G250" s="71"/>
      <c r="H250" s="67" t="s">
        <v>335</v>
      </c>
      <c r="T250" s="91">
        <f t="shared" si="8"/>
        <v>6149.84</v>
      </c>
    </row>
    <row r="251" spans="1:20" ht="12" hidden="1" outlineLevel="3" x14ac:dyDescent="0.2">
      <c r="A251" s="73" t="s">
        <v>934</v>
      </c>
      <c r="B251" s="71"/>
      <c r="C251" s="71"/>
      <c r="D251" s="72">
        <v>18449.52</v>
      </c>
      <c r="E251" s="71"/>
      <c r="F251" s="71"/>
      <c r="G251" s="71"/>
      <c r="H251" s="67" t="s">
        <v>336</v>
      </c>
      <c r="T251" s="91">
        <f t="shared" si="8"/>
        <v>18449.52</v>
      </c>
    </row>
    <row r="252" spans="1:20" ht="12" hidden="1" outlineLevel="3" x14ac:dyDescent="0.2">
      <c r="A252" s="73" t="s">
        <v>1095</v>
      </c>
      <c r="B252" s="71"/>
      <c r="C252" s="71"/>
      <c r="D252" s="72">
        <v>24599.360000000001</v>
      </c>
      <c r="E252" s="71"/>
      <c r="F252" s="71"/>
      <c r="G252" s="71"/>
      <c r="H252" s="67" t="s">
        <v>337</v>
      </c>
      <c r="T252" s="91">
        <f t="shared" si="8"/>
        <v>24599.360000000001</v>
      </c>
    </row>
    <row r="253" spans="1:20" ht="12" hidden="1" outlineLevel="3" x14ac:dyDescent="0.2">
      <c r="A253" s="73" t="s">
        <v>1094</v>
      </c>
      <c r="B253" s="71"/>
      <c r="C253" s="71"/>
      <c r="D253" s="72">
        <v>6149.84</v>
      </c>
      <c r="E253" s="71"/>
      <c r="F253" s="71"/>
      <c r="G253" s="71"/>
      <c r="H253" s="67" t="s">
        <v>338</v>
      </c>
      <c r="T253" s="91">
        <f t="shared" si="8"/>
        <v>6149.84</v>
      </c>
    </row>
    <row r="254" spans="1:20" ht="12" hidden="1" outlineLevel="3" x14ac:dyDescent="0.2">
      <c r="A254" s="73" t="s">
        <v>1093</v>
      </c>
      <c r="B254" s="71"/>
      <c r="C254" s="71"/>
      <c r="D254" s="72">
        <v>6149.84</v>
      </c>
      <c r="E254" s="71"/>
      <c r="F254" s="71"/>
      <c r="G254" s="71"/>
      <c r="H254" s="67" t="s">
        <v>339</v>
      </c>
      <c r="T254" s="91">
        <f t="shared" si="8"/>
        <v>6149.84</v>
      </c>
    </row>
    <row r="255" spans="1:20" ht="12" hidden="1" outlineLevel="3" x14ac:dyDescent="0.2">
      <c r="A255" s="73" t="s">
        <v>1092</v>
      </c>
      <c r="B255" s="71"/>
      <c r="C255" s="71"/>
      <c r="D255" s="72">
        <v>12299.68</v>
      </c>
      <c r="E255" s="71"/>
      <c r="F255" s="71"/>
      <c r="G255" s="71"/>
      <c r="H255" s="67" t="s">
        <v>340</v>
      </c>
      <c r="T255" s="91">
        <f t="shared" si="8"/>
        <v>12299.68</v>
      </c>
    </row>
    <row r="256" spans="1:20" ht="12" hidden="1" outlineLevel="3" x14ac:dyDescent="0.2">
      <c r="A256" s="73" t="s">
        <v>1091</v>
      </c>
      <c r="B256" s="71"/>
      <c r="C256" s="71"/>
      <c r="D256" s="72">
        <v>16398.72</v>
      </c>
      <c r="E256" s="71"/>
      <c r="F256" s="71"/>
      <c r="G256" s="71"/>
      <c r="H256" s="67" t="s">
        <v>348</v>
      </c>
      <c r="T256" s="91">
        <f t="shared" si="8"/>
        <v>16398.72</v>
      </c>
    </row>
    <row r="257" spans="1:21" ht="12" hidden="1" outlineLevel="3" x14ac:dyDescent="0.2">
      <c r="A257" s="73" t="s">
        <v>1090</v>
      </c>
      <c r="B257" s="71"/>
      <c r="C257" s="71"/>
      <c r="D257" s="72">
        <v>6149.84</v>
      </c>
      <c r="E257" s="71"/>
      <c r="F257" s="71"/>
      <c r="G257" s="71"/>
      <c r="H257" s="67" t="s">
        <v>355</v>
      </c>
      <c r="T257" s="91">
        <f t="shared" si="8"/>
        <v>6149.84</v>
      </c>
    </row>
    <row r="258" spans="1:21" ht="12" hidden="1" outlineLevel="3" x14ac:dyDescent="0.2">
      <c r="A258" s="73" t="s">
        <v>1083</v>
      </c>
      <c r="B258" s="71"/>
      <c r="C258" s="71"/>
      <c r="D258" s="72">
        <v>18449.52</v>
      </c>
      <c r="E258" s="71"/>
      <c r="F258" s="71"/>
      <c r="G258" s="71"/>
      <c r="H258" s="67" t="s">
        <v>349</v>
      </c>
      <c r="T258" s="91">
        <f t="shared" si="8"/>
        <v>18449.52</v>
      </c>
    </row>
    <row r="259" spans="1:21" ht="12" hidden="1" outlineLevel="3" x14ac:dyDescent="0.2">
      <c r="A259" s="73" t="s">
        <v>1089</v>
      </c>
      <c r="B259" s="71"/>
      <c r="C259" s="71"/>
      <c r="D259" s="72">
        <v>18449.52</v>
      </c>
      <c r="E259" s="71"/>
      <c r="F259" s="71"/>
      <c r="G259" s="71"/>
      <c r="H259" s="67" t="s">
        <v>350</v>
      </c>
      <c r="T259" s="91">
        <f t="shared" si="8"/>
        <v>18449.52</v>
      </c>
    </row>
    <row r="260" spans="1:21" ht="12" hidden="1" outlineLevel="3" x14ac:dyDescent="0.2">
      <c r="A260" s="73" t="s">
        <v>1088</v>
      </c>
      <c r="B260" s="71"/>
      <c r="C260" s="71"/>
      <c r="D260" s="72">
        <v>12299.68</v>
      </c>
      <c r="E260" s="71"/>
      <c r="F260" s="71"/>
      <c r="G260" s="71"/>
      <c r="H260" s="67" t="s">
        <v>351</v>
      </c>
      <c r="T260" s="91">
        <f t="shared" si="8"/>
        <v>12299.68</v>
      </c>
    </row>
    <row r="261" spans="1:21" ht="12" hidden="1" outlineLevel="3" x14ac:dyDescent="0.2">
      <c r="A261" s="73" t="s">
        <v>1087</v>
      </c>
      <c r="B261" s="71"/>
      <c r="C261" s="71"/>
      <c r="D261" s="72">
        <v>6149.84</v>
      </c>
      <c r="E261" s="71"/>
      <c r="F261" s="71"/>
      <c r="G261" s="71"/>
      <c r="H261" s="67" t="s">
        <v>352</v>
      </c>
      <c r="T261" s="91">
        <f t="shared" si="8"/>
        <v>6149.84</v>
      </c>
    </row>
    <row r="262" spans="1:21" ht="12" hidden="1" outlineLevel="3" x14ac:dyDescent="0.2">
      <c r="A262" s="73" t="s">
        <v>1086</v>
      </c>
      <c r="B262" s="71"/>
      <c r="C262" s="71"/>
      <c r="D262" s="72">
        <v>18449.52</v>
      </c>
      <c r="E262" s="71"/>
      <c r="F262" s="71"/>
      <c r="G262" s="71"/>
      <c r="H262" s="67" t="s">
        <v>353</v>
      </c>
      <c r="T262" s="91">
        <f t="shared" si="8"/>
        <v>18449.52</v>
      </c>
    </row>
    <row r="263" spans="1:21" ht="12" hidden="1" outlineLevel="3" x14ac:dyDescent="0.2">
      <c r="A263" s="73" t="s">
        <v>1085</v>
      </c>
      <c r="B263" s="71"/>
      <c r="C263" s="71"/>
      <c r="D263" s="72">
        <v>6149.84</v>
      </c>
      <c r="E263" s="71"/>
      <c r="F263" s="71"/>
      <c r="G263" s="71"/>
      <c r="H263" s="67" t="s">
        <v>354</v>
      </c>
      <c r="T263" s="91">
        <f t="shared" si="8"/>
        <v>6149.84</v>
      </c>
    </row>
    <row r="264" spans="1:21" ht="12" hidden="1" outlineLevel="3" x14ac:dyDescent="0.2">
      <c r="A264" s="73" t="s">
        <v>1266</v>
      </c>
      <c r="B264" s="71"/>
      <c r="C264" s="71"/>
      <c r="D264" s="72">
        <v>30063.040000000001</v>
      </c>
      <c r="E264" s="71"/>
      <c r="F264" s="71"/>
      <c r="G264" s="71"/>
      <c r="H264" s="67" t="s">
        <v>89</v>
      </c>
      <c r="T264" s="91">
        <f t="shared" si="8"/>
        <v>30063.040000000001</v>
      </c>
    </row>
    <row r="265" spans="1:21" ht="12" hidden="1" outlineLevel="3" x14ac:dyDescent="0.2">
      <c r="A265" s="73" t="s">
        <v>919</v>
      </c>
      <c r="B265" s="71"/>
      <c r="C265" s="71"/>
      <c r="D265" s="72">
        <v>32297849.59</v>
      </c>
      <c r="E265" s="71"/>
      <c r="F265" s="71"/>
      <c r="G265" s="71"/>
      <c r="I265" s="91"/>
      <c r="J265" s="91"/>
      <c r="K265" s="91"/>
      <c r="U265" s="91">
        <f t="shared" ref="U265" si="9">$D265</f>
        <v>32297849.59</v>
      </c>
    </row>
    <row r="266" spans="1:21" ht="12" hidden="1" outlineLevel="3" x14ac:dyDescent="0.2">
      <c r="A266" s="73" t="s">
        <v>1179</v>
      </c>
      <c r="B266" s="71"/>
      <c r="C266" s="71"/>
      <c r="D266" s="72">
        <v>2163.4499999999998</v>
      </c>
      <c r="E266" s="71"/>
      <c r="F266" s="71"/>
      <c r="G266" s="71"/>
      <c r="H266" s="67" t="s">
        <v>55</v>
      </c>
      <c r="T266" s="91">
        <f t="shared" ref="T266:T329" si="10">$D266</f>
        <v>2163.4499999999998</v>
      </c>
    </row>
    <row r="267" spans="1:21" ht="12" hidden="1" outlineLevel="3" x14ac:dyDescent="0.2">
      <c r="A267" s="73" t="s">
        <v>1178</v>
      </c>
      <c r="B267" s="71"/>
      <c r="C267" s="71"/>
      <c r="D267" s="72">
        <v>2163.4499999999998</v>
      </c>
      <c r="E267" s="71"/>
      <c r="F267" s="71"/>
      <c r="G267" s="71"/>
      <c r="H267" s="67" t="s">
        <v>56</v>
      </c>
      <c r="T267" s="91">
        <f t="shared" si="10"/>
        <v>2163.4499999999998</v>
      </c>
    </row>
    <row r="268" spans="1:21" ht="12" hidden="1" outlineLevel="3" x14ac:dyDescent="0.2">
      <c r="A268" s="73" t="s">
        <v>1064</v>
      </c>
      <c r="B268" s="71"/>
      <c r="C268" s="71"/>
      <c r="D268" s="72">
        <v>2163.4499999999998</v>
      </c>
      <c r="E268" s="71"/>
      <c r="F268" s="71"/>
      <c r="G268" s="71"/>
      <c r="H268" s="67" t="s">
        <v>57</v>
      </c>
      <c r="T268" s="91">
        <f t="shared" si="10"/>
        <v>2163.4499999999998</v>
      </c>
    </row>
    <row r="269" spans="1:21" ht="12" hidden="1" outlineLevel="3" x14ac:dyDescent="0.2">
      <c r="A269" s="73" t="s">
        <v>1063</v>
      </c>
      <c r="B269" s="71"/>
      <c r="C269" s="71"/>
      <c r="D269" s="72">
        <v>2277.38</v>
      </c>
      <c r="E269" s="71"/>
      <c r="F269" s="71"/>
      <c r="G269" s="71"/>
      <c r="H269" s="67" t="s">
        <v>136</v>
      </c>
      <c r="T269" s="91">
        <f t="shared" si="10"/>
        <v>2277.38</v>
      </c>
    </row>
    <row r="270" spans="1:21" ht="12" hidden="1" outlineLevel="3" x14ac:dyDescent="0.2">
      <c r="A270" s="73" t="s">
        <v>946</v>
      </c>
      <c r="B270" s="71"/>
      <c r="C270" s="71"/>
      <c r="D270" s="72">
        <v>12980.7</v>
      </c>
      <c r="E270" s="71"/>
      <c r="F270" s="71"/>
      <c r="G270" s="71"/>
      <c r="H270" s="67" t="s">
        <v>138</v>
      </c>
      <c r="T270" s="91">
        <f t="shared" si="10"/>
        <v>12980.7</v>
      </c>
    </row>
    <row r="271" spans="1:21" ht="12" hidden="1" outlineLevel="3" x14ac:dyDescent="0.2">
      <c r="A271" s="73" t="s">
        <v>952</v>
      </c>
      <c r="B271" s="71"/>
      <c r="C271" s="71"/>
      <c r="D271" s="72">
        <v>20838.25</v>
      </c>
      <c r="E271" s="71"/>
      <c r="F271" s="71"/>
      <c r="G271" s="71"/>
      <c r="H271" s="67" t="s">
        <v>131</v>
      </c>
      <c r="T271" s="91">
        <f t="shared" si="10"/>
        <v>20838.25</v>
      </c>
    </row>
    <row r="272" spans="1:21" ht="12" hidden="1" outlineLevel="3" x14ac:dyDescent="0.2">
      <c r="A272" s="73" t="s">
        <v>1173</v>
      </c>
      <c r="B272" s="71"/>
      <c r="C272" s="71"/>
      <c r="D272" s="72">
        <v>38838.5</v>
      </c>
      <c r="E272" s="71"/>
      <c r="F272" s="71"/>
      <c r="G272" s="71"/>
      <c r="H272" s="67" t="s">
        <v>132</v>
      </c>
      <c r="T272" s="91">
        <f t="shared" si="10"/>
        <v>38838.5</v>
      </c>
    </row>
    <row r="273" spans="1:20" ht="12" hidden="1" outlineLevel="3" x14ac:dyDescent="0.2">
      <c r="A273" s="73" t="s">
        <v>1058</v>
      </c>
      <c r="B273" s="71"/>
      <c r="C273" s="71"/>
      <c r="D273" s="72">
        <v>5010.5</v>
      </c>
      <c r="E273" s="71"/>
      <c r="F273" s="71"/>
      <c r="G273" s="71"/>
      <c r="H273" s="67" t="s">
        <v>143</v>
      </c>
      <c r="T273" s="91">
        <f t="shared" si="10"/>
        <v>5010.5</v>
      </c>
    </row>
    <row r="274" spans="1:20" ht="12" hidden="1" outlineLevel="3" x14ac:dyDescent="0.2">
      <c r="A274" s="73" t="s">
        <v>1057</v>
      </c>
      <c r="B274" s="71"/>
      <c r="C274" s="71"/>
      <c r="D274" s="72">
        <v>5010.5</v>
      </c>
      <c r="E274" s="71"/>
      <c r="F274" s="71"/>
      <c r="G274" s="71"/>
      <c r="H274" s="67" t="s">
        <v>144</v>
      </c>
      <c r="T274" s="91">
        <f t="shared" si="10"/>
        <v>5010.5</v>
      </c>
    </row>
    <row r="275" spans="1:20" ht="12" hidden="1" outlineLevel="3" x14ac:dyDescent="0.2">
      <c r="A275" s="73" t="s">
        <v>1056</v>
      </c>
      <c r="B275" s="71"/>
      <c r="C275" s="71"/>
      <c r="D275" s="72">
        <v>12980.7</v>
      </c>
      <c r="E275" s="71"/>
      <c r="F275" s="71"/>
      <c r="G275" s="71"/>
      <c r="H275" s="67" t="s">
        <v>145</v>
      </c>
      <c r="T275" s="91">
        <f t="shared" si="10"/>
        <v>12980.7</v>
      </c>
    </row>
    <row r="276" spans="1:20" ht="12" hidden="1" outlineLevel="3" x14ac:dyDescent="0.2">
      <c r="A276" s="73" t="s">
        <v>1054</v>
      </c>
      <c r="B276" s="71"/>
      <c r="C276" s="71"/>
      <c r="D276" s="72">
        <v>5466.24</v>
      </c>
      <c r="E276" s="71"/>
      <c r="F276" s="71"/>
      <c r="G276" s="71"/>
      <c r="H276" s="67" t="s">
        <v>147</v>
      </c>
      <c r="T276" s="91">
        <f t="shared" si="10"/>
        <v>5466.24</v>
      </c>
    </row>
    <row r="277" spans="1:20" ht="12" hidden="1" outlineLevel="3" x14ac:dyDescent="0.2">
      <c r="A277" s="73" t="s">
        <v>1053</v>
      </c>
      <c r="B277" s="71"/>
      <c r="C277" s="71"/>
      <c r="D277" s="72">
        <v>5466.24</v>
      </c>
      <c r="E277" s="71"/>
      <c r="F277" s="71"/>
      <c r="G277" s="71"/>
      <c r="H277" s="67" t="s">
        <v>148</v>
      </c>
      <c r="T277" s="91">
        <f t="shared" si="10"/>
        <v>5466.24</v>
      </c>
    </row>
    <row r="278" spans="1:20" ht="12" hidden="1" outlineLevel="3" x14ac:dyDescent="0.2">
      <c r="A278" s="73" t="s">
        <v>1049</v>
      </c>
      <c r="B278" s="71"/>
      <c r="C278" s="71"/>
      <c r="D278" s="72">
        <v>2049.52</v>
      </c>
      <c r="E278" s="71"/>
      <c r="F278" s="71"/>
      <c r="G278" s="71"/>
      <c r="H278" s="67" t="s">
        <v>110</v>
      </c>
      <c r="T278" s="91">
        <f t="shared" si="10"/>
        <v>2049.52</v>
      </c>
    </row>
    <row r="279" spans="1:20" ht="12" hidden="1" outlineLevel="3" x14ac:dyDescent="0.2">
      <c r="A279" s="73" t="s">
        <v>1171</v>
      </c>
      <c r="B279" s="71"/>
      <c r="C279" s="71"/>
      <c r="D279" s="72">
        <v>2049.52</v>
      </c>
      <c r="E279" s="71"/>
      <c r="F279" s="71"/>
      <c r="G279" s="71"/>
      <c r="H279" s="67" t="s">
        <v>122</v>
      </c>
      <c r="T279" s="91">
        <f t="shared" si="10"/>
        <v>2049.52</v>
      </c>
    </row>
    <row r="280" spans="1:20" ht="12" hidden="1" outlineLevel="3" x14ac:dyDescent="0.2">
      <c r="A280" s="73" t="s">
        <v>1048</v>
      </c>
      <c r="B280" s="71"/>
      <c r="C280" s="71"/>
      <c r="D280" s="72">
        <v>4099.04</v>
      </c>
      <c r="E280" s="71"/>
      <c r="F280" s="71"/>
      <c r="G280" s="71"/>
      <c r="H280" s="67" t="s">
        <v>123</v>
      </c>
      <c r="T280" s="91">
        <f t="shared" si="10"/>
        <v>4099.04</v>
      </c>
    </row>
    <row r="281" spans="1:20" ht="12" hidden="1" outlineLevel="3" x14ac:dyDescent="0.2">
      <c r="A281" s="73" t="s">
        <v>1046</v>
      </c>
      <c r="B281" s="71"/>
      <c r="C281" s="71"/>
      <c r="D281" s="72">
        <v>4326.8999999999996</v>
      </c>
      <c r="E281" s="71"/>
      <c r="F281" s="71"/>
      <c r="G281" s="71"/>
      <c r="H281" s="67" t="s">
        <v>124</v>
      </c>
      <c r="T281" s="91">
        <f t="shared" si="10"/>
        <v>4326.8999999999996</v>
      </c>
    </row>
    <row r="282" spans="1:20" ht="12" hidden="1" outlineLevel="3" x14ac:dyDescent="0.2">
      <c r="A282" s="73" t="s">
        <v>1045</v>
      </c>
      <c r="B282" s="71"/>
      <c r="C282" s="71"/>
      <c r="D282" s="72">
        <v>2049.52</v>
      </c>
      <c r="E282" s="71"/>
      <c r="F282" s="71"/>
      <c r="G282" s="71"/>
      <c r="H282" s="67" t="s">
        <v>125</v>
      </c>
      <c r="T282" s="91">
        <f t="shared" si="10"/>
        <v>2049.52</v>
      </c>
    </row>
    <row r="283" spans="1:20" ht="12" hidden="1" outlineLevel="3" x14ac:dyDescent="0.2">
      <c r="A283" s="73" t="s">
        <v>1169</v>
      </c>
      <c r="B283" s="71"/>
      <c r="C283" s="71"/>
      <c r="D283" s="72">
        <v>6149.84</v>
      </c>
      <c r="E283" s="71"/>
      <c r="F283" s="71"/>
      <c r="G283" s="71"/>
      <c r="H283" s="67" t="s">
        <v>128</v>
      </c>
      <c r="T283" s="91">
        <f t="shared" si="10"/>
        <v>6149.84</v>
      </c>
    </row>
    <row r="284" spans="1:20" ht="12" hidden="1" outlineLevel="3" x14ac:dyDescent="0.2">
      <c r="A284" s="73" t="s">
        <v>1042</v>
      </c>
      <c r="B284" s="71"/>
      <c r="C284" s="71"/>
      <c r="D284" s="72">
        <v>4099.04</v>
      </c>
      <c r="E284" s="71"/>
      <c r="F284" s="71"/>
      <c r="G284" s="71"/>
      <c r="H284" s="67" t="s">
        <v>113</v>
      </c>
      <c r="T284" s="91">
        <f t="shared" si="10"/>
        <v>4099.04</v>
      </c>
    </row>
    <row r="285" spans="1:20" ht="12" hidden="1" outlineLevel="3" x14ac:dyDescent="0.2">
      <c r="A285" s="94" t="s">
        <v>1265</v>
      </c>
      <c r="B285" s="71"/>
      <c r="C285" s="71"/>
      <c r="D285" s="72">
        <v>2049.52</v>
      </c>
      <c r="E285" s="71"/>
      <c r="F285" s="71"/>
      <c r="G285" s="71"/>
      <c r="H285" s="67" t="s">
        <v>115</v>
      </c>
      <c r="T285" s="91">
        <f t="shared" si="10"/>
        <v>2049.52</v>
      </c>
    </row>
    <row r="286" spans="1:20" ht="12" hidden="1" outlineLevel="3" x14ac:dyDescent="0.2">
      <c r="A286" s="73" t="s">
        <v>1041</v>
      </c>
      <c r="B286" s="71"/>
      <c r="C286" s="71"/>
      <c r="D286" s="72">
        <v>10817.25</v>
      </c>
      <c r="E286" s="71"/>
      <c r="F286" s="71"/>
      <c r="G286" s="71"/>
      <c r="H286" s="67" t="s">
        <v>116</v>
      </c>
      <c r="T286" s="91">
        <f t="shared" si="10"/>
        <v>10817.25</v>
      </c>
    </row>
    <row r="287" spans="1:20" ht="12" hidden="1" outlineLevel="3" x14ac:dyDescent="0.2">
      <c r="A287" s="73" t="s">
        <v>1040</v>
      </c>
      <c r="B287" s="71"/>
      <c r="C287" s="71"/>
      <c r="D287" s="72">
        <v>4099.04</v>
      </c>
      <c r="E287" s="71"/>
      <c r="F287" s="71"/>
      <c r="G287" s="71"/>
      <c r="H287" s="67" t="s">
        <v>117</v>
      </c>
      <c r="T287" s="91">
        <f t="shared" si="10"/>
        <v>4099.04</v>
      </c>
    </row>
    <row r="288" spans="1:20" ht="12" hidden="1" outlineLevel="3" x14ac:dyDescent="0.2">
      <c r="A288" s="73" t="s">
        <v>1168</v>
      </c>
      <c r="B288" s="71"/>
      <c r="C288" s="71"/>
      <c r="D288" s="72">
        <v>10932.48</v>
      </c>
      <c r="E288" s="71"/>
      <c r="F288" s="71"/>
      <c r="G288" s="71"/>
      <c r="H288" s="67" t="s">
        <v>119</v>
      </c>
      <c r="T288" s="91">
        <f t="shared" si="10"/>
        <v>10932.48</v>
      </c>
    </row>
    <row r="289" spans="1:20" ht="12" hidden="1" outlineLevel="3" x14ac:dyDescent="0.2">
      <c r="A289" s="73" t="s">
        <v>1039</v>
      </c>
      <c r="B289" s="71"/>
      <c r="C289" s="71"/>
      <c r="D289" s="72">
        <v>6148.56</v>
      </c>
      <c r="E289" s="71"/>
      <c r="F289" s="71"/>
      <c r="G289" s="71"/>
      <c r="H289" s="67" t="s">
        <v>120</v>
      </c>
      <c r="T289" s="91">
        <f t="shared" si="10"/>
        <v>6148.56</v>
      </c>
    </row>
    <row r="290" spans="1:20" ht="12" hidden="1" outlineLevel="3" x14ac:dyDescent="0.2">
      <c r="A290" s="73" t="s">
        <v>1194</v>
      </c>
      <c r="B290" s="71"/>
      <c r="C290" s="71"/>
      <c r="D290" s="72">
        <v>5010.5</v>
      </c>
      <c r="E290" s="71"/>
      <c r="F290" s="71"/>
      <c r="G290" s="71"/>
      <c r="H290" s="67" t="s">
        <v>880</v>
      </c>
      <c r="T290" s="91">
        <f t="shared" si="10"/>
        <v>5010.5</v>
      </c>
    </row>
    <row r="291" spans="1:20" ht="12" hidden="1" outlineLevel="3" x14ac:dyDescent="0.2">
      <c r="A291" s="73" t="s">
        <v>1222</v>
      </c>
      <c r="B291" s="71"/>
      <c r="C291" s="71"/>
      <c r="D291" s="72">
        <v>10021</v>
      </c>
      <c r="E291" s="71"/>
      <c r="F291" s="71"/>
      <c r="G291" s="71"/>
      <c r="H291" s="67" t="s">
        <v>73</v>
      </c>
      <c r="T291" s="91">
        <f t="shared" si="10"/>
        <v>10021</v>
      </c>
    </row>
    <row r="292" spans="1:20" ht="12" hidden="1" outlineLevel="3" x14ac:dyDescent="0.2">
      <c r="A292" s="73" t="s">
        <v>1217</v>
      </c>
      <c r="B292" s="71"/>
      <c r="C292" s="71"/>
      <c r="D292" s="72">
        <v>5466.24</v>
      </c>
      <c r="E292" s="71"/>
      <c r="F292" s="71"/>
      <c r="G292" s="71"/>
      <c r="H292" s="67" t="s">
        <v>83</v>
      </c>
      <c r="T292" s="91">
        <f t="shared" si="10"/>
        <v>5466.24</v>
      </c>
    </row>
    <row r="293" spans="1:20" ht="12" hidden="1" outlineLevel="3" x14ac:dyDescent="0.2">
      <c r="A293" s="73" t="s">
        <v>1167</v>
      </c>
      <c r="B293" s="71"/>
      <c r="C293" s="71"/>
      <c r="D293" s="72">
        <v>12980.7</v>
      </c>
      <c r="E293" s="71"/>
      <c r="F293" s="71"/>
      <c r="G293" s="71"/>
      <c r="H293" s="67" t="s">
        <v>86</v>
      </c>
      <c r="T293" s="91">
        <f t="shared" si="10"/>
        <v>12980.7</v>
      </c>
    </row>
    <row r="294" spans="1:20" ht="12" hidden="1" outlineLevel="3" x14ac:dyDescent="0.2">
      <c r="A294" s="73" t="s">
        <v>945</v>
      </c>
      <c r="B294" s="71"/>
      <c r="C294" s="71"/>
      <c r="D294" s="72">
        <v>5010.5</v>
      </c>
      <c r="E294" s="71"/>
      <c r="F294" s="71"/>
      <c r="G294" s="71"/>
      <c r="H294" s="67" t="s">
        <v>87</v>
      </c>
      <c r="T294" s="91">
        <f t="shared" si="10"/>
        <v>5010.5</v>
      </c>
    </row>
    <row r="295" spans="1:20" ht="12" hidden="1" outlineLevel="3" x14ac:dyDescent="0.2">
      <c r="A295" s="73" t="s">
        <v>944</v>
      </c>
      <c r="B295" s="71"/>
      <c r="C295" s="71"/>
      <c r="D295" s="72">
        <v>4554.76</v>
      </c>
      <c r="E295" s="71"/>
      <c r="F295" s="71"/>
      <c r="G295" s="71"/>
      <c r="H295" s="67" t="s">
        <v>88</v>
      </c>
      <c r="T295" s="91">
        <f t="shared" si="10"/>
        <v>4554.76</v>
      </c>
    </row>
    <row r="296" spans="1:20" ht="12" hidden="1" outlineLevel="3" x14ac:dyDescent="0.2">
      <c r="A296" s="73" t="s">
        <v>1165</v>
      </c>
      <c r="B296" s="71"/>
      <c r="C296" s="71"/>
      <c r="D296" s="72">
        <v>10704.62</v>
      </c>
      <c r="E296" s="71"/>
      <c r="F296" s="71"/>
      <c r="G296" s="71"/>
      <c r="H296" s="67" t="s">
        <v>89</v>
      </c>
      <c r="T296" s="91">
        <f t="shared" si="10"/>
        <v>10704.62</v>
      </c>
    </row>
    <row r="297" spans="1:20" ht="12" hidden="1" outlineLevel="3" x14ac:dyDescent="0.2">
      <c r="A297" s="73" t="s">
        <v>950</v>
      </c>
      <c r="B297" s="71"/>
      <c r="C297" s="71"/>
      <c r="D297" s="72">
        <v>12980.7</v>
      </c>
      <c r="E297" s="71"/>
      <c r="F297" s="71"/>
      <c r="G297" s="71"/>
      <c r="H297" s="67" t="s">
        <v>84</v>
      </c>
      <c r="T297" s="91">
        <f t="shared" si="10"/>
        <v>12980.7</v>
      </c>
    </row>
    <row r="298" spans="1:20" ht="12" hidden="1" outlineLevel="3" x14ac:dyDescent="0.2">
      <c r="A298" s="73" t="s">
        <v>1164</v>
      </c>
      <c r="B298" s="71"/>
      <c r="C298" s="71"/>
      <c r="D298" s="72">
        <v>12980.7</v>
      </c>
      <c r="E298" s="71"/>
      <c r="F298" s="71"/>
      <c r="G298" s="71"/>
      <c r="H298" s="67" t="s">
        <v>85</v>
      </c>
      <c r="T298" s="91">
        <f t="shared" si="10"/>
        <v>12980.7</v>
      </c>
    </row>
    <row r="299" spans="1:20" ht="12" hidden="1" outlineLevel="3" x14ac:dyDescent="0.2">
      <c r="A299" s="73" t="s">
        <v>1163</v>
      </c>
      <c r="B299" s="71"/>
      <c r="C299" s="71"/>
      <c r="D299" s="72">
        <v>16398.72</v>
      </c>
      <c r="E299" s="71"/>
      <c r="F299" s="71"/>
      <c r="G299" s="71"/>
      <c r="H299" s="67" t="s">
        <v>101</v>
      </c>
      <c r="T299" s="91">
        <f t="shared" si="10"/>
        <v>16398.72</v>
      </c>
    </row>
    <row r="300" spans="1:20" ht="12" hidden="1" outlineLevel="3" x14ac:dyDescent="0.2">
      <c r="A300" s="73" t="s">
        <v>1162</v>
      </c>
      <c r="B300" s="71"/>
      <c r="C300" s="71"/>
      <c r="D300" s="72">
        <v>4554.76</v>
      </c>
      <c r="E300" s="71"/>
      <c r="F300" s="71"/>
      <c r="G300" s="71"/>
      <c r="H300" s="67" t="s">
        <v>102</v>
      </c>
      <c r="T300" s="91">
        <f t="shared" si="10"/>
        <v>4554.76</v>
      </c>
    </row>
    <row r="301" spans="1:20" ht="12" hidden="1" outlineLevel="3" x14ac:dyDescent="0.2">
      <c r="A301" s="73" t="s">
        <v>1161</v>
      </c>
      <c r="B301" s="71"/>
      <c r="C301" s="71"/>
      <c r="D301" s="72">
        <v>6490.35</v>
      </c>
      <c r="E301" s="71"/>
      <c r="F301" s="71"/>
      <c r="G301" s="71"/>
      <c r="H301" s="67" t="s">
        <v>99</v>
      </c>
      <c r="T301" s="91">
        <f t="shared" si="10"/>
        <v>6490.35</v>
      </c>
    </row>
    <row r="302" spans="1:20" ht="12" hidden="1" outlineLevel="3" x14ac:dyDescent="0.2">
      <c r="A302" s="73" t="s">
        <v>1232</v>
      </c>
      <c r="B302" s="71"/>
      <c r="C302" s="71"/>
      <c r="D302" s="72">
        <v>6490.35</v>
      </c>
      <c r="E302" s="71"/>
      <c r="F302" s="71"/>
      <c r="G302" s="71"/>
      <c r="H302" s="67" t="s">
        <v>100</v>
      </c>
      <c r="T302" s="91">
        <f t="shared" si="10"/>
        <v>6490.35</v>
      </c>
    </row>
    <row r="303" spans="1:20" ht="12" hidden="1" outlineLevel="3" x14ac:dyDescent="0.2">
      <c r="A303" s="73" t="s">
        <v>1160</v>
      </c>
      <c r="B303" s="71"/>
      <c r="C303" s="71"/>
      <c r="D303" s="72">
        <v>6490.35</v>
      </c>
      <c r="E303" s="71"/>
      <c r="F303" s="71"/>
      <c r="G303" s="71"/>
      <c r="H303" s="67" t="s">
        <v>149</v>
      </c>
      <c r="T303" s="91">
        <f t="shared" si="10"/>
        <v>6490.35</v>
      </c>
    </row>
    <row r="304" spans="1:20" ht="12" hidden="1" outlineLevel="3" x14ac:dyDescent="0.2">
      <c r="A304" s="73" t="s">
        <v>1020</v>
      </c>
      <c r="B304" s="71"/>
      <c r="C304" s="71"/>
      <c r="D304" s="72">
        <v>4099.04</v>
      </c>
      <c r="E304" s="71"/>
      <c r="F304" s="71"/>
      <c r="G304" s="71"/>
      <c r="H304" s="67" t="s">
        <v>162</v>
      </c>
      <c r="T304" s="91">
        <f t="shared" si="10"/>
        <v>4099.04</v>
      </c>
    </row>
    <row r="305" spans="1:20" ht="12" hidden="1" outlineLevel="3" x14ac:dyDescent="0.2">
      <c r="A305" s="73" t="s">
        <v>1019</v>
      </c>
      <c r="B305" s="71"/>
      <c r="C305" s="71"/>
      <c r="D305" s="72">
        <v>4099.04</v>
      </c>
      <c r="E305" s="71"/>
      <c r="F305" s="71"/>
      <c r="G305" s="71"/>
      <c r="H305" s="67" t="s">
        <v>164</v>
      </c>
      <c r="T305" s="91">
        <f t="shared" si="10"/>
        <v>4099.04</v>
      </c>
    </row>
    <row r="306" spans="1:20" ht="12" hidden="1" outlineLevel="3" x14ac:dyDescent="0.2">
      <c r="A306" s="73" t="s">
        <v>1018</v>
      </c>
      <c r="B306" s="71"/>
      <c r="C306" s="71"/>
      <c r="D306" s="72">
        <v>8653.7999999999993</v>
      </c>
      <c r="E306" s="71"/>
      <c r="F306" s="71"/>
      <c r="G306" s="71"/>
      <c r="H306" s="67" t="s">
        <v>166</v>
      </c>
      <c r="T306" s="91">
        <f t="shared" si="10"/>
        <v>8653.7999999999993</v>
      </c>
    </row>
    <row r="307" spans="1:20" ht="12" hidden="1" outlineLevel="3" x14ac:dyDescent="0.2">
      <c r="A307" s="73" t="s">
        <v>1159</v>
      </c>
      <c r="B307" s="71"/>
      <c r="C307" s="71"/>
      <c r="D307" s="72">
        <v>5921.98</v>
      </c>
      <c r="E307" s="71"/>
      <c r="F307" s="71"/>
      <c r="G307" s="71"/>
      <c r="H307" s="67" t="s">
        <v>174</v>
      </c>
      <c r="T307" s="91">
        <f t="shared" si="10"/>
        <v>5921.98</v>
      </c>
    </row>
    <row r="308" spans="1:20" ht="12" hidden="1" outlineLevel="3" x14ac:dyDescent="0.2">
      <c r="A308" s="73" t="s">
        <v>1158</v>
      </c>
      <c r="B308" s="71"/>
      <c r="C308" s="71"/>
      <c r="D308" s="72">
        <v>2049.52</v>
      </c>
      <c r="E308" s="71"/>
      <c r="F308" s="71"/>
      <c r="G308" s="71"/>
      <c r="H308" s="67" t="s">
        <v>151</v>
      </c>
      <c r="T308" s="91">
        <f t="shared" si="10"/>
        <v>2049.52</v>
      </c>
    </row>
    <row r="309" spans="1:20" ht="12" hidden="1" outlineLevel="3" x14ac:dyDescent="0.2">
      <c r="A309" s="73" t="s">
        <v>1008</v>
      </c>
      <c r="B309" s="71"/>
      <c r="C309" s="71"/>
      <c r="D309" s="72">
        <v>2049.52</v>
      </c>
      <c r="E309" s="71"/>
      <c r="F309" s="71"/>
      <c r="G309" s="71"/>
      <c r="H309" s="67" t="s">
        <v>152</v>
      </c>
      <c r="T309" s="91">
        <f t="shared" si="10"/>
        <v>2049.52</v>
      </c>
    </row>
    <row r="310" spans="1:20" ht="12" hidden="1" outlineLevel="3" x14ac:dyDescent="0.2">
      <c r="A310" s="73" t="s">
        <v>1007</v>
      </c>
      <c r="B310" s="71"/>
      <c r="C310" s="71"/>
      <c r="D310" s="72">
        <v>2049.52</v>
      </c>
      <c r="E310" s="71"/>
      <c r="F310" s="71"/>
      <c r="G310" s="71"/>
      <c r="H310" s="67" t="s">
        <v>103</v>
      </c>
      <c r="T310" s="91">
        <f t="shared" si="10"/>
        <v>2049.52</v>
      </c>
    </row>
    <row r="311" spans="1:20" ht="12" hidden="1" outlineLevel="3" x14ac:dyDescent="0.2">
      <c r="A311" s="73" t="s">
        <v>1214</v>
      </c>
      <c r="B311" s="71"/>
      <c r="C311" s="71"/>
      <c r="D311" s="72">
        <v>5010.5</v>
      </c>
      <c r="E311" s="71"/>
      <c r="F311" s="71"/>
      <c r="G311" s="71"/>
      <c r="H311" s="67" t="s">
        <v>104</v>
      </c>
      <c r="T311" s="91">
        <f t="shared" si="10"/>
        <v>5010.5</v>
      </c>
    </row>
    <row r="312" spans="1:20" ht="12" hidden="1" outlineLevel="3" x14ac:dyDescent="0.2">
      <c r="A312" s="73" t="s">
        <v>1006</v>
      </c>
      <c r="B312" s="71"/>
      <c r="C312" s="71"/>
      <c r="D312" s="72">
        <v>8653.7999999999993</v>
      </c>
      <c r="E312" s="71"/>
      <c r="F312" s="71"/>
      <c r="G312" s="71"/>
      <c r="H312" s="67" t="s">
        <v>105</v>
      </c>
      <c r="T312" s="91">
        <f t="shared" si="10"/>
        <v>8653.7999999999993</v>
      </c>
    </row>
    <row r="313" spans="1:20" ht="12" hidden="1" outlineLevel="3" x14ac:dyDescent="0.2">
      <c r="A313" s="73" t="s">
        <v>1213</v>
      </c>
      <c r="B313" s="71"/>
      <c r="C313" s="71"/>
      <c r="D313" s="72">
        <v>11843.96</v>
      </c>
      <c r="E313" s="71"/>
      <c r="F313" s="71"/>
      <c r="G313" s="71"/>
      <c r="H313" s="67" t="s">
        <v>106</v>
      </c>
      <c r="T313" s="91">
        <f t="shared" si="10"/>
        <v>11843.96</v>
      </c>
    </row>
    <row r="314" spans="1:20" ht="12" hidden="1" outlineLevel="3" x14ac:dyDescent="0.2">
      <c r="A314" s="73" t="s">
        <v>1212</v>
      </c>
      <c r="B314" s="71"/>
      <c r="C314" s="71"/>
      <c r="D314" s="72">
        <v>5466.24</v>
      </c>
      <c r="E314" s="71"/>
      <c r="F314" s="71"/>
      <c r="G314" s="71"/>
      <c r="H314" s="67" t="s">
        <v>108</v>
      </c>
      <c r="T314" s="91">
        <f t="shared" si="10"/>
        <v>5466.24</v>
      </c>
    </row>
    <row r="315" spans="1:20" ht="12" hidden="1" outlineLevel="3" x14ac:dyDescent="0.2">
      <c r="A315" s="73" t="s">
        <v>949</v>
      </c>
      <c r="B315" s="71"/>
      <c r="C315" s="71"/>
      <c r="D315" s="72">
        <v>5921.98</v>
      </c>
      <c r="E315" s="71"/>
      <c r="F315" s="71"/>
      <c r="G315" s="71"/>
      <c r="H315" s="67" t="s">
        <v>109</v>
      </c>
      <c r="T315" s="91">
        <f t="shared" si="10"/>
        <v>5921.98</v>
      </c>
    </row>
    <row r="316" spans="1:20" ht="12" hidden="1" outlineLevel="3" x14ac:dyDescent="0.2">
      <c r="A316" s="73" t="s">
        <v>1005</v>
      </c>
      <c r="B316" s="71"/>
      <c r="C316" s="71"/>
      <c r="D316" s="72">
        <v>10817.25</v>
      </c>
      <c r="E316" s="71"/>
      <c r="F316" s="71"/>
      <c r="G316" s="71"/>
      <c r="H316" s="67" t="s">
        <v>69</v>
      </c>
      <c r="T316" s="91">
        <f t="shared" si="10"/>
        <v>10817.25</v>
      </c>
    </row>
    <row r="317" spans="1:20" ht="12" hidden="1" outlineLevel="3" x14ac:dyDescent="0.2">
      <c r="A317" s="73" t="s">
        <v>1157</v>
      </c>
      <c r="B317" s="71"/>
      <c r="C317" s="71"/>
      <c r="D317" s="72">
        <v>9109.52</v>
      </c>
      <c r="E317" s="71"/>
      <c r="F317" s="71"/>
      <c r="G317" s="71"/>
      <c r="H317" s="67" t="s">
        <v>72</v>
      </c>
      <c r="T317" s="91">
        <f t="shared" si="10"/>
        <v>9109.52</v>
      </c>
    </row>
    <row r="318" spans="1:20" ht="12" hidden="1" outlineLevel="3" x14ac:dyDescent="0.2">
      <c r="A318" s="73" t="s">
        <v>1004</v>
      </c>
      <c r="B318" s="71"/>
      <c r="C318" s="71"/>
      <c r="D318" s="72">
        <v>4326.8999999999996</v>
      </c>
      <c r="E318" s="71"/>
      <c r="F318" s="71"/>
      <c r="G318" s="71"/>
      <c r="H318" s="67" t="s">
        <v>71</v>
      </c>
      <c r="T318" s="91">
        <f t="shared" si="10"/>
        <v>4326.8999999999996</v>
      </c>
    </row>
    <row r="319" spans="1:20" ht="12" hidden="1" outlineLevel="3" x14ac:dyDescent="0.2">
      <c r="A319" s="73" t="s">
        <v>1153</v>
      </c>
      <c r="B319" s="71"/>
      <c r="C319" s="71"/>
      <c r="D319" s="72">
        <v>5806.74</v>
      </c>
      <c r="E319" s="71"/>
      <c r="F319" s="71"/>
      <c r="G319" s="71"/>
      <c r="H319" s="67" t="s">
        <v>210</v>
      </c>
      <c r="T319" s="91">
        <f t="shared" si="10"/>
        <v>5806.74</v>
      </c>
    </row>
    <row r="320" spans="1:20" ht="12" hidden="1" outlineLevel="3" x14ac:dyDescent="0.2">
      <c r="A320" s="73" t="s">
        <v>943</v>
      </c>
      <c r="B320" s="71"/>
      <c r="C320" s="71"/>
      <c r="D320" s="72">
        <v>5010.5</v>
      </c>
      <c r="E320" s="71"/>
      <c r="F320" s="71"/>
      <c r="G320" s="71"/>
      <c r="H320" s="67" t="s">
        <v>217</v>
      </c>
      <c r="T320" s="91">
        <f t="shared" si="10"/>
        <v>5010.5</v>
      </c>
    </row>
    <row r="321" spans="1:20" ht="12" hidden="1" outlineLevel="3" x14ac:dyDescent="0.2">
      <c r="A321" s="73" t="s">
        <v>995</v>
      </c>
      <c r="B321" s="71"/>
      <c r="C321" s="71"/>
      <c r="D321" s="72">
        <v>6149.84</v>
      </c>
      <c r="E321" s="71"/>
      <c r="F321" s="71"/>
      <c r="G321" s="71"/>
      <c r="H321" s="67" t="s">
        <v>218</v>
      </c>
      <c r="T321" s="91">
        <f t="shared" si="10"/>
        <v>6149.84</v>
      </c>
    </row>
    <row r="322" spans="1:20" ht="12" hidden="1" outlineLevel="3" x14ac:dyDescent="0.2">
      <c r="A322" s="73" t="s">
        <v>1152</v>
      </c>
      <c r="B322" s="71"/>
      <c r="C322" s="71"/>
      <c r="D322" s="72">
        <v>5010.5</v>
      </c>
      <c r="E322" s="71"/>
      <c r="F322" s="71"/>
      <c r="G322" s="71"/>
      <c r="H322" s="67" t="s">
        <v>219</v>
      </c>
      <c r="T322" s="91">
        <f t="shared" si="10"/>
        <v>5010.5</v>
      </c>
    </row>
    <row r="323" spans="1:20" ht="12" hidden="1" outlineLevel="3" x14ac:dyDescent="0.2">
      <c r="A323" s="73" t="s">
        <v>1151</v>
      </c>
      <c r="B323" s="71"/>
      <c r="C323" s="71"/>
      <c r="D323" s="72">
        <v>19586.28</v>
      </c>
      <c r="E323" s="71"/>
      <c r="F323" s="71"/>
      <c r="G323" s="71"/>
      <c r="H323" s="67" t="s">
        <v>220</v>
      </c>
      <c r="T323" s="91">
        <f t="shared" si="10"/>
        <v>19586.28</v>
      </c>
    </row>
    <row r="324" spans="1:20" ht="12" hidden="1" outlineLevel="3" x14ac:dyDescent="0.2">
      <c r="A324" s="73" t="s">
        <v>1150</v>
      </c>
      <c r="B324" s="71"/>
      <c r="C324" s="71"/>
      <c r="D324" s="72">
        <v>4326.8999999999996</v>
      </c>
      <c r="E324" s="71"/>
      <c r="F324" s="71"/>
      <c r="G324" s="71"/>
      <c r="H324" s="67" t="s">
        <v>180</v>
      </c>
      <c r="T324" s="91">
        <f t="shared" si="10"/>
        <v>4326.8999999999996</v>
      </c>
    </row>
    <row r="325" spans="1:20" ht="12" hidden="1" outlineLevel="3" x14ac:dyDescent="0.2">
      <c r="A325" s="73" t="s">
        <v>989</v>
      </c>
      <c r="B325" s="71"/>
      <c r="C325" s="71"/>
      <c r="D325" s="72">
        <v>5010.5</v>
      </c>
      <c r="E325" s="71"/>
      <c r="F325" s="71"/>
      <c r="G325" s="71"/>
      <c r="H325" s="67" t="s">
        <v>181</v>
      </c>
      <c r="T325" s="91">
        <f t="shared" si="10"/>
        <v>5010.5</v>
      </c>
    </row>
    <row r="326" spans="1:20" ht="12" hidden="1" outlineLevel="3" x14ac:dyDescent="0.2">
      <c r="A326" s="73" t="s">
        <v>987</v>
      </c>
      <c r="B326" s="71"/>
      <c r="C326" s="71"/>
      <c r="D326" s="72">
        <v>5010.5</v>
      </c>
      <c r="E326" s="71"/>
      <c r="F326" s="71"/>
      <c r="G326" s="71"/>
      <c r="H326" s="67" t="s">
        <v>183</v>
      </c>
      <c r="T326" s="91">
        <f t="shared" si="10"/>
        <v>5010.5</v>
      </c>
    </row>
    <row r="327" spans="1:20" ht="12" hidden="1" outlineLevel="3" x14ac:dyDescent="0.2">
      <c r="A327" s="73" t="s">
        <v>985</v>
      </c>
      <c r="B327" s="71"/>
      <c r="C327" s="71"/>
      <c r="D327" s="72">
        <v>10021</v>
      </c>
      <c r="E327" s="71"/>
      <c r="F327" s="71"/>
      <c r="G327" s="71"/>
      <c r="H327" s="67" t="s">
        <v>185</v>
      </c>
      <c r="T327" s="91">
        <f t="shared" si="10"/>
        <v>10021</v>
      </c>
    </row>
    <row r="328" spans="1:20" ht="12" hidden="1" outlineLevel="3" x14ac:dyDescent="0.2">
      <c r="A328" s="73" t="s">
        <v>942</v>
      </c>
      <c r="B328" s="71"/>
      <c r="C328" s="71"/>
      <c r="D328" s="72">
        <v>10932.48</v>
      </c>
      <c r="E328" s="71"/>
      <c r="F328" s="71"/>
      <c r="G328" s="71"/>
      <c r="H328" s="67" t="s">
        <v>186</v>
      </c>
      <c r="T328" s="91">
        <f t="shared" si="10"/>
        <v>10932.48</v>
      </c>
    </row>
    <row r="329" spans="1:20" ht="12" hidden="1" outlineLevel="3" x14ac:dyDescent="0.2">
      <c r="A329" s="73" t="s">
        <v>984</v>
      </c>
      <c r="B329" s="71"/>
      <c r="C329" s="71"/>
      <c r="D329" s="72">
        <v>19814.14</v>
      </c>
      <c r="E329" s="71"/>
      <c r="F329" s="71"/>
      <c r="G329" s="71"/>
      <c r="H329" s="67" t="s">
        <v>187</v>
      </c>
      <c r="T329" s="91">
        <f t="shared" si="10"/>
        <v>19814.14</v>
      </c>
    </row>
    <row r="330" spans="1:20" ht="12" hidden="1" outlineLevel="3" x14ac:dyDescent="0.2">
      <c r="A330" s="73" t="s">
        <v>983</v>
      </c>
      <c r="B330" s="71"/>
      <c r="C330" s="71"/>
      <c r="D330" s="72">
        <v>2163.4499999999998</v>
      </c>
      <c r="E330" s="71"/>
      <c r="F330" s="71"/>
      <c r="G330" s="71"/>
      <c r="H330" s="67" t="s">
        <v>188</v>
      </c>
      <c r="T330" s="91">
        <f t="shared" ref="T330:T377" si="11">$D330</f>
        <v>2163.4499999999998</v>
      </c>
    </row>
    <row r="331" spans="1:20" ht="12" hidden="1" outlineLevel="3" x14ac:dyDescent="0.2">
      <c r="A331" s="73" t="s">
        <v>982</v>
      </c>
      <c r="B331" s="71"/>
      <c r="C331" s="71"/>
      <c r="D331" s="72">
        <v>2049.52</v>
      </c>
      <c r="E331" s="71"/>
      <c r="F331" s="71"/>
      <c r="G331" s="71"/>
      <c r="H331" s="67" t="s">
        <v>189</v>
      </c>
      <c r="T331" s="91">
        <f t="shared" si="11"/>
        <v>2049.52</v>
      </c>
    </row>
    <row r="332" spans="1:20" ht="12" hidden="1" outlineLevel="3" x14ac:dyDescent="0.2">
      <c r="A332" s="73" t="s">
        <v>980</v>
      </c>
      <c r="B332" s="71"/>
      <c r="C332" s="71"/>
      <c r="D332" s="72">
        <v>2163.4499999999998</v>
      </c>
      <c r="E332" s="71"/>
      <c r="F332" s="71"/>
      <c r="G332" s="71"/>
      <c r="H332" s="67" t="s">
        <v>191</v>
      </c>
      <c r="T332" s="91">
        <f t="shared" si="11"/>
        <v>2163.4499999999998</v>
      </c>
    </row>
    <row r="333" spans="1:20" ht="12" hidden="1" outlineLevel="3" x14ac:dyDescent="0.2">
      <c r="A333" s="73" t="s">
        <v>979</v>
      </c>
      <c r="B333" s="71"/>
      <c r="C333" s="71"/>
      <c r="D333" s="72">
        <v>8653.7999999999993</v>
      </c>
      <c r="E333" s="71"/>
      <c r="F333" s="71"/>
      <c r="G333" s="71"/>
      <c r="H333" s="67" t="s">
        <v>192</v>
      </c>
      <c r="T333" s="91">
        <f t="shared" si="11"/>
        <v>8653.7999999999993</v>
      </c>
    </row>
    <row r="334" spans="1:20" ht="12" hidden="1" outlineLevel="3" x14ac:dyDescent="0.2">
      <c r="A334" s="73" t="s">
        <v>941</v>
      </c>
      <c r="B334" s="71"/>
      <c r="C334" s="71"/>
      <c r="D334" s="72">
        <v>4554.76</v>
      </c>
      <c r="E334" s="71"/>
      <c r="F334" s="71"/>
      <c r="G334" s="71"/>
      <c r="H334" s="67" t="s">
        <v>193</v>
      </c>
      <c r="T334" s="91">
        <f t="shared" si="11"/>
        <v>4554.76</v>
      </c>
    </row>
    <row r="335" spans="1:20" ht="12" hidden="1" outlineLevel="3" x14ac:dyDescent="0.2">
      <c r="A335" s="73" t="s">
        <v>940</v>
      </c>
      <c r="B335" s="71"/>
      <c r="C335" s="71"/>
      <c r="D335" s="72">
        <v>8653.7999999999993</v>
      </c>
      <c r="E335" s="71"/>
      <c r="F335" s="71"/>
      <c r="G335" s="71"/>
      <c r="H335" s="67" t="s">
        <v>194</v>
      </c>
      <c r="T335" s="91">
        <f t="shared" si="11"/>
        <v>8653.7999999999993</v>
      </c>
    </row>
    <row r="336" spans="1:20" ht="12" hidden="1" outlineLevel="3" x14ac:dyDescent="0.2">
      <c r="A336" s="73" t="s">
        <v>978</v>
      </c>
      <c r="B336" s="71"/>
      <c r="C336" s="71"/>
      <c r="D336" s="72">
        <v>8653.7999999999993</v>
      </c>
      <c r="E336" s="71"/>
      <c r="F336" s="71"/>
      <c r="G336" s="71"/>
      <c r="H336" s="67" t="s">
        <v>195</v>
      </c>
      <c r="T336" s="91">
        <f t="shared" si="11"/>
        <v>8653.7999999999993</v>
      </c>
    </row>
    <row r="337" spans="1:20" ht="12" hidden="1" outlineLevel="3" x14ac:dyDescent="0.2">
      <c r="A337" s="73" t="s">
        <v>1149</v>
      </c>
      <c r="B337" s="71"/>
      <c r="C337" s="71"/>
      <c r="D337" s="72">
        <v>2163.4499999999998</v>
      </c>
      <c r="E337" s="71"/>
      <c r="F337" s="71"/>
      <c r="G337" s="71"/>
      <c r="H337" s="67" t="s">
        <v>196</v>
      </c>
      <c r="T337" s="91">
        <f t="shared" si="11"/>
        <v>2163.4499999999998</v>
      </c>
    </row>
    <row r="338" spans="1:20" ht="12" hidden="1" outlineLevel="3" x14ac:dyDescent="0.2">
      <c r="A338" s="73" t="s">
        <v>969</v>
      </c>
      <c r="B338" s="71"/>
      <c r="C338" s="71"/>
      <c r="D338" s="72">
        <v>5010.5</v>
      </c>
      <c r="E338" s="71"/>
      <c r="F338" s="71"/>
      <c r="G338" s="71"/>
      <c r="H338" s="67" t="s">
        <v>223</v>
      </c>
      <c r="T338" s="91">
        <f t="shared" si="11"/>
        <v>5010.5</v>
      </c>
    </row>
    <row r="339" spans="1:20" ht="12" hidden="1" outlineLevel="3" x14ac:dyDescent="0.2">
      <c r="A339" s="73" t="s">
        <v>968</v>
      </c>
      <c r="B339" s="71"/>
      <c r="C339" s="71"/>
      <c r="D339" s="72">
        <v>5010.5</v>
      </c>
      <c r="E339" s="71"/>
      <c r="F339" s="71"/>
      <c r="G339" s="71"/>
      <c r="H339" s="67" t="s">
        <v>224</v>
      </c>
      <c r="M339" s="67" t="s">
        <v>257</v>
      </c>
      <c r="T339" s="91">
        <f t="shared" si="11"/>
        <v>5010.5</v>
      </c>
    </row>
    <row r="340" spans="1:20" ht="12" hidden="1" outlineLevel="3" x14ac:dyDescent="0.2">
      <c r="A340" s="73" t="s">
        <v>1146</v>
      </c>
      <c r="B340" s="71"/>
      <c r="C340" s="71"/>
      <c r="D340" s="72">
        <v>22092.82</v>
      </c>
      <c r="E340" s="71"/>
      <c r="F340" s="71"/>
      <c r="G340" s="71"/>
      <c r="H340" s="67" t="s">
        <v>225</v>
      </c>
      <c r="T340" s="91">
        <f t="shared" si="11"/>
        <v>22092.82</v>
      </c>
    </row>
    <row r="341" spans="1:20" ht="12" hidden="1" outlineLevel="3" x14ac:dyDescent="0.2">
      <c r="A341" s="73" t="s">
        <v>1082</v>
      </c>
      <c r="B341" s="71"/>
      <c r="C341" s="71"/>
      <c r="D341" s="72">
        <v>5010.5</v>
      </c>
      <c r="E341" s="71"/>
      <c r="F341" s="71"/>
      <c r="G341" s="71"/>
      <c r="H341" s="67" t="s">
        <v>226</v>
      </c>
      <c r="T341" s="91">
        <f t="shared" si="11"/>
        <v>5010.5</v>
      </c>
    </row>
    <row r="342" spans="1:20" ht="12" hidden="1" outlineLevel="3" x14ac:dyDescent="0.2">
      <c r="A342" s="73" t="s">
        <v>1145</v>
      </c>
      <c r="B342" s="71"/>
      <c r="C342" s="71"/>
      <c r="D342" s="72">
        <v>5010.5</v>
      </c>
      <c r="E342" s="71"/>
      <c r="F342" s="71"/>
      <c r="G342" s="71"/>
      <c r="H342" s="67" t="s">
        <v>227</v>
      </c>
      <c r="T342" s="91">
        <f t="shared" si="11"/>
        <v>5010.5</v>
      </c>
    </row>
    <row r="343" spans="1:20" ht="12" hidden="1" outlineLevel="3" x14ac:dyDescent="0.2">
      <c r="A343" s="73" t="s">
        <v>1144</v>
      </c>
      <c r="B343" s="71"/>
      <c r="C343" s="71"/>
      <c r="D343" s="72">
        <v>5010.5</v>
      </c>
      <c r="E343" s="71"/>
      <c r="F343" s="71"/>
      <c r="G343" s="71"/>
      <c r="H343" s="67" t="s">
        <v>228</v>
      </c>
      <c r="T343" s="91">
        <f t="shared" si="11"/>
        <v>5010.5</v>
      </c>
    </row>
    <row r="344" spans="1:20" ht="12" hidden="1" outlineLevel="3" x14ac:dyDescent="0.2">
      <c r="A344" s="73" t="s">
        <v>1143</v>
      </c>
      <c r="B344" s="71"/>
      <c r="C344" s="71"/>
      <c r="D344" s="72">
        <v>5010.5</v>
      </c>
      <c r="E344" s="71"/>
      <c r="F344" s="71"/>
      <c r="G344" s="71"/>
      <c r="H344" s="67" t="s">
        <v>229</v>
      </c>
      <c r="T344" s="91">
        <f t="shared" si="11"/>
        <v>5010.5</v>
      </c>
    </row>
    <row r="345" spans="1:20" ht="12" hidden="1" outlineLevel="3" x14ac:dyDescent="0.2">
      <c r="A345" s="73" t="s">
        <v>1142</v>
      </c>
      <c r="B345" s="71"/>
      <c r="C345" s="71"/>
      <c r="D345" s="72">
        <v>5010.5</v>
      </c>
      <c r="E345" s="71"/>
      <c r="F345" s="71"/>
      <c r="G345" s="71"/>
      <c r="H345" s="67" t="s">
        <v>230</v>
      </c>
      <c r="T345" s="91">
        <f t="shared" si="11"/>
        <v>5010.5</v>
      </c>
    </row>
    <row r="346" spans="1:20" ht="12" hidden="1" outlineLevel="3" x14ac:dyDescent="0.2">
      <c r="A346" s="73" t="s">
        <v>1141</v>
      </c>
      <c r="B346" s="71"/>
      <c r="C346" s="71"/>
      <c r="D346" s="72">
        <v>5010.5</v>
      </c>
      <c r="E346" s="71"/>
      <c r="F346" s="71"/>
      <c r="G346" s="71"/>
      <c r="H346" s="67" t="s">
        <v>231</v>
      </c>
      <c r="T346" s="91">
        <f t="shared" si="11"/>
        <v>5010.5</v>
      </c>
    </row>
    <row r="347" spans="1:20" ht="12" hidden="1" outlineLevel="3" x14ac:dyDescent="0.2">
      <c r="A347" s="73" t="s">
        <v>939</v>
      </c>
      <c r="B347" s="71"/>
      <c r="C347" s="71"/>
      <c r="D347" s="72">
        <v>32801.31</v>
      </c>
      <c r="E347" s="71"/>
      <c r="F347" s="71"/>
      <c r="G347" s="71"/>
      <c r="H347" s="67" t="s">
        <v>232</v>
      </c>
      <c r="T347" s="91">
        <f t="shared" si="11"/>
        <v>32801.31</v>
      </c>
    </row>
    <row r="348" spans="1:20" ht="12" hidden="1" outlineLevel="3" x14ac:dyDescent="0.2">
      <c r="A348" s="73" t="s">
        <v>938</v>
      </c>
      <c r="B348" s="71"/>
      <c r="C348" s="71"/>
      <c r="D348" s="72">
        <v>45938.85</v>
      </c>
      <c r="E348" s="71"/>
      <c r="F348" s="71"/>
      <c r="G348" s="71"/>
      <c r="H348" s="67" t="s">
        <v>233</v>
      </c>
      <c r="T348" s="91">
        <f t="shared" si="11"/>
        <v>45938.85</v>
      </c>
    </row>
    <row r="349" spans="1:20" ht="12" hidden="1" outlineLevel="3" x14ac:dyDescent="0.2">
      <c r="A349" s="73" t="s">
        <v>1140</v>
      </c>
      <c r="B349" s="71"/>
      <c r="C349" s="71"/>
      <c r="D349" s="72">
        <v>5010.5</v>
      </c>
      <c r="E349" s="71"/>
      <c r="F349" s="71"/>
      <c r="G349" s="71"/>
      <c r="H349" s="67" t="s">
        <v>234</v>
      </c>
      <c r="T349" s="91">
        <f t="shared" si="11"/>
        <v>5010.5</v>
      </c>
    </row>
    <row r="350" spans="1:20" ht="12" hidden="1" outlineLevel="3" x14ac:dyDescent="0.2">
      <c r="A350" s="73" t="s">
        <v>967</v>
      </c>
      <c r="B350" s="71"/>
      <c r="C350" s="71"/>
      <c r="D350" s="72">
        <v>5010.5</v>
      </c>
      <c r="E350" s="71"/>
      <c r="F350" s="71"/>
      <c r="G350" s="71"/>
      <c r="H350" s="67" t="s">
        <v>235</v>
      </c>
      <c r="T350" s="91">
        <f t="shared" si="11"/>
        <v>5010.5</v>
      </c>
    </row>
    <row r="351" spans="1:20" ht="12" hidden="1" outlineLevel="3" x14ac:dyDescent="0.2">
      <c r="A351" s="73" t="s">
        <v>937</v>
      </c>
      <c r="B351" s="71"/>
      <c r="C351" s="71"/>
      <c r="D351" s="72">
        <v>5921.98</v>
      </c>
      <c r="E351" s="71"/>
      <c r="F351" s="71"/>
      <c r="G351" s="71"/>
      <c r="H351" s="67" t="s">
        <v>236</v>
      </c>
      <c r="T351" s="91">
        <f t="shared" si="11"/>
        <v>5921.98</v>
      </c>
    </row>
    <row r="352" spans="1:20" ht="12" hidden="1" outlineLevel="3" x14ac:dyDescent="0.2">
      <c r="A352" s="73" t="s">
        <v>1139</v>
      </c>
      <c r="B352" s="71"/>
      <c r="C352" s="71"/>
      <c r="D352" s="72">
        <v>5466.24</v>
      </c>
      <c r="E352" s="71"/>
      <c r="F352" s="71"/>
      <c r="G352" s="71"/>
      <c r="H352" s="67" t="s">
        <v>240</v>
      </c>
      <c r="T352" s="91">
        <f t="shared" si="11"/>
        <v>5466.24</v>
      </c>
    </row>
    <row r="353" spans="1:20" ht="12" hidden="1" outlineLevel="3" x14ac:dyDescent="0.2">
      <c r="A353" s="73" t="s">
        <v>1138</v>
      </c>
      <c r="B353" s="71"/>
      <c r="C353" s="71"/>
      <c r="D353" s="72">
        <v>5466.24</v>
      </c>
      <c r="E353" s="71"/>
      <c r="F353" s="71"/>
      <c r="G353" s="71"/>
      <c r="H353" s="67" t="s">
        <v>241</v>
      </c>
      <c r="T353" s="91">
        <f t="shared" si="11"/>
        <v>5466.24</v>
      </c>
    </row>
    <row r="354" spans="1:20" ht="12" hidden="1" outlineLevel="3" x14ac:dyDescent="0.2">
      <c r="A354" s="73" t="s">
        <v>1137</v>
      </c>
      <c r="B354" s="71"/>
      <c r="C354" s="71"/>
      <c r="D354" s="72">
        <v>5466.24</v>
      </c>
      <c r="E354" s="71"/>
      <c r="F354" s="71"/>
      <c r="G354" s="71"/>
      <c r="H354" s="67" t="s">
        <v>242</v>
      </c>
      <c r="T354" s="91">
        <f t="shared" si="11"/>
        <v>5466.24</v>
      </c>
    </row>
    <row r="355" spans="1:20" ht="12" hidden="1" outlineLevel="3" x14ac:dyDescent="0.2">
      <c r="A355" s="73" t="s">
        <v>1136</v>
      </c>
      <c r="B355" s="71"/>
      <c r="C355" s="71"/>
      <c r="D355" s="72">
        <v>5466.24</v>
      </c>
      <c r="E355" s="71"/>
      <c r="F355" s="71"/>
      <c r="G355" s="71"/>
      <c r="H355" s="67" t="s">
        <v>243</v>
      </c>
      <c r="T355" s="91">
        <f t="shared" si="11"/>
        <v>5466.24</v>
      </c>
    </row>
    <row r="356" spans="1:20" ht="12" hidden="1" outlineLevel="3" x14ac:dyDescent="0.2">
      <c r="A356" s="73" t="s">
        <v>1135</v>
      </c>
      <c r="B356" s="71"/>
      <c r="C356" s="71"/>
      <c r="D356" s="72">
        <v>5466.24</v>
      </c>
      <c r="E356" s="71"/>
      <c r="F356" s="71"/>
      <c r="G356" s="71"/>
      <c r="H356" s="67" t="s">
        <v>244</v>
      </c>
      <c r="T356" s="91">
        <f t="shared" si="11"/>
        <v>5466.24</v>
      </c>
    </row>
    <row r="357" spans="1:20" ht="12" hidden="1" outlineLevel="3" x14ac:dyDescent="0.2">
      <c r="A357" s="73" t="s">
        <v>1134</v>
      </c>
      <c r="B357" s="71"/>
      <c r="C357" s="71"/>
      <c r="D357" s="72">
        <v>5466.24</v>
      </c>
      <c r="E357" s="71"/>
      <c r="F357" s="71"/>
      <c r="G357" s="71"/>
      <c r="H357" s="67" t="s">
        <v>245</v>
      </c>
      <c r="T357" s="91">
        <f t="shared" si="11"/>
        <v>5466.24</v>
      </c>
    </row>
    <row r="358" spans="1:20" ht="12" hidden="1" outlineLevel="3" x14ac:dyDescent="0.2">
      <c r="A358" s="73" t="s">
        <v>1133</v>
      </c>
      <c r="B358" s="71"/>
      <c r="C358" s="71"/>
      <c r="D358" s="72">
        <v>5466.24</v>
      </c>
      <c r="E358" s="71"/>
      <c r="F358" s="71"/>
      <c r="G358" s="71"/>
      <c r="H358" s="67" t="s">
        <v>246</v>
      </c>
      <c r="T358" s="91">
        <f t="shared" si="11"/>
        <v>5466.24</v>
      </c>
    </row>
    <row r="359" spans="1:20" ht="12" hidden="1" outlineLevel="3" x14ac:dyDescent="0.2">
      <c r="A359" s="73" t="s">
        <v>1132</v>
      </c>
      <c r="B359" s="71"/>
      <c r="C359" s="71"/>
      <c r="D359" s="72">
        <v>10932.48</v>
      </c>
      <c r="E359" s="71"/>
      <c r="F359" s="71"/>
      <c r="G359" s="71"/>
      <c r="H359" s="67" t="s">
        <v>247</v>
      </c>
      <c r="T359" s="91">
        <f t="shared" si="11"/>
        <v>10932.48</v>
      </c>
    </row>
    <row r="360" spans="1:20" ht="12" hidden="1" outlineLevel="3" x14ac:dyDescent="0.2">
      <c r="A360" s="73" t="s">
        <v>1131</v>
      </c>
      <c r="B360" s="71"/>
      <c r="C360" s="71"/>
      <c r="D360" s="72">
        <v>25739.99</v>
      </c>
      <c r="E360" s="71"/>
      <c r="F360" s="71"/>
      <c r="G360" s="71"/>
      <c r="H360" s="67" t="s">
        <v>248</v>
      </c>
      <c r="T360" s="91">
        <f t="shared" si="11"/>
        <v>25739.99</v>
      </c>
    </row>
    <row r="361" spans="1:20" ht="12" hidden="1" outlineLevel="3" x14ac:dyDescent="0.2">
      <c r="A361" s="73" t="s">
        <v>936</v>
      </c>
      <c r="B361" s="71"/>
      <c r="C361" s="71"/>
      <c r="D361" s="72">
        <v>5466.24</v>
      </c>
      <c r="E361" s="71"/>
      <c r="F361" s="71"/>
      <c r="G361" s="71"/>
      <c r="H361" s="67" t="s">
        <v>237</v>
      </c>
      <c r="T361" s="91">
        <f t="shared" si="11"/>
        <v>5466.24</v>
      </c>
    </row>
    <row r="362" spans="1:20" ht="12" hidden="1" outlineLevel="3" x14ac:dyDescent="0.2">
      <c r="A362" s="73" t="s">
        <v>1124</v>
      </c>
      <c r="B362" s="71"/>
      <c r="C362" s="71"/>
      <c r="D362" s="72">
        <v>5010.5</v>
      </c>
      <c r="E362" s="71"/>
      <c r="F362" s="71"/>
      <c r="G362" s="71"/>
      <c r="H362" s="67" t="s">
        <v>238</v>
      </c>
      <c r="T362" s="91">
        <f t="shared" si="11"/>
        <v>5010.5</v>
      </c>
    </row>
    <row r="363" spans="1:20" ht="12" hidden="1" outlineLevel="3" x14ac:dyDescent="0.2">
      <c r="A363" s="73" t="s">
        <v>965</v>
      </c>
      <c r="B363" s="71"/>
      <c r="C363" s="71"/>
      <c r="D363" s="72">
        <v>4099.04</v>
      </c>
      <c r="E363" s="71"/>
      <c r="F363" s="71"/>
      <c r="G363" s="71"/>
      <c r="H363" s="67" t="s">
        <v>256</v>
      </c>
      <c r="T363" s="91">
        <f t="shared" si="11"/>
        <v>4099.04</v>
      </c>
    </row>
    <row r="364" spans="1:20" ht="12" hidden="1" outlineLevel="3" x14ac:dyDescent="0.2">
      <c r="A364" s="73" t="s">
        <v>1123</v>
      </c>
      <c r="B364" s="71"/>
      <c r="C364" s="71"/>
      <c r="D364" s="72">
        <v>5466.24</v>
      </c>
      <c r="E364" s="71"/>
      <c r="F364" s="71"/>
      <c r="G364" s="71"/>
      <c r="H364" s="67" t="s">
        <v>239</v>
      </c>
      <c r="T364" s="91">
        <f t="shared" si="11"/>
        <v>5466.24</v>
      </c>
    </row>
    <row r="365" spans="1:20" ht="12" hidden="1" outlineLevel="3" x14ac:dyDescent="0.2">
      <c r="A365" s="73" t="s">
        <v>1122</v>
      </c>
      <c r="B365" s="71"/>
      <c r="C365" s="71"/>
      <c r="D365" s="72">
        <v>11843.96</v>
      </c>
      <c r="E365" s="71"/>
      <c r="F365" s="71"/>
      <c r="G365" s="71"/>
      <c r="H365" s="67" t="s">
        <v>259</v>
      </c>
      <c r="T365" s="91">
        <f t="shared" si="11"/>
        <v>11843.96</v>
      </c>
    </row>
    <row r="366" spans="1:20" ht="12" hidden="1" outlineLevel="3" x14ac:dyDescent="0.2">
      <c r="A366" s="73" t="s">
        <v>1202</v>
      </c>
      <c r="B366" s="71"/>
      <c r="C366" s="71"/>
      <c r="D366" s="72">
        <v>5010.5</v>
      </c>
      <c r="E366" s="71"/>
      <c r="F366" s="71"/>
      <c r="G366" s="71"/>
      <c r="H366" s="67" t="s">
        <v>269</v>
      </c>
      <c r="T366" s="91">
        <f t="shared" si="11"/>
        <v>5010.5</v>
      </c>
    </row>
    <row r="367" spans="1:20" ht="12" hidden="1" outlineLevel="3" x14ac:dyDescent="0.2">
      <c r="A367" s="73" t="s">
        <v>1201</v>
      </c>
      <c r="B367" s="71"/>
      <c r="C367" s="71"/>
      <c r="D367" s="72">
        <v>10932.48</v>
      </c>
      <c r="E367" s="71"/>
      <c r="F367" s="71"/>
      <c r="G367" s="71"/>
      <c r="H367" s="67" t="s">
        <v>270</v>
      </c>
      <c r="T367" s="91">
        <f t="shared" si="11"/>
        <v>10932.48</v>
      </c>
    </row>
    <row r="368" spans="1:20" ht="12" hidden="1" outlineLevel="3" x14ac:dyDescent="0.2">
      <c r="A368" s="73" t="s">
        <v>1200</v>
      </c>
      <c r="B368" s="71"/>
      <c r="C368" s="71"/>
      <c r="D368" s="72">
        <v>10021</v>
      </c>
      <c r="E368" s="71"/>
      <c r="F368" s="71"/>
      <c r="G368" s="71"/>
      <c r="H368" s="67" t="s">
        <v>272</v>
      </c>
      <c r="T368" s="91">
        <f t="shared" si="11"/>
        <v>10021</v>
      </c>
    </row>
    <row r="369" spans="1:22" ht="12" hidden="1" outlineLevel="3" x14ac:dyDescent="0.2">
      <c r="A369" s="73" t="s">
        <v>1192</v>
      </c>
      <c r="B369" s="71"/>
      <c r="C369" s="71"/>
      <c r="D369" s="72">
        <v>15031.5</v>
      </c>
      <c r="E369" s="71"/>
      <c r="F369" s="71"/>
      <c r="G369" s="71"/>
      <c r="H369" s="67" t="s">
        <v>273</v>
      </c>
      <c r="T369" s="91">
        <f t="shared" si="11"/>
        <v>15031.5</v>
      </c>
    </row>
    <row r="370" spans="1:22" ht="12" hidden="1" outlineLevel="3" x14ac:dyDescent="0.2">
      <c r="A370" s="73" t="s">
        <v>1198</v>
      </c>
      <c r="B370" s="71"/>
      <c r="C370" s="71"/>
      <c r="D370" s="72">
        <v>5921.98</v>
      </c>
      <c r="E370" s="71"/>
      <c r="F370" s="71"/>
      <c r="G370" s="71"/>
      <c r="H370" s="67" t="s">
        <v>275</v>
      </c>
      <c r="T370" s="91">
        <f t="shared" si="11"/>
        <v>5921.98</v>
      </c>
    </row>
    <row r="371" spans="1:22" ht="12" hidden="1" outlineLevel="3" x14ac:dyDescent="0.2">
      <c r="A371" s="73" t="s">
        <v>1197</v>
      </c>
      <c r="B371" s="71"/>
      <c r="C371" s="71"/>
      <c r="D371" s="72">
        <v>5921.98</v>
      </c>
      <c r="E371" s="71"/>
      <c r="F371" s="71"/>
      <c r="G371" s="71"/>
      <c r="H371" s="67" t="s">
        <v>276</v>
      </c>
      <c r="T371" s="91">
        <f t="shared" si="11"/>
        <v>5921.98</v>
      </c>
    </row>
    <row r="372" spans="1:22" ht="12" hidden="1" outlineLevel="3" x14ac:dyDescent="0.2">
      <c r="A372" s="73" t="s">
        <v>1196</v>
      </c>
      <c r="B372" s="71"/>
      <c r="C372" s="71"/>
      <c r="D372" s="72">
        <v>24599.360000000001</v>
      </c>
      <c r="E372" s="71"/>
      <c r="F372" s="71"/>
      <c r="G372" s="71"/>
      <c r="H372" s="67" t="s">
        <v>271</v>
      </c>
      <c r="T372" s="91">
        <f t="shared" si="11"/>
        <v>24599.360000000001</v>
      </c>
    </row>
    <row r="373" spans="1:22" ht="12" hidden="1" outlineLevel="3" x14ac:dyDescent="0.2">
      <c r="A373" s="73" t="s">
        <v>1121</v>
      </c>
      <c r="B373" s="71"/>
      <c r="C373" s="71"/>
      <c r="D373" s="72">
        <v>5010.5</v>
      </c>
      <c r="E373" s="71"/>
      <c r="F373" s="71"/>
      <c r="G373" s="71"/>
      <c r="H373" s="67" t="s">
        <v>277</v>
      </c>
      <c r="T373" s="91">
        <f t="shared" si="11"/>
        <v>5010.5</v>
      </c>
    </row>
    <row r="374" spans="1:22" ht="12" hidden="1" outlineLevel="3" x14ac:dyDescent="0.2">
      <c r="A374" s="73" t="s">
        <v>1120</v>
      </c>
      <c r="B374" s="71"/>
      <c r="C374" s="71"/>
      <c r="D374" s="72">
        <v>2163.4499999999998</v>
      </c>
      <c r="E374" s="71"/>
      <c r="F374" s="71"/>
      <c r="G374" s="71"/>
      <c r="H374" s="67" t="s">
        <v>281</v>
      </c>
      <c r="T374" s="91">
        <f t="shared" si="11"/>
        <v>2163.4499999999998</v>
      </c>
    </row>
    <row r="375" spans="1:22" ht="12" hidden="1" outlineLevel="3" x14ac:dyDescent="0.2">
      <c r="A375" s="73" t="s">
        <v>1119</v>
      </c>
      <c r="B375" s="71"/>
      <c r="C375" s="71"/>
      <c r="D375" s="72">
        <v>4554.76</v>
      </c>
      <c r="E375" s="71"/>
      <c r="F375" s="71"/>
      <c r="G375" s="71"/>
      <c r="H375" s="67" t="s">
        <v>287</v>
      </c>
      <c r="T375" s="91">
        <f t="shared" si="11"/>
        <v>4554.76</v>
      </c>
    </row>
    <row r="376" spans="1:22" ht="12" hidden="1" outlineLevel="3" x14ac:dyDescent="0.2">
      <c r="A376" s="73" t="s">
        <v>1264</v>
      </c>
      <c r="B376" s="71"/>
      <c r="C376" s="71"/>
      <c r="D376" s="72">
        <v>139064.12</v>
      </c>
      <c r="E376" s="71"/>
      <c r="F376" s="71"/>
      <c r="G376" s="71"/>
      <c r="I376" s="91"/>
      <c r="J376" s="91"/>
      <c r="K376" s="91"/>
      <c r="T376" s="91"/>
      <c r="U376" s="91">
        <f t="shared" ref="U376" si="12">$D376</f>
        <v>139064.12</v>
      </c>
    </row>
    <row r="377" spans="1:22" ht="12" hidden="1" outlineLevel="3" x14ac:dyDescent="0.2">
      <c r="A377" s="73" t="s">
        <v>1118</v>
      </c>
      <c r="B377" s="71"/>
      <c r="C377" s="71"/>
      <c r="D377" s="72">
        <v>6832.14</v>
      </c>
      <c r="E377" s="71"/>
      <c r="F377" s="71"/>
      <c r="G377" s="71"/>
      <c r="H377" s="67" t="s">
        <v>284</v>
      </c>
      <c r="T377" s="91">
        <f t="shared" si="11"/>
        <v>6832.14</v>
      </c>
    </row>
    <row r="378" spans="1:22" ht="12" outlineLevel="2" collapsed="1" x14ac:dyDescent="0.2">
      <c r="A378" s="74" t="s">
        <v>1263</v>
      </c>
      <c r="B378" s="71"/>
      <c r="C378" s="71"/>
      <c r="D378" s="72">
        <v>449400</v>
      </c>
      <c r="E378" s="71"/>
      <c r="F378" s="71"/>
      <c r="G378" s="71"/>
      <c r="I378" s="243">
        <f t="shared" ref="I378" si="13">$D378</f>
        <v>449400</v>
      </c>
      <c r="J378" s="91"/>
      <c r="K378" s="91"/>
    </row>
    <row r="379" spans="1:22" ht="12" hidden="1" outlineLevel="3" x14ac:dyDescent="0.2">
      <c r="A379" s="73" t="s">
        <v>921</v>
      </c>
      <c r="B379" s="71"/>
      <c r="C379" s="71"/>
      <c r="D379" s="72">
        <v>449400</v>
      </c>
      <c r="E379" s="71"/>
      <c r="F379" s="71"/>
      <c r="G379" s="71"/>
    </row>
    <row r="380" spans="1:22" ht="36" outlineLevel="2" collapsed="1" x14ac:dyDescent="0.2">
      <c r="A380" s="74" t="s">
        <v>1262</v>
      </c>
      <c r="B380" s="71"/>
      <c r="C380" s="71"/>
      <c r="D380" s="72">
        <v>2065263.34</v>
      </c>
      <c r="E380" s="71"/>
      <c r="F380" s="71"/>
      <c r="G380" s="71"/>
    </row>
    <row r="381" spans="1:22" ht="12" hidden="1" outlineLevel="3" x14ac:dyDescent="0.2">
      <c r="A381" s="73" t="s">
        <v>919</v>
      </c>
      <c r="B381" s="71"/>
      <c r="C381" s="71"/>
      <c r="D381" s="72">
        <v>2065263.34</v>
      </c>
      <c r="E381" s="71"/>
      <c r="F381" s="71"/>
      <c r="G381" s="71"/>
      <c r="H381" s="67" t="s">
        <v>1335</v>
      </c>
      <c r="I381" s="91">
        <f>D381</f>
        <v>2065263.34</v>
      </c>
      <c r="V381" s="91">
        <f t="shared" ref="V381" si="14">$D381</f>
        <v>2065263.34</v>
      </c>
    </row>
    <row r="382" spans="1:22" ht="12" outlineLevel="2" collapsed="1" x14ac:dyDescent="0.2">
      <c r="A382" s="74" t="s">
        <v>1261</v>
      </c>
      <c r="B382" s="71"/>
      <c r="C382" s="71"/>
      <c r="D382" s="72">
        <v>114929.64</v>
      </c>
      <c r="E382" s="71"/>
      <c r="F382" s="71"/>
      <c r="G382" s="71"/>
      <c r="I382" s="243">
        <f t="shared" ref="I382" si="15">$D382</f>
        <v>114929.64</v>
      </c>
      <c r="J382" s="91"/>
      <c r="K382" s="91"/>
    </row>
    <row r="383" spans="1:22" ht="12" hidden="1" outlineLevel="3" x14ac:dyDescent="0.2">
      <c r="A383" s="73" t="s">
        <v>921</v>
      </c>
      <c r="B383" s="71"/>
      <c r="C383" s="71"/>
      <c r="D383" s="72">
        <v>114929.64</v>
      </c>
      <c r="E383" s="71"/>
      <c r="F383" s="71"/>
      <c r="G383" s="71"/>
    </row>
    <row r="384" spans="1:22" ht="12" outlineLevel="2" collapsed="1" x14ac:dyDescent="0.2">
      <c r="A384" s="74" t="s">
        <v>1260</v>
      </c>
      <c r="B384" s="71"/>
      <c r="C384" s="71"/>
      <c r="D384" s="72">
        <v>25225424.690000001</v>
      </c>
      <c r="E384" s="71"/>
      <c r="F384" s="71"/>
      <c r="G384" s="71"/>
      <c r="I384" s="243">
        <f t="shared" ref="I384" si="16">$D384</f>
        <v>25225424.690000001</v>
      </c>
      <c r="J384" s="91"/>
      <c r="K384" s="91"/>
    </row>
    <row r="385" spans="1:24" ht="12" hidden="1" outlineLevel="3" x14ac:dyDescent="0.2">
      <c r="A385" s="73" t="s">
        <v>921</v>
      </c>
      <c r="B385" s="71"/>
      <c r="C385" s="71"/>
      <c r="D385" s="72">
        <v>25225424.690000001</v>
      </c>
      <c r="E385" s="71"/>
      <c r="F385" s="71"/>
      <c r="G385" s="71"/>
    </row>
    <row r="386" spans="1:24" ht="12" outlineLevel="2" collapsed="1" x14ac:dyDescent="0.2">
      <c r="A386" s="74" t="s">
        <v>1259</v>
      </c>
      <c r="B386" s="71"/>
      <c r="C386" s="71"/>
      <c r="D386" s="72">
        <v>145500</v>
      </c>
      <c r="E386" s="71"/>
      <c r="F386" s="71"/>
      <c r="G386" s="71"/>
    </row>
    <row r="387" spans="1:24" ht="12" hidden="1" outlineLevel="3" x14ac:dyDescent="0.2">
      <c r="A387" s="73" t="s">
        <v>1054</v>
      </c>
      <c r="B387" s="71"/>
      <c r="C387" s="71"/>
      <c r="D387" s="72">
        <v>15000</v>
      </c>
      <c r="E387" s="71"/>
      <c r="F387" s="71"/>
      <c r="G387" s="71"/>
      <c r="H387" s="67" t="s">
        <v>147</v>
      </c>
      <c r="W387" s="91">
        <f t="shared" ref="W387:X402" si="17">$D387</f>
        <v>15000</v>
      </c>
    </row>
    <row r="388" spans="1:24" ht="12" hidden="1" outlineLevel="3" x14ac:dyDescent="0.2">
      <c r="A388" s="73" t="s">
        <v>1049</v>
      </c>
      <c r="B388" s="71"/>
      <c r="C388" s="71"/>
      <c r="D388" s="72">
        <v>9500</v>
      </c>
      <c r="E388" s="71"/>
      <c r="F388" s="71"/>
      <c r="G388" s="71"/>
      <c r="H388" s="4" t="s">
        <v>110</v>
      </c>
      <c r="W388" s="91">
        <f t="shared" si="17"/>
        <v>9500</v>
      </c>
    </row>
    <row r="389" spans="1:24" ht="12" hidden="1" outlineLevel="3" x14ac:dyDescent="0.2">
      <c r="A389" s="73" t="s">
        <v>1165</v>
      </c>
      <c r="B389" s="71"/>
      <c r="C389" s="71"/>
      <c r="D389" s="72">
        <v>30300</v>
      </c>
      <c r="E389" s="71"/>
      <c r="F389" s="71"/>
      <c r="G389" s="71"/>
      <c r="H389" s="4" t="s">
        <v>89</v>
      </c>
      <c r="W389" s="91">
        <f t="shared" si="17"/>
        <v>30300</v>
      </c>
    </row>
    <row r="390" spans="1:24" ht="12" hidden="1" outlineLevel="3" x14ac:dyDescent="0.2">
      <c r="A390" s="73" t="s">
        <v>1005</v>
      </c>
      <c r="B390" s="71"/>
      <c r="C390" s="71"/>
      <c r="D390" s="72">
        <v>15400</v>
      </c>
      <c r="E390" s="71"/>
      <c r="F390" s="71"/>
      <c r="G390" s="71"/>
      <c r="H390" s="4" t="s">
        <v>69</v>
      </c>
      <c r="W390" s="91">
        <f t="shared" si="17"/>
        <v>15400</v>
      </c>
    </row>
    <row r="391" spans="1:24" ht="12" hidden="1" outlineLevel="3" x14ac:dyDescent="0.2">
      <c r="A391" s="73" t="s">
        <v>988</v>
      </c>
      <c r="B391" s="71"/>
      <c r="C391" s="71"/>
      <c r="D391" s="72">
        <v>15000</v>
      </c>
      <c r="E391" s="71"/>
      <c r="F391" s="71"/>
      <c r="G391" s="71"/>
      <c r="H391" s="4" t="s">
        <v>182</v>
      </c>
      <c r="W391" s="91">
        <f t="shared" si="17"/>
        <v>15000</v>
      </c>
    </row>
    <row r="392" spans="1:24" ht="12" hidden="1" outlineLevel="3" x14ac:dyDescent="0.2">
      <c r="A392" s="73" t="s">
        <v>1142</v>
      </c>
      <c r="B392" s="71"/>
      <c r="C392" s="71"/>
      <c r="D392" s="72">
        <v>15000</v>
      </c>
      <c r="E392" s="71"/>
      <c r="F392" s="71"/>
      <c r="G392" s="71"/>
      <c r="H392" s="4" t="s">
        <v>230</v>
      </c>
      <c r="W392" s="91">
        <f t="shared" si="17"/>
        <v>15000</v>
      </c>
    </row>
    <row r="393" spans="1:24" ht="12" hidden="1" outlineLevel="3" x14ac:dyDescent="0.2">
      <c r="A393" s="73" t="s">
        <v>937</v>
      </c>
      <c r="B393" s="71"/>
      <c r="C393" s="71"/>
      <c r="D393" s="72">
        <v>15000</v>
      </c>
      <c r="E393" s="71"/>
      <c r="F393" s="71"/>
      <c r="G393" s="71"/>
      <c r="H393" s="4" t="s">
        <v>236</v>
      </c>
      <c r="W393" s="91">
        <f t="shared" si="17"/>
        <v>15000</v>
      </c>
    </row>
    <row r="394" spans="1:24" ht="12" hidden="1" outlineLevel="3" x14ac:dyDescent="0.2">
      <c r="A394" s="73" t="s">
        <v>1135</v>
      </c>
      <c r="B394" s="71"/>
      <c r="C394" s="71"/>
      <c r="D394" s="72">
        <v>15000</v>
      </c>
      <c r="E394" s="71"/>
      <c r="F394" s="71"/>
      <c r="G394" s="71"/>
      <c r="H394" s="4" t="s">
        <v>244</v>
      </c>
      <c r="W394" s="91">
        <f t="shared" si="17"/>
        <v>15000</v>
      </c>
    </row>
    <row r="395" spans="1:24" ht="12" hidden="1" outlineLevel="3" x14ac:dyDescent="0.2">
      <c r="A395" s="73" t="s">
        <v>1200</v>
      </c>
      <c r="B395" s="71"/>
      <c r="C395" s="71"/>
      <c r="D395" s="72">
        <v>15300</v>
      </c>
      <c r="E395" s="71"/>
      <c r="F395" s="71"/>
      <c r="G395" s="71"/>
      <c r="H395" s="4" t="s">
        <v>272</v>
      </c>
      <c r="W395" s="91">
        <f t="shared" si="17"/>
        <v>15300</v>
      </c>
    </row>
    <row r="396" spans="1:24" ht="12" outlineLevel="2" collapsed="1" x14ac:dyDescent="0.2">
      <c r="A396" s="74" t="s">
        <v>1258</v>
      </c>
      <c r="B396" s="71"/>
      <c r="C396" s="71"/>
      <c r="D396" s="72">
        <v>5220772.2699999996</v>
      </c>
      <c r="E396" s="71"/>
      <c r="F396" s="71"/>
      <c r="G396" s="71"/>
      <c r="X396" s="91"/>
    </row>
    <row r="397" spans="1:24" ht="12" hidden="1" outlineLevel="3" x14ac:dyDescent="0.2">
      <c r="A397" s="73" t="s">
        <v>1078</v>
      </c>
      <c r="B397" s="71"/>
      <c r="C397" s="71"/>
      <c r="D397" s="72">
        <v>33801.01</v>
      </c>
      <c r="E397" s="71"/>
      <c r="F397" s="71"/>
      <c r="G397" s="71"/>
      <c r="H397" s="4" t="s">
        <v>58</v>
      </c>
      <c r="X397" s="91">
        <f t="shared" si="17"/>
        <v>33801.01</v>
      </c>
    </row>
    <row r="398" spans="1:24" ht="12" hidden="1" outlineLevel="3" x14ac:dyDescent="0.2">
      <c r="A398" s="73" t="s">
        <v>1077</v>
      </c>
      <c r="B398" s="71"/>
      <c r="C398" s="71"/>
      <c r="D398" s="72">
        <v>24986.63</v>
      </c>
      <c r="E398" s="71"/>
      <c r="F398" s="71"/>
      <c r="G398" s="71"/>
      <c r="H398" s="4" t="s">
        <v>59</v>
      </c>
      <c r="X398" s="91">
        <f t="shared" si="17"/>
        <v>24986.63</v>
      </c>
    </row>
    <row r="399" spans="1:24" ht="12" hidden="1" outlineLevel="3" x14ac:dyDescent="0.2">
      <c r="A399" s="73" t="s">
        <v>954</v>
      </c>
      <c r="B399" s="71"/>
      <c r="C399" s="71"/>
      <c r="D399" s="72">
        <v>27377.43</v>
      </c>
      <c r="E399" s="71"/>
      <c r="F399" s="71"/>
      <c r="G399" s="71"/>
      <c r="H399" s="4" t="s">
        <v>60</v>
      </c>
      <c r="X399" s="91">
        <f t="shared" si="17"/>
        <v>27377.43</v>
      </c>
    </row>
    <row r="400" spans="1:24" ht="12" hidden="1" outlineLevel="3" x14ac:dyDescent="0.2">
      <c r="A400" s="73" t="s">
        <v>1076</v>
      </c>
      <c r="B400" s="71"/>
      <c r="C400" s="71"/>
      <c r="D400" s="72">
        <v>18430.45</v>
      </c>
      <c r="E400" s="71"/>
      <c r="F400" s="71"/>
      <c r="G400" s="71"/>
      <c r="H400" s="4" t="s">
        <v>61</v>
      </c>
      <c r="X400" s="91">
        <f t="shared" si="17"/>
        <v>18430.45</v>
      </c>
    </row>
    <row r="401" spans="1:24" ht="12" hidden="1" outlineLevel="3" x14ac:dyDescent="0.2">
      <c r="A401" s="73" t="s">
        <v>1075</v>
      </c>
      <c r="B401" s="71"/>
      <c r="C401" s="71"/>
      <c r="D401" s="72">
        <v>48563.81</v>
      </c>
      <c r="E401" s="71"/>
      <c r="F401" s="71"/>
      <c r="G401" s="71"/>
      <c r="H401" s="4" t="s">
        <v>62</v>
      </c>
      <c r="X401" s="91">
        <f t="shared" si="17"/>
        <v>48563.81</v>
      </c>
    </row>
    <row r="402" spans="1:24" ht="12" hidden="1" outlineLevel="3" x14ac:dyDescent="0.2">
      <c r="A402" s="73" t="s">
        <v>1074</v>
      </c>
      <c r="B402" s="71"/>
      <c r="C402" s="71"/>
      <c r="D402" s="72">
        <v>19633.400000000001</v>
      </c>
      <c r="E402" s="71"/>
      <c r="F402" s="71"/>
      <c r="G402" s="71"/>
      <c r="H402" s="4" t="s">
        <v>63</v>
      </c>
      <c r="X402" s="91">
        <f t="shared" si="17"/>
        <v>19633.400000000001</v>
      </c>
    </row>
    <row r="403" spans="1:24" ht="12" hidden="1" outlineLevel="3" x14ac:dyDescent="0.2">
      <c r="A403" s="73" t="s">
        <v>1073</v>
      </c>
      <c r="B403" s="71"/>
      <c r="C403" s="71"/>
      <c r="D403" s="72">
        <v>26760.560000000001</v>
      </c>
      <c r="E403" s="71"/>
      <c r="F403" s="71"/>
      <c r="G403" s="71"/>
      <c r="H403" s="4" t="s">
        <v>64</v>
      </c>
      <c r="X403" s="91">
        <f t="shared" ref="X403:X466" si="18">$D403</f>
        <v>26760.560000000001</v>
      </c>
    </row>
    <row r="404" spans="1:24" ht="12" hidden="1" outlineLevel="3" x14ac:dyDescent="0.2">
      <c r="A404" s="73" t="s">
        <v>928</v>
      </c>
      <c r="B404" s="71"/>
      <c r="C404" s="71"/>
      <c r="D404" s="72">
        <v>38406.75</v>
      </c>
      <c r="E404" s="71"/>
      <c r="F404" s="71"/>
      <c r="G404" s="71"/>
      <c r="H404" s="31" t="s">
        <v>333</v>
      </c>
      <c r="X404" s="91">
        <f t="shared" si="18"/>
        <v>38406.75</v>
      </c>
    </row>
    <row r="405" spans="1:24" ht="12" hidden="1" outlineLevel="3" x14ac:dyDescent="0.2">
      <c r="A405" s="73" t="s">
        <v>1186</v>
      </c>
      <c r="B405" s="71"/>
      <c r="C405" s="71"/>
      <c r="D405" s="72">
        <v>6699.86</v>
      </c>
      <c r="E405" s="71"/>
      <c r="F405" s="71"/>
      <c r="G405" s="71"/>
      <c r="H405" s="4" t="s">
        <v>291</v>
      </c>
      <c r="X405" s="91">
        <f t="shared" si="18"/>
        <v>6699.86</v>
      </c>
    </row>
    <row r="406" spans="1:24" ht="12" hidden="1" outlineLevel="3" x14ac:dyDescent="0.2">
      <c r="A406" s="73" t="s">
        <v>1185</v>
      </c>
      <c r="B406" s="71"/>
      <c r="C406" s="71"/>
      <c r="D406" s="72">
        <v>6699.86</v>
      </c>
      <c r="E406" s="71"/>
      <c r="F406" s="71"/>
      <c r="G406" s="71"/>
      <c r="H406" s="4" t="s">
        <v>292</v>
      </c>
      <c r="X406" s="91">
        <f t="shared" si="18"/>
        <v>6699.86</v>
      </c>
    </row>
    <row r="407" spans="1:24" ht="12" hidden="1" outlineLevel="3" x14ac:dyDescent="0.2">
      <c r="A407" s="73" t="s">
        <v>1184</v>
      </c>
      <c r="B407" s="71"/>
      <c r="C407" s="71"/>
      <c r="D407" s="72">
        <v>19257.79</v>
      </c>
      <c r="E407" s="71"/>
      <c r="F407" s="71"/>
      <c r="G407" s="71"/>
      <c r="H407" s="4" t="s">
        <v>290</v>
      </c>
      <c r="X407" s="91">
        <f t="shared" si="18"/>
        <v>19257.79</v>
      </c>
    </row>
    <row r="408" spans="1:24" ht="12" hidden="1" outlineLevel="3" x14ac:dyDescent="0.2">
      <c r="A408" s="73" t="s">
        <v>1072</v>
      </c>
      <c r="B408" s="71"/>
      <c r="C408" s="71"/>
      <c r="D408" s="72">
        <v>24332.82</v>
      </c>
      <c r="E408" s="71"/>
      <c r="F408" s="71"/>
      <c r="G408" s="71"/>
      <c r="H408" s="4" t="s">
        <v>278</v>
      </c>
      <c r="X408" s="91">
        <f t="shared" si="18"/>
        <v>24332.82</v>
      </c>
    </row>
    <row r="409" spans="1:24" ht="12" hidden="1" outlineLevel="3" x14ac:dyDescent="0.2">
      <c r="A409" s="73" t="s">
        <v>1071</v>
      </c>
      <c r="B409" s="71"/>
      <c r="C409" s="71"/>
      <c r="D409" s="72">
        <v>65474.02</v>
      </c>
      <c r="E409" s="71"/>
      <c r="F409" s="71"/>
      <c r="G409" s="71"/>
      <c r="H409" s="4" t="s">
        <v>280</v>
      </c>
      <c r="X409" s="91">
        <f t="shared" si="18"/>
        <v>65474.02</v>
      </c>
    </row>
    <row r="410" spans="1:24" ht="12" hidden="1" outlineLevel="3" x14ac:dyDescent="0.2">
      <c r="A410" s="73" t="s">
        <v>1070</v>
      </c>
      <c r="B410" s="71"/>
      <c r="C410" s="71"/>
      <c r="D410" s="72">
        <v>7719.1</v>
      </c>
      <c r="E410" s="71"/>
      <c r="F410" s="71"/>
      <c r="G410" s="71"/>
      <c r="H410" s="4" t="s">
        <v>878</v>
      </c>
      <c r="X410" s="91">
        <f t="shared" si="18"/>
        <v>7719.1</v>
      </c>
    </row>
    <row r="411" spans="1:24" ht="12" hidden="1" outlineLevel="3" x14ac:dyDescent="0.2">
      <c r="A411" s="73" t="s">
        <v>1069</v>
      </c>
      <c r="B411" s="71"/>
      <c r="C411" s="71"/>
      <c r="D411" s="72">
        <v>8525.9699999999993</v>
      </c>
      <c r="E411" s="71"/>
      <c r="F411" s="71"/>
      <c r="G411" s="71"/>
      <c r="H411" s="4" t="s">
        <v>879</v>
      </c>
      <c r="X411" s="91">
        <f t="shared" si="18"/>
        <v>8525.9699999999993</v>
      </c>
    </row>
    <row r="412" spans="1:24" ht="12" hidden="1" outlineLevel="3" x14ac:dyDescent="0.2">
      <c r="A412" s="73" t="s">
        <v>1182</v>
      </c>
      <c r="B412" s="71"/>
      <c r="C412" s="71"/>
      <c r="D412" s="72">
        <v>2777.32</v>
      </c>
      <c r="E412" s="71"/>
      <c r="F412" s="71"/>
      <c r="G412" s="71"/>
      <c r="H412" s="4" t="s">
        <v>1336</v>
      </c>
      <c r="X412" s="91">
        <f t="shared" si="18"/>
        <v>2777.32</v>
      </c>
    </row>
    <row r="413" spans="1:24" ht="12" hidden="1" outlineLevel="3" x14ac:dyDescent="0.2">
      <c r="A413" s="73" t="s">
        <v>1068</v>
      </c>
      <c r="B413" s="71"/>
      <c r="C413" s="71"/>
      <c r="D413" s="72">
        <v>5700.84</v>
      </c>
      <c r="E413" s="71"/>
      <c r="F413" s="71"/>
      <c r="G413" s="71"/>
      <c r="H413" s="4" t="s">
        <v>50</v>
      </c>
      <c r="X413" s="91">
        <f t="shared" si="18"/>
        <v>5700.84</v>
      </c>
    </row>
    <row r="414" spans="1:24" ht="12" hidden="1" outlineLevel="3" x14ac:dyDescent="0.2">
      <c r="A414" s="73" t="s">
        <v>1181</v>
      </c>
      <c r="B414" s="71"/>
      <c r="C414" s="71"/>
      <c r="D414" s="72">
        <v>9458.51</v>
      </c>
      <c r="E414" s="71"/>
      <c r="F414" s="71"/>
      <c r="G414" s="71"/>
      <c r="H414" s="4" t="s">
        <v>1337</v>
      </c>
      <c r="X414" s="91">
        <f t="shared" si="18"/>
        <v>9458.51</v>
      </c>
    </row>
    <row r="415" spans="1:24" ht="12" hidden="1" outlineLevel="3" x14ac:dyDescent="0.2">
      <c r="A415" s="73" t="s">
        <v>1067</v>
      </c>
      <c r="B415" s="71"/>
      <c r="C415" s="71"/>
      <c r="D415" s="72">
        <v>3152.22</v>
      </c>
      <c r="E415" s="71"/>
      <c r="F415" s="71"/>
      <c r="G415" s="71"/>
      <c r="H415" s="4" t="s">
        <v>1338</v>
      </c>
      <c r="X415" s="91">
        <f t="shared" si="18"/>
        <v>3152.22</v>
      </c>
    </row>
    <row r="416" spans="1:24" ht="12" hidden="1" outlineLevel="3" x14ac:dyDescent="0.2">
      <c r="A416" s="73" t="s">
        <v>1066</v>
      </c>
      <c r="B416" s="71"/>
      <c r="C416" s="71"/>
      <c r="D416" s="72">
        <v>15607.92</v>
      </c>
      <c r="E416" s="71"/>
      <c r="F416" s="71"/>
      <c r="G416" s="71"/>
      <c r="H416" s="4" t="s">
        <v>53</v>
      </c>
      <c r="X416" s="91">
        <f t="shared" si="18"/>
        <v>15607.92</v>
      </c>
    </row>
    <row r="417" spans="1:24" ht="12" hidden="1" outlineLevel="3" x14ac:dyDescent="0.2">
      <c r="A417" s="73" t="s">
        <v>1180</v>
      </c>
      <c r="B417" s="71"/>
      <c r="C417" s="71"/>
      <c r="D417" s="72">
        <v>9458.51</v>
      </c>
      <c r="E417" s="71"/>
      <c r="F417" s="71"/>
      <c r="G417" s="71"/>
      <c r="H417" s="4" t="s">
        <v>1339</v>
      </c>
      <c r="X417" s="91">
        <f t="shared" si="18"/>
        <v>9458.51</v>
      </c>
    </row>
    <row r="418" spans="1:24" ht="12" hidden="1" outlineLevel="3" x14ac:dyDescent="0.2">
      <c r="A418" s="73" t="s">
        <v>1062</v>
      </c>
      <c r="B418" s="71"/>
      <c r="C418" s="71"/>
      <c r="D418" s="72">
        <v>50060.13</v>
      </c>
      <c r="E418" s="71"/>
      <c r="F418" s="71"/>
      <c r="G418" s="71"/>
      <c r="H418" s="4" t="s">
        <v>139</v>
      </c>
      <c r="X418" s="91">
        <f t="shared" si="18"/>
        <v>50060.13</v>
      </c>
    </row>
    <row r="419" spans="1:24" ht="12" hidden="1" outlineLevel="3" x14ac:dyDescent="0.2">
      <c r="A419" s="73" t="s">
        <v>1062</v>
      </c>
      <c r="B419" s="71"/>
      <c r="C419" s="71"/>
      <c r="D419" s="72">
        <v>54757.95</v>
      </c>
      <c r="E419" s="71"/>
      <c r="F419" s="71"/>
      <c r="G419" s="71"/>
      <c r="H419" s="4" t="s">
        <v>139</v>
      </c>
      <c r="X419" s="91">
        <f t="shared" si="18"/>
        <v>54757.95</v>
      </c>
    </row>
    <row r="420" spans="1:24" ht="12" hidden="1" outlineLevel="3" x14ac:dyDescent="0.2">
      <c r="A420" s="73" t="s">
        <v>1061</v>
      </c>
      <c r="B420" s="71"/>
      <c r="C420" s="71"/>
      <c r="D420" s="72">
        <v>51914.61</v>
      </c>
      <c r="E420" s="71"/>
      <c r="F420" s="71"/>
      <c r="G420" s="71"/>
      <c r="H420" s="4" t="s">
        <v>140</v>
      </c>
      <c r="X420" s="91">
        <f t="shared" si="18"/>
        <v>51914.61</v>
      </c>
    </row>
    <row r="421" spans="1:24" ht="12" hidden="1" outlineLevel="3" x14ac:dyDescent="0.2">
      <c r="A421" s="73" t="s">
        <v>1060</v>
      </c>
      <c r="B421" s="71"/>
      <c r="C421" s="71"/>
      <c r="D421" s="72">
        <v>52794.29</v>
      </c>
      <c r="E421" s="71"/>
      <c r="F421" s="71"/>
      <c r="G421" s="71"/>
      <c r="H421" s="4" t="s">
        <v>141</v>
      </c>
      <c r="X421" s="91">
        <f t="shared" si="18"/>
        <v>52794.29</v>
      </c>
    </row>
    <row r="422" spans="1:24" ht="12" hidden="1" outlineLevel="3" x14ac:dyDescent="0.2">
      <c r="A422" s="73" t="s">
        <v>1059</v>
      </c>
      <c r="B422" s="71"/>
      <c r="C422" s="71"/>
      <c r="D422" s="72">
        <v>57314.720000000001</v>
      </c>
      <c r="E422" s="71"/>
      <c r="F422" s="71"/>
      <c r="G422" s="71"/>
      <c r="H422" s="4" t="s">
        <v>142</v>
      </c>
      <c r="X422" s="91">
        <f t="shared" si="18"/>
        <v>57314.720000000001</v>
      </c>
    </row>
    <row r="423" spans="1:24" ht="12" hidden="1" outlineLevel="3" x14ac:dyDescent="0.2">
      <c r="A423" s="73" t="s">
        <v>1052</v>
      </c>
      <c r="B423" s="71"/>
      <c r="C423" s="71"/>
      <c r="D423" s="72">
        <v>59347.62</v>
      </c>
      <c r="E423" s="71"/>
      <c r="F423" s="71"/>
      <c r="G423" s="71"/>
      <c r="H423" s="4" t="s">
        <v>133</v>
      </c>
      <c r="X423" s="91">
        <f t="shared" si="18"/>
        <v>59347.62</v>
      </c>
    </row>
    <row r="424" spans="1:24" ht="12" hidden="1" outlineLevel="3" x14ac:dyDescent="0.2">
      <c r="A424" s="73" t="s">
        <v>1051</v>
      </c>
      <c r="B424" s="71"/>
      <c r="C424" s="71"/>
      <c r="D424" s="72">
        <v>49602.3</v>
      </c>
      <c r="E424" s="71"/>
      <c r="F424" s="71"/>
      <c r="G424" s="71"/>
      <c r="H424" s="4" t="s">
        <v>134</v>
      </c>
      <c r="X424" s="91">
        <f t="shared" si="18"/>
        <v>49602.3</v>
      </c>
    </row>
    <row r="425" spans="1:24" ht="12" hidden="1" outlineLevel="3" x14ac:dyDescent="0.2">
      <c r="A425" s="73" t="s">
        <v>1050</v>
      </c>
      <c r="B425" s="71"/>
      <c r="C425" s="71"/>
      <c r="D425" s="72">
        <v>105798.31</v>
      </c>
      <c r="E425" s="71"/>
      <c r="F425" s="71"/>
      <c r="G425" s="71"/>
      <c r="H425" s="4" t="s">
        <v>135</v>
      </c>
      <c r="X425" s="91">
        <f t="shared" si="18"/>
        <v>105798.31</v>
      </c>
    </row>
    <row r="426" spans="1:24" ht="12" hidden="1" outlineLevel="3" x14ac:dyDescent="0.2">
      <c r="A426" s="73" t="s">
        <v>1170</v>
      </c>
      <c r="B426" s="71"/>
      <c r="C426" s="71"/>
      <c r="D426" s="72">
        <v>97585.68</v>
      </c>
      <c r="E426" s="71"/>
      <c r="F426" s="71"/>
      <c r="G426" s="71"/>
      <c r="H426" s="4" t="s">
        <v>127</v>
      </c>
      <c r="X426" s="91">
        <f t="shared" si="18"/>
        <v>97585.68</v>
      </c>
    </row>
    <row r="427" spans="1:24" ht="12" hidden="1" outlineLevel="3" x14ac:dyDescent="0.2">
      <c r="A427" s="73" t="s">
        <v>1044</v>
      </c>
      <c r="B427" s="71"/>
      <c r="C427" s="71"/>
      <c r="D427" s="72">
        <v>84192.55</v>
      </c>
      <c r="E427" s="71"/>
      <c r="F427" s="71"/>
      <c r="G427" s="71"/>
      <c r="H427" s="4" t="s">
        <v>129</v>
      </c>
      <c r="X427" s="91">
        <f t="shared" si="18"/>
        <v>84192.55</v>
      </c>
    </row>
    <row r="428" spans="1:24" ht="12" hidden="1" outlineLevel="3" x14ac:dyDescent="0.2">
      <c r="A428" s="73" t="s">
        <v>1043</v>
      </c>
      <c r="B428" s="71"/>
      <c r="C428" s="71"/>
      <c r="D428" s="72">
        <v>91586.11</v>
      </c>
      <c r="E428" s="71"/>
      <c r="F428" s="71"/>
      <c r="G428" s="71"/>
      <c r="H428" s="4" t="s">
        <v>130</v>
      </c>
      <c r="X428" s="91">
        <f t="shared" si="18"/>
        <v>91586.11</v>
      </c>
    </row>
    <row r="429" spans="1:24" ht="12" hidden="1" outlineLevel="3" x14ac:dyDescent="0.2">
      <c r="A429" s="73" t="s">
        <v>1221</v>
      </c>
      <c r="B429" s="71"/>
      <c r="C429" s="71"/>
      <c r="D429" s="72">
        <v>36232.25</v>
      </c>
      <c r="E429" s="71"/>
      <c r="F429" s="71"/>
      <c r="G429" s="71"/>
      <c r="H429" s="4" t="s">
        <v>78</v>
      </c>
      <c r="X429" s="91">
        <f t="shared" si="18"/>
        <v>36232.25</v>
      </c>
    </row>
    <row r="430" spans="1:24" ht="12" hidden="1" outlineLevel="3" x14ac:dyDescent="0.2">
      <c r="A430" s="73" t="s">
        <v>951</v>
      </c>
      <c r="B430" s="71"/>
      <c r="C430" s="71"/>
      <c r="D430" s="72">
        <v>17703.759999999998</v>
      </c>
      <c r="E430" s="71"/>
      <c r="F430" s="71"/>
      <c r="G430" s="71"/>
      <c r="H430" s="4" t="s">
        <v>79</v>
      </c>
      <c r="X430" s="91">
        <f t="shared" si="18"/>
        <v>17703.759999999998</v>
      </c>
    </row>
    <row r="431" spans="1:24" ht="12" hidden="1" outlineLevel="3" x14ac:dyDescent="0.2">
      <c r="A431" s="73" t="s">
        <v>1218</v>
      </c>
      <c r="B431" s="71"/>
      <c r="C431" s="71"/>
      <c r="D431" s="72">
        <v>51315.92</v>
      </c>
      <c r="E431" s="71"/>
      <c r="F431" s="71"/>
      <c r="G431" s="71"/>
      <c r="H431" s="4" t="s">
        <v>80</v>
      </c>
      <c r="X431" s="91">
        <f t="shared" si="18"/>
        <v>51315.92</v>
      </c>
    </row>
    <row r="432" spans="1:24" ht="12" hidden="1" outlineLevel="3" x14ac:dyDescent="0.2">
      <c r="A432" s="73" t="s">
        <v>1038</v>
      </c>
      <c r="B432" s="71"/>
      <c r="C432" s="71"/>
      <c r="D432" s="72">
        <v>11020.74</v>
      </c>
      <c r="E432" s="71"/>
      <c r="F432" s="71"/>
      <c r="G432" s="71"/>
      <c r="H432" s="4" t="s">
        <v>90</v>
      </c>
      <c r="X432" s="91">
        <f t="shared" si="18"/>
        <v>11020.74</v>
      </c>
    </row>
    <row r="433" spans="1:24" ht="12" hidden="1" outlineLevel="3" x14ac:dyDescent="0.2">
      <c r="A433" s="73" t="s">
        <v>1037</v>
      </c>
      <c r="B433" s="71"/>
      <c r="C433" s="71"/>
      <c r="D433" s="72">
        <v>99409.64</v>
      </c>
      <c r="E433" s="71"/>
      <c r="F433" s="71"/>
      <c r="G433" s="71"/>
      <c r="H433" s="4" t="s">
        <v>93</v>
      </c>
      <c r="X433" s="91">
        <f t="shared" si="18"/>
        <v>99409.64</v>
      </c>
    </row>
    <row r="434" spans="1:24" ht="12" hidden="1" outlineLevel="3" x14ac:dyDescent="0.2">
      <c r="A434" s="73" t="s">
        <v>1036</v>
      </c>
      <c r="B434" s="71"/>
      <c r="C434" s="71"/>
      <c r="D434" s="72">
        <v>50395.03</v>
      </c>
      <c r="E434" s="71"/>
      <c r="F434" s="71"/>
      <c r="G434" s="71"/>
      <c r="H434" s="4" t="s">
        <v>94</v>
      </c>
      <c r="X434" s="91">
        <f t="shared" si="18"/>
        <v>50395.03</v>
      </c>
    </row>
    <row r="435" spans="1:24" ht="12" hidden="1" outlineLevel="3" x14ac:dyDescent="0.2">
      <c r="A435" s="73" t="s">
        <v>1035</v>
      </c>
      <c r="B435" s="71"/>
      <c r="C435" s="71"/>
      <c r="D435" s="72">
        <v>263066.3</v>
      </c>
      <c r="E435" s="71"/>
      <c r="F435" s="71"/>
      <c r="G435" s="71"/>
      <c r="H435" s="4" t="s">
        <v>95</v>
      </c>
      <c r="X435" s="91">
        <f t="shared" si="18"/>
        <v>263066.3</v>
      </c>
    </row>
    <row r="436" spans="1:24" ht="12" hidden="1" outlineLevel="3" x14ac:dyDescent="0.2">
      <c r="A436" s="73" t="s">
        <v>1034</v>
      </c>
      <c r="B436" s="71"/>
      <c r="C436" s="71"/>
      <c r="D436" s="72">
        <v>128990.25</v>
      </c>
      <c r="E436" s="71"/>
      <c r="F436" s="71"/>
      <c r="G436" s="71"/>
      <c r="H436" s="4" t="s">
        <v>91</v>
      </c>
      <c r="X436" s="91">
        <f t="shared" si="18"/>
        <v>128990.25</v>
      </c>
    </row>
    <row r="437" spans="1:24" ht="12" hidden="1" outlineLevel="3" x14ac:dyDescent="0.2">
      <c r="A437" s="73" t="s">
        <v>1033</v>
      </c>
      <c r="B437" s="71"/>
      <c r="C437" s="71"/>
      <c r="D437" s="72">
        <v>50347.07</v>
      </c>
      <c r="E437" s="71"/>
      <c r="F437" s="71"/>
      <c r="G437" s="71"/>
      <c r="H437" s="4" t="s">
        <v>96</v>
      </c>
      <c r="X437" s="91">
        <f t="shared" si="18"/>
        <v>50347.07</v>
      </c>
    </row>
    <row r="438" spans="1:24" ht="12" hidden="1" outlineLevel="3" x14ac:dyDescent="0.2">
      <c r="A438" s="73" t="s">
        <v>1032</v>
      </c>
      <c r="B438" s="71"/>
      <c r="C438" s="71"/>
      <c r="D438" s="72">
        <v>41359.519999999997</v>
      </c>
      <c r="E438" s="71"/>
      <c r="F438" s="71"/>
      <c r="G438" s="71"/>
      <c r="H438" s="4" t="s">
        <v>97</v>
      </c>
      <c r="X438" s="91">
        <f t="shared" si="18"/>
        <v>41359.519999999997</v>
      </c>
    </row>
    <row r="439" spans="1:24" ht="12" hidden="1" outlineLevel="3" x14ac:dyDescent="0.2">
      <c r="A439" s="73" t="s">
        <v>1031</v>
      </c>
      <c r="B439" s="71"/>
      <c r="C439" s="71"/>
      <c r="D439" s="72">
        <v>32942.17</v>
      </c>
      <c r="E439" s="71"/>
      <c r="F439" s="71"/>
      <c r="G439" s="71"/>
      <c r="H439" s="4" t="s">
        <v>98</v>
      </c>
      <c r="X439" s="91">
        <f t="shared" si="18"/>
        <v>32942.17</v>
      </c>
    </row>
    <row r="440" spans="1:24" ht="12" hidden="1" outlineLevel="3" x14ac:dyDescent="0.2">
      <c r="A440" s="73" t="s">
        <v>1030</v>
      </c>
      <c r="B440" s="71"/>
      <c r="C440" s="71"/>
      <c r="D440" s="72">
        <v>68334.36</v>
      </c>
      <c r="E440" s="71"/>
      <c r="F440" s="71"/>
      <c r="G440" s="71"/>
      <c r="H440" s="4" t="s">
        <v>92</v>
      </c>
      <c r="X440" s="91">
        <f t="shared" si="18"/>
        <v>68334.36</v>
      </c>
    </row>
    <row r="441" spans="1:24" ht="12" hidden="1" outlineLevel="3" x14ac:dyDescent="0.2">
      <c r="A441" s="73" t="s">
        <v>1029</v>
      </c>
      <c r="B441" s="71"/>
      <c r="C441" s="71"/>
      <c r="D441" s="72">
        <v>163156.66</v>
      </c>
      <c r="E441" s="71"/>
      <c r="F441" s="71"/>
      <c r="G441" s="71"/>
      <c r="H441" s="4" t="s">
        <v>153</v>
      </c>
      <c r="X441" s="91">
        <f t="shared" si="18"/>
        <v>163156.66</v>
      </c>
    </row>
    <row r="442" spans="1:24" ht="12" hidden="1" outlineLevel="3" x14ac:dyDescent="0.2">
      <c r="A442" s="73" t="s">
        <v>1028</v>
      </c>
      <c r="B442" s="71"/>
      <c r="C442" s="71"/>
      <c r="D442" s="72">
        <v>18561.03</v>
      </c>
      <c r="E442" s="71"/>
      <c r="F442" s="71"/>
      <c r="G442" s="71"/>
      <c r="H442" s="4" t="s">
        <v>154</v>
      </c>
      <c r="X442" s="91">
        <f t="shared" si="18"/>
        <v>18561.03</v>
      </c>
    </row>
    <row r="443" spans="1:24" ht="12" hidden="1" outlineLevel="3" x14ac:dyDescent="0.2">
      <c r="A443" s="73" t="s">
        <v>1027</v>
      </c>
      <c r="B443" s="71"/>
      <c r="C443" s="71"/>
      <c r="D443" s="72">
        <v>7863.87</v>
      </c>
      <c r="E443" s="71"/>
      <c r="F443" s="71"/>
      <c r="G443" s="71"/>
      <c r="H443" s="4" t="s">
        <v>155</v>
      </c>
      <c r="X443" s="91">
        <f t="shared" si="18"/>
        <v>7863.87</v>
      </c>
    </row>
    <row r="444" spans="1:24" ht="12" hidden="1" outlineLevel="3" x14ac:dyDescent="0.2">
      <c r="A444" s="73" t="s">
        <v>1026</v>
      </c>
      <c r="B444" s="71"/>
      <c r="C444" s="71"/>
      <c r="D444" s="72">
        <v>18561.03</v>
      </c>
      <c r="E444" s="71"/>
      <c r="F444" s="71"/>
      <c r="G444" s="71"/>
      <c r="H444" s="4" t="s">
        <v>156</v>
      </c>
      <c r="X444" s="91">
        <f t="shared" si="18"/>
        <v>18561.03</v>
      </c>
    </row>
    <row r="445" spans="1:24" ht="12" hidden="1" outlineLevel="3" x14ac:dyDescent="0.2">
      <c r="A445" s="73" t="s">
        <v>1025</v>
      </c>
      <c r="B445" s="71"/>
      <c r="C445" s="71"/>
      <c r="D445" s="72">
        <v>50216.25</v>
      </c>
      <c r="E445" s="71"/>
      <c r="F445" s="71"/>
      <c r="G445" s="71"/>
      <c r="H445" s="4" t="s">
        <v>157</v>
      </c>
      <c r="X445" s="91">
        <f t="shared" si="18"/>
        <v>50216.25</v>
      </c>
    </row>
    <row r="446" spans="1:24" ht="12" hidden="1" outlineLevel="3" x14ac:dyDescent="0.2">
      <c r="A446" s="73" t="s">
        <v>1024</v>
      </c>
      <c r="B446" s="71"/>
      <c r="C446" s="71"/>
      <c r="D446" s="72">
        <v>121362.66</v>
      </c>
      <c r="E446" s="71"/>
      <c r="F446" s="71"/>
      <c r="G446" s="71"/>
      <c r="H446" s="4" t="s">
        <v>158</v>
      </c>
      <c r="X446" s="91">
        <f t="shared" si="18"/>
        <v>121362.66</v>
      </c>
    </row>
    <row r="447" spans="1:24" ht="12" hidden="1" outlineLevel="3" x14ac:dyDescent="0.2">
      <c r="A447" s="73" t="s">
        <v>1023</v>
      </c>
      <c r="B447" s="71"/>
      <c r="C447" s="71"/>
      <c r="D447" s="72">
        <v>80382.649999999994</v>
      </c>
      <c r="E447" s="71"/>
      <c r="F447" s="71"/>
      <c r="G447" s="71"/>
      <c r="H447" s="4" t="s">
        <v>159</v>
      </c>
      <c r="X447" s="91">
        <f t="shared" si="18"/>
        <v>80382.649999999994</v>
      </c>
    </row>
    <row r="448" spans="1:24" ht="12" hidden="1" outlineLevel="3" x14ac:dyDescent="0.2">
      <c r="A448" s="73" t="s">
        <v>1022</v>
      </c>
      <c r="B448" s="71"/>
      <c r="C448" s="71"/>
      <c r="D448" s="72">
        <v>38791.620000000003</v>
      </c>
      <c r="E448" s="71"/>
      <c r="F448" s="71"/>
      <c r="G448" s="71"/>
      <c r="H448" s="4" t="s">
        <v>160</v>
      </c>
      <c r="X448" s="91">
        <f t="shared" si="18"/>
        <v>38791.620000000003</v>
      </c>
    </row>
    <row r="449" spans="1:24" ht="12" hidden="1" outlineLevel="3" x14ac:dyDescent="0.2">
      <c r="A449" s="73" t="s">
        <v>1021</v>
      </c>
      <c r="B449" s="71"/>
      <c r="C449" s="71"/>
      <c r="D449" s="72">
        <v>16179.13</v>
      </c>
      <c r="E449" s="71"/>
      <c r="F449" s="71"/>
      <c r="G449" s="71"/>
      <c r="H449" s="4" t="s">
        <v>161</v>
      </c>
      <c r="X449" s="91">
        <f t="shared" si="18"/>
        <v>16179.13</v>
      </c>
    </row>
    <row r="450" spans="1:24" ht="12" hidden="1" outlineLevel="3" x14ac:dyDescent="0.2">
      <c r="A450" s="73" t="s">
        <v>1017</v>
      </c>
      <c r="B450" s="71"/>
      <c r="C450" s="71"/>
      <c r="D450" s="72">
        <v>9747.4</v>
      </c>
      <c r="E450" s="71"/>
      <c r="F450" s="71"/>
      <c r="G450" s="71"/>
      <c r="H450" s="4" t="s">
        <v>167</v>
      </c>
      <c r="X450" s="91">
        <f t="shared" si="18"/>
        <v>9747.4</v>
      </c>
    </row>
    <row r="451" spans="1:24" ht="12" hidden="1" outlineLevel="3" x14ac:dyDescent="0.2">
      <c r="A451" s="73" t="s">
        <v>1016</v>
      </c>
      <c r="B451" s="71"/>
      <c r="C451" s="71"/>
      <c r="D451" s="72">
        <v>84150.85</v>
      </c>
      <c r="E451" s="71"/>
      <c r="F451" s="71"/>
      <c r="G451" s="71"/>
      <c r="H451" s="4" t="s">
        <v>168</v>
      </c>
      <c r="X451" s="91">
        <f t="shared" si="18"/>
        <v>84150.85</v>
      </c>
    </row>
    <row r="452" spans="1:24" ht="12" hidden="1" outlineLevel="3" x14ac:dyDescent="0.2">
      <c r="A452" s="73" t="s">
        <v>1015</v>
      </c>
      <c r="B452" s="71"/>
      <c r="C452" s="71"/>
      <c r="D452" s="72">
        <v>90451.23</v>
      </c>
      <c r="E452" s="71"/>
      <c r="F452" s="71"/>
      <c r="G452" s="71"/>
      <c r="H452" s="4" t="s">
        <v>169</v>
      </c>
      <c r="X452" s="91">
        <f t="shared" si="18"/>
        <v>90451.23</v>
      </c>
    </row>
    <row r="453" spans="1:24" ht="12" hidden="1" outlineLevel="3" x14ac:dyDescent="0.2">
      <c r="A453" s="73" t="s">
        <v>1014</v>
      </c>
      <c r="B453" s="71"/>
      <c r="C453" s="71"/>
      <c r="D453" s="72">
        <v>51162.54</v>
      </c>
      <c r="E453" s="71"/>
      <c r="F453" s="71"/>
      <c r="G453" s="71"/>
      <c r="H453" s="4" t="s">
        <v>150</v>
      </c>
      <c r="X453" s="91">
        <f t="shared" si="18"/>
        <v>51162.54</v>
      </c>
    </row>
    <row r="454" spans="1:24" ht="12" hidden="1" outlineLevel="3" x14ac:dyDescent="0.2">
      <c r="A454" s="73" t="s">
        <v>1013</v>
      </c>
      <c r="B454" s="71"/>
      <c r="C454" s="71"/>
      <c r="D454" s="72">
        <v>30928.53</v>
      </c>
      <c r="E454" s="71"/>
      <c r="F454" s="71"/>
      <c r="G454" s="71"/>
      <c r="H454" s="4" t="s">
        <v>170</v>
      </c>
      <c r="X454" s="91">
        <f t="shared" si="18"/>
        <v>30928.53</v>
      </c>
    </row>
    <row r="455" spans="1:24" ht="12" hidden="1" outlineLevel="3" x14ac:dyDescent="0.2">
      <c r="A455" s="73" t="s">
        <v>1011</v>
      </c>
      <c r="B455" s="71"/>
      <c r="C455" s="71"/>
      <c r="D455" s="72">
        <v>158323.56</v>
      </c>
      <c r="E455" s="71"/>
      <c r="F455" s="71"/>
      <c r="G455" s="71"/>
      <c r="H455" s="4" t="s">
        <v>172</v>
      </c>
      <c r="X455" s="91">
        <f t="shared" si="18"/>
        <v>158323.56</v>
      </c>
    </row>
    <row r="456" spans="1:24" ht="12" hidden="1" outlineLevel="3" x14ac:dyDescent="0.2">
      <c r="A456" s="73" t="s">
        <v>1010</v>
      </c>
      <c r="B456" s="71"/>
      <c r="C456" s="71"/>
      <c r="D456" s="72">
        <v>140593.22</v>
      </c>
      <c r="E456" s="71"/>
      <c r="F456" s="71"/>
      <c r="G456" s="71"/>
      <c r="H456" s="4" t="s">
        <v>173</v>
      </c>
      <c r="X456" s="91">
        <f t="shared" si="18"/>
        <v>140593.22</v>
      </c>
    </row>
    <row r="457" spans="1:24" ht="12" hidden="1" outlineLevel="3" x14ac:dyDescent="0.2">
      <c r="A457" s="73" t="s">
        <v>1004</v>
      </c>
      <c r="B457" s="71"/>
      <c r="C457" s="71"/>
      <c r="D457" s="72">
        <v>23610.93</v>
      </c>
      <c r="E457" s="71"/>
      <c r="F457" s="71"/>
      <c r="G457" s="71"/>
      <c r="H457" s="4" t="s">
        <v>71</v>
      </c>
      <c r="X457" s="91">
        <f t="shared" si="18"/>
        <v>23610.93</v>
      </c>
    </row>
    <row r="458" spans="1:24" ht="12" hidden="1" outlineLevel="3" x14ac:dyDescent="0.2">
      <c r="A458" s="73" t="s">
        <v>1155</v>
      </c>
      <c r="B458" s="71"/>
      <c r="C458" s="71"/>
      <c r="D458" s="72">
        <v>162493.82999999999</v>
      </c>
      <c r="E458" s="71"/>
      <c r="F458" s="71"/>
      <c r="G458" s="71"/>
      <c r="H458" s="4" t="s">
        <v>208</v>
      </c>
      <c r="X458" s="91">
        <f t="shared" si="18"/>
        <v>162493.82999999999</v>
      </c>
    </row>
    <row r="459" spans="1:24" ht="12" hidden="1" outlineLevel="3" x14ac:dyDescent="0.2">
      <c r="A459" s="73" t="s">
        <v>1154</v>
      </c>
      <c r="B459" s="71"/>
      <c r="C459" s="71"/>
      <c r="D459" s="72">
        <v>152680.29999999999</v>
      </c>
      <c r="E459" s="71"/>
      <c r="F459" s="71"/>
      <c r="G459" s="71"/>
      <c r="H459" s="4" t="s">
        <v>209</v>
      </c>
      <c r="X459" s="91">
        <f t="shared" si="18"/>
        <v>152680.29999999999</v>
      </c>
    </row>
    <row r="460" spans="1:24" ht="12" hidden="1" outlineLevel="3" x14ac:dyDescent="0.2">
      <c r="A460" s="73" t="s">
        <v>1001</v>
      </c>
      <c r="B460" s="71"/>
      <c r="C460" s="71"/>
      <c r="D460" s="72">
        <v>6321.85</v>
      </c>
      <c r="E460" s="71"/>
      <c r="F460" s="71"/>
      <c r="G460" s="71"/>
      <c r="H460" s="4" t="s">
        <v>211</v>
      </c>
      <c r="X460" s="91">
        <f t="shared" si="18"/>
        <v>6321.85</v>
      </c>
    </row>
    <row r="461" spans="1:24" ht="12" hidden="1" outlineLevel="3" x14ac:dyDescent="0.2">
      <c r="A461" s="73" t="s">
        <v>996</v>
      </c>
      <c r="B461" s="71"/>
      <c r="C461" s="71"/>
      <c r="D461" s="72">
        <v>37039.629999999997</v>
      </c>
      <c r="E461" s="71"/>
      <c r="F461" s="71"/>
      <c r="G461" s="71"/>
      <c r="H461" s="4" t="s">
        <v>216</v>
      </c>
      <c r="X461" s="91">
        <f t="shared" si="18"/>
        <v>37039.629999999997</v>
      </c>
    </row>
    <row r="462" spans="1:24" ht="12" hidden="1" outlineLevel="3" x14ac:dyDescent="0.2">
      <c r="A462" s="73" t="s">
        <v>994</v>
      </c>
      <c r="B462" s="71"/>
      <c r="C462" s="71"/>
      <c r="D462" s="72">
        <v>100973.55</v>
      </c>
      <c r="E462" s="71"/>
      <c r="F462" s="71"/>
      <c r="G462" s="71"/>
      <c r="H462" s="4" t="s">
        <v>175</v>
      </c>
      <c r="X462" s="91">
        <f t="shared" si="18"/>
        <v>100973.55</v>
      </c>
    </row>
    <row r="463" spans="1:24" ht="12" hidden="1" outlineLevel="3" x14ac:dyDescent="0.2">
      <c r="A463" s="73" t="s">
        <v>993</v>
      </c>
      <c r="B463" s="71"/>
      <c r="C463" s="71"/>
      <c r="D463" s="72">
        <v>145893.37</v>
      </c>
      <c r="E463" s="71"/>
      <c r="F463" s="71"/>
      <c r="G463" s="71"/>
      <c r="H463" s="4" t="s">
        <v>176</v>
      </c>
      <c r="X463" s="91">
        <f t="shared" si="18"/>
        <v>145893.37</v>
      </c>
    </row>
    <row r="464" spans="1:24" ht="12" hidden="1" outlineLevel="3" x14ac:dyDescent="0.2">
      <c r="A464" s="73" t="s">
        <v>992</v>
      </c>
      <c r="B464" s="71"/>
      <c r="C464" s="71"/>
      <c r="D464" s="72">
        <v>47484.73</v>
      </c>
      <c r="E464" s="71"/>
      <c r="F464" s="71"/>
      <c r="G464" s="71"/>
      <c r="H464" s="4" t="s">
        <v>177</v>
      </c>
      <c r="X464" s="91">
        <f t="shared" si="18"/>
        <v>47484.73</v>
      </c>
    </row>
    <row r="465" spans="1:24" ht="12" hidden="1" outlineLevel="3" x14ac:dyDescent="0.2">
      <c r="A465" s="73" t="s">
        <v>991</v>
      </c>
      <c r="B465" s="71"/>
      <c r="C465" s="71"/>
      <c r="D465" s="72">
        <v>113433.58</v>
      </c>
      <c r="E465" s="71"/>
      <c r="F465" s="71"/>
      <c r="G465" s="71"/>
      <c r="H465" s="4" t="s">
        <v>178</v>
      </c>
      <c r="X465" s="91">
        <f t="shared" si="18"/>
        <v>113433.58</v>
      </c>
    </row>
    <row r="466" spans="1:24" ht="12" hidden="1" outlineLevel="3" x14ac:dyDescent="0.2">
      <c r="A466" s="73" t="s">
        <v>990</v>
      </c>
      <c r="B466" s="71"/>
      <c r="C466" s="71"/>
      <c r="D466" s="72">
        <v>94522.87</v>
      </c>
      <c r="E466" s="71"/>
      <c r="F466" s="71"/>
      <c r="G466" s="71"/>
      <c r="H466" s="4" t="s">
        <v>179</v>
      </c>
      <c r="X466" s="91">
        <f t="shared" si="18"/>
        <v>94522.87</v>
      </c>
    </row>
    <row r="467" spans="1:24" ht="12" hidden="1" outlineLevel="3" x14ac:dyDescent="0.2">
      <c r="A467" s="73" t="s">
        <v>988</v>
      </c>
      <c r="B467" s="71"/>
      <c r="C467" s="71"/>
      <c r="D467" s="72">
        <v>149010.13</v>
      </c>
      <c r="E467" s="71"/>
      <c r="F467" s="71"/>
      <c r="G467" s="71"/>
      <c r="H467" s="4" t="s">
        <v>182</v>
      </c>
      <c r="X467" s="91">
        <f t="shared" ref="X467:Z494" si="19">$D467</f>
        <v>149010.13</v>
      </c>
    </row>
    <row r="468" spans="1:24" ht="12" hidden="1" outlineLevel="3" x14ac:dyDescent="0.2">
      <c r="A468" s="73" t="s">
        <v>986</v>
      </c>
      <c r="B468" s="71"/>
      <c r="C468" s="71"/>
      <c r="D468" s="72">
        <v>56537.35</v>
      </c>
      <c r="E468" s="71"/>
      <c r="F468" s="71"/>
      <c r="G468" s="71"/>
      <c r="H468" s="4" t="s">
        <v>184</v>
      </c>
      <c r="X468" s="91">
        <f t="shared" si="19"/>
        <v>56537.35</v>
      </c>
    </row>
    <row r="469" spans="1:24" ht="12" hidden="1" outlineLevel="3" x14ac:dyDescent="0.2">
      <c r="A469" s="73" t="s">
        <v>981</v>
      </c>
      <c r="B469" s="71"/>
      <c r="C469" s="71"/>
      <c r="D469" s="72">
        <v>34544</v>
      </c>
      <c r="E469" s="71"/>
      <c r="F469" s="71"/>
      <c r="G469" s="71"/>
      <c r="H469" s="4" t="s">
        <v>190</v>
      </c>
      <c r="X469" s="91">
        <f t="shared" si="19"/>
        <v>34544</v>
      </c>
    </row>
    <row r="470" spans="1:24" ht="12" hidden="1" outlineLevel="3" x14ac:dyDescent="0.2">
      <c r="A470" s="73" t="s">
        <v>977</v>
      </c>
      <c r="B470" s="71"/>
      <c r="C470" s="71"/>
      <c r="D470" s="72">
        <v>48910.080000000002</v>
      </c>
      <c r="E470" s="71"/>
      <c r="F470" s="71"/>
      <c r="G470" s="71"/>
      <c r="H470" s="4" t="s">
        <v>197</v>
      </c>
      <c r="X470" s="91">
        <f t="shared" si="19"/>
        <v>48910.080000000002</v>
      </c>
    </row>
    <row r="471" spans="1:24" ht="12" hidden="1" outlineLevel="3" x14ac:dyDescent="0.2">
      <c r="A471" s="73" t="s">
        <v>976</v>
      </c>
      <c r="B471" s="71"/>
      <c r="C471" s="71"/>
      <c r="D471" s="72">
        <v>63476.02</v>
      </c>
      <c r="E471" s="71"/>
      <c r="F471" s="71"/>
      <c r="G471" s="71"/>
      <c r="H471" s="4" t="s">
        <v>198</v>
      </c>
      <c r="X471" s="91">
        <f t="shared" si="19"/>
        <v>63476.02</v>
      </c>
    </row>
    <row r="472" spans="1:24" ht="12" hidden="1" outlineLevel="3" x14ac:dyDescent="0.2">
      <c r="A472" s="73" t="s">
        <v>972</v>
      </c>
      <c r="B472" s="71"/>
      <c r="C472" s="71"/>
      <c r="D472" s="72">
        <v>66239.39</v>
      </c>
      <c r="E472" s="71"/>
      <c r="F472" s="71"/>
      <c r="G472" s="71"/>
      <c r="H472" s="4" t="s">
        <v>202</v>
      </c>
      <c r="X472" s="91">
        <f t="shared" si="19"/>
        <v>66239.39</v>
      </c>
    </row>
    <row r="473" spans="1:24" ht="12" hidden="1" outlineLevel="3" x14ac:dyDescent="0.2">
      <c r="A473" s="73" t="s">
        <v>970</v>
      </c>
      <c r="B473" s="71"/>
      <c r="C473" s="71"/>
      <c r="D473" s="72">
        <v>40942.11</v>
      </c>
      <c r="E473" s="71"/>
      <c r="F473" s="71"/>
      <c r="G473" s="71"/>
      <c r="H473" s="4" t="s">
        <v>204</v>
      </c>
      <c r="X473" s="91">
        <f t="shared" si="19"/>
        <v>40942.11</v>
      </c>
    </row>
    <row r="474" spans="1:24" ht="12" hidden="1" outlineLevel="3" x14ac:dyDescent="0.2">
      <c r="A474" s="73" t="s">
        <v>1130</v>
      </c>
      <c r="B474" s="71"/>
      <c r="C474" s="71"/>
      <c r="D474" s="72">
        <v>51749.85</v>
      </c>
      <c r="E474" s="71"/>
      <c r="F474" s="71"/>
      <c r="G474" s="71"/>
      <c r="H474" s="4" t="s">
        <v>249</v>
      </c>
      <c r="X474" s="91">
        <f t="shared" si="19"/>
        <v>51749.85</v>
      </c>
    </row>
    <row r="475" spans="1:24" ht="12" hidden="1" outlineLevel="3" x14ac:dyDescent="0.2">
      <c r="A475" s="73" t="s">
        <v>966</v>
      </c>
      <c r="B475" s="71"/>
      <c r="C475" s="71"/>
      <c r="D475" s="72">
        <v>106569.05</v>
      </c>
      <c r="E475" s="71"/>
      <c r="F475" s="71"/>
      <c r="G475" s="71"/>
      <c r="H475" s="4" t="s">
        <v>250</v>
      </c>
      <c r="X475" s="91">
        <f t="shared" si="19"/>
        <v>106569.05</v>
      </c>
    </row>
    <row r="476" spans="1:24" ht="12" hidden="1" outlineLevel="3" x14ac:dyDescent="0.2">
      <c r="A476" s="73" t="s">
        <v>1129</v>
      </c>
      <c r="B476" s="71"/>
      <c r="C476" s="71"/>
      <c r="D476" s="72">
        <v>71945.509999999995</v>
      </c>
      <c r="E476" s="71"/>
      <c r="F476" s="71"/>
      <c r="G476" s="71"/>
      <c r="H476" s="4" t="s">
        <v>251</v>
      </c>
      <c r="X476" s="91">
        <f t="shared" si="19"/>
        <v>71945.509999999995</v>
      </c>
    </row>
    <row r="477" spans="1:24" ht="12" hidden="1" outlineLevel="3" x14ac:dyDescent="0.2">
      <c r="A477" s="73" t="s">
        <v>1128</v>
      </c>
      <c r="B477" s="71"/>
      <c r="C477" s="71"/>
      <c r="D477" s="72">
        <v>15724.52</v>
      </c>
      <c r="E477" s="71"/>
      <c r="F477" s="71"/>
      <c r="G477" s="71"/>
      <c r="H477" s="4" t="s">
        <v>252</v>
      </c>
      <c r="X477" s="91">
        <f t="shared" si="19"/>
        <v>15724.52</v>
      </c>
    </row>
    <row r="478" spans="1:24" ht="12" hidden="1" outlineLevel="3" x14ac:dyDescent="0.2">
      <c r="A478" s="73" t="s">
        <v>1127</v>
      </c>
      <c r="B478" s="71"/>
      <c r="C478" s="71"/>
      <c r="D478" s="72">
        <v>19492.490000000002</v>
      </c>
      <c r="E478" s="71"/>
      <c r="F478" s="71"/>
      <c r="G478" s="71"/>
      <c r="H478" s="4" t="s">
        <v>253</v>
      </c>
      <c r="X478" s="91">
        <f t="shared" si="19"/>
        <v>19492.490000000002</v>
      </c>
    </row>
    <row r="479" spans="1:24" ht="12" hidden="1" outlineLevel="3" x14ac:dyDescent="0.2">
      <c r="A479" s="73" t="s">
        <v>1126</v>
      </c>
      <c r="B479" s="71"/>
      <c r="C479" s="71"/>
      <c r="D479" s="72">
        <v>9745.32</v>
      </c>
      <c r="E479" s="71"/>
      <c r="F479" s="71"/>
      <c r="G479" s="71"/>
      <c r="H479" s="4" t="s">
        <v>254</v>
      </c>
      <c r="X479" s="91">
        <f t="shared" si="19"/>
        <v>9745.32</v>
      </c>
    </row>
    <row r="480" spans="1:24" ht="12" hidden="1" outlineLevel="3" x14ac:dyDescent="0.2">
      <c r="A480" s="73" t="s">
        <v>1125</v>
      </c>
      <c r="B480" s="71"/>
      <c r="C480" s="71"/>
      <c r="D480" s="72">
        <v>124286.82</v>
      </c>
      <c r="E480" s="71"/>
      <c r="F480" s="71"/>
      <c r="G480" s="71"/>
      <c r="H480" s="4" t="s">
        <v>255</v>
      </c>
      <c r="X480" s="91">
        <f t="shared" si="19"/>
        <v>124286.82</v>
      </c>
    </row>
    <row r="481" spans="1:26" ht="12" hidden="1" outlineLevel="3" x14ac:dyDescent="0.2">
      <c r="A481" s="73" t="s">
        <v>948</v>
      </c>
      <c r="B481" s="71"/>
      <c r="C481" s="71"/>
      <c r="D481" s="72">
        <v>4717.1499999999996</v>
      </c>
      <c r="E481" s="71"/>
      <c r="F481" s="71"/>
      <c r="G481" s="71"/>
      <c r="H481" s="4" t="s">
        <v>258</v>
      </c>
      <c r="X481" s="91">
        <f t="shared" si="19"/>
        <v>4717.1499999999996</v>
      </c>
    </row>
    <row r="482" spans="1:26" ht="12" hidden="1" outlineLevel="3" x14ac:dyDescent="0.2">
      <c r="A482" s="73" t="s">
        <v>1210</v>
      </c>
      <c r="B482" s="71"/>
      <c r="C482" s="71"/>
      <c r="D482" s="72">
        <v>3820.87</v>
      </c>
      <c r="E482" s="71"/>
      <c r="F482" s="71"/>
      <c r="G482" s="71"/>
      <c r="H482" s="4" t="s">
        <v>267</v>
      </c>
      <c r="X482" s="91">
        <f t="shared" si="19"/>
        <v>3820.87</v>
      </c>
    </row>
    <row r="483" spans="1:26" ht="12" hidden="1" outlineLevel="3" x14ac:dyDescent="0.2">
      <c r="A483" s="73" t="s">
        <v>1208</v>
      </c>
      <c r="B483" s="71"/>
      <c r="C483" s="71"/>
      <c r="D483" s="72">
        <v>6983.91</v>
      </c>
      <c r="E483" s="71"/>
      <c r="F483" s="71"/>
      <c r="G483" s="71"/>
      <c r="H483" s="4" t="s">
        <v>260</v>
      </c>
      <c r="X483" s="91">
        <f t="shared" si="19"/>
        <v>6983.91</v>
      </c>
    </row>
    <row r="484" spans="1:26" ht="12" hidden="1" outlineLevel="3" x14ac:dyDescent="0.2">
      <c r="A484" s="73" t="s">
        <v>1207</v>
      </c>
      <c r="B484" s="71"/>
      <c r="C484" s="71"/>
      <c r="D484" s="72">
        <v>13309.94</v>
      </c>
      <c r="E484" s="71"/>
      <c r="F484" s="71"/>
      <c r="G484" s="71"/>
      <c r="H484" s="4" t="s">
        <v>261</v>
      </c>
      <c r="X484" s="91">
        <f t="shared" si="19"/>
        <v>13309.94</v>
      </c>
    </row>
    <row r="485" spans="1:26" ht="12" hidden="1" outlineLevel="3" x14ac:dyDescent="0.2">
      <c r="A485" s="73" t="s">
        <v>1204</v>
      </c>
      <c r="B485" s="71"/>
      <c r="C485" s="71"/>
      <c r="D485" s="72">
        <v>3820.87</v>
      </c>
      <c r="E485" s="71"/>
      <c r="F485" s="71"/>
      <c r="G485" s="71"/>
      <c r="H485" s="4" t="s">
        <v>264</v>
      </c>
      <c r="X485" s="91">
        <f t="shared" si="19"/>
        <v>3820.87</v>
      </c>
    </row>
    <row r="486" spans="1:26" ht="12" hidden="1" outlineLevel="3" x14ac:dyDescent="0.2">
      <c r="A486" s="73" t="s">
        <v>1203</v>
      </c>
      <c r="B486" s="71"/>
      <c r="C486" s="71"/>
      <c r="D486" s="72">
        <v>4103.42</v>
      </c>
      <c r="E486" s="71"/>
      <c r="F486" s="71"/>
      <c r="G486" s="71"/>
      <c r="H486" s="4" t="s">
        <v>265</v>
      </c>
      <c r="X486" s="91">
        <f t="shared" si="19"/>
        <v>4103.42</v>
      </c>
    </row>
    <row r="487" spans="1:26" ht="12" hidden="1" outlineLevel="3" x14ac:dyDescent="0.2">
      <c r="A487" s="73" t="s">
        <v>963</v>
      </c>
      <c r="B487" s="71"/>
      <c r="C487" s="71"/>
      <c r="D487" s="72">
        <v>78154.649999999994</v>
      </c>
      <c r="E487" s="71"/>
      <c r="F487" s="71"/>
      <c r="G487" s="71"/>
      <c r="H487" s="4" t="s">
        <v>285</v>
      </c>
      <c r="X487" s="91">
        <f t="shared" si="19"/>
        <v>78154.649999999994</v>
      </c>
    </row>
    <row r="488" spans="1:26" ht="12" hidden="1" outlineLevel="3" x14ac:dyDescent="0.2">
      <c r="A488" s="73" t="s">
        <v>962</v>
      </c>
      <c r="B488" s="71"/>
      <c r="C488" s="71"/>
      <c r="D488" s="72">
        <v>78012.36</v>
      </c>
      <c r="E488" s="71"/>
      <c r="F488" s="71"/>
      <c r="G488" s="71"/>
      <c r="H488" s="4" t="s">
        <v>286</v>
      </c>
      <c r="X488" s="91">
        <f t="shared" si="19"/>
        <v>78012.36</v>
      </c>
    </row>
    <row r="489" spans="1:26" ht="12" hidden="1" outlineLevel="3" x14ac:dyDescent="0.2">
      <c r="A489" s="73" t="s">
        <v>961</v>
      </c>
      <c r="B489" s="71"/>
      <c r="C489" s="71"/>
      <c r="D489" s="72">
        <v>86355.73</v>
      </c>
      <c r="E489" s="71"/>
      <c r="F489" s="71"/>
      <c r="G489" s="71"/>
      <c r="H489" s="4" t="s">
        <v>288</v>
      </c>
      <c r="X489" s="91">
        <f t="shared" si="19"/>
        <v>86355.73</v>
      </c>
    </row>
    <row r="490" spans="1:26" ht="12" hidden="1" outlineLevel="3" x14ac:dyDescent="0.2">
      <c r="A490" s="73" t="s">
        <v>959</v>
      </c>
      <c r="B490" s="71"/>
      <c r="C490" s="71"/>
      <c r="D490" s="72">
        <v>88537.8</v>
      </c>
      <c r="E490" s="71"/>
      <c r="F490" s="71"/>
      <c r="G490" s="71"/>
      <c r="H490" s="4" t="s">
        <v>283</v>
      </c>
      <c r="X490" s="91">
        <f t="shared" si="19"/>
        <v>88537.8</v>
      </c>
    </row>
    <row r="491" spans="1:26" ht="24" outlineLevel="2" collapsed="1" x14ac:dyDescent="0.2">
      <c r="A491" s="74" t="s">
        <v>1257</v>
      </c>
      <c r="B491" s="71"/>
      <c r="C491" s="71"/>
      <c r="D491" s="72">
        <v>414000</v>
      </c>
      <c r="E491" s="71"/>
      <c r="F491" s="71"/>
      <c r="G491" s="71"/>
    </row>
    <row r="492" spans="1:26" ht="12" hidden="1" outlineLevel="3" x14ac:dyDescent="0.2">
      <c r="A492" s="73" t="s">
        <v>919</v>
      </c>
      <c r="B492" s="71"/>
      <c r="C492" s="71"/>
      <c r="D492" s="72">
        <v>414000</v>
      </c>
      <c r="E492" s="71"/>
      <c r="F492" s="71"/>
      <c r="G492" s="71"/>
      <c r="Y492" s="91">
        <f t="shared" si="19"/>
        <v>414000</v>
      </c>
    </row>
    <row r="493" spans="1:26" ht="12" outlineLevel="2" collapsed="1" x14ac:dyDescent="0.2">
      <c r="A493" s="74" t="s">
        <v>1256</v>
      </c>
      <c r="B493" s="71"/>
      <c r="C493" s="71"/>
      <c r="D493" s="72">
        <v>216000</v>
      </c>
      <c r="E493" s="71"/>
      <c r="F493" s="71"/>
      <c r="G493" s="71"/>
    </row>
    <row r="494" spans="1:26" ht="12" hidden="1" outlineLevel="3" x14ac:dyDescent="0.2">
      <c r="A494" s="73" t="s">
        <v>1173</v>
      </c>
      <c r="B494" s="71"/>
      <c r="C494" s="71"/>
      <c r="D494" s="72">
        <v>36000</v>
      </c>
      <c r="E494" s="71"/>
      <c r="F494" s="71"/>
      <c r="G494" s="71"/>
      <c r="H494" s="4" t="s">
        <v>132</v>
      </c>
      <c r="Z494" s="91">
        <f t="shared" si="19"/>
        <v>36000</v>
      </c>
    </row>
    <row r="495" spans="1:26" ht="12" hidden="1" outlineLevel="3" x14ac:dyDescent="0.2">
      <c r="A495" s="73" t="s">
        <v>1171</v>
      </c>
      <c r="B495" s="71"/>
      <c r="C495" s="71"/>
      <c r="D495" s="72">
        <v>36000</v>
      </c>
      <c r="E495" s="71"/>
      <c r="F495" s="71"/>
      <c r="G495" s="71"/>
      <c r="H495" s="4" t="s">
        <v>122</v>
      </c>
      <c r="Z495" s="91">
        <f t="shared" ref="Z495:AA501" si="20">$D495</f>
        <v>36000</v>
      </c>
    </row>
    <row r="496" spans="1:26" ht="12" hidden="1" outlineLevel="3" x14ac:dyDescent="0.2">
      <c r="A496" s="73" t="s">
        <v>1160</v>
      </c>
      <c r="B496" s="71"/>
      <c r="C496" s="71"/>
      <c r="D496" s="72">
        <v>36000</v>
      </c>
      <c r="E496" s="71"/>
      <c r="F496" s="71"/>
      <c r="G496" s="71"/>
      <c r="H496" s="4" t="s">
        <v>149</v>
      </c>
      <c r="Z496" s="91">
        <f t="shared" si="20"/>
        <v>36000</v>
      </c>
    </row>
    <row r="497" spans="1:29" ht="12" hidden="1" outlineLevel="3" x14ac:dyDescent="0.2">
      <c r="A497" s="73" t="s">
        <v>939</v>
      </c>
      <c r="B497" s="71"/>
      <c r="C497" s="71"/>
      <c r="D497" s="72">
        <v>36000</v>
      </c>
      <c r="E497" s="71"/>
      <c r="F497" s="71"/>
      <c r="G497" s="71"/>
      <c r="H497" s="4" t="s">
        <v>232</v>
      </c>
      <c r="Z497" s="91">
        <f t="shared" si="20"/>
        <v>36000</v>
      </c>
    </row>
    <row r="498" spans="1:29" ht="12" hidden="1" outlineLevel="3" x14ac:dyDescent="0.2">
      <c r="A498" s="73" t="s">
        <v>938</v>
      </c>
      <c r="B498" s="71"/>
      <c r="C498" s="71"/>
      <c r="D498" s="72">
        <v>36000</v>
      </c>
      <c r="E498" s="71"/>
      <c r="F498" s="71"/>
      <c r="G498" s="71"/>
      <c r="H498" s="4" t="s">
        <v>233</v>
      </c>
      <c r="Z498" s="91">
        <f t="shared" si="20"/>
        <v>36000</v>
      </c>
    </row>
    <row r="499" spans="1:29" ht="12" hidden="1" outlineLevel="3" x14ac:dyDescent="0.2">
      <c r="A499" s="73" t="s">
        <v>1131</v>
      </c>
      <c r="B499" s="71"/>
      <c r="C499" s="71"/>
      <c r="D499" s="72">
        <v>36000</v>
      </c>
      <c r="E499" s="71"/>
      <c r="F499" s="71"/>
      <c r="G499" s="71"/>
      <c r="H499" s="4" t="s">
        <v>248</v>
      </c>
      <c r="Z499" s="91">
        <f t="shared" si="20"/>
        <v>36000</v>
      </c>
    </row>
    <row r="500" spans="1:29" ht="12" outlineLevel="2" collapsed="1" x14ac:dyDescent="0.2">
      <c r="A500" s="74" t="s">
        <v>1255</v>
      </c>
      <c r="B500" s="71"/>
      <c r="C500" s="71"/>
      <c r="D500" s="72">
        <v>250564.07</v>
      </c>
      <c r="E500" s="71"/>
      <c r="F500" s="71"/>
      <c r="G500" s="71"/>
    </row>
    <row r="501" spans="1:29" ht="12" hidden="1" outlineLevel="3" x14ac:dyDescent="0.2">
      <c r="A501" s="73" t="s">
        <v>1104</v>
      </c>
      <c r="B501" s="71"/>
      <c r="C501" s="71"/>
      <c r="D501" s="72">
        <v>250564.07</v>
      </c>
      <c r="E501" s="71"/>
      <c r="F501" s="71"/>
      <c r="G501" s="71"/>
      <c r="H501" s="67" t="s">
        <v>328</v>
      </c>
      <c r="AA501" s="91">
        <f t="shared" si="20"/>
        <v>250564.07</v>
      </c>
    </row>
    <row r="502" spans="1:29" ht="12" outlineLevel="2" collapsed="1" x14ac:dyDescent="0.2">
      <c r="A502" s="74" t="s">
        <v>1254</v>
      </c>
      <c r="B502" s="71"/>
      <c r="C502" s="71"/>
      <c r="D502" s="72">
        <v>75000</v>
      </c>
      <c r="E502" s="71"/>
      <c r="F502" s="71"/>
      <c r="G502" s="71"/>
    </row>
    <row r="503" spans="1:29" ht="12" hidden="1" outlineLevel="3" x14ac:dyDescent="0.2">
      <c r="A503" s="73" t="s">
        <v>921</v>
      </c>
      <c r="B503" s="71"/>
      <c r="C503" s="71"/>
      <c r="D503" s="72">
        <v>60000</v>
      </c>
      <c r="E503" s="71"/>
      <c r="F503" s="71"/>
      <c r="G503" s="71"/>
      <c r="I503" s="243">
        <f t="shared" ref="I503" si="21">$D503</f>
        <v>60000</v>
      </c>
      <c r="J503" s="91"/>
      <c r="K503" s="91"/>
    </row>
    <row r="504" spans="1:29" ht="12" hidden="1" outlineLevel="3" x14ac:dyDescent="0.2">
      <c r="A504" s="73" t="s">
        <v>1214</v>
      </c>
      <c r="B504" s="71"/>
      <c r="C504" s="71"/>
      <c r="D504" s="72">
        <v>15000</v>
      </c>
      <c r="E504" s="71"/>
      <c r="F504" s="71"/>
      <c r="G504" s="71"/>
      <c r="H504" s="4" t="s">
        <v>104</v>
      </c>
      <c r="AB504" s="91">
        <f t="shared" ref="AB504:AC506" si="22">$D504</f>
        <v>15000</v>
      </c>
    </row>
    <row r="505" spans="1:29" ht="12" outlineLevel="2" collapsed="1" x14ac:dyDescent="0.2">
      <c r="A505" s="74" t="s">
        <v>1253</v>
      </c>
      <c r="B505" s="71"/>
      <c r="C505" s="71"/>
      <c r="D505" s="72">
        <v>18000</v>
      </c>
      <c r="E505" s="71"/>
      <c r="F505" s="71"/>
      <c r="G505" s="71"/>
    </row>
    <row r="506" spans="1:29" ht="12" hidden="1" outlineLevel="3" x14ac:dyDescent="0.2">
      <c r="A506" s="73" t="s">
        <v>1168</v>
      </c>
      <c r="B506" s="71"/>
      <c r="C506" s="71"/>
      <c r="D506" s="72">
        <v>18000</v>
      </c>
      <c r="E506" s="71"/>
      <c r="F506" s="71"/>
      <c r="G506" s="71"/>
      <c r="H506" s="4" t="s">
        <v>119</v>
      </c>
      <c r="AC506" s="91">
        <f t="shared" si="22"/>
        <v>18000</v>
      </c>
    </row>
    <row r="507" spans="1:29" ht="24" outlineLevel="2" collapsed="1" x14ac:dyDescent="0.2">
      <c r="A507" s="74" t="s">
        <v>1252</v>
      </c>
      <c r="B507" s="71"/>
      <c r="C507" s="71"/>
      <c r="D507" s="72">
        <v>2679945.8199999998</v>
      </c>
      <c r="E507" s="71"/>
      <c r="F507" s="71"/>
      <c r="G507" s="71"/>
      <c r="I507" s="243"/>
      <c r="J507" s="91"/>
      <c r="K507" s="91"/>
    </row>
    <row r="508" spans="1:29" ht="12" hidden="1" outlineLevel="3" x14ac:dyDescent="0.2">
      <c r="A508" s="73" t="s">
        <v>921</v>
      </c>
      <c r="B508" s="71"/>
      <c r="C508" s="71"/>
      <c r="D508" s="72">
        <v>2679945.8199999998</v>
      </c>
      <c r="E508" s="71"/>
      <c r="F508" s="71"/>
      <c r="G508" s="71"/>
    </row>
    <row r="509" spans="1:29" ht="12" outlineLevel="2" collapsed="1" x14ac:dyDescent="0.2">
      <c r="A509" s="74" t="s">
        <v>1251</v>
      </c>
      <c r="B509" s="71"/>
      <c r="C509" s="71"/>
      <c r="D509" s="72">
        <v>6629342.5499999998</v>
      </c>
      <c r="E509" s="71"/>
      <c r="F509" s="71"/>
      <c r="G509" s="71"/>
      <c r="I509" s="243">
        <f>D509</f>
        <v>6629342.5499999998</v>
      </c>
      <c r="J509" s="91"/>
      <c r="K509" s="91"/>
    </row>
    <row r="510" spans="1:29" ht="12" hidden="1" outlineLevel="3" x14ac:dyDescent="0.2">
      <c r="A510" s="73" t="s">
        <v>921</v>
      </c>
      <c r="B510" s="71"/>
      <c r="C510" s="71"/>
      <c r="D510" s="72">
        <v>6629342.5499999998</v>
      </c>
      <c r="E510" s="71"/>
      <c r="F510" s="71"/>
      <c r="G510" s="71"/>
    </row>
    <row r="511" spans="1:29" ht="12" outlineLevel="2" collapsed="1" x14ac:dyDescent="0.2">
      <c r="A511" s="74" t="s">
        <v>1250</v>
      </c>
      <c r="B511" s="71"/>
      <c r="C511" s="71"/>
      <c r="D511" s="72">
        <v>2010</v>
      </c>
      <c r="E511" s="71"/>
      <c r="F511" s="71"/>
      <c r="G511" s="71"/>
      <c r="I511" s="243">
        <f t="shared" ref="I511" si="23">$D511</f>
        <v>2010</v>
      </c>
      <c r="J511" s="91"/>
      <c r="K511" s="91"/>
    </row>
    <row r="512" spans="1:29" ht="12" hidden="1" outlineLevel="3" x14ac:dyDescent="0.2">
      <c r="A512" s="73" t="s">
        <v>921</v>
      </c>
      <c r="B512" s="71"/>
      <c r="C512" s="71"/>
      <c r="D512" s="72">
        <v>2010</v>
      </c>
      <c r="E512" s="71"/>
      <c r="F512" s="71"/>
      <c r="G512" s="71"/>
    </row>
    <row r="513" spans="1:30" ht="12" outlineLevel="2" collapsed="1" x14ac:dyDescent="0.2">
      <c r="A513" s="74" t="s">
        <v>1249</v>
      </c>
      <c r="B513" s="71"/>
      <c r="C513" s="71"/>
      <c r="D513" s="72">
        <v>1967883.76</v>
      </c>
      <c r="E513" s="71"/>
      <c r="F513" s="71"/>
      <c r="G513" s="71"/>
    </row>
    <row r="514" spans="1:30" ht="12" hidden="1" outlineLevel="3" x14ac:dyDescent="0.2">
      <c r="A514" s="73" t="s">
        <v>1108</v>
      </c>
      <c r="B514" s="71"/>
      <c r="C514" s="71"/>
      <c r="D514" s="72">
        <v>100612.82</v>
      </c>
      <c r="E514" s="71"/>
      <c r="F514" s="71"/>
      <c r="G514" s="71"/>
      <c r="H514" s="67" t="s">
        <v>320</v>
      </c>
      <c r="AD514" s="91">
        <f t="shared" ref="AD514:AE530" si="24">$D514</f>
        <v>100612.82</v>
      </c>
    </row>
    <row r="515" spans="1:30" ht="12" hidden="1" outlineLevel="3" x14ac:dyDescent="0.2">
      <c r="A515" s="73" t="s">
        <v>1107</v>
      </c>
      <c r="B515" s="71"/>
      <c r="C515" s="71"/>
      <c r="D515" s="72">
        <v>91786.67</v>
      </c>
      <c r="E515" s="71"/>
      <c r="F515" s="71"/>
      <c r="G515" s="71"/>
      <c r="H515" s="67" t="s">
        <v>324</v>
      </c>
      <c r="AD515" s="91">
        <f t="shared" si="24"/>
        <v>91786.67</v>
      </c>
    </row>
    <row r="516" spans="1:30" ht="12" hidden="1" outlineLevel="3" x14ac:dyDescent="0.2">
      <c r="A516" s="73" t="s">
        <v>1106</v>
      </c>
      <c r="B516" s="71"/>
      <c r="C516" s="71"/>
      <c r="D516" s="72">
        <v>99768.04</v>
      </c>
      <c r="E516" s="71"/>
      <c r="F516" s="71"/>
      <c r="G516" s="71"/>
      <c r="H516" s="67" t="s">
        <v>325</v>
      </c>
      <c r="AD516" s="91">
        <f t="shared" si="24"/>
        <v>99768.04</v>
      </c>
    </row>
    <row r="517" spans="1:30" ht="12" hidden="1" outlineLevel="3" x14ac:dyDescent="0.2">
      <c r="A517" s="73" t="s">
        <v>1103</v>
      </c>
      <c r="B517" s="71"/>
      <c r="C517" s="71"/>
      <c r="D517" s="72">
        <v>53874.78</v>
      </c>
      <c r="E517" s="71"/>
      <c r="F517" s="71"/>
      <c r="G517" s="71"/>
      <c r="H517" s="67" t="s">
        <v>329</v>
      </c>
      <c r="AD517" s="91">
        <f t="shared" si="24"/>
        <v>53874.78</v>
      </c>
    </row>
    <row r="518" spans="1:30" ht="12" hidden="1" outlineLevel="3" x14ac:dyDescent="0.2">
      <c r="A518" s="73" t="s">
        <v>1032</v>
      </c>
      <c r="B518" s="71"/>
      <c r="C518" s="71"/>
      <c r="D518" s="72">
        <v>40009.74</v>
      </c>
      <c r="E518" s="71"/>
      <c r="F518" s="71"/>
      <c r="G518" s="71"/>
      <c r="H518" s="4" t="s">
        <v>97</v>
      </c>
      <c r="AD518" s="91">
        <f t="shared" si="24"/>
        <v>40009.74</v>
      </c>
    </row>
    <row r="519" spans="1:30" ht="12" hidden="1" outlineLevel="3" x14ac:dyDescent="0.2">
      <c r="A519" s="73" t="s">
        <v>1160</v>
      </c>
      <c r="B519" s="71"/>
      <c r="C519" s="71"/>
      <c r="D519" s="72">
        <v>148027.39000000001</v>
      </c>
      <c r="E519" s="71"/>
      <c r="F519" s="71"/>
      <c r="G519" s="71"/>
      <c r="H519" s="4" t="s">
        <v>149</v>
      </c>
      <c r="AD519" s="91">
        <f t="shared" si="24"/>
        <v>148027.39000000001</v>
      </c>
    </row>
    <row r="520" spans="1:30" ht="12" hidden="1" outlineLevel="3" x14ac:dyDescent="0.2">
      <c r="A520" s="73" t="s">
        <v>1007</v>
      </c>
      <c r="B520" s="71"/>
      <c r="C520" s="71"/>
      <c r="D520" s="72">
        <v>107053.35</v>
      </c>
      <c r="E520" s="71"/>
      <c r="F520" s="71"/>
      <c r="G520" s="71"/>
      <c r="H520" s="4" t="s">
        <v>103</v>
      </c>
      <c r="AD520" s="91">
        <f t="shared" si="24"/>
        <v>107053.35</v>
      </c>
    </row>
    <row r="521" spans="1:30" ht="12" hidden="1" outlineLevel="3" x14ac:dyDescent="0.2">
      <c r="A521" s="73" t="s">
        <v>1006</v>
      </c>
      <c r="B521" s="71"/>
      <c r="C521" s="71"/>
      <c r="D521" s="72">
        <v>342023.56</v>
      </c>
      <c r="E521" s="71"/>
      <c r="F521" s="71"/>
      <c r="G521" s="71"/>
      <c r="H521" s="4" t="s">
        <v>105</v>
      </c>
      <c r="AD521" s="91">
        <f t="shared" si="24"/>
        <v>342023.56</v>
      </c>
    </row>
    <row r="522" spans="1:30" ht="12" hidden="1" outlineLevel="3" x14ac:dyDescent="0.2">
      <c r="A522" s="73" t="s">
        <v>942</v>
      </c>
      <c r="B522" s="71"/>
      <c r="C522" s="71"/>
      <c r="D522" s="72">
        <v>113981.22</v>
      </c>
      <c r="E522" s="71"/>
      <c r="F522" s="71"/>
      <c r="G522" s="71"/>
      <c r="H522" s="4" t="s">
        <v>186</v>
      </c>
      <c r="AD522" s="91">
        <f t="shared" si="24"/>
        <v>113981.22</v>
      </c>
    </row>
    <row r="523" spans="1:30" ht="12" hidden="1" outlineLevel="3" x14ac:dyDescent="0.2">
      <c r="A523" s="73" t="s">
        <v>969</v>
      </c>
      <c r="B523" s="71"/>
      <c r="C523" s="71"/>
      <c r="D523" s="72">
        <v>309969.61</v>
      </c>
      <c r="E523" s="71"/>
      <c r="F523" s="71"/>
      <c r="G523" s="71"/>
      <c r="H523" s="4" t="s">
        <v>223</v>
      </c>
      <c r="AD523" s="91">
        <f t="shared" si="24"/>
        <v>309969.61</v>
      </c>
    </row>
    <row r="524" spans="1:30" ht="12" hidden="1" outlineLevel="3" x14ac:dyDescent="0.2">
      <c r="A524" s="73" t="s">
        <v>968</v>
      </c>
      <c r="B524" s="71"/>
      <c r="C524" s="71"/>
      <c r="D524" s="72">
        <v>134028.28</v>
      </c>
      <c r="E524" s="71"/>
      <c r="F524" s="71"/>
      <c r="G524" s="71"/>
      <c r="H524" s="4" t="s">
        <v>224</v>
      </c>
      <c r="AD524" s="91">
        <f t="shared" si="24"/>
        <v>134028.28</v>
      </c>
    </row>
    <row r="525" spans="1:30" ht="12" hidden="1" outlineLevel="3" x14ac:dyDescent="0.2">
      <c r="A525" s="94" t="s">
        <v>1248</v>
      </c>
      <c r="B525" s="71"/>
      <c r="C525" s="71"/>
      <c r="D525" s="72">
        <v>34122.6</v>
      </c>
      <c r="E525" s="71"/>
      <c r="F525" s="71"/>
      <c r="G525" s="71"/>
      <c r="H525" s="4" t="s">
        <v>260</v>
      </c>
      <c r="AD525" s="91">
        <f t="shared" si="24"/>
        <v>34122.6</v>
      </c>
    </row>
    <row r="526" spans="1:30" ht="12" hidden="1" outlineLevel="3" x14ac:dyDescent="0.2">
      <c r="A526" s="73" t="s">
        <v>1202</v>
      </c>
      <c r="B526" s="71"/>
      <c r="C526" s="71"/>
      <c r="D526" s="72">
        <v>2030.76</v>
      </c>
      <c r="E526" s="71"/>
      <c r="F526" s="71"/>
      <c r="G526" s="71"/>
      <c r="H526" s="4" t="s">
        <v>269</v>
      </c>
      <c r="AD526" s="91">
        <f t="shared" si="24"/>
        <v>2030.76</v>
      </c>
    </row>
    <row r="527" spans="1:30" ht="12" hidden="1" outlineLevel="3" x14ac:dyDescent="0.2">
      <c r="A527" s="73" t="s">
        <v>1196</v>
      </c>
      <c r="B527" s="71"/>
      <c r="C527" s="71"/>
      <c r="D527" s="72">
        <v>390594.94</v>
      </c>
      <c r="E527" s="71"/>
      <c r="F527" s="71"/>
      <c r="G527" s="71"/>
      <c r="H527" s="4" t="s">
        <v>271</v>
      </c>
      <c r="AD527" s="91">
        <f t="shared" si="24"/>
        <v>390594.94</v>
      </c>
    </row>
    <row r="528" spans="1:30" ht="12" outlineLevel="2" collapsed="1" x14ac:dyDescent="0.2">
      <c r="A528" s="74" t="s">
        <v>1247</v>
      </c>
      <c r="B528" s="71"/>
      <c r="C528" s="71"/>
      <c r="D528" s="72">
        <v>34091.040000000001</v>
      </c>
      <c r="E528" s="71"/>
      <c r="F528" s="71"/>
      <c r="G528" s="71"/>
    </row>
    <row r="529" spans="1:33" ht="12" hidden="1" outlineLevel="3" x14ac:dyDescent="0.2">
      <c r="A529" s="73" t="s">
        <v>1096</v>
      </c>
      <c r="B529" s="71"/>
      <c r="C529" s="71"/>
      <c r="D529" s="72">
        <v>24762.799999999999</v>
      </c>
      <c r="E529" s="71"/>
      <c r="F529" s="71"/>
      <c r="G529" s="71"/>
      <c r="H529" s="31" t="s">
        <v>335</v>
      </c>
      <c r="AE529" s="91">
        <f t="shared" si="24"/>
        <v>24762.799999999999</v>
      </c>
    </row>
    <row r="530" spans="1:33" ht="12" hidden="1" outlineLevel="3" x14ac:dyDescent="0.2">
      <c r="A530" s="73" t="s">
        <v>946</v>
      </c>
      <c r="B530" s="71"/>
      <c r="C530" s="71"/>
      <c r="D530" s="72">
        <v>5899.45</v>
      </c>
      <c r="E530" s="71"/>
      <c r="F530" s="71"/>
      <c r="G530" s="71"/>
      <c r="H530" s="4" t="s">
        <v>138</v>
      </c>
      <c r="AE530" s="91">
        <f t="shared" si="24"/>
        <v>5899.45</v>
      </c>
    </row>
    <row r="531" spans="1:33" ht="12" hidden="1" outlineLevel="3" x14ac:dyDescent="0.2">
      <c r="A531" s="73" t="s">
        <v>1135</v>
      </c>
      <c r="B531" s="71"/>
      <c r="C531" s="71"/>
      <c r="D531" s="72">
        <v>3428.79</v>
      </c>
      <c r="E531" s="71"/>
      <c r="F531" s="71"/>
      <c r="G531" s="71"/>
      <c r="H531" s="4" t="s">
        <v>244</v>
      </c>
      <c r="AE531" s="91">
        <f t="shared" ref="AE531:AG546" si="25">$D531</f>
        <v>3428.79</v>
      </c>
    </row>
    <row r="532" spans="1:33" ht="12" outlineLevel="2" collapsed="1" x14ac:dyDescent="0.2">
      <c r="A532" s="74" t="s">
        <v>1246</v>
      </c>
      <c r="B532" s="71"/>
      <c r="C532" s="71"/>
      <c r="D532" s="72">
        <v>40194.03</v>
      </c>
      <c r="E532" s="71"/>
      <c r="F532" s="71"/>
      <c r="G532" s="71"/>
    </row>
    <row r="533" spans="1:33" ht="12" hidden="1" outlineLevel="3" x14ac:dyDescent="0.2">
      <c r="A533" s="73" t="s">
        <v>1079</v>
      </c>
      <c r="B533" s="71"/>
      <c r="C533" s="71"/>
      <c r="D533" s="72">
        <v>15357.48</v>
      </c>
      <c r="E533" s="71"/>
      <c r="F533" s="71"/>
      <c r="G533" s="71"/>
      <c r="H533" s="4" t="s">
        <v>65</v>
      </c>
      <c r="AF533" s="91">
        <f t="shared" si="25"/>
        <v>15357.48</v>
      </c>
    </row>
    <row r="534" spans="1:33" ht="12" hidden="1" outlineLevel="3" x14ac:dyDescent="0.2">
      <c r="A534" s="73" t="s">
        <v>1078</v>
      </c>
      <c r="B534" s="71"/>
      <c r="C534" s="71"/>
      <c r="D534" s="72">
        <v>7831.48</v>
      </c>
      <c r="E534" s="71"/>
      <c r="F534" s="71"/>
      <c r="G534" s="71"/>
      <c r="H534" s="4" t="s">
        <v>58</v>
      </c>
      <c r="AF534" s="91">
        <f t="shared" si="25"/>
        <v>7831.48</v>
      </c>
    </row>
    <row r="535" spans="1:33" ht="12" hidden="1" outlineLevel="3" x14ac:dyDescent="0.2">
      <c r="A535" s="73" t="s">
        <v>1077</v>
      </c>
      <c r="B535" s="71"/>
      <c r="C535" s="71"/>
      <c r="D535" s="72">
        <v>8277.1200000000008</v>
      </c>
      <c r="E535" s="71"/>
      <c r="F535" s="71"/>
      <c r="G535" s="71"/>
      <c r="H535" s="4" t="s">
        <v>59</v>
      </c>
      <c r="AF535" s="91">
        <f t="shared" si="25"/>
        <v>8277.1200000000008</v>
      </c>
    </row>
    <row r="536" spans="1:33" ht="12" hidden="1" outlineLevel="3" x14ac:dyDescent="0.2">
      <c r="A536" s="73" t="s">
        <v>1024</v>
      </c>
      <c r="B536" s="71"/>
      <c r="C536" s="71"/>
      <c r="D536" s="72">
        <v>8727.9500000000007</v>
      </c>
      <c r="E536" s="71"/>
      <c r="F536" s="71"/>
      <c r="G536" s="71"/>
      <c r="H536" s="4" t="s">
        <v>158</v>
      </c>
      <c r="AF536" s="91">
        <f t="shared" si="25"/>
        <v>8727.9500000000007</v>
      </c>
    </row>
    <row r="537" spans="1:33" ht="12" outlineLevel="2" collapsed="1" x14ac:dyDescent="0.2">
      <c r="A537" s="74" t="s">
        <v>1245</v>
      </c>
      <c r="B537" s="71"/>
      <c r="C537" s="71"/>
      <c r="D537" s="72">
        <v>246258.63</v>
      </c>
      <c r="E537" s="71"/>
      <c r="F537" s="71"/>
      <c r="G537" s="71"/>
    </row>
    <row r="538" spans="1:33" ht="12" hidden="1" outlineLevel="3" x14ac:dyDescent="0.2">
      <c r="A538" s="73" t="s">
        <v>929</v>
      </c>
      <c r="B538" s="71"/>
      <c r="C538" s="71"/>
      <c r="D538" s="72">
        <v>4265.17</v>
      </c>
      <c r="E538" s="71"/>
      <c r="F538" s="71"/>
      <c r="G538" s="71"/>
      <c r="H538" s="31" t="s">
        <v>331</v>
      </c>
      <c r="AG538" s="91">
        <f t="shared" si="25"/>
        <v>4265.17</v>
      </c>
    </row>
    <row r="539" spans="1:33" ht="12" hidden="1" outlineLevel="3" x14ac:dyDescent="0.2">
      <c r="A539" s="73" t="s">
        <v>1060</v>
      </c>
      <c r="B539" s="71"/>
      <c r="C539" s="71"/>
      <c r="D539" s="72">
        <v>9730.9</v>
      </c>
      <c r="E539" s="71"/>
      <c r="F539" s="71"/>
      <c r="G539" s="71"/>
      <c r="H539" s="4" t="s">
        <v>141</v>
      </c>
      <c r="AG539" s="91">
        <f t="shared" si="25"/>
        <v>9730.9</v>
      </c>
    </row>
    <row r="540" spans="1:33" ht="12" hidden="1" outlineLevel="3" x14ac:dyDescent="0.2">
      <c r="A540" s="73" t="s">
        <v>1059</v>
      </c>
      <c r="B540" s="71"/>
      <c r="C540" s="71"/>
      <c r="D540" s="72">
        <v>7425.57</v>
      </c>
      <c r="E540" s="71"/>
      <c r="F540" s="71"/>
      <c r="G540" s="71"/>
      <c r="H540" s="4" t="s">
        <v>142</v>
      </c>
      <c r="AG540" s="91">
        <f t="shared" si="25"/>
        <v>7425.57</v>
      </c>
    </row>
    <row r="541" spans="1:33" ht="12" hidden="1" outlineLevel="3" x14ac:dyDescent="0.2">
      <c r="A541" s="73" t="s">
        <v>1052</v>
      </c>
      <c r="B541" s="71"/>
      <c r="C541" s="71"/>
      <c r="D541" s="72">
        <v>12757.99</v>
      </c>
      <c r="E541" s="71"/>
      <c r="F541" s="71"/>
      <c r="G541" s="71"/>
      <c r="H541" s="4" t="s">
        <v>133</v>
      </c>
      <c r="AG541" s="91">
        <f t="shared" si="25"/>
        <v>12757.99</v>
      </c>
    </row>
    <row r="542" spans="1:33" ht="12" hidden="1" outlineLevel="3" x14ac:dyDescent="0.2">
      <c r="A542" s="73" t="s">
        <v>1051</v>
      </c>
      <c r="B542" s="71"/>
      <c r="C542" s="71"/>
      <c r="D542" s="72">
        <v>14920.86</v>
      </c>
      <c r="E542" s="71"/>
      <c r="F542" s="71"/>
      <c r="G542" s="71"/>
      <c r="H542" s="4" t="s">
        <v>134</v>
      </c>
      <c r="AG542" s="91">
        <f t="shared" si="25"/>
        <v>14920.86</v>
      </c>
    </row>
    <row r="543" spans="1:33" ht="12" hidden="1" outlineLevel="3" x14ac:dyDescent="0.2">
      <c r="A543" s="73" t="s">
        <v>1050</v>
      </c>
      <c r="B543" s="71"/>
      <c r="C543" s="71"/>
      <c r="D543" s="72">
        <v>12789.8</v>
      </c>
      <c r="E543" s="71"/>
      <c r="F543" s="71"/>
      <c r="G543" s="71"/>
      <c r="H543" s="4" t="s">
        <v>135</v>
      </c>
      <c r="AG543" s="91">
        <f t="shared" si="25"/>
        <v>12789.8</v>
      </c>
    </row>
    <row r="544" spans="1:33" ht="12" hidden="1" outlineLevel="3" x14ac:dyDescent="0.2">
      <c r="A544" s="73" t="s">
        <v>1170</v>
      </c>
      <c r="B544" s="71"/>
      <c r="C544" s="71"/>
      <c r="D544" s="72">
        <v>10068.74</v>
      </c>
      <c r="E544" s="71"/>
      <c r="F544" s="71"/>
      <c r="G544" s="71"/>
      <c r="H544" s="4" t="s">
        <v>127</v>
      </c>
      <c r="AG544" s="91">
        <f t="shared" si="25"/>
        <v>10068.74</v>
      </c>
    </row>
    <row r="545" spans="1:33" ht="12" hidden="1" outlineLevel="3" x14ac:dyDescent="0.2">
      <c r="A545" s="73" t="s">
        <v>1221</v>
      </c>
      <c r="B545" s="71"/>
      <c r="C545" s="71"/>
      <c r="D545" s="72">
        <v>26113.89</v>
      </c>
      <c r="E545" s="71"/>
      <c r="F545" s="71"/>
      <c r="G545" s="71"/>
      <c r="H545" s="4" t="s">
        <v>78</v>
      </c>
      <c r="AG545" s="91">
        <f t="shared" si="25"/>
        <v>26113.89</v>
      </c>
    </row>
    <row r="546" spans="1:33" ht="12" hidden="1" outlineLevel="3" x14ac:dyDescent="0.2">
      <c r="A546" s="73" t="s">
        <v>1034</v>
      </c>
      <c r="B546" s="71"/>
      <c r="C546" s="71"/>
      <c r="D546" s="72">
        <v>3963.57</v>
      </c>
      <c r="E546" s="71"/>
      <c r="F546" s="71"/>
      <c r="G546" s="71"/>
      <c r="H546" s="4" t="s">
        <v>91</v>
      </c>
      <c r="AG546" s="91">
        <f t="shared" si="25"/>
        <v>3963.57</v>
      </c>
    </row>
    <row r="547" spans="1:33" ht="12" hidden="1" outlineLevel="3" x14ac:dyDescent="0.2">
      <c r="A547" s="73" t="s">
        <v>1025</v>
      </c>
      <c r="B547" s="71"/>
      <c r="C547" s="71"/>
      <c r="D547" s="72">
        <v>6669.8</v>
      </c>
      <c r="E547" s="71"/>
      <c r="F547" s="71"/>
      <c r="G547" s="71"/>
      <c r="H547" s="4" t="s">
        <v>157</v>
      </c>
      <c r="AG547" s="91">
        <f t="shared" ref="AG547:AH568" si="26">$D547</f>
        <v>6669.8</v>
      </c>
    </row>
    <row r="548" spans="1:33" ht="12" hidden="1" outlineLevel="3" x14ac:dyDescent="0.2">
      <c r="A548" s="73" t="s">
        <v>1017</v>
      </c>
      <c r="B548" s="71"/>
      <c r="C548" s="71"/>
      <c r="D548" s="72">
        <v>3799.48</v>
      </c>
      <c r="E548" s="71"/>
      <c r="F548" s="71"/>
      <c r="G548" s="71"/>
      <c r="H548" s="4" t="s">
        <v>167</v>
      </c>
      <c r="AG548" s="91">
        <f t="shared" si="26"/>
        <v>3799.48</v>
      </c>
    </row>
    <row r="549" spans="1:33" ht="12" hidden="1" outlineLevel="3" x14ac:dyDescent="0.2">
      <c r="A549" s="73" t="s">
        <v>1016</v>
      </c>
      <c r="B549" s="71"/>
      <c r="C549" s="71"/>
      <c r="D549" s="72">
        <v>8753.0499999999993</v>
      </c>
      <c r="E549" s="71"/>
      <c r="F549" s="71"/>
      <c r="G549" s="71"/>
      <c r="H549" s="4" t="s">
        <v>168</v>
      </c>
      <c r="AG549" s="91">
        <f t="shared" si="26"/>
        <v>8753.0499999999993</v>
      </c>
    </row>
    <row r="550" spans="1:33" ht="12" hidden="1" outlineLevel="3" x14ac:dyDescent="0.2">
      <c r="A550" s="73" t="s">
        <v>1015</v>
      </c>
      <c r="B550" s="71"/>
      <c r="C550" s="71"/>
      <c r="D550" s="72">
        <v>5652.32</v>
      </c>
      <c r="E550" s="71"/>
      <c r="F550" s="71"/>
      <c r="G550" s="71"/>
      <c r="H550" s="4" t="s">
        <v>169</v>
      </c>
      <c r="AG550" s="91">
        <f t="shared" si="26"/>
        <v>5652.32</v>
      </c>
    </row>
    <row r="551" spans="1:33" ht="12" hidden="1" outlineLevel="3" x14ac:dyDescent="0.2">
      <c r="A551" s="73" t="s">
        <v>997</v>
      </c>
      <c r="B551" s="71"/>
      <c r="C551" s="71"/>
      <c r="D551" s="72">
        <v>5720.78</v>
      </c>
      <c r="E551" s="71"/>
      <c r="F551" s="71"/>
      <c r="G551" s="71"/>
      <c r="H551" s="4" t="s">
        <v>215</v>
      </c>
      <c r="AG551" s="91">
        <f t="shared" si="26"/>
        <v>5720.78</v>
      </c>
    </row>
    <row r="552" spans="1:33" ht="12" hidden="1" outlineLevel="3" x14ac:dyDescent="0.2">
      <c r="A552" s="73" t="s">
        <v>988</v>
      </c>
      <c r="B552" s="71"/>
      <c r="C552" s="71"/>
      <c r="D552" s="72">
        <v>17723.310000000001</v>
      </c>
      <c r="E552" s="71"/>
      <c r="F552" s="71"/>
      <c r="G552" s="71"/>
      <c r="H552" s="4" t="s">
        <v>182</v>
      </c>
      <c r="AG552" s="91">
        <f t="shared" si="26"/>
        <v>17723.310000000001</v>
      </c>
    </row>
    <row r="553" spans="1:33" ht="12" hidden="1" outlineLevel="3" x14ac:dyDescent="0.2">
      <c r="A553" s="73" t="s">
        <v>977</v>
      </c>
      <c r="B553" s="71"/>
      <c r="C553" s="71"/>
      <c r="D553" s="72">
        <v>15403.15</v>
      </c>
      <c r="E553" s="71"/>
      <c r="F553" s="71"/>
      <c r="G553" s="71"/>
      <c r="H553" s="4" t="s">
        <v>197</v>
      </c>
      <c r="AG553" s="91">
        <f t="shared" si="26"/>
        <v>15403.15</v>
      </c>
    </row>
    <row r="554" spans="1:33" ht="12" hidden="1" outlineLevel="3" x14ac:dyDescent="0.2">
      <c r="A554" s="73" t="s">
        <v>976</v>
      </c>
      <c r="B554" s="71"/>
      <c r="C554" s="71"/>
      <c r="D554" s="72">
        <v>4248.6099999999997</v>
      </c>
      <c r="E554" s="71"/>
      <c r="F554" s="71"/>
      <c r="G554" s="71"/>
      <c r="H554" s="4" t="s">
        <v>198</v>
      </c>
      <c r="AG554" s="91">
        <f t="shared" si="26"/>
        <v>4248.6099999999997</v>
      </c>
    </row>
    <row r="555" spans="1:33" ht="12" hidden="1" outlineLevel="3" x14ac:dyDescent="0.2">
      <c r="A555" s="73" t="s">
        <v>974</v>
      </c>
      <c r="B555" s="71"/>
      <c r="C555" s="71"/>
      <c r="D555" s="72">
        <v>8890.2000000000007</v>
      </c>
      <c r="E555" s="71"/>
      <c r="F555" s="71"/>
      <c r="G555" s="71"/>
      <c r="H555" s="4" t="s">
        <v>200</v>
      </c>
      <c r="AG555" s="91">
        <f t="shared" si="26"/>
        <v>8890.2000000000007</v>
      </c>
    </row>
    <row r="556" spans="1:33" ht="12" hidden="1" outlineLevel="3" x14ac:dyDescent="0.2">
      <c r="A556" s="73" t="s">
        <v>973</v>
      </c>
      <c r="B556" s="71"/>
      <c r="C556" s="71"/>
      <c r="D556" s="72">
        <v>4924.3900000000003</v>
      </c>
      <c r="E556" s="71"/>
      <c r="F556" s="71"/>
      <c r="G556" s="71"/>
      <c r="H556" s="4" t="s">
        <v>201</v>
      </c>
      <c r="AG556" s="91">
        <f t="shared" si="26"/>
        <v>4924.3900000000003</v>
      </c>
    </row>
    <row r="557" spans="1:33" ht="12" hidden="1" outlineLevel="3" x14ac:dyDescent="0.2">
      <c r="A557" s="73" t="s">
        <v>972</v>
      </c>
      <c r="B557" s="71"/>
      <c r="C557" s="71"/>
      <c r="D557" s="72">
        <v>20593.400000000001</v>
      </c>
      <c r="E557" s="71"/>
      <c r="F557" s="71"/>
      <c r="G557" s="71"/>
      <c r="H557" s="4" t="s">
        <v>202</v>
      </c>
      <c r="AG557" s="91">
        <f t="shared" si="26"/>
        <v>20593.400000000001</v>
      </c>
    </row>
    <row r="558" spans="1:33" ht="12" hidden="1" outlineLevel="3" x14ac:dyDescent="0.2">
      <c r="A558" s="73" t="s">
        <v>1130</v>
      </c>
      <c r="B558" s="71"/>
      <c r="C558" s="71"/>
      <c r="D558" s="72">
        <v>6244.89</v>
      </c>
      <c r="E558" s="71"/>
      <c r="F558" s="71"/>
      <c r="G558" s="71"/>
      <c r="H558" s="4" t="s">
        <v>249</v>
      </c>
      <c r="AG558" s="91">
        <f t="shared" si="26"/>
        <v>6244.89</v>
      </c>
    </row>
    <row r="559" spans="1:33" ht="12" hidden="1" outlineLevel="3" x14ac:dyDescent="0.2">
      <c r="A559" s="73" t="s">
        <v>966</v>
      </c>
      <c r="B559" s="71"/>
      <c r="C559" s="71"/>
      <c r="D559" s="72">
        <v>5394.61</v>
      </c>
      <c r="E559" s="71"/>
      <c r="F559" s="71"/>
      <c r="G559" s="71"/>
      <c r="H559" s="4" t="s">
        <v>250</v>
      </c>
      <c r="AG559" s="91">
        <f t="shared" si="26"/>
        <v>5394.61</v>
      </c>
    </row>
    <row r="560" spans="1:33" ht="12" hidden="1" outlineLevel="3" x14ac:dyDescent="0.2">
      <c r="A560" s="73" t="s">
        <v>1128</v>
      </c>
      <c r="B560" s="71"/>
      <c r="C560" s="71"/>
      <c r="D560" s="72">
        <v>4290</v>
      </c>
      <c r="E560" s="71"/>
      <c r="F560" s="71"/>
      <c r="G560" s="71"/>
      <c r="H560" s="4" t="s">
        <v>252</v>
      </c>
      <c r="AG560" s="91">
        <f t="shared" si="26"/>
        <v>4290</v>
      </c>
    </row>
    <row r="561" spans="1:34" ht="12" hidden="1" outlineLevel="3" x14ac:dyDescent="0.2">
      <c r="A561" s="73" t="s">
        <v>1125</v>
      </c>
      <c r="B561" s="71"/>
      <c r="C561" s="71"/>
      <c r="D561" s="72">
        <v>4340</v>
      </c>
      <c r="E561" s="71"/>
      <c r="F561" s="71"/>
      <c r="G561" s="71"/>
      <c r="H561" s="4" t="s">
        <v>255</v>
      </c>
      <c r="AG561" s="91">
        <f t="shared" si="26"/>
        <v>4340</v>
      </c>
    </row>
    <row r="562" spans="1:34" ht="12" hidden="1" outlineLevel="3" x14ac:dyDescent="0.2">
      <c r="A562" s="73" t="s">
        <v>948</v>
      </c>
      <c r="B562" s="71"/>
      <c r="C562" s="71"/>
      <c r="D562" s="72">
        <v>4340</v>
      </c>
      <c r="E562" s="71"/>
      <c r="F562" s="71"/>
      <c r="G562" s="71"/>
      <c r="H562" s="4" t="s">
        <v>258</v>
      </c>
      <c r="AG562" s="91">
        <f t="shared" si="26"/>
        <v>4340</v>
      </c>
    </row>
    <row r="563" spans="1:34" ht="12" hidden="1" outlineLevel="3" x14ac:dyDescent="0.2">
      <c r="A563" s="73" t="s">
        <v>964</v>
      </c>
      <c r="B563" s="71"/>
      <c r="C563" s="71"/>
      <c r="D563" s="72">
        <v>4565.8</v>
      </c>
      <c r="E563" s="71"/>
      <c r="F563" s="71"/>
      <c r="G563" s="71"/>
      <c r="H563" s="4" t="s">
        <v>274</v>
      </c>
      <c r="AG563" s="91">
        <f t="shared" si="26"/>
        <v>4565.8</v>
      </c>
    </row>
    <row r="564" spans="1:34" ht="12" hidden="1" outlineLevel="3" x14ac:dyDescent="0.2">
      <c r="A564" s="73" t="s">
        <v>959</v>
      </c>
      <c r="B564" s="71"/>
      <c r="C564" s="71"/>
      <c r="D564" s="72">
        <v>12668.35</v>
      </c>
      <c r="E564" s="71"/>
      <c r="F564" s="71"/>
      <c r="G564" s="71"/>
      <c r="H564" s="4" t="s">
        <v>283</v>
      </c>
      <c r="AG564" s="91">
        <f t="shared" si="26"/>
        <v>12668.35</v>
      </c>
    </row>
    <row r="565" spans="1:34" ht="12" outlineLevel="2" collapsed="1" x14ac:dyDescent="0.2">
      <c r="A565" s="74" t="s">
        <v>1244</v>
      </c>
      <c r="B565" s="71"/>
      <c r="C565" s="71"/>
      <c r="D565" s="72">
        <v>1747297.66</v>
      </c>
      <c r="E565" s="71"/>
      <c r="F565" s="71"/>
      <c r="G565" s="71"/>
      <c r="H565" s="31"/>
    </row>
    <row r="566" spans="1:34" ht="12" hidden="1" outlineLevel="3" x14ac:dyDescent="0.2">
      <c r="A566" s="73" t="s">
        <v>934</v>
      </c>
      <c r="B566" s="71"/>
      <c r="C566" s="71"/>
      <c r="D566" s="72">
        <v>79806.850000000006</v>
      </c>
      <c r="E566" s="71"/>
      <c r="F566" s="71"/>
      <c r="G566" s="71"/>
      <c r="H566" s="31" t="s">
        <v>336</v>
      </c>
      <c r="AH566" s="91">
        <f t="shared" si="26"/>
        <v>79806.850000000006</v>
      </c>
    </row>
    <row r="567" spans="1:34" ht="12" hidden="1" outlineLevel="3" x14ac:dyDescent="0.2">
      <c r="A567" s="73" t="s">
        <v>1065</v>
      </c>
      <c r="B567" s="71"/>
      <c r="C567" s="71"/>
      <c r="D567" s="72">
        <v>60191.47</v>
      </c>
      <c r="E567" s="71"/>
      <c r="F567" s="71"/>
      <c r="G567" s="71"/>
      <c r="H567" s="4" t="s">
        <v>54</v>
      </c>
      <c r="AH567" s="91">
        <f t="shared" si="26"/>
        <v>60191.47</v>
      </c>
    </row>
    <row r="568" spans="1:34" ht="12" hidden="1" outlineLevel="3" x14ac:dyDescent="0.2">
      <c r="A568" s="73" t="s">
        <v>1058</v>
      </c>
      <c r="B568" s="71"/>
      <c r="C568" s="71"/>
      <c r="D568" s="72">
        <v>72828.37</v>
      </c>
      <c r="E568" s="71"/>
      <c r="F568" s="71"/>
      <c r="G568" s="71"/>
      <c r="H568" s="4" t="s">
        <v>143</v>
      </c>
      <c r="AH568" s="91">
        <f t="shared" si="26"/>
        <v>72828.37</v>
      </c>
    </row>
    <row r="569" spans="1:34" ht="12" hidden="1" outlineLevel="3" x14ac:dyDescent="0.2">
      <c r="A569" s="73" t="s">
        <v>1043</v>
      </c>
      <c r="B569" s="71"/>
      <c r="C569" s="71"/>
      <c r="D569" s="72">
        <v>119173.34</v>
      </c>
      <c r="E569" s="71"/>
      <c r="F569" s="71"/>
      <c r="G569" s="71"/>
      <c r="H569" s="4" t="s">
        <v>130</v>
      </c>
      <c r="AH569" s="91">
        <f t="shared" ref="AH569:AI584" si="27">$D569</f>
        <v>119173.34</v>
      </c>
    </row>
    <row r="570" spans="1:34" ht="12" hidden="1" outlineLevel="3" x14ac:dyDescent="0.2">
      <c r="A570" s="73" t="s">
        <v>1218</v>
      </c>
      <c r="B570" s="71"/>
      <c r="C570" s="71"/>
      <c r="D570" s="72">
        <v>66895.56</v>
      </c>
      <c r="E570" s="71"/>
      <c r="F570" s="71"/>
      <c r="G570" s="71"/>
      <c r="H570" s="4" t="s">
        <v>80</v>
      </c>
      <c r="AH570" s="91">
        <f t="shared" si="27"/>
        <v>66895.56</v>
      </c>
    </row>
    <row r="571" spans="1:34" ht="12" hidden="1" outlineLevel="3" x14ac:dyDescent="0.2">
      <c r="A571" s="73" t="s">
        <v>944</v>
      </c>
      <c r="B571" s="71"/>
      <c r="C571" s="71"/>
      <c r="D571" s="72">
        <v>195698</v>
      </c>
      <c r="E571" s="71"/>
      <c r="F571" s="71"/>
      <c r="G571" s="71"/>
      <c r="H571" s="4" t="s">
        <v>88</v>
      </c>
      <c r="AH571" s="91">
        <f t="shared" si="27"/>
        <v>195698</v>
      </c>
    </row>
    <row r="572" spans="1:34" ht="12" hidden="1" outlineLevel="3" x14ac:dyDescent="0.2">
      <c r="A572" s="73" t="s">
        <v>1027</v>
      </c>
      <c r="B572" s="71"/>
      <c r="C572" s="71"/>
      <c r="D572" s="72">
        <v>142200.01999999999</v>
      </c>
      <c r="E572" s="71"/>
      <c r="F572" s="71"/>
      <c r="G572" s="71"/>
      <c r="H572" s="4" t="s">
        <v>155</v>
      </c>
      <c r="AH572" s="91">
        <f t="shared" si="27"/>
        <v>142200.01999999999</v>
      </c>
    </row>
    <row r="573" spans="1:34" ht="12" hidden="1" outlineLevel="3" x14ac:dyDescent="0.2">
      <c r="A573" s="73" t="s">
        <v>1022</v>
      </c>
      <c r="B573" s="71"/>
      <c r="C573" s="71"/>
      <c r="D573" s="72">
        <v>40566.639999999999</v>
      </c>
      <c r="E573" s="71"/>
      <c r="F573" s="71"/>
      <c r="G573" s="71"/>
      <c r="H573" s="4" t="s">
        <v>160</v>
      </c>
      <c r="AH573" s="91">
        <f t="shared" si="27"/>
        <v>40566.639999999999</v>
      </c>
    </row>
    <row r="574" spans="1:34" ht="12" hidden="1" outlineLevel="3" x14ac:dyDescent="0.2">
      <c r="A574" s="73" t="s">
        <v>1007</v>
      </c>
      <c r="B574" s="71"/>
      <c r="C574" s="71"/>
      <c r="D574" s="72">
        <v>114205.93</v>
      </c>
      <c r="E574" s="71"/>
      <c r="F574" s="71"/>
      <c r="G574" s="71"/>
      <c r="H574" s="4" t="s">
        <v>103</v>
      </c>
      <c r="AH574" s="91">
        <f t="shared" si="27"/>
        <v>114205.93</v>
      </c>
    </row>
    <row r="575" spans="1:34" ht="12" hidden="1" outlineLevel="3" x14ac:dyDescent="0.2">
      <c r="A575" s="73" t="s">
        <v>1214</v>
      </c>
      <c r="B575" s="71"/>
      <c r="C575" s="71"/>
      <c r="D575" s="72">
        <v>269404.40000000002</v>
      </c>
      <c r="E575" s="71"/>
      <c r="F575" s="71"/>
      <c r="G575" s="71"/>
      <c r="H575" s="4" t="s">
        <v>104</v>
      </c>
      <c r="AH575" s="91">
        <f t="shared" si="27"/>
        <v>269404.40000000002</v>
      </c>
    </row>
    <row r="576" spans="1:34" ht="12" hidden="1" outlineLevel="3" x14ac:dyDescent="0.2">
      <c r="A576" s="73" t="s">
        <v>937</v>
      </c>
      <c r="B576" s="71"/>
      <c r="C576" s="71"/>
      <c r="D576" s="72">
        <v>211246.74</v>
      </c>
      <c r="E576" s="71"/>
      <c r="F576" s="71"/>
      <c r="G576" s="71"/>
      <c r="H576" s="4" t="s">
        <v>236</v>
      </c>
      <c r="AH576" s="91">
        <f t="shared" si="27"/>
        <v>211246.74</v>
      </c>
    </row>
    <row r="577" spans="1:35" ht="12" hidden="1" outlineLevel="3" x14ac:dyDescent="0.2">
      <c r="A577" s="73" t="s">
        <v>1137</v>
      </c>
      <c r="B577" s="71"/>
      <c r="C577" s="71"/>
      <c r="D577" s="72">
        <v>69805.009999999995</v>
      </c>
      <c r="E577" s="71"/>
      <c r="F577" s="71"/>
      <c r="G577" s="71"/>
      <c r="H577" s="4" t="s">
        <v>242</v>
      </c>
      <c r="AH577" s="91">
        <f t="shared" si="27"/>
        <v>69805.009999999995</v>
      </c>
    </row>
    <row r="578" spans="1:35" ht="12" hidden="1" outlineLevel="3" x14ac:dyDescent="0.2">
      <c r="A578" s="73" t="s">
        <v>1131</v>
      </c>
      <c r="B578" s="71"/>
      <c r="C578" s="71"/>
      <c r="D578" s="72">
        <v>174691.48</v>
      </c>
      <c r="E578" s="71"/>
      <c r="F578" s="71"/>
      <c r="G578" s="71"/>
      <c r="H578" s="4" t="s">
        <v>248</v>
      </c>
      <c r="AH578" s="91">
        <f t="shared" si="27"/>
        <v>174691.48</v>
      </c>
    </row>
    <row r="579" spans="1:35" ht="12" hidden="1" outlineLevel="3" x14ac:dyDescent="0.2">
      <c r="A579" s="73" t="s">
        <v>1126</v>
      </c>
      <c r="B579" s="71"/>
      <c r="C579" s="71"/>
      <c r="D579" s="72">
        <v>56690.41</v>
      </c>
      <c r="E579" s="71"/>
      <c r="F579" s="71"/>
      <c r="G579" s="71"/>
      <c r="H579" s="4" t="s">
        <v>254</v>
      </c>
      <c r="AH579" s="91">
        <f t="shared" si="27"/>
        <v>56690.41</v>
      </c>
    </row>
    <row r="580" spans="1:35" ht="12" hidden="1" outlineLevel="3" x14ac:dyDescent="0.2">
      <c r="A580" s="73" t="s">
        <v>1203</v>
      </c>
      <c r="B580" s="71"/>
      <c r="C580" s="71"/>
      <c r="D580" s="72">
        <v>57308.92</v>
      </c>
      <c r="E580" s="71"/>
      <c r="F580" s="71"/>
      <c r="G580" s="71"/>
      <c r="H580" s="4" t="s">
        <v>265</v>
      </c>
      <c r="AH580" s="91">
        <f t="shared" si="27"/>
        <v>57308.92</v>
      </c>
    </row>
    <row r="581" spans="1:35" ht="12" hidden="1" outlineLevel="3" x14ac:dyDescent="0.2">
      <c r="A581" s="94" t="s">
        <v>1243</v>
      </c>
      <c r="B581" s="71"/>
      <c r="C581" s="71"/>
      <c r="D581" s="72">
        <v>16584.52</v>
      </c>
      <c r="E581" s="71"/>
      <c r="F581" s="71"/>
      <c r="G581" s="71"/>
      <c r="H581" s="67" t="s">
        <v>275</v>
      </c>
      <c r="AH581" s="91">
        <f t="shared" si="27"/>
        <v>16584.52</v>
      </c>
    </row>
    <row r="582" spans="1:35" ht="12" outlineLevel="2" collapsed="1" x14ac:dyDescent="0.2">
      <c r="A582" s="74" t="s">
        <v>1242</v>
      </c>
      <c r="B582" s="71"/>
      <c r="C582" s="71"/>
      <c r="D582" s="72">
        <v>1486883.78</v>
      </c>
      <c r="E582" s="71"/>
      <c r="F582" s="71"/>
      <c r="G582" s="71"/>
    </row>
    <row r="583" spans="1:35" ht="12" hidden="1" outlineLevel="3" x14ac:dyDescent="0.2">
      <c r="A583" s="73" t="s">
        <v>1077</v>
      </c>
      <c r="B583" s="71"/>
      <c r="C583" s="71"/>
      <c r="D583" s="72">
        <v>36832.160000000003</v>
      </c>
      <c r="E583" s="71"/>
      <c r="F583" s="71"/>
      <c r="G583" s="71"/>
      <c r="H583" s="4" t="s">
        <v>59</v>
      </c>
      <c r="AI583" s="91">
        <f t="shared" si="27"/>
        <v>36832.160000000003</v>
      </c>
    </row>
    <row r="584" spans="1:35" ht="12" hidden="1" outlineLevel="3" x14ac:dyDescent="0.2">
      <c r="A584" s="73" t="s">
        <v>926</v>
      </c>
      <c r="B584" s="71"/>
      <c r="C584" s="71"/>
      <c r="D584" s="72">
        <v>238833.24</v>
      </c>
      <c r="E584" s="71"/>
      <c r="F584" s="71"/>
      <c r="G584" s="71"/>
      <c r="H584" s="31" t="s">
        <v>323</v>
      </c>
      <c r="AI584" s="91">
        <f t="shared" si="27"/>
        <v>238833.24</v>
      </c>
    </row>
    <row r="585" spans="1:35" ht="12" hidden="1" outlineLevel="3" x14ac:dyDescent="0.2">
      <c r="A585" s="73" t="s">
        <v>1107</v>
      </c>
      <c r="B585" s="71"/>
      <c r="C585" s="71"/>
      <c r="D585" s="72">
        <v>376981.92</v>
      </c>
      <c r="E585" s="71"/>
      <c r="F585" s="71"/>
      <c r="G585" s="71"/>
      <c r="H585" s="31" t="s">
        <v>324</v>
      </c>
      <c r="AI585" s="91">
        <f t="shared" ref="AI585:AJ600" si="28">$D585</f>
        <v>376981.92</v>
      </c>
    </row>
    <row r="586" spans="1:35" ht="12" hidden="1" outlineLevel="3" x14ac:dyDescent="0.2">
      <c r="A586" s="73" t="s">
        <v>925</v>
      </c>
      <c r="B586" s="71"/>
      <c r="C586" s="71"/>
      <c r="D586" s="72">
        <v>611168.30000000005</v>
      </c>
      <c r="E586" s="71"/>
      <c r="F586" s="71"/>
      <c r="G586" s="71"/>
      <c r="H586" s="31" t="s">
        <v>327</v>
      </c>
      <c r="AI586" s="91">
        <f t="shared" si="28"/>
        <v>611168.30000000005</v>
      </c>
    </row>
    <row r="587" spans="1:35" ht="12" hidden="1" outlineLevel="3" x14ac:dyDescent="0.2">
      <c r="A587" s="73" t="s">
        <v>1104</v>
      </c>
      <c r="B587" s="71"/>
      <c r="C587" s="71"/>
      <c r="D587" s="72">
        <v>37016.54</v>
      </c>
      <c r="E587" s="71"/>
      <c r="F587" s="71"/>
      <c r="G587" s="71"/>
      <c r="H587" s="31" t="s">
        <v>328</v>
      </c>
      <c r="AI587" s="91">
        <f t="shared" si="28"/>
        <v>37016.54</v>
      </c>
    </row>
    <row r="588" spans="1:35" ht="12" hidden="1" outlineLevel="3" x14ac:dyDescent="0.2">
      <c r="A588" s="73" t="s">
        <v>1194</v>
      </c>
      <c r="B588" s="71"/>
      <c r="C588" s="71"/>
      <c r="D588" s="72">
        <v>69102.399999999994</v>
      </c>
      <c r="E588" s="71"/>
      <c r="F588" s="71"/>
      <c r="G588" s="71"/>
      <c r="H588" s="4" t="s">
        <v>880</v>
      </c>
      <c r="AI588" s="91">
        <f t="shared" si="28"/>
        <v>69102.399999999994</v>
      </c>
    </row>
    <row r="589" spans="1:35" ht="12" hidden="1" outlineLevel="3" x14ac:dyDescent="0.2">
      <c r="A589" s="73" t="s">
        <v>1016</v>
      </c>
      <c r="B589" s="71"/>
      <c r="C589" s="71"/>
      <c r="D589" s="72">
        <v>33476.550000000003</v>
      </c>
      <c r="E589" s="71"/>
      <c r="F589" s="71"/>
      <c r="G589" s="71"/>
      <c r="H589" s="4" t="s">
        <v>168</v>
      </c>
      <c r="AI589" s="91">
        <f t="shared" si="28"/>
        <v>33476.550000000003</v>
      </c>
    </row>
    <row r="590" spans="1:35" ht="12" hidden="1" outlineLevel="3" x14ac:dyDescent="0.2">
      <c r="A590" s="73" t="s">
        <v>991</v>
      </c>
      <c r="B590" s="71"/>
      <c r="C590" s="71"/>
      <c r="D590" s="72">
        <v>30132.53</v>
      </c>
      <c r="E590" s="71"/>
      <c r="F590" s="71"/>
      <c r="G590" s="71"/>
      <c r="H590" s="4" t="s">
        <v>178</v>
      </c>
      <c r="AI590" s="91">
        <f t="shared" si="28"/>
        <v>30132.53</v>
      </c>
    </row>
    <row r="591" spans="1:35" ht="12" hidden="1" outlineLevel="3" x14ac:dyDescent="0.2">
      <c r="A591" s="73" t="s">
        <v>1210</v>
      </c>
      <c r="B591" s="71"/>
      <c r="C591" s="71"/>
      <c r="D591" s="72">
        <v>53340.14</v>
      </c>
      <c r="E591" s="71"/>
      <c r="F591" s="71"/>
      <c r="G591" s="71"/>
      <c r="H591" s="4" t="s">
        <v>267</v>
      </c>
      <c r="AI591" s="91">
        <f t="shared" si="28"/>
        <v>53340.14</v>
      </c>
    </row>
    <row r="592" spans="1:35" ht="12" outlineLevel="2" collapsed="1" x14ac:dyDescent="0.2">
      <c r="A592" s="74" t="s">
        <v>1241</v>
      </c>
      <c r="B592" s="71"/>
      <c r="C592" s="71"/>
      <c r="D592" s="72">
        <v>1918244.97</v>
      </c>
      <c r="E592" s="71"/>
      <c r="F592" s="71"/>
      <c r="G592" s="71"/>
    </row>
    <row r="593" spans="1:36" ht="12" hidden="1" outlineLevel="3" x14ac:dyDescent="0.2">
      <c r="A593" s="73" t="s">
        <v>1075</v>
      </c>
      <c r="B593" s="71"/>
      <c r="C593" s="71"/>
      <c r="D593" s="72">
        <v>33160.28</v>
      </c>
      <c r="E593" s="71"/>
      <c r="F593" s="71"/>
      <c r="G593" s="71"/>
      <c r="H593" s="4" t="s">
        <v>62</v>
      </c>
      <c r="AJ593" s="91">
        <f t="shared" si="28"/>
        <v>33160.28</v>
      </c>
    </row>
    <row r="594" spans="1:36" ht="12" hidden="1" outlineLevel="3" x14ac:dyDescent="0.2">
      <c r="A594" s="73" t="s">
        <v>1107</v>
      </c>
      <c r="B594" s="71"/>
      <c r="C594" s="71"/>
      <c r="D594" s="72">
        <v>113745.78</v>
      </c>
      <c r="E594" s="71"/>
      <c r="F594" s="71"/>
      <c r="G594" s="71"/>
      <c r="H594" s="31" t="s">
        <v>324</v>
      </c>
      <c r="AJ594" s="91">
        <f t="shared" si="28"/>
        <v>113745.78</v>
      </c>
    </row>
    <row r="595" spans="1:36" ht="12" hidden="1" outlineLevel="3" x14ac:dyDescent="0.2">
      <c r="A595" s="73" t="s">
        <v>1102</v>
      </c>
      <c r="B595" s="71"/>
      <c r="C595" s="71"/>
      <c r="D595" s="72">
        <v>584103.96</v>
      </c>
      <c r="E595" s="71"/>
      <c r="F595" s="71"/>
      <c r="G595" s="71"/>
      <c r="H595" s="31" t="s">
        <v>334</v>
      </c>
      <c r="AJ595" s="91">
        <f t="shared" si="28"/>
        <v>584103.96</v>
      </c>
    </row>
    <row r="596" spans="1:36" ht="12" hidden="1" outlineLevel="3" x14ac:dyDescent="0.2">
      <c r="A596" s="73" t="s">
        <v>934</v>
      </c>
      <c r="B596" s="71"/>
      <c r="C596" s="71"/>
      <c r="D596" s="72">
        <v>651103.05000000005</v>
      </c>
      <c r="E596" s="71"/>
      <c r="F596" s="71"/>
      <c r="G596" s="71"/>
      <c r="H596" s="31" t="s">
        <v>336</v>
      </c>
      <c r="AJ596" s="91">
        <f t="shared" si="28"/>
        <v>651103.05000000005</v>
      </c>
    </row>
    <row r="597" spans="1:36" ht="12" hidden="1" outlineLevel="3" x14ac:dyDescent="0.2">
      <c r="A597" s="73" t="s">
        <v>1043</v>
      </c>
      <c r="B597" s="71"/>
      <c r="C597" s="71"/>
      <c r="D597" s="72">
        <v>113308</v>
      </c>
      <c r="E597" s="71"/>
      <c r="F597" s="71"/>
      <c r="G597" s="71"/>
      <c r="H597" s="4" t="s">
        <v>130</v>
      </c>
      <c r="AJ597" s="91">
        <f t="shared" si="28"/>
        <v>113308</v>
      </c>
    </row>
    <row r="598" spans="1:36" ht="12" hidden="1" outlineLevel="3" x14ac:dyDescent="0.2">
      <c r="A598" s="73" t="s">
        <v>1167</v>
      </c>
      <c r="B598" s="71"/>
      <c r="C598" s="71"/>
      <c r="D598" s="72">
        <v>36181.74</v>
      </c>
      <c r="E598" s="71"/>
      <c r="F598" s="71"/>
      <c r="G598" s="71"/>
      <c r="H598" s="4" t="s">
        <v>86</v>
      </c>
      <c r="AJ598" s="91">
        <f t="shared" si="28"/>
        <v>36181.74</v>
      </c>
    </row>
    <row r="599" spans="1:36" ht="12" hidden="1" outlineLevel="3" x14ac:dyDescent="0.2">
      <c r="A599" s="73" t="s">
        <v>944</v>
      </c>
      <c r="B599" s="71"/>
      <c r="C599" s="71"/>
      <c r="D599" s="72">
        <v>51790.97</v>
      </c>
      <c r="E599" s="71"/>
      <c r="F599" s="71"/>
      <c r="G599" s="71"/>
      <c r="H599" s="4" t="s">
        <v>88</v>
      </c>
      <c r="AJ599" s="91">
        <f t="shared" si="28"/>
        <v>51790.97</v>
      </c>
    </row>
    <row r="600" spans="1:36" ht="12" hidden="1" outlineLevel="3" x14ac:dyDescent="0.2">
      <c r="A600" s="73" t="s">
        <v>1155</v>
      </c>
      <c r="B600" s="71"/>
      <c r="C600" s="71"/>
      <c r="D600" s="72">
        <v>55083.8</v>
      </c>
      <c r="E600" s="71"/>
      <c r="F600" s="71"/>
      <c r="G600" s="71"/>
      <c r="H600" s="4" t="s">
        <v>208</v>
      </c>
      <c r="AJ600" s="91">
        <f t="shared" si="28"/>
        <v>55083.8</v>
      </c>
    </row>
    <row r="601" spans="1:36" ht="12" hidden="1" outlineLevel="3" x14ac:dyDescent="0.2">
      <c r="A601" s="73" t="s">
        <v>969</v>
      </c>
      <c r="B601" s="71"/>
      <c r="C601" s="71"/>
      <c r="D601" s="72">
        <v>94917.28</v>
      </c>
      <c r="E601" s="71"/>
      <c r="F601" s="71"/>
      <c r="G601" s="71"/>
      <c r="H601" s="4" t="s">
        <v>223</v>
      </c>
      <c r="AJ601" s="91">
        <f t="shared" ref="AJ601:AJ604" si="29">$D601</f>
        <v>94917.28</v>
      </c>
    </row>
    <row r="602" spans="1:36" ht="12" hidden="1" outlineLevel="3" x14ac:dyDescent="0.2">
      <c r="A602" s="73" t="s">
        <v>1137</v>
      </c>
      <c r="B602" s="71"/>
      <c r="C602" s="71"/>
      <c r="D602" s="72">
        <v>95018.8</v>
      </c>
      <c r="E602" s="71"/>
      <c r="F602" s="71"/>
      <c r="G602" s="71"/>
      <c r="H602" s="4" t="s">
        <v>242</v>
      </c>
      <c r="AJ602" s="91">
        <f t="shared" si="29"/>
        <v>95018.8</v>
      </c>
    </row>
    <row r="603" spans="1:36" ht="12" hidden="1" outlineLevel="3" x14ac:dyDescent="0.2">
      <c r="A603" s="73" t="s">
        <v>1129</v>
      </c>
      <c r="B603" s="71"/>
      <c r="C603" s="71"/>
      <c r="D603" s="72">
        <v>50026.95</v>
      </c>
      <c r="E603" s="71"/>
      <c r="F603" s="71"/>
      <c r="G603" s="71"/>
      <c r="H603" s="4" t="s">
        <v>251</v>
      </c>
      <c r="AJ603" s="91">
        <f t="shared" si="29"/>
        <v>50026.95</v>
      </c>
    </row>
    <row r="604" spans="1:36" ht="12" hidden="1" outlineLevel="3" x14ac:dyDescent="0.2">
      <c r="A604" s="73" t="s">
        <v>1128</v>
      </c>
      <c r="B604" s="71"/>
      <c r="C604" s="71"/>
      <c r="D604" s="72">
        <v>39804.36</v>
      </c>
      <c r="E604" s="71"/>
      <c r="F604" s="71"/>
      <c r="G604" s="71"/>
      <c r="H604" s="4" t="s">
        <v>252</v>
      </c>
      <c r="AJ604" s="91">
        <f t="shared" si="29"/>
        <v>39804.36</v>
      </c>
    </row>
    <row r="605" spans="1:36" ht="12" outlineLevel="2" collapsed="1" x14ac:dyDescent="0.2">
      <c r="A605" s="74" t="s">
        <v>1240</v>
      </c>
      <c r="B605" s="71"/>
      <c r="C605" s="71"/>
      <c r="D605" s="72">
        <v>5305368.6399999997</v>
      </c>
      <c r="E605" s="71"/>
      <c r="F605" s="71"/>
      <c r="G605" s="71"/>
    </row>
    <row r="606" spans="1:36" ht="12" hidden="1" outlineLevel="3" x14ac:dyDescent="0.2">
      <c r="A606" s="73" t="s">
        <v>1108</v>
      </c>
      <c r="B606" s="71"/>
      <c r="C606" s="71"/>
      <c r="D606" s="72">
        <v>453824.35</v>
      </c>
      <c r="E606" s="71"/>
      <c r="F606" s="71"/>
      <c r="G606" s="71"/>
      <c r="H606" s="31" t="s">
        <v>320</v>
      </c>
      <c r="AI606" s="91">
        <f t="shared" ref="AI606:AJ628" si="30">$D606</f>
        <v>453824.35</v>
      </c>
    </row>
    <row r="607" spans="1:36" ht="12" hidden="1" outlineLevel="3" x14ac:dyDescent="0.2">
      <c r="A607" s="73" t="s">
        <v>953</v>
      </c>
      <c r="B607" s="71"/>
      <c r="C607" s="71"/>
      <c r="D607" s="72">
        <v>259874.84</v>
      </c>
      <c r="E607" s="71"/>
      <c r="F607" s="71"/>
      <c r="G607" s="71"/>
      <c r="H607" s="31" t="s">
        <v>330</v>
      </c>
      <c r="AI607" s="91">
        <f t="shared" si="30"/>
        <v>259874.84</v>
      </c>
    </row>
    <row r="608" spans="1:36" ht="12" hidden="1" outlineLevel="3" x14ac:dyDescent="0.2">
      <c r="A608" s="73" t="s">
        <v>926</v>
      </c>
      <c r="B608" s="71"/>
      <c r="C608" s="71"/>
      <c r="D608" s="72">
        <v>395778.55</v>
      </c>
      <c r="E608" s="71"/>
      <c r="F608" s="71"/>
      <c r="G608" s="71"/>
      <c r="H608" s="31" t="s">
        <v>323</v>
      </c>
      <c r="AI608" s="91">
        <f t="shared" si="30"/>
        <v>395778.55</v>
      </c>
    </row>
    <row r="609" spans="1:35" ht="12" hidden="1" outlineLevel="3" x14ac:dyDescent="0.2">
      <c r="A609" s="73" t="s">
        <v>1107</v>
      </c>
      <c r="B609" s="71"/>
      <c r="C609" s="71"/>
      <c r="D609" s="72">
        <v>46611.86</v>
      </c>
      <c r="E609" s="71"/>
      <c r="F609" s="71"/>
      <c r="G609" s="71"/>
      <c r="H609" s="31" t="s">
        <v>324</v>
      </c>
      <c r="AI609" s="91">
        <f t="shared" si="30"/>
        <v>46611.86</v>
      </c>
    </row>
    <row r="610" spans="1:35" ht="12" hidden="1" outlineLevel="3" x14ac:dyDescent="0.2">
      <c r="A610" s="73" t="s">
        <v>1106</v>
      </c>
      <c r="B610" s="71"/>
      <c r="C610" s="71"/>
      <c r="D610" s="72">
        <v>355521.48</v>
      </c>
      <c r="E610" s="71"/>
      <c r="F610" s="71"/>
      <c r="G610" s="71"/>
      <c r="H610" s="31" t="s">
        <v>325</v>
      </c>
      <c r="AI610" s="91">
        <f t="shared" si="30"/>
        <v>355521.48</v>
      </c>
    </row>
    <row r="611" spans="1:35" ht="12" hidden="1" outlineLevel="3" x14ac:dyDescent="0.2">
      <c r="A611" s="73" t="s">
        <v>1105</v>
      </c>
      <c r="B611" s="71"/>
      <c r="C611" s="71"/>
      <c r="D611" s="72">
        <v>588649.55000000005</v>
      </c>
      <c r="E611" s="71"/>
      <c r="F611" s="71"/>
      <c r="G611" s="71"/>
      <c r="H611" s="31" t="s">
        <v>326</v>
      </c>
      <c r="AI611" s="91">
        <f t="shared" si="30"/>
        <v>588649.55000000005</v>
      </c>
    </row>
    <row r="612" spans="1:35" ht="12" hidden="1" outlineLevel="3" x14ac:dyDescent="0.2">
      <c r="A612" s="73" t="s">
        <v>1103</v>
      </c>
      <c r="B612" s="71"/>
      <c r="C612" s="71"/>
      <c r="D612" s="72">
        <v>315040.52</v>
      </c>
      <c r="E612" s="71"/>
      <c r="F612" s="71"/>
      <c r="G612" s="71"/>
      <c r="H612" s="31" t="s">
        <v>329</v>
      </c>
      <c r="AI612" s="91">
        <f t="shared" si="30"/>
        <v>315040.52</v>
      </c>
    </row>
    <row r="613" spans="1:35" ht="12" hidden="1" outlineLevel="3" x14ac:dyDescent="0.2">
      <c r="A613" s="73" t="s">
        <v>1102</v>
      </c>
      <c r="B613" s="71"/>
      <c r="C613" s="71"/>
      <c r="D613" s="72">
        <v>31321.84</v>
      </c>
      <c r="E613" s="71"/>
      <c r="F613" s="71"/>
      <c r="G613" s="71"/>
      <c r="H613" s="31" t="s">
        <v>334</v>
      </c>
      <c r="AI613" s="91">
        <f t="shared" si="30"/>
        <v>31321.84</v>
      </c>
    </row>
    <row r="614" spans="1:35" ht="12" hidden="1" outlineLevel="3" x14ac:dyDescent="0.2">
      <c r="A614" s="73" t="s">
        <v>1100</v>
      </c>
      <c r="B614" s="71"/>
      <c r="C614" s="71"/>
      <c r="D614" s="72">
        <v>126696.8</v>
      </c>
      <c r="E614" s="71"/>
      <c r="F614" s="71"/>
      <c r="G614" s="71"/>
      <c r="H614" s="31" t="s">
        <v>342</v>
      </c>
      <c r="AI614" s="91">
        <f t="shared" si="30"/>
        <v>126696.8</v>
      </c>
    </row>
    <row r="615" spans="1:35" ht="12" hidden="1" outlineLevel="3" x14ac:dyDescent="0.2">
      <c r="A615" s="73" t="s">
        <v>1099</v>
      </c>
      <c r="B615" s="71"/>
      <c r="C615" s="71"/>
      <c r="D615" s="72">
        <v>380143.11</v>
      </c>
      <c r="E615" s="71"/>
      <c r="F615" s="71"/>
      <c r="G615" s="71"/>
      <c r="H615" s="31" t="s">
        <v>343</v>
      </c>
      <c r="AI615" s="91">
        <f t="shared" si="30"/>
        <v>380143.11</v>
      </c>
    </row>
    <row r="616" spans="1:35" ht="12" hidden="1" outlineLevel="3" x14ac:dyDescent="0.2">
      <c r="A616" s="73" t="s">
        <v>923</v>
      </c>
      <c r="B616" s="71"/>
      <c r="C616" s="71"/>
      <c r="D616" s="72">
        <v>141203.47</v>
      </c>
      <c r="E616" s="71"/>
      <c r="F616" s="71"/>
      <c r="G616" s="71"/>
      <c r="H616" s="31" t="s">
        <v>346</v>
      </c>
      <c r="AI616" s="91">
        <f t="shared" si="30"/>
        <v>141203.47</v>
      </c>
    </row>
    <row r="617" spans="1:35" ht="12" hidden="1" outlineLevel="3" x14ac:dyDescent="0.2">
      <c r="A617" s="73" t="s">
        <v>1097</v>
      </c>
      <c r="B617" s="71"/>
      <c r="C617" s="71"/>
      <c r="D617" s="72">
        <v>255484.7</v>
      </c>
      <c r="E617" s="71"/>
      <c r="F617" s="71"/>
      <c r="G617" s="71"/>
      <c r="H617" s="31" t="s">
        <v>347</v>
      </c>
      <c r="AI617" s="91">
        <f t="shared" si="30"/>
        <v>255484.7</v>
      </c>
    </row>
    <row r="618" spans="1:35" ht="12" hidden="1" outlineLevel="3" x14ac:dyDescent="0.2">
      <c r="A618" s="73" t="s">
        <v>934</v>
      </c>
      <c r="B618" s="71"/>
      <c r="C618" s="71"/>
      <c r="D618" s="72">
        <v>404016.38</v>
      </c>
      <c r="E618" s="71"/>
      <c r="F618" s="71"/>
      <c r="G618" s="71"/>
      <c r="H618" s="31" t="s">
        <v>336</v>
      </c>
      <c r="AI618" s="91">
        <f t="shared" si="30"/>
        <v>404016.38</v>
      </c>
    </row>
    <row r="619" spans="1:35" ht="12" hidden="1" outlineLevel="3" x14ac:dyDescent="0.2">
      <c r="A619" s="73" t="s">
        <v>1095</v>
      </c>
      <c r="B619" s="71"/>
      <c r="C619" s="71"/>
      <c r="D619" s="72">
        <v>400682.04</v>
      </c>
      <c r="E619" s="71"/>
      <c r="F619" s="71"/>
      <c r="G619" s="71"/>
      <c r="H619" s="31" t="s">
        <v>337</v>
      </c>
      <c r="AI619" s="91">
        <f t="shared" si="30"/>
        <v>400682.04</v>
      </c>
    </row>
    <row r="620" spans="1:35" ht="12" hidden="1" outlineLevel="3" x14ac:dyDescent="0.2">
      <c r="A620" s="73" t="s">
        <v>1091</v>
      </c>
      <c r="B620" s="71"/>
      <c r="C620" s="71"/>
      <c r="D620" s="72">
        <v>253755.6</v>
      </c>
      <c r="E620" s="71"/>
      <c r="F620" s="71"/>
      <c r="G620" s="71"/>
      <c r="H620" s="31" t="s">
        <v>348</v>
      </c>
      <c r="AI620" s="91">
        <f t="shared" si="30"/>
        <v>253755.6</v>
      </c>
    </row>
    <row r="621" spans="1:35" ht="12" hidden="1" outlineLevel="3" x14ac:dyDescent="0.2">
      <c r="A621" s="73" t="s">
        <v>1083</v>
      </c>
      <c r="B621" s="71"/>
      <c r="C621" s="71"/>
      <c r="D621" s="72">
        <v>126892.79</v>
      </c>
      <c r="E621" s="71"/>
      <c r="F621" s="71"/>
      <c r="G621" s="71"/>
      <c r="H621" s="31" t="s">
        <v>349</v>
      </c>
      <c r="AI621" s="91">
        <f t="shared" si="30"/>
        <v>126892.79</v>
      </c>
    </row>
    <row r="622" spans="1:35" ht="12" hidden="1" outlineLevel="3" x14ac:dyDescent="0.2">
      <c r="A622" s="73" t="s">
        <v>1089</v>
      </c>
      <c r="B622" s="71"/>
      <c r="C622" s="71"/>
      <c r="D622" s="72">
        <v>126892.79</v>
      </c>
      <c r="E622" s="71"/>
      <c r="F622" s="71"/>
      <c r="G622" s="71"/>
      <c r="H622" s="31" t="s">
        <v>350</v>
      </c>
      <c r="AI622" s="91">
        <f t="shared" si="30"/>
        <v>126892.79</v>
      </c>
    </row>
    <row r="623" spans="1:35" ht="12" hidden="1" outlineLevel="3" x14ac:dyDescent="0.2">
      <c r="A623" s="73" t="s">
        <v>1088</v>
      </c>
      <c r="B623" s="71"/>
      <c r="C623" s="71"/>
      <c r="D623" s="72">
        <v>126892.79</v>
      </c>
      <c r="E623" s="71"/>
      <c r="F623" s="71"/>
      <c r="G623" s="71"/>
      <c r="H623" s="31" t="s">
        <v>351</v>
      </c>
      <c r="AI623" s="91">
        <f t="shared" si="30"/>
        <v>126892.79</v>
      </c>
    </row>
    <row r="624" spans="1:35" ht="12" hidden="1" outlineLevel="3" x14ac:dyDescent="0.2">
      <c r="A624" s="73" t="s">
        <v>1086</v>
      </c>
      <c r="B624" s="71"/>
      <c r="C624" s="71"/>
      <c r="D624" s="72">
        <v>394149.11</v>
      </c>
      <c r="E624" s="71"/>
      <c r="F624" s="71"/>
      <c r="G624" s="71"/>
      <c r="H624" s="31" t="s">
        <v>353</v>
      </c>
      <c r="AI624" s="91">
        <f t="shared" si="30"/>
        <v>394149.11</v>
      </c>
    </row>
    <row r="625" spans="1:36" ht="12" hidden="1" outlineLevel="3" x14ac:dyDescent="0.2">
      <c r="A625" s="73" t="s">
        <v>971</v>
      </c>
      <c r="B625" s="71"/>
      <c r="C625" s="71"/>
      <c r="D625" s="72">
        <v>121936.07</v>
      </c>
      <c r="E625" s="71"/>
      <c r="F625" s="71"/>
      <c r="G625" s="71"/>
      <c r="H625" s="4" t="s">
        <v>203</v>
      </c>
      <c r="AI625" s="91">
        <f t="shared" si="30"/>
        <v>121936.07</v>
      </c>
    </row>
    <row r="626" spans="1:36" ht="12" outlineLevel="2" collapsed="1" x14ac:dyDescent="0.2">
      <c r="A626" s="74" t="s">
        <v>1239</v>
      </c>
      <c r="B626" s="71"/>
      <c r="C626" s="71"/>
      <c r="D626" s="72">
        <v>6229138.4000000004</v>
      </c>
      <c r="E626" s="71"/>
      <c r="F626" s="71"/>
      <c r="G626" s="71"/>
    </row>
    <row r="627" spans="1:36" ht="12" hidden="1" outlineLevel="3" x14ac:dyDescent="0.2">
      <c r="A627" s="73" t="s">
        <v>1079</v>
      </c>
      <c r="B627" s="71"/>
      <c r="C627" s="71"/>
      <c r="D627" s="72">
        <v>11691.89</v>
      </c>
      <c r="E627" s="71"/>
      <c r="F627" s="71"/>
      <c r="G627" s="71"/>
      <c r="H627" s="4" t="s">
        <v>65</v>
      </c>
      <c r="AJ627" s="91">
        <f t="shared" si="30"/>
        <v>11691.89</v>
      </c>
    </row>
    <row r="628" spans="1:36" ht="12" hidden="1" outlineLevel="3" x14ac:dyDescent="0.2">
      <c r="A628" s="73" t="s">
        <v>929</v>
      </c>
      <c r="B628" s="71"/>
      <c r="C628" s="71"/>
      <c r="D628" s="72">
        <v>20692.14</v>
      </c>
      <c r="E628" s="71"/>
      <c r="F628" s="71"/>
      <c r="G628" s="71"/>
      <c r="H628" s="31" t="s">
        <v>331</v>
      </c>
      <c r="AJ628" s="91">
        <f t="shared" si="30"/>
        <v>20692.14</v>
      </c>
    </row>
    <row r="629" spans="1:36" ht="12" hidden="1" outlineLevel="3" x14ac:dyDescent="0.2">
      <c r="A629" s="73" t="s">
        <v>928</v>
      </c>
      <c r="B629" s="71"/>
      <c r="C629" s="71"/>
      <c r="D629" s="72">
        <v>33917.120000000003</v>
      </c>
      <c r="E629" s="71"/>
      <c r="F629" s="71"/>
      <c r="G629" s="71"/>
      <c r="H629" s="31" t="s">
        <v>333</v>
      </c>
      <c r="AJ629" s="91">
        <f t="shared" ref="AJ629:AK689" si="31">$D629</f>
        <v>33917.120000000003</v>
      </c>
    </row>
    <row r="630" spans="1:36" ht="12" hidden="1" outlineLevel="3" x14ac:dyDescent="0.2">
      <c r="A630" s="73" t="s">
        <v>926</v>
      </c>
      <c r="B630" s="71"/>
      <c r="C630" s="71"/>
      <c r="D630" s="72">
        <v>13081.88</v>
      </c>
      <c r="E630" s="71"/>
      <c r="F630" s="71"/>
      <c r="G630" s="71"/>
      <c r="H630" s="31" t="s">
        <v>323</v>
      </c>
      <c r="AJ630" s="91">
        <f t="shared" si="31"/>
        <v>13081.88</v>
      </c>
    </row>
    <row r="631" spans="1:36" ht="12" hidden="1" outlineLevel="3" x14ac:dyDescent="0.2">
      <c r="A631" s="73" t="s">
        <v>1103</v>
      </c>
      <c r="B631" s="71"/>
      <c r="C631" s="71"/>
      <c r="D631" s="72">
        <v>277600.03999999998</v>
      </c>
      <c r="E631" s="71"/>
      <c r="F631" s="71"/>
      <c r="G631" s="71"/>
      <c r="H631" s="31" t="s">
        <v>329</v>
      </c>
      <c r="AJ631" s="91">
        <f t="shared" si="31"/>
        <v>277600.03999999998</v>
      </c>
    </row>
    <row r="632" spans="1:36" ht="12" hidden="1" outlineLevel="3" x14ac:dyDescent="0.2">
      <c r="A632" s="73" t="s">
        <v>924</v>
      </c>
      <c r="B632" s="71"/>
      <c r="C632" s="71"/>
      <c r="D632" s="72">
        <v>34983.53</v>
      </c>
      <c r="E632" s="71"/>
      <c r="F632" s="71"/>
      <c r="G632" s="71"/>
      <c r="H632" s="31" t="s">
        <v>344</v>
      </c>
      <c r="AJ632" s="91">
        <f t="shared" si="31"/>
        <v>34983.53</v>
      </c>
    </row>
    <row r="633" spans="1:36" ht="12" hidden="1" outlineLevel="3" x14ac:dyDescent="0.2">
      <c r="A633" s="73" t="s">
        <v>923</v>
      </c>
      <c r="B633" s="71"/>
      <c r="C633" s="71"/>
      <c r="D633" s="72">
        <v>507331.95</v>
      </c>
      <c r="E633" s="71"/>
      <c r="F633" s="71"/>
      <c r="G633" s="71"/>
      <c r="H633" s="31" t="s">
        <v>346</v>
      </c>
      <c r="AJ633" s="91">
        <f t="shared" si="31"/>
        <v>507331.95</v>
      </c>
    </row>
    <row r="634" spans="1:36" ht="12" hidden="1" outlineLevel="3" x14ac:dyDescent="0.2">
      <c r="A634" s="73" t="s">
        <v>1097</v>
      </c>
      <c r="B634" s="71"/>
      <c r="C634" s="71"/>
      <c r="D634" s="72">
        <v>241896.98</v>
      </c>
      <c r="E634" s="71"/>
      <c r="F634" s="71"/>
      <c r="G634" s="71"/>
      <c r="H634" s="31" t="s">
        <v>347</v>
      </c>
      <c r="AJ634" s="91">
        <f t="shared" si="31"/>
        <v>241896.98</v>
      </c>
    </row>
    <row r="635" spans="1:36" ht="12" hidden="1" outlineLevel="3" x14ac:dyDescent="0.2">
      <c r="A635" s="73" t="s">
        <v>1096</v>
      </c>
      <c r="B635" s="71"/>
      <c r="C635" s="71"/>
      <c r="D635" s="72">
        <v>90788.46</v>
      </c>
      <c r="E635" s="71"/>
      <c r="F635" s="71"/>
      <c r="G635" s="71"/>
      <c r="H635" s="31" t="s">
        <v>335</v>
      </c>
      <c r="AJ635" s="91">
        <f t="shared" si="31"/>
        <v>90788.46</v>
      </c>
    </row>
    <row r="636" spans="1:36" ht="12" hidden="1" outlineLevel="3" x14ac:dyDescent="0.2">
      <c r="A636" s="73" t="s">
        <v>1095</v>
      </c>
      <c r="B636" s="71"/>
      <c r="C636" s="71"/>
      <c r="D636" s="72">
        <v>875141.36</v>
      </c>
      <c r="E636" s="71"/>
      <c r="F636" s="71"/>
      <c r="G636" s="71"/>
      <c r="H636" s="31" t="s">
        <v>337</v>
      </c>
      <c r="AJ636" s="91">
        <f t="shared" si="31"/>
        <v>875141.36</v>
      </c>
    </row>
    <row r="637" spans="1:36" ht="12" hidden="1" outlineLevel="3" x14ac:dyDescent="0.2">
      <c r="A637" s="73" t="s">
        <v>1093</v>
      </c>
      <c r="B637" s="71"/>
      <c r="C637" s="71"/>
      <c r="D637" s="72">
        <v>22459.45</v>
      </c>
      <c r="E637" s="71"/>
      <c r="F637" s="71"/>
      <c r="G637" s="71"/>
      <c r="H637" s="31" t="s">
        <v>339</v>
      </c>
      <c r="AJ637" s="91">
        <f t="shared" si="31"/>
        <v>22459.45</v>
      </c>
    </row>
    <row r="638" spans="1:36" ht="12" hidden="1" outlineLevel="3" x14ac:dyDescent="0.2">
      <c r="A638" s="73" t="s">
        <v>1092</v>
      </c>
      <c r="B638" s="71"/>
      <c r="C638" s="71"/>
      <c r="D638" s="72">
        <v>505359.74</v>
      </c>
      <c r="E638" s="71"/>
      <c r="F638" s="71"/>
      <c r="G638" s="71"/>
      <c r="H638" s="31" t="s">
        <v>340</v>
      </c>
      <c r="AJ638" s="91">
        <f t="shared" si="31"/>
        <v>505359.74</v>
      </c>
    </row>
    <row r="639" spans="1:36" ht="12" hidden="1" outlineLevel="3" x14ac:dyDescent="0.2">
      <c r="A639" s="73" t="s">
        <v>1090</v>
      </c>
      <c r="B639" s="71"/>
      <c r="C639" s="71"/>
      <c r="D639" s="72">
        <v>13865.12</v>
      </c>
      <c r="E639" s="71"/>
      <c r="F639" s="71"/>
      <c r="G639" s="71"/>
      <c r="H639" s="31" t="s">
        <v>355</v>
      </c>
      <c r="AJ639" s="91">
        <f t="shared" si="31"/>
        <v>13865.12</v>
      </c>
    </row>
    <row r="640" spans="1:36" ht="12" hidden="1" outlineLevel="3" x14ac:dyDescent="0.2">
      <c r="A640" s="73" t="s">
        <v>1087</v>
      </c>
      <c r="B640" s="71"/>
      <c r="C640" s="71"/>
      <c r="D640" s="72">
        <v>7059.26</v>
      </c>
      <c r="E640" s="71"/>
      <c r="F640" s="71"/>
      <c r="G640" s="71"/>
      <c r="H640" s="31" t="s">
        <v>352</v>
      </c>
      <c r="AJ640" s="91">
        <f t="shared" si="31"/>
        <v>7059.26</v>
      </c>
    </row>
    <row r="641" spans="1:36" ht="12" hidden="1" outlineLevel="3" x14ac:dyDescent="0.2">
      <c r="A641" s="73" t="s">
        <v>1086</v>
      </c>
      <c r="B641" s="71"/>
      <c r="C641" s="71"/>
      <c r="D641" s="72">
        <v>7995.03</v>
      </c>
      <c r="E641" s="71"/>
      <c r="F641" s="71"/>
      <c r="G641" s="71"/>
      <c r="H641" s="31" t="s">
        <v>353</v>
      </c>
      <c r="AJ641" s="91">
        <f t="shared" si="31"/>
        <v>7995.03</v>
      </c>
    </row>
    <row r="642" spans="1:36" ht="12" hidden="1" outlineLevel="3" x14ac:dyDescent="0.2">
      <c r="A642" s="73" t="s">
        <v>1085</v>
      </c>
      <c r="B642" s="71"/>
      <c r="C642" s="71"/>
      <c r="D642" s="72">
        <v>21258</v>
      </c>
      <c r="E642" s="71"/>
      <c r="F642" s="71"/>
      <c r="G642" s="71"/>
      <c r="H642" s="31" t="s">
        <v>354</v>
      </c>
      <c r="AJ642" s="91">
        <f t="shared" si="31"/>
        <v>21258</v>
      </c>
    </row>
    <row r="643" spans="1:36" ht="12" hidden="1" outlineLevel="3" x14ac:dyDescent="0.2">
      <c r="A643" s="73" t="s">
        <v>1238</v>
      </c>
      <c r="B643" s="71"/>
      <c r="C643" s="71"/>
      <c r="D643" s="72">
        <v>10198.85</v>
      </c>
      <c r="E643" s="71"/>
      <c r="F643" s="71"/>
      <c r="G643" s="71"/>
      <c r="H643" s="4" t="s">
        <v>278</v>
      </c>
      <c r="AJ643" s="91">
        <f t="shared" si="31"/>
        <v>10198.85</v>
      </c>
    </row>
    <row r="644" spans="1:36" ht="12" hidden="1" outlineLevel="3" x14ac:dyDescent="0.2">
      <c r="A644" s="73" t="s">
        <v>1068</v>
      </c>
      <c r="B644" s="71"/>
      <c r="C644" s="71"/>
      <c r="D644" s="72">
        <v>10847.68</v>
      </c>
      <c r="E644" s="71"/>
      <c r="F644" s="71"/>
      <c r="G644" s="71"/>
      <c r="H644" s="4" t="s">
        <v>50</v>
      </c>
      <c r="AJ644" s="91">
        <f t="shared" si="31"/>
        <v>10847.68</v>
      </c>
    </row>
    <row r="645" spans="1:36" ht="12" hidden="1" outlineLevel="3" x14ac:dyDescent="0.2">
      <c r="A645" s="73" t="s">
        <v>1066</v>
      </c>
      <c r="B645" s="71"/>
      <c r="C645" s="71"/>
      <c r="D645" s="72">
        <v>4102.53</v>
      </c>
      <c r="E645" s="71"/>
      <c r="F645" s="71"/>
      <c r="G645" s="71"/>
      <c r="H645" s="4" t="s">
        <v>53</v>
      </c>
      <c r="AJ645" s="91">
        <f t="shared" si="31"/>
        <v>4102.53</v>
      </c>
    </row>
    <row r="646" spans="1:36" ht="12" hidden="1" outlineLevel="3" x14ac:dyDescent="0.2">
      <c r="A646" s="73" t="s">
        <v>952</v>
      </c>
      <c r="B646" s="71"/>
      <c r="C646" s="71"/>
      <c r="D646" s="72">
        <v>110835.25</v>
      </c>
      <c r="E646" s="71"/>
      <c r="F646" s="71"/>
      <c r="G646" s="71"/>
      <c r="H646" s="4" t="s">
        <v>131</v>
      </c>
      <c r="AJ646" s="91">
        <f t="shared" si="31"/>
        <v>110835.25</v>
      </c>
    </row>
    <row r="647" spans="1:36" ht="12" hidden="1" outlineLevel="3" x14ac:dyDescent="0.2">
      <c r="A647" s="73" t="s">
        <v>1234</v>
      </c>
      <c r="B647" s="71"/>
      <c r="C647" s="71"/>
      <c r="D647" s="72">
        <v>56708.68</v>
      </c>
      <c r="E647" s="71"/>
      <c r="F647" s="71"/>
      <c r="G647" s="71"/>
      <c r="H647" s="4" t="s">
        <v>146</v>
      </c>
      <c r="AJ647" s="91">
        <f t="shared" si="31"/>
        <v>56708.68</v>
      </c>
    </row>
    <row r="648" spans="1:36" ht="12" hidden="1" outlineLevel="3" x14ac:dyDescent="0.2">
      <c r="A648" s="73" t="s">
        <v>1052</v>
      </c>
      <c r="B648" s="71"/>
      <c r="C648" s="71"/>
      <c r="D648" s="72">
        <v>82877.86</v>
      </c>
      <c r="E648" s="71"/>
      <c r="F648" s="71"/>
      <c r="G648" s="71"/>
      <c r="H648" s="4" t="s">
        <v>133</v>
      </c>
      <c r="AJ648" s="91">
        <f t="shared" si="31"/>
        <v>82877.86</v>
      </c>
    </row>
    <row r="649" spans="1:36" ht="12" hidden="1" outlineLevel="3" x14ac:dyDescent="0.2">
      <c r="A649" s="73" t="s">
        <v>1050</v>
      </c>
      <c r="B649" s="71"/>
      <c r="C649" s="71"/>
      <c r="D649" s="72">
        <v>141723.88</v>
      </c>
      <c r="E649" s="71"/>
      <c r="F649" s="71"/>
      <c r="G649" s="71"/>
      <c r="H649" s="4" t="s">
        <v>135</v>
      </c>
      <c r="AJ649" s="91">
        <f t="shared" si="31"/>
        <v>141723.88</v>
      </c>
    </row>
    <row r="650" spans="1:36" ht="12" hidden="1" outlineLevel="3" x14ac:dyDescent="0.2">
      <c r="A650" s="73" t="s">
        <v>1048</v>
      </c>
      <c r="B650" s="71"/>
      <c r="C650" s="71"/>
      <c r="D650" s="72">
        <v>179868.77</v>
      </c>
      <c r="E650" s="71"/>
      <c r="F650" s="71"/>
      <c r="G650" s="71"/>
      <c r="H650" s="4" t="s">
        <v>122</v>
      </c>
      <c r="AJ650" s="91">
        <f t="shared" si="31"/>
        <v>179868.77</v>
      </c>
    </row>
    <row r="651" spans="1:36" ht="12" hidden="1" outlineLevel="3" x14ac:dyDescent="0.2">
      <c r="A651" s="73" t="s">
        <v>1047</v>
      </c>
      <c r="B651" s="71"/>
      <c r="C651" s="71"/>
      <c r="D651" s="72">
        <v>33980.17</v>
      </c>
      <c r="E651" s="71"/>
      <c r="F651" s="71"/>
      <c r="G651" s="71"/>
      <c r="H651" s="4" t="s">
        <v>123</v>
      </c>
      <c r="AJ651" s="91">
        <f t="shared" si="31"/>
        <v>33980.17</v>
      </c>
    </row>
    <row r="652" spans="1:36" ht="12" hidden="1" outlineLevel="3" x14ac:dyDescent="0.2">
      <c r="A652" s="73" t="s">
        <v>945</v>
      </c>
      <c r="B652" s="71"/>
      <c r="C652" s="71"/>
      <c r="D652" s="72">
        <v>51707.65</v>
      </c>
      <c r="E652" s="71"/>
      <c r="F652" s="71"/>
      <c r="G652" s="71"/>
      <c r="H652" s="4" t="s">
        <v>87</v>
      </c>
      <c r="AJ652" s="91">
        <f t="shared" si="31"/>
        <v>51707.65</v>
      </c>
    </row>
    <row r="653" spans="1:36" ht="12" hidden="1" outlineLevel="3" x14ac:dyDescent="0.2">
      <c r="A653" s="73" t="s">
        <v>1035</v>
      </c>
      <c r="B653" s="71"/>
      <c r="C653" s="71"/>
      <c r="D653" s="72">
        <v>602587.67000000004</v>
      </c>
      <c r="E653" s="71"/>
      <c r="F653" s="71"/>
      <c r="G653" s="71"/>
      <c r="H653" s="4" t="s">
        <v>95</v>
      </c>
      <c r="AJ653" s="91">
        <f t="shared" si="31"/>
        <v>602587.67000000004</v>
      </c>
    </row>
    <row r="654" spans="1:36" ht="12" hidden="1" outlineLevel="3" x14ac:dyDescent="0.2">
      <c r="A654" s="73" t="s">
        <v>1160</v>
      </c>
      <c r="B654" s="71"/>
      <c r="C654" s="71"/>
      <c r="D654" s="72">
        <v>31793.97</v>
      </c>
      <c r="E654" s="71"/>
      <c r="F654" s="71"/>
      <c r="G654" s="71"/>
      <c r="H654" s="4" t="s">
        <v>149</v>
      </c>
      <c r="AJ654" s="91">
        <f t="shared" si="31"/>
        <v>31793.97</v>
      </c>
    </row>
    <row r="655" spans="1:36" ht="12" hidden="1" outlineLevel="3" x14ac:dyDescent="0.2">
      <c r="A655" s="73" t="s">
        <v>1027</v>
      </c>
      <c r="B655" s="71"/>
      <c r="C655" s="71"/>
      <c r="D655" s="72">
        <v>130787.48</v>
      </c>
      <c r="E655" s="71"/>
      <c r="F655" s="71"/>
      <c r="G655" s="71"/>
      <c r="H655" s="4" t="s">
        <v>155</v>
      </c>
      <c r="AJ655" s="91">
        <f t="shared" si="31"/>
        <v>130787.48</v>
      </c>
    </row>
    <row r="656" spans="1:36" ht="12" hidden="1" outlineLevel="3" x14ac:dyDescent="0.2">
      <c r="A656" s="73" t="s">
        <v>1026</v>
      </c>
      <c r="B656" s="71"/>
      <c r="C656" s="71"/>
      <c r="D656" s="72">
        <v>86130.44</v>
      </c>
      <c r="E656" s="71"/>
      <c r="F656" s="71"/>
      <c r="G656" s="71"/>
      <c r="H656" s="4" t="s">
        <v>156</v>
      </c>
      <c r="AJ656" s="91">
        <f t="shared" si="31"/>
        <v>86130.44</v>
      </c>
    </row>
    <row r="657" spans="1:36" ht="12" hidden="1" outlineLevel="3" x14ac:dyDescent="0.2">
      <c r="A657" s="73" t="s">
        <v>1021</v>
      </c>
      <c r="B657" s="71"/>
      <c r="C657" s="71"/>
      <c r="D657" s="72">
        <v>81349.19</v>
      </c>
      <c r="E657" s="71"/>
      <c r="F657" s="71"/>
      <c r="G657" s="71"/>
      <c r="H657" s="4" t="s">
        <v>161</v>
      </c>
      <c r="AJ657" s="91">
        <f t="shared" si="31"/>
        <v>81349.19</v>
      </c>
    </row>
    <row r="658" spans="1:36" ht="12" hidden="1" outlineLevel="3" x14ac:dyDescent="0.2">
      <c r="A658" s="73" t="s">
        <v>1018</v>
      </c>
      <c r="B658" s="71"/>
      <c r="C658" s="71"/>
      <c r="D658" s="72">
        <v>52750.23</v>
      </c>
      <c r="E658" s="71"/>
      <c r="F658" s="71"/>
      <c r="G658" s="71"/>
      <c r="H658" s="4" t="s">
        <v>166</v>
      </c>
      <c r="AJ658" s="91">
        <f t="shared" si="31"/>
        <v>52750.23</v>
      </c>
    </row>
    <row r="659" spans="1:36" ht="12" hidden="1" outlineLevel="3" x14ac:dyDescent="0.2">
      <c r="A659" s="73" t="s">
        <v>1017</v>
      </c>
      <c r="B659" s="71"/>
      <c r="C659" s="71"/>
      <c r="D659" s="72">
        <v>75730.91</v>
      </c>
      <c r="E659" s="71"/>
      <c r="F659" s="71"/>
      <c r="G659" s="71"/>
      <c r="H659" s="4" t="s">
        <v>167</v>
      </c>
      <c r="AJ659" s="91">
        <f t="shared" si="31"/>
        <v>75730.91</v>
      </c>
    </row>
    <row r="660" spans="1:36" ht="12" hidden="1" outlineLevel="3" x14ac:dyDescent="0.2">
      <c r="A660" s="73" t="s">
        <v>1013</v>
      </c>
      <c r="B660" s="71"/>
      <c r="C660" s="71"/>
      <c r="D660" s="72">
        <v>43628.66</v>
      </c>
      <c r="E660" s="71"/>
      <c r="F660" s="71"/>
      <c r="G660" s="71"/>
      <c r="H660" s="4" t="s">
        <v>170</v>
      </c>
      <c r="AJ660" s="91">
        <f t="shared" si="31"/>
        <v>43628.66</v>
      </c>
    </row>
    <row r="661" spans="1:36" ht="12" hidden="1" outlineLevel="3" x14ac:dyDescent="0.2">
      <c r="A661" s="73" t="s">
        <v>1159</v>
      </c>
      <c r="B661" s="71"/>
      <c r="C661" s="71"/>
      <c r="D661" s="72">
        <v>40568.720000000001</v>
      </c>
      <c r="E661" s="71"/>
      <c r="F661" s="71"/>
      <c r="G661" s="71"/>
      <c r="H661" s="4" t="s">
        <v>174</v>
      </c>
      <c r="AJ661" s="91">
        <f t="shared" si="31"/>
        <v>40568.720000000001</v>
      </c>
    </row>
    <row r="662" spans="1:36" ht="12" hidden="1" outlineLevel="3" x14ac:dyDescent="0.2">
      <c r="A662" s="73" t="s">
        <v>1214</v>
      </c>
      <c r="B662" s="71"/>
      <c r="C662" s="71"/>
      <c r="D662" s="72">
        <v>14378.77</v>
      </c>
      <c r="E662" s="71"/>
      <c r="F662" s="71"/>
      <c r="G662" s="71"/>
      <c r="H662" s="4" t="s">
        <v>104</v>
      </c>
      <c r="AJ662" s="91">
        <f t="shared" si="31"/>
        <v>14378.77</v>
      </c>
    </row>
    <row r="663" spans="1:36" ht="12" hidden="1" outlineLevel="3" x14ac:dyDescent="0.2">
      <c r="A663" s="73" t="s">
        <v>1005</v>
      </c>
      <c r="B663" s="71"/>
      <c r="C663" s="71"/>
      <c r="D663" s="72">
        <v>35300.65</v>
      </c>
      <c r="E663" s="71"/>
      <c r="F663" s="71"/>
      <c r="G663" s="71"/>
      <c r="H663" s="4" t="s">
        <v>69</v>
      </c>
      <c r="AJ663" s="91">
        <f t="shared" si="31"/>
        <v>35300.65</v>
      </c>
    </row>
    <row r="664" spans="1:36" ht="12" hidden="1" outlineLevel="3" x14ac:dyDescent="0.2">
      <c r="A664" s="73" t="s">
        <v>1153</v>
      </c>
      <c r="B664" s="71"/>
      <c r="C664" s="71"/>
      <c r="D664" s="72">
        <v>62153.09</v>
      </c>
      <c r="E664" s="71"/>
      <c r="F664" s="71"/>
      <c r="G664" s="71"/>
      <c r="H664" s="4" t="s">
        <v>210</v>
      </c>
      <c r="AJ664" s="91">
        <f t="shared" si="31"/>
        <v>62153.09</v>
      </c>
    </row>
    <row r="665" spans="1:36" ht="12" hidden="1" outlineLevel="3" x14ac:dyDescent="0.2">
      <c r="A665" s="73" t="s">
        <v>1001</v>
      </c>
      <c r="B665" s="71"/>
      <c r="C665" s="71"/>
      <c r="D665" s="72">
        <v>68375.78</v>
      </c>
      <c r="E665" s="71"/>
      <c r="F665" s="71"/>
      <c r="G665" s="71"/>
      <c r="H665" s="4" t="s">
        <v>211</v>
      </c>
      <c r="AJ665" s="91">
        <f t="shared" si="31"/>
        <v>68375.78</v>
      </c>
    </row>
    <row r="666" spans="1:36" ht="12" hidden="1" outlineLevel="3" x14ac:dyDescent="0.2">
      <c r="A666" s="73" t="s">
        <v>1000</v>
      </c>
      <c r="B666" s="71"/>
      <c r="C666" s="71"/>
      <c r="D666" s="72">
        <v>93880.81</v>
      </c>
      <c r="E666" s="71"/>
      <c r="F666" s="71"/>
      <c r="G666" s="71"/>
      <c r="H666" s="4" t="s">
        <v>212</v>
      </c>
      <c r="AJ666" s="91">
        <f t="shared" si="31"/>
        <v>93880.81</v>
      </c>
    </row>
    <row r="667" spans="1:36" ht="12" hidden="1" outlineLevel="3" x14ac:dyDescent="0.2">
      <c r="A667" s="73" t="s">
        <v>999</v>
      </c>
      <c r="B667" s="71"/>
      <c r="C667" s="71"/>
      <c r="D667" s="72">
        <v>12213.21</v>
      </c>
      <c r="E667" s="71"/>
      <c r="F667" s="71"/>
      <c r="G667" s="71"/>
      <c r="H667" s="4" t="s">
        <v>213</v>
      </c>
      <c r="AJ667" s="91">
        <f t="shared" si="31"/>
        <v>12213.21</v>
      </c>
    </row>
    <row r="668" spans="1:36" ht="12" hidden="1" outlineLevel="3" x14ac:dyDescent="0.2">
      <c r="A668" s="73" t="s">
        <v>993</v>
      </c>
      <c r="B668" s="71"/>
      <c r="C668" s="71"/>
      <c r="D668" s="72">
        <v>55349.88</v>
      </c>
      <c r="E668" s="71"/>
      <c r="F668" s="71"/>
      <c r="G668" s="71"/>
      <c r="H668" s="4" t="s">
        <v>176</v>
      </c>
      <c r="AJ668" s="91">
        <f t="shared" si="31"/>
        <v>55349.88</v>
      </c>
    </row>
    <row r="669" spans="1:36" ht="12" hidden="1" outlineLevel="3" x14ac:dyDescent="0.2">
      <c r="A669" s="73" t="s">
        <v>991</v>
      </c>
      <c r="B669" s="71"/>
      <c r="C669" s="71"/>
      <c r="D669" s="72">
        <v>31080.48</v>
      </c>
      <c r="E669" s="71"/>
      <c r="F669" s="71"/>
      <c r="G669" s="71"/>
      <c r="H669" s="4" t="s">
        <v>178</v>
      </c>
      <c r="AJ669" s="91">
        <f t="shared" si="31"/>
        <v>31080.48</v>
      </c>
    </row>
    <row r="670" spans="1:36" ht="12" hidden="1" outlineLevel="3" x14ac:dyDescent="0.2">
      <c r="A670" s="73" t="s">
        <v>990</v>
      </c>
      <c r="B670" s="71"/>
      <c r="C670" s="71"/>
      <c r="D670" s="72">
        <v>42240.14</v>
      </c>
      <c r="E670" s="71"/>
      <c r="F670" s="71"/>
      <c r="G670" s="71"/>
      <c r="H670" s="4" t="s">
        <v>179</v>
      </c>
      <c r="AJ670" s="91">
        <f t="shared" si="31"/>
        <v>42240.14</v>
      </c>
    </row>
    <row r="671" spans="1:36" ht="12" hidden="1" outlineLevel="3" x14ac:dyDescent="0.2">
      <c r="A671" s="73" t="s">
        <v>989</v>
      </c>
      <c r="B671" s="71"/>
      <c r="C671" s="71"/>
      <c r="D671" s="72">
        <v>31574.67</v>
      </c>
      <c r="E671" s="71"/>
      <c r="F671" s="71"/>
      <c r="G671" s="71"/>
      <c r="H671" s="4" t="s">
        <v>181</v>
      </c>
      <c r="AJ671" s="91">
        <f t="shared" si="31"/>
        <v>31574.67</v>
      </c>
    </row>
    <row r="672" spans="1:36" ht="12" hidden="1" outlineLevel="3" x14ac:dyDescent="0.2">
      <c r="A672" s="73" t="s">
        <v>988</v>
      </c>
      <c r="B672" s="71"/>
      <c r="C672" s="71"/>
      <c r="D672" s="72">
        <v>68877.95</v>
      </c>
      <c r="E672" s="71"/>
      <c r="F672" s="71"/>
      <c r="G672" s="71"/>
      <c r="H672" s="4" t="s">
        <v>182</v>
      </c>
      <c r="AJ672" s="91">
        <f t="shared" si="31"/>
        <v>68877.95</v>
      </c>
    </row>
    <row r="673" spans="1:36" ht="12" hidden="1" outlineLevel="3" x14ac:dyDescent="0.2">
      <c r="A673" s="73" t="s">
        <v>987</v>
      </c>
      <c r="B673" s="71"/>
      <c r="C673" s="71"/>
      <c r="D673" s="72">
        <v>40330.22</v>
      </c>
      <c r="E673" s="71"/>
      <c r="F673" s="71"/>
      <c r="G673" s="71"/>
      <c r="H673" s="4" t="s">
        <v>183</v>
      </c>
      <c r="AJ673" s="91">
        <f t="shared" si="31"/>
        <v>40330.22</v>
      </c>
    </row>
    <row r="674" spans="1:36" ht="12" hidden="1" outlineLevel="3" x14ac:dyDescent="0.2">
      <c r="A674" s="73" t="s">
        <v>983</v>
      </c>
      <c r="B674" s="71"/>
      <c r="C674" s="71"/>
      <c r="D674" s="72">
        <v>54462.86</v>
      </c>
      <c r="E674" s="71"/>
      <c r="F674" s="71"/>
      <c r="G674" s="71"/>
      <c r="H674" s="4" t="s">
        <v>188</v>
      </c>
      <c r="AJ674" s="91">
        <f t="shared" si="31"/>
        <v>54462.86</v>
      </c>
    </row>
    <row r="675" spans="1:36" ht="12" hidden="1" outlineLevel="3" x14ac:dyDescent="0.2">
      <c r="A675" s="73" t="s">
        <v>979</v>
      </c>
      <c r="B675" s="71"/>
      <c r="C675" s="71"/>
      <c r="D675" s="72">
        <v>53515.23</v>
      </c>
      <c r="E675" s="71"/>
      <c r="F675" s="71"/>
      <c r="G675" s="71"/>
      <c r="H675" s="4" t="s">
        <v>192</v>
      </c>
      <c r="AJ675" s="91">
        <f t="shared" si="31"/>
        <v>53515.23</v>
      </c>
    </row>
    <row r="676" spans="1:36" ht="12" hidden="1" outlineLevel="3" x14ac:dyDescent="0.2">
      <c r="A676" s="73" t="s">
        <v>973</v>
      </c>
      <c r="B676" s="71"/>
      <c r="C676" s="71"/>
      <c r="D676" s="72">
        <v>88903.72</v>
      </c>
      <c r="E676" s="71"/>
      <c r="F676" s="71"/>
      <c r="G676" s="71"/>
      <c r="H676" s="4" t="s">
        <v>201</v>
      </c>
      <c r="AJ676" s="91">
        <f t="shared" si="31"/>
        <v>88903.72</v>
      </c>
    </row>
    <row r="677" spans="1:36" ht="12" hidden="1" outlineLevel="3" x14ac:dyDescent="0.2">
      <c r="A677" s="73" t="s">
        <v>972</v>
      </c>
      <c r="B677" s="71"/>
      <c r="C677" s="71"/>
      <c r="D677" s="72">
        <v>60188.26</v>
      </c>
      <c r="E677" s="71"/>
      <c r="F677" s="71"/>
      <c r="G677" s="71"/>
      <c r="H677" s="4" t="s">
        <v>202</v>
      </c>
      <c r="AJ677" s="91">
        <f t="shared" si="31"/>
        <v>60188.26</v>
      </c>
    </row>
    <row r="678" spans="1:36" ht="12" hidden="1" outlineLevel="3" x14ac:dyDescent="0.2">
      <c r="A678" s="73" t="s">
        <v>970</v>
      </c>
      <c r="B678" s="71"/>
      <c r="C678" s="71"/>
      <c r="D678" s="72">
        <v>55092.75</v>
      </c>
      <c r="E678" s="71"/>
      <c r="F678" s="71"/>
      <c r="G678" s="71"/>
      <c r="H678" s="4" t="s">
        <v>204</v>
      </c>
      <c r="AJ678" s="91">
        <f t="shared" si="31"/>
        <v>55092.75</v>
      </c>
    </row>
    <row r="679" spans="1:36" ht="12" hidden="1" outlineLevel="3" x14ac:dyDescent="0.2">
      <c r="A679" s="73" t="s">
        <v>1082</v>
      </c>
      <c r="B679" s="71"/>
      <c r="C679" s="71"/>
      <c r="D679" s="72">
        <v>51166.09</v>
      </c>
      <c r="E679" s="71"/>
      <c r="F679" s="71"/>
      <c r="G679" s="71"/>
      <c r="H679" s="4" t="s">
        <v>226</v>
      </c>
      <c r="AJ679" s="91">
        <f t="shared" si="31"/>
        <v>51166.09</v>
      </c>
    </row>
    <row r="680" spans="1:36" ht="12" hidden="1" outlineLevel="3" x14ac:dyDescent="0.2">
      <c r="A680" s="73" t="s">
        <v>1131</v>
      </c>
      <c r="B680" s="71"/>
      <c r="C680" s="71"/>
      <c r="D680" s="72">
        <v>67777.210000000006</v>
      </c>
      <c r="E680" s="71"/>
      <c r="F680" s="71"/>
      <c r="G680" s="71"/>
      <c r="H680" s="4" t="s">
        <v>248</v>
      </c>
      <c r="AJ680" s="91">
        <f t="shared" si="31"/>
        <v>67777.210000000006</v>
      </c>
    </row>
    <row r="681" spans="1:36" ht="12" hidden="1" outlineLevel="3" x14ac:dyDescent="0.2">
      <c r="A681" s="73" t="s">
        <v>1129</v>
      </c>
      <c r="B681" s="71"/>
      <c r="C681" s="71"/>
      <c r="D681" s="72">
        <v>71215.56</v>
      </c>
      <c r="E681" s="71"/>
      <c r="F681" s="71"/>
      <c r="G681" s="71"/>
      <c r="H681" s="4" t="s">
        <v>251</v>
      </c>
      <c r="AJ681" s="91">
        <f t="shared" si="31"/>
        <v>71215.56</v>
      </c>
    </row>
    <row r="682" spans="1:36" ht="12" hidden="1" outlineLevel="3" x14ac:dyDescent="0.2">
      <c r="A682" s="73" t="s">
        <v>1128</v>
      </c>
      <c r="B682" s="71"/>
      <c r="C682" s="71"/>
      <c r="D682" s="72">
        <v>159958.75</v>
      </c>
      <c r="E682" s="71"/>
      <c r="F682" s="71"/>
      <c r="G682" s="71"/>
      <c r="H682" s="4" t="s">
        <v>252</v>
      </c>
      <c r="AJ682" s="91">
        <f t="shared" si="31"/>
        <v>159958.75</v>
      </c>
    </row>
    <row r="683" spans="1:36" ht="12" hidden="1" outlineLevel="3" x14ac:dyDescent="0.2">
      <c r="A683" s="73" t="s">
        <v>948</v>
      </c>
      <c r="B683" s="71"/>
      <c r="C683" s="71"/>
      <c r="D683" s="72">
        <v>168158.2</v>
      </c>
      <c r="E683" s="71"/>
      <c r="F683" s="71"/>
      <c r="G683" s="71"/>
      <c r="H683" s="4" t="s">
        <v>258</v>
      </c>
      <c r="AJ683" s="91">
        <f t="shared" si="31"/>
        <v>168158.2</v>
      </c>
    </row>
    <row r="684" spans="1:36" ht="12" hidden="1" outlineLevel="3" x14ac:dyDescent="0.2">
      <c r="A684" s="73" t="s">
        <v>1207</v>
      </c>
      <c r="B684" s="71"/>
      <c r="C684" s="71"/>
      <c r="D684" s="72">
        <v>60353.46</v>
      </c>
      <c r="E684" s="71"/>
      <c r="F684" s="71"/>
      <c r="G684" s="71"/>
      <c r="H684" s="4" t="s">
        <v>261</v>
      </c>
      <c r="AJ684" s="91">
        <f t="shared" si="31"/>
        <v>60353.46</v>
      </c>
    </row>
    <row r="685" spans="1:36" ht="12" hidden="1" outlineLevel="3" x14ac:dyDescent="0.2">
      <c r="A685" s="73" t="s">
        <v>1201</v>
      </c>
      <c r="B685" s="71"/>
      <c r="C685" s="71"/>
      <c r="D685" s="72">
        <v>14378.77</v>
      </c>
      <c r="E685" s="71"/>
      <c r="F685" s="71"/>
      <c r="G685" s="71"/>
      <c r="H685" s="4" t="s">
        <v>270</v>
      </c>
      <c r="AJ685" s="91">
        <f t="shared" si="31"/>
        <v>14378.77</v>
      </c>
    </row>
    <row r="686" spans="1:36" ht="12" hidden="1" outlineLevel="3" x14ac:dyDescent="0.2">
      <c r="A686" s="73" t="s">
        <v>964</v>
      </c>
      <c r="B686" s="71"/>
      <c r="C686" s="71"/>
      <c r="D686" s="72">
        <v>114273.75</v>
      </c>
      <c r="E686" s="71"/>
      <c r="F686" s="71"/>
      <c r="G686" s="71"/>
      <c r="H686" s="4" t="s">
        <v>274</v>
      </c>
      <c r="AJ686" s="91">
        <f t="shared" si="31"/>
        <v>114273.75</v>
      </c>
    </row>
    <row r="687" spans="1:36" ht="12" hidden="1" outlineLevel="3" x14ac:dyDescent="0.2">
      <c r="A687" s="73" t="s">
        <v>1197</v>
      </c>
      <c r="B687" s="71"/>
      <c r="C687" s="71"/>
      <c r="D687" s="72">
        <v>140637.6</v>
      </c>
      <c r="E687" s="71"/>
      <c r="F687" s="71"/>
      <c r="G687" s="71"/>
      <c r="H687" s="4" t="s">
        <v>276</v>
      </c>
      <c r="AJ687" s="91">
        <f t="shared" si="31"/>
        <v>140637.6</v>
      </c>
    </row>
    <row r="688" spans="1:36" ht="12" outlineLevel="2" collapsed="1" x14ac:dyDescent="0.2">
      <c r="A688" s="74" t="s">
        <v>1237</v>
      </c>
      <c r="B688" s="71"/>
      <c r="C688" s="71"/>
      <c r="D688" s="72">
        <v>325142.68</v>
      </c>
      <c r="E688" s="71"/>
      <c r="F688" s="71"/>
      <c r="G688" s="71"/>
    </row>
    <row r="689" spans="1:38" ht="12" hidden="1" outlineLevel="3" x14ac:dyDescent="0.2">
      <c r="A689" s="73" t="s">
        <v>1051</v>
      </c>
      <c r="B689" s="71"/>
      <c r="C689" s="71"/>
      <c r="D689" s="72">
        <v>94730.99</v>
      </c>
      <c r="E689" s="71"/>
      <c r="F689" s="71"/>
      <c r="G689" s="71"/>
      <c r="H689" s="4" t="s">
        <v>134</v>
      </c>
      <c r="AK689" s="91">
        <f t="shared" si="31"/>
        <v>94730.99</v>
      </c>
    </row>
    <row r="690" spans="1:38" ht="12" hidden="1" outlineLevel="3" x14ac:dyDescent="0.2">
      <c r="A690" s="73" t="s">
        <v>1160</v>
      </c>
      <c r="B690" s="71"/>
      <c r="C690" s="71"/>
      <c r="D690" s="72">
        <v>60527.88</v>
      </c>
      <c r="E690" s="71"/>
      <c r="F690" s="71"/>
      <c r="G690" s="71"/>
      <c r="H690" s="4" t="s">
        <v>149</v>
      </c>
      <c r="AK690" s="91">
        <f t="shared" ref="AK690:AL705" si="32">$D690</f>
        <v>60527.88</v>
      </c>
    </row>
    <row r="691" spans="1:38" ht="12" hidden="1" outlineLevel="3" x14ac:dyDescent="0.2">
      <c r="A691" s="73" t="s">
        <v>1023</v>
      </c>
      <c r="B691" s="71"/>
      <c r="C691" s="71"/>
      <c r="D691" s="72">
        <v>43227.5</v>
      </c>
      <c r="E691" s="71"/>
      <c r="F691" s="71"/>
      <c r="G691" s="71"/>
      <c r="H691" s="4" t="s">
        <v>159</v>
      </c>
      <c r="AK691" s="91">
        <f t="shared" si="32"/>
        <v>43227.5</v>
      </c>
    </row>
    <row r="692" spans="1:38" ht="12" hidden="1" outlineLevel="3" x14ac:dyDescent="0.2">
      <c r="A692" s="73" t="s">
        <v>1019</v>
      </c>
      <c r="B692" s="71"/>
      <c r="C692" s="71"/>
      <c r="D692" s="72">
        <v>58341.54</v>
      </c>
      <c r="E692" s="71"/>
      <c r="F692" s="71"/>
      <c r="G692" s="71"/>
      <c r="H692" s="4" t="s">
        <v>1341</v>
      </c>
      <c r="AK692" s="91">
        <f t="shared" si="32"/>
        <v>58341.54</v>
      </c>
    </row>
    <row r="693" spans="1:38" ht="12" hidden="1" outlineLevel="3" x14ac:dyDescent="0.2">
      <c r="A693" s="73" t="s">
        <v>1196</v>
      </c>
      <c r="B693" s="71"/>
      <c r="C693" s="71"/>
      <c r="D693" s="72">
        <v>68314.77</v>
      </c>
      <c r="E693" s="71"/>
      <c r="F693" s="71"/>
      <c r="G693" s="71"/>
      <c r="H693" s="4" t="s">
        <v>271</v>
      </c>
      <c r="AK693" s="91">
        <f t="shared" si="32"/>
        <v>68314.77</v>
      </c>
    </row>
    <row r="694" spans="1:38" ht="12" outlineLevel="2" collapsed="1" x14ac:dyDescent="0.2">
      <c r="A694" s="74" t="s">
        <v>1236</v>
      </c>
      <c r="B694" s="71"/>
      <c r="C694" s="71"/>
      <c r="D694" s="72">
        <v>7866709.6699999999</v>
      </c>
      <c r="E694" s="71"/>
      <c r="F694" s="71"/>
      <c r="G694" s="71"/>
    </row>
    <row r="695" spans="1:38" ht="12" hidden="1" outlineLevel="3" x14ac:dyDescent="0.2">
      <c r="A695" s="73" t="s">
        <v>1078</v>
      </c>
      <c r="B695" s="71"/>
      <c r="C695" s="71"/>
      <c r="D695" s="72">
        <v>255014</v>
      </c>
      <c r="E695" s="71"/>
      <c r="F695" s="71"/>
      <c r="G695" s="71"/>
      <c r="H695" s="4" t="s">
        <v>58</v>
      </c>
      <c r="AL695" s="91">
        <f t="shared" si="32"/>
        <v>255014</v>
      </c>
    </row>
    <row r="696" spans="1:38" ht="12" hidden="1" outlineLevel="3" x14ac:dyDescent="0.2">
      <c r="A696" s="73" t="s">
        <v>926</v>
      </c>
      <c r="B696" s="71"/>
      <c r="C696" s="71"/>
      <c r="D696" s="72">
        <v>588979.46</v>
      </c>
      <c r="E696" s="71"/>
      <c r="F696" s="71"/>
      <c r="G696" s="71"/>
      <c r="H696" s="31" t="s">
        <v>323</v>
      </c>
      <c r="AL696" s="91">
        <f t="shared" si="32"/>
        <v>588979.46</v>
      </c>
    </row>
    <row r="697" spans="1:38" ht="12" hidden="1" outlineLevel="3" x14ac:dyDescent="0.2">
      <c r="A697" s="73" t="s">
        <v>1101</v>
      </c>
      <c r="B697" s="71"/>
      <c r="C697" s="71"/>
      <c r="D697" s="72">
        <v>124603.7</v>
      </c>
      <c r="E697" s="71"/>
      <c r="F697" s="71"/>
      <c r="G697" s="71"/>
      <c r="H697" s="31" t="s">
        <v>341</v>
      </c>
      <c r="AL697" s="91">
        <f t="shared" si="32"/>
        <v>124603.7</v>
      </c>
    </row>
    <row r="698" spans="1:38" ht="12" hidden="1" outlineLevel="3" x14ac:dyDescent="0.2">
      <c r="A698" s="73" t="s">
        <v>1063</v>
      </c>
      <c r="B698" s="71"/>
      <c r="C698" s="71"/>
      <c r="D698" s="72">
        <v>225908.29</v>
      </c>
      <c r="E698" s="71"/>
      <c r="F698" s="71"/>
      <c r="G698" s="71"/>
      <c r="H698" s="4" t="s">
        <v>1343</v>
      </c>
      <c r="AL698" s="91">
        <f t="shared" si="32"/>
        <v>225908.29</v>
      </c>
    </row>
    <row r="699" spans="1:38" ht="12" hidden="1" outlineLevel="3" x14ac:dyDescent="0.2">
      <c r="A699" s="73" t="s">
        <v>1060</v>
      </c>
      <c r="B699" s="71"/>
      <c r="C699" s="71"/>
      <c r="D699" s="72">
        <v>78690.63</v>
      </c>
      <c r="E699" s="71"/>
      <c r="F699" s="71"/>
      <c r="G699" s="71"/>
      <c r="H699" s="4" t="s">
        <v>141</v>
      </c>
      <c r="AL699" s="91">
        <f t="shared" si="32"/>
        <v>78690.63</v>
      </c>
    </row>
    <row r="700" spans="1:38" ht="12" hidden="1" outlineLevel="3" x14ac:dyDescent="0.2">
      <c r="A700" s="73" t="s">
        <v>952</v>
      </c>
      <c r="B700" s="71"/>
      <c r="C700" s="71"/>
      <c r="D700" s="72">
        <v>448313.33</v>
      </c>
      <c r="E700" s="71"/>
      <c r="F700" s="71"/>
      <c r="G700" s="71"/>
      <c r="H700" s="4" t="s">
        <v>131</v>
      </c>
      <c r="AL700" s="91">
        <f t="shared" si="32"/>
        <v>448313.33</v>
      </c>
    </row>
    <row r="701" spans="1:38" ht="12" hidden="1" outlineLevel="3" x14ac:dyDescent="0.2">
      <c r="A701" s="73" t="s">
        <v>1053</v>
      </c>
      <c r="B701" s="71"/>
      <c r="C701" s="71"/>
      <c r="D701" s="72">
        <v>307561.56</v>
      </c>
      <c r="E701" s="71"/>
      <c r="F701" s="71"/>
      <c r="G701" s="71"/>
      <c r="H701" s="4" t="s">
        <v>148</v>
      </c>
      <c r="AL701" s="91">
        <f t="shared" si="32"/>
        <v>307561.56</v>
      </c>
    </row>
    <row r="702" spans="1:38" ht="12" hidden="1" outlineLevel="3" x14ac:dyDescent="0.2">
      <c r="A702" s="73" t="s">
        <v>1051</v>
      </c>
      <c r="B702" s="71"/>
      <c r="C702" s="71"/>
      <c r="D702" s="72">
        <v>377701.08</v>
      </c>
      <c r="E702" s="71"/>
      <c r="F702" s="71"/>
      <c r="G702" s="71"/>
      <c r="H702" s="4" t="s">
        <v>134</v>
      </c>
      <c r="AL702" s="91">
        <f t="shared" si="32"/>
        <v>377701.08</v>
      </c>
    </row>
    <row r="703" spans="1:38" ht="12" hidden="1" outlineLevel="3" x14ac:dyDescent="0.2">
      <c r="A703" s="73" t="s">
        <v>1039</v>
      </c>
      <c r="B703" s="71"/>
      <c r="C703" s="71"/>
      <c r="D703" s="72">
        <v>208384.96</v>
      </c>
      <c r="E703" s="71"/>
      <c r="F703" s="71"/>
      <c r="G703" s="71"/>
      <c r="H703" s="4" t="s">
        <v>120</v>
      </c>
      <c r="AL703" s="91">
        <f t="shared" si="32"/>
        <v>208384.96</v>
      </c>
    </row>
    <row r="704" spans="1:38" ht="12" hidden="1" outlineLevel="3" x14ac:dyDescent="0.2">
      <c r="A704" s="73" t="s">
        <v>1164</v>
      </c>
      <c r="B704" s="71"/>
      <c r="C704" s="71"/>
      <c r="D704" s="72">
        <v>416568.9</v>
      </c>
      <c r="E704" s="71"/>
      <c r="F704" s="71"/>
      <c r="G704" s="71"/>
      <c r="H704" s="4" t="s">
        <v>85</v>
      </c>
      <c r="AL704" s="91">
        <f t="shared" si="32"/>
        <v>416568.9</v>
      </c>
    </row>
    <row r="705" spans="1:38" ht="12" hidden="1" outlineLevel="3" x14ac:dyDescent="0.2">
      <c r="A705" s="73" t="s">
        <v>1018</v>
      </c>
      <c r="B705" s="71"/>
      <c r="C705" s="71"/>
      <c r="D705" s="72">
        <v>104077.85</v>
      </c>
      <c r="E705" s="71"/>
      <c r="F705" s="71"/>
      <c r="G705" s="71"/>
      <c r="H705" s="4" t="s">
        <v>166</v>
      </c>
      <c r="AL705" s="91">
        <f t="shared" si="32"/>
        <v>104077.85</v>
      </c>
    </row>
    <row r="706" spans="1:38" ht="12" hidden="1" outlineLevel="3" x14ac:dyDescent="0.2">
      <c r="A706" s="73" t="s">
        <v>1010</v>
      </c>
      <c r="B706" s="71"/>
      <c r="C706" s="71"/>
      <c r="D706" s="72">
        <v>788913.78</v>
      </c>
      <c r="E706" s="71"/>
      <c r="F706" s="71"/>
      <c r="G706" s="71"/>
      <c r="H706" s="4" t="s">
        <v>173</v>
      </c>
      <c r="AL706" s="91">
        <f t="shared" ref="AL706:AN753" si="33">$D706</f>
        <v>788913.78</v>
      </c>
    </row>
    <row r="707" spans="1:38" ht="12" hidden="1" outlineLevel="3" x14ac:dyDescent="0.2">
      <c r="A707" s="73" t="s">
        <v>949</v>
      </c>
      <c r="B707" s="71"/>
      <c r="C707" s="71"/>
      <c r="D707" s="72">
        <v>315303.55</v>
      </c>
      <c r="E707" s="71"/>
      <c r="F707" s="71"/>
      <c r="G707" s="71"/>
      <c r="H707" s="4" t="s">
        <v>109</v>
      </c>
      <c r="AL707" s="91">
        <f t="shared" si="33"/>
        <v>315303.55</v>
      </c>
    </row>
    <row r="708" spans="1:38" ht="12" hidden="1" outlineLevel="3" x14ac:dyDescent="0.2">
      <c r="A708" s="73" t="s">
        <v>943</v>
      </c>
      <c r="B708" s="71"/>
      <c r="C708" s="71"/>
      <c r="D708" s="72">
        <v>60810.879999999997</v>
      </c>
      <c r="E708" s="71"/>
      <c r="F708" s="71"/>
      <c r="G708" s="71"/>
      <c r="H708" s="4" t="s">
        <v>217</v>
      </c>
      <c r="AL708" s="91">
        <f t="shared" si="33"/>
        <v>60810.879999999997</v>
      </c>
    </row>
    <row r="709" spans="1:38" ht="12" hidden="1" outlineLevel="3" x14ac:dyDescent="0.2">
      <c r="A709" s="73" t="s">
        <v>986</v>
      </c>
      <c r="B709" s="71"/>
      <c r="C709" s="71"/>
      <c r="D709" s="72">
        <v>255378</v>
      </c>
      <c r="E709" s="71"/>
      <c r="F709" s="71"/>
      <c r="G709" s="71"/>
      <c r="H709" s="4" t="s">
        <v>184</v>
      </c>
      <c r="AL709" s="91">
        <f t="shared" si="33"/>
        <v>255378</v>
      </c>
    </row>
    <row r="710" spans="1:38" ht="12" hidden="1" outlineLevel="3" x14ac:dyDescent="0.2">
      <c r="A710" s="73" t="s">
        <v>940</v>
      </c>
      <c r="B710" s="71"/>
      <c r="C710" s="71"/>
      <c r="D710" s="72">
        <v>60940.57</v>
      </c>
      <c r="E710" s="71"/>
      <c r="F710" s="71"/>
      <c r="G710" s="71"/>
      <c r="H710" s="4" t="s">
        <v>194</v>
      </c>
      <c r="AL710" s="91">
        <f t="shared" si="33"/>
        <v>60940.57</v>
      </c>
    </row>
    <row r="711" spans="1:38" ht="12" hidden="1" outlineLevel="3" x14ac:dyDescent="0.2">
      <c r="A711" s="73" t="s">
        <v>974</v>
      </c>
      <c r="B711" s="71"/>
      <c r="C711" s="71"/>
      <c r="D711" s="72">
        <v>191484.93</v>
      </c>
      <c r="E711" s="71"/>
      <c r="F711" s="71"/>
      <c r="G711" s="71"/>
      <c r="H711" s="4" t="s">
        <v>200</v>
      </c>
      <c r="AL711" s="91">
        <f t="shared" si="33"/>
        <v>191484.93</v>
      </c>
    </row>
    <row r="712" spans="1:38" ht="12" hidden="1" outlineLevel="3" x14ac:dyDescent="0.2">
      <c r="A712" s="73" t="s">
        <v>1141</v>
      </c>
      <c r="B712" s="71"/>
      <c r="C712" s="71"/>
      <c r="D712" s="72">
        <v>280882.21000000002</v>
      </c>
      <c r="E712" s="71"/>
      <c r="F712" s="71"/>
      <c r="G712" s="71"/>
      <c r="H712" s="4" t="s">
        <v>231</v>
      </c>
      <c r="AL712" s="91">
        <f t="shared" si="33"/>
        <v>280882.21000000002</v>
      </c>
    </row>
    <row r="713" spans="1:38" ht="12" hidden="1" outlineLevel="3" x14ac:dyDescent="0.2">
      <c r="A713" s="73" t="s">
        <v>939</v>
      </c>
      <c r="B713" s="71"/>
      <c r="C713" s="71"/>
      <c r="D713" s="72">
        <v>178605.06</v>
      </c>
      <c r="E713" s="71"/>
      <c r="F713" s="71"/>
      <c r="G713" s="71"/>
      <c r="H713" s="4" t="s">
        <v>232</v>
      </c>
      <c r="AL713" s="91">
        <f t="shared" si="33"/>
        <v>178605.06</v>
      </c>
    </row>
    <row r="714" spans="1:38" ht="12" hidden="1" outlineLevel="3" x14ac:dyDescent="0.2">
      <c r="A714" s="73" t="s">
        <v>938</v>
      </c>
      <c r="B714" s="71"/>
      <c r="C714" s="71"/>
      <c r="D714" s="72">
        <v>65322.12</v>
      </c>
      <c r="E714" s="71"/>
      <c r="F714" s="71"/>
      <c r="G714" s="71"/>
      <c r="H714" s="4" t="s">
        <v>233</v>
      </c>
      <c r="AL714" s="91">
        <f t="shared" si="33"/>
        <v>65322.12</v>
      </c>
    </row>
    <row r="715" spans="1:38" ht="12" hidden="1" outlineLevel="3" x14ac:dyDescent="0.2">
      <c r="A715" s="73" t="s">
        <v>1132</v>
      </c>
      <c r="B715" s="71"/>
      <c r="C715" s="71"/>
      <c r="D715" s="72">
        <v>56665.42</v>
      </c>
      <c r="E715" s="71"/>
      <c r="F715" s="71"/>
      <c r="G715" s="71"/>
      <c r="H715" s="4" t="s">
        <v>247</v>
      </c>
      <c r="AL715" s="91">
        <f t="shared" si="33"/>
        <v>56665.42</v>
      </c>
    </row>
    <row r="716" spans="1:38" ht="12" hidden="1" outlineLevel="3" x14ac:dyDescent="0.2">
      <c r="A716" s="73" t="s">
        <v>1131</v>
      </c>
      <c r="B716" s="71"/>
      <c r="C716" s="71"/>
      <c r="D716" s="72">
        <v>1177989.8700000001</v>
      </c>
      <c r="E716" s="71"/>
      <c r="F716" s="71"/>
      <c r="G716" s="71"/>
      <c r="H716" s="4" t="s">
        <v>248</v>
      </c>
      <c r="AL716" s="91">
        <f t="shared" si="33"/>
        <v>1177989.8700000001</v>
      </c>
    </row>
    <row r="717" spans="1:38" ht="12" hidden="1" outlineLevel="3" x14ac:dyDescent="0.2">
      <c r="A717" s="73" t="s">
        <v>1125</v>
      </c>
      <c r="B717" s="71"/>
      <c r="C717" s="71"/>
      <c r="D717" s="72">
        <v>91887.99</v>
      </c>
      <c r="E717" s="71"/>
      <c r="F717" s="71"/>
      <c r="G717" s="71"/>
      <c r="H717" s="4" t="s">
        <v>255</v>
      </c>
      <c r="AL717" s="91">
        <f t="shared" si="33"/>
        <v>91887.99</v>
      </c>
    </row>
    <row r="718" spans="1:38" ht="12" hidden="1" outlineLevel="3" x14ac:dyDescent="0.2">
      <c r="A718" s="73" t="s">
        <v>948</v>
      </c>
      <c r="B718" s="71"/>
      <c r="C718" s="71"/>
      <c r="D718" s="72">
        <v>53022.6</v>
      </c>
      <c r="E718" s="71"/>
      <c r="F718" s="71"/>
      <c r="G718" s="71"/>
      <c r="H718" s="4" t="s">
        <v>258</v>
      </c>
      <c r="AL718" s="91">
        <f t="shared" si="33"/>
        <v>53022.6</v>
      </c>
    </row>
    <row r="719" spans="1:38" ht="12" hidden="1" outlineLevel="3" x14ac:dyDescent="0.2">
      <c r="A719" s="73" t="s">
        <v>1197</v>
      </c>
      <c r="B719" s="71"/>
      <c r="C719" s="71"/>
      <c r="D719" s="72">
        <v>272771.11</v>
      </c>
      <c r="E719" s="71"/>
      <c r="F719" s="71"/>
      <c r="G719" s="71"/>
      <c r="H719" s="4" t="s">
        <v>276</v>
      </c>
      <c r="AL719" s="91">
        <f t="shared" si="33"/>
        <v>272771.11</v>
      </c>
    </row>
    <row r="720" spans="1:38" ht="12" hidden="1" outlineLevel="3" x14ac:dyDescent="0.2">
      <c r="A720" s="73" t="s">
        <v>1196</v>
      </c>
      <c r="B720" s="71"/>
      <c r="C720" s="71"/>
      <c r="D720" s="72">
        <v>528219.6</v>
      </c>
      <c r="E720" s="71"/>
      <c r="F720" s="71"/>
      <c r="G720" s="71"/>
      <c r="H720" s="4" t="s">
        <v>271</v>
      </c>
      <c r="AL720" s="91">
        <f t="shared" si="33"/>
        <v>528219.6</v>
      </c>
    </row>
    <row r="721" spans="1:38" ht="12" hidden="1" outlineLevel="3" x14ac:dyDescent="0.2">
      <c r="A721" s="73" t="s">
        <v>1121</v>
      </c>
      <c r="B721" s="71"/>
      <c r="C721" s="71"/>
      <c r="D721" s="72">
        <v>236691</v>
      </c>
      <c r="E721" s="71"/>
      <c r="F721" s="71"/>
      <c r="G721" s="71"/>
      <c r="H721" s="4" t="s">
        <v>277</v>
      </c>
      <c r="AL721" s="91">
        <f t="shared" si="33"/>
        <v>236691</v>
      </c>
    </row>
    <row r="722" spans="1:38" ht="12" hidden="1" outlineLevel="3" x14ac:dyDescent="0.2">
      <c r="A722" s="73" t="s">
        <v>1120</v>
      </c>
      <c r="B722" s="71"/>
      <c r="C722" s="71"/>
      <c r="D722" s="72">
        <v>116017.22</v>
      </c>
      <c r="E722" s="71"/>
      <c r="F722" s="71"/>
      <c r="G722" s="71"/>
      <c r="H722" s="4" t="s">
        <v>281</v>
      </c>
      <c r="AL722" s="91">
        <f t="shared" si="33"/>
        <v>116017.22</v>
      </c>
    </row>
    <row r="723" spans="1:38" ht="12" outlineLevel="2" collapsed="1" x14ac:dyDescent="0.2">
      <c r="A723" s="74" t="s">
        <v>1235</v>
      </c>
      <c r="B723" s="71"/>
      <c r="C723" s="71"/>
      <c r="D723" s="72">
        <v>22420163.219999999</v>
      </c>
      <c r="E723" s="71"/>
      <c r="F723" s="71"/>
      <c r="G723" s="71"/>
    </row>
    <row r="724" spans="1:38" ht="12" hidden="1" outlineLevel="3" x14ac:dyDescent="0.2">
      <c r="A724" s="73" t="s">
        <v>924</v>
      </c>
      <c r="B724" s="71"/>
      <c r="C724" s="71"/>
      <c r="D724" s="72">
        <v>1079918.3</v>
      </c>
      <c r="E724" s="71"/>
      <c r="F724" s="71"/>
      <c r="G724" s="71"/>
      <c r="H724" s="31" t="s">
        <v>344</v>
      </c>
      <c r="AL724" s="91">
        <f t="shared" si="33"/>
        <v>1079918.3</v>
      </c>
    </row>
    <row r="725" spans="1:38" ht="12" hidden="1" outlineLevel="3" x14ac:dyDescent="0.2">
      <c r="A725" s="73" t="s">
        <v>1086</v>
      </c>
      <c r="B725" s="71"/>
      <c r="C725" s="71"/>
      <c r="D725" s="72">
        <v>73801.7</v>
      </c>
      <c r="E725" s="71"/>
      <c r="F725" s="71"/>
      <c r="G725" s="71"/>
      <c r="H725" s="31" t="s">
        <v>353</v>
      </c>
      <c r="AL725" s="91">
        <f t="shared" si="33"/>
        <v>73801.7</v>
      </c>
    </row>
    <row r="726" spans="1:38" ht="12" hidden="1" outlineLevel="3" x14ac:dyDescent="0.2">
      <c r="A726" s="73" t="s">
        <v>1234</v>
      </c>
      <c r="B726" s="71"/>
      <c r="C726" s="71"/>
      <c r="D726" s="72">
        <v>1236200.05</v>
      </c>
      <c r="E726" s="71"/>
      <c r="F726" s="71"/>
      <c r="G726" s="71"/>
      <c r="H726" s="4" t="s">
        <v>146</v>
      </c>
      <c r="AL726" s="91">
        <f t="shared" si="33"/>
        <v>1236200.05</v>
      </c>
    </row>
    <row r="727" spans="1:38" ht="12" hidden="1" outlineLevel="3" x14ac:dyDescent="0.2">
      <c r="A727" s="73" t="s">
        <v>1233</v>
      </c>
      <c r="B727" s="71"/>
      <c r="C727" s="71"/>
      <c r="D727" s="72">
        <v>1236200.05</v>
      </c>
      <c r="E727" s="71"/>
      <c r="F727" s="71"/>
      <c r="G727" s="71"/>
      <c r="H727" s="4" t="s">
        <v>146</v>
      </c>
      <c r="AL727" s="91">
        <f t="shared" si="33"/>
        <v>1236200.05</v>
      </c>
    </row>
    <row r="728" spans="1:38" ht="12" hidden="1" outlineLevel="3" x14ac:dyDescent="0.2">
      <c r="A728" s="73" t="s">
        <v>1047</v>
      </c>
      <c r="B728" s="71"/>
      <c r="C728" s="71"/>
      <c r="D728" s="72">
        <v>290607.95</v>
      </c>
      <c r="E728" s="71"/>
      <c r="F728" s="71"/>
      <c r="G728" s="71"/>
      <c r="H728" s="4" t="s">
        <v>123</v>
      </c>
      <c r="AL728" s="91">
        <f t="shared" si="33"/>
        <v>290607.95</v>
      </c>
    </row>
    <row r="729" spans="1:38" ht="12" hidden="1" outlineLevel="3" x14ac:dyDescent="0.2">
      <c r="A729" s="73" t="s">
        <v>1218</v>
      </c>
      <c r="B729" s="71"/>
      <c r="C729" s="71"/>
      <c r="D729" s="72">
        <v>444078.78</v>
      </c>
      <c r="E729" s="71"/>
      <c r="F729" s="71"/>
      <c r="G729" s="71"/>
      <c r="H729" s="4" t="s">
        <v>80</v>
      </c>
      <c r="AL729" s="91">
        <f t="shared" si="33"/>
        <v>444078.78</v>
      </c>
    </row>
    <row r="730" spans="1:38" ht="12" hidden="1" outlineLevel="3" x14ac:dyDescent="0.2">
      <c r="A730" s="73" t="s">
        <v>950</v>
      </c>
      <c r="B730" s="71"/>
      <c r="C730" s="71"/>
      <c r="D730" s="72">
        <v>3637162.06</v>
      </c>
      <c r="E730" s="71"/>
      <c r="F730" s="71"/>
      <c r="G730" s="71"/>
      <c r="H730" s="4" t="s">
        <v>84</v>
      </c>
      <c r="AL730" s="91">
        <f t="shared" si="33"/>
        <v>3637162.06</v>
      </c>
    </row>
    <row r="731" spans="1:38" ht="12.75" hidden="1" outlineLevel="3" x14ac:dyDescent="0.2">
      <c r="A731" s="73" t="s">
        <v>1232</v>
      </c>
      <c r="B731" s="71"/>
      <c r="C731" s="71"/>
      <c r="D731" s="72">
        <v>180542.87</v>
      </c>
      <c r="E731" s="71"/>
      <c r="F731" s="71"/>
      <c r="G731" s="71"/>
      <c r="H731" s="17" t="s">
        <v>100</v>
      </c>
      <c r="AL731" s="91">
        <f t="shared" si="33"/>
        <v>180542.87</v>
      </c>
    </row>
    <row r="732" spans="1:38" ht="12" hidden="1" outlineLevel="3" x14ac:dyDescent="0.2">
      <c r="A732" s="73" t="s">
        <v>1012</v>
      </c>
      <c r="B732" s="71"/>
      <c r="C732" s="71"/>
      <c r="D732" s="72">
        <v>1877250.75</v>
      </c>
      <c r="E732" s="71"/>
      <c r="F732" s="71"/>
      <c r="G732" s="71"/>
      <c r="H732" s="4" t="s">
        <v>171</v>
      </c>
      <c r="AL732" s="91">
        <f t="shared" si="33"/>
        <v>1877250.75</v>
      </c>
    </row>
    <row r="733" spans="1:38" ht="12" hidden="1" outlineLevel="3" x14ac:dyDescent="0.2">
      <c r="A733" s="73" t="s">
        <v>996</v>
      </c>
      <c r="B733" s="71"/>
      <c r="C733" s="71"/>
      <c r="D733" s="72">
        <v>519882.6</v>
      </c>
      <c r="E733" s="71"/>
      <c r="F733" s="71"/>
      <c r="G733" s="71"/>
      <c r="H733" s="4" t="s">
        <v>216</v>
      </c>
      <c r="AL733" s="91">
        <f t="shared" si="33"/>
        <v>519882.6</v>
      </c>
    </row>
    <row r="734" spans="1:38" ht="12" hidden="1" outlineLevel="3" x14ac:dyDescent="0.2">
      <c r="A734" s="73" t="s">
        <v>991</v>
      </c>
      <c r="B734" s="71"/>
      <c r="C734" s="71"/>
      <c r="D734" s="72">
        <v>1547695.27</v>
      </c>
      <c r="E734" s="71"/>
      <c r="F734" s="71"/>
      <c r="G734" s="71"/>
      <c r="H734" s="4" t="s">
        <v>178</v>
      </c>
      <c r="AL734" s="91">
        <f t="shared" si="33"/>
        <v>1547695.27</v>
      </c>
    </row>
    <row r="735" spans="1:38" ht="12" hidden="1" outlineLevel="3" x14ac:dyDescent="0.2">
      <c r="A735" s="73" t="s">
        <v>979</v>
      </c>
      <c r="B735" s="71"/>
      <c r="C735" s="71"/>
      <c r="D735" s="72">
        <v>5028521.24</v>
      </c>
      <c r="E735" s="71"/>
      <c r="F735" s="71"/>
      <c r="G735" s="71"/>
      <c r="H735" s="4" t="s">
        <v>192</v>
      </c>
      <c r="AL735" s="91">
        <f t="shared" si="33"/>
        <v>5028521.24</v>
      </c>
    </row>
    <row r="736" spans="1:38" ht="12" hidden="1" outlineLevel="3" x14ac:dyDescent="0.2">
      <c r="A736" s="73" t="s">
        <v>1147</v>
      </c>
      <c r="B736" s="71"/>
      <c r="C736" s="71"/>
      <c r="D736" s="72">
        <v>414399.39</v>
      </c>
      <c r="E736" s="71"/>
      <c r="F736" s="71"/>
      <c r="G736" s="71"/>
      <c r="H736" s="4" t="s">
        <v>222</v>
      </c>
      <c r="AL736" s="91">
        <f t="shared" si="33"/>
        <v>414399.39</v>
      </c>
    </row>
    <row r="737" spans="1:40" ht="12" hidden="1" outlineLevel="3" x14ac:dyDescent="0.2">
      <c r="A737" s="73" t="s">
        <v>1146</v>
      </c>
      <c r="B737" s="71"/>
      <c r="C737" s="71"/>
      <c r="D737" s="72">
        <v>137723.74</v>
      </c>
      <c r="E737" s="71"/>
      <c r="F737" s="71"/>
      <c r="G737" s="71"/>
      <c r="H737" s="4" t="s">
        <v>225</v>
      </c>
      <c r="AL737" s="91">
        <f t="shared" si="33"/>
        <v>137723.74</v>
      </c>
    </row>
    <row r="738" spans="1:40" ht="12" hidden="1" outlineLevel="3" x14ac:dyDescent="0.2">
      <c r="A738" s="73" t="s">
        <v>939</v>
      </c>
      <c r="B738" s="71"/>
      <c r="C738" s="71"/>
      <c r="D738" s="72">
        <v>152846.72</v>
      </c>
      <c r="E738" s="71"/>
      <c r="F738" s="71"/>
      <c r="G738" s="71"/>
      <c r="H738" s="4" t="s">
        <v>232</v>
      </c>
      <c r="AL738" s="91">
        <f t="shared" si="33"/>
        <v>152846.72</v>
      </c>
    </row>
    <row r="739" spans="1:40" ht="12" hidden="1" outlineLevel="3" x14ac:dyDescent="0.2">
      <c r="A739" s="73" t="s">
        <v>1131</v>
      </c>
      <c r="B739" s="71"/>
      <c r="C739" s="71"/>
      <c r="D739" s="72">
        <v>463828.53</v>
      </c>
      <c r="E739" s="71"/>
      <c r="F739" s="71"/>
      <c r="G739" s="71"/>
      <c r="H739" s="4" t="s">
        <v>233</v>
      </c>
      <c r="AL739" s="91">
        <f t="shared" si="33"/>
        <v>463828.53</v>
      </c>
    </row>
    <row r="740" spans="1:40" ht="12" hidden="1" outlineLevel="3" x14ac:dyDescent="0.2">
      <c r="A740" s="73" t="s">
        <v>936</v>
      </c>
      <c r="B740" s="71"/>
      <c r="C740" s="71"/>
      <c r="D740" s="72">
        <v>2676254.5099999998</v>
      </c>
      <c r="E740" s="71"/>
      <c r="F740" s="71"/>
      <c r="G740" s="71"/>
      <c r="H740" s="4" t="s">
        <v>237</v>
      </c>
      <c r="AL740" s="91">
        <f t="shared" si="33"/>
        <v>2676254.5099999998</v>
      </c>
    </row>
    <row r="741" spans="1:40" ht="12" hidden="1" outlineLevel="3" x14ac:dyDescent="0.2">
      <c r="A741" s="73" t="s">
        <v>962</v>
      </c>
      <c r="B741" s="71"/>
      <c r="C741" s="71"/>
      <c r="D741" s="72">
        <v>1300194.78</v>
      </c>
      <c r="E741" s="71"/>
      <c r="F741" s="71"/>
      <c r="G741" s="71"/>
      <c r="H741" s="4" t="s">
        <v>286</v>
      </c>
      <c r="AL741" s="91">
        <f t="shared" si="33"/>
        <v>1300194.78</v>
      </c>
    </row>
    <row r="742" spans="1:40" ht="12" hidden="1" outlineLevel="3" x14ac:dyDescent="0.2">
      <c r="A742" s="73" t="s">
        <v>961</v>
      </c>
      <c r="B742" s="71"/>
      <c r="C742" s="71"/>
      <c r="D742" s="72">
        <v>123053.93</v>
      </c>
      <c r="E742" s="71"/>
      <c r="F742" s="71"/>
      <c r="G742" s="71"/>
      <c r="H742" s="4" t="s">
        <v>288</v>
      </c>
      <c r="AL742" s="91">
        <f t="shared" si="33"/>
        <v>123053.93</v>
      </c>
    </row>
    <row r="743" spans="1:40" ht="12" outlineLevel="2" collapsed="1" x14ac:dyDescent="0.2">
      <c r="A743" s="74" t="s">
        <v>1231</v>
      </c>
      <c r="B743" s="71"/>
      <c r="C743" s="71"/>
      <c r="D743" s="72">
        <v>1565633.48</v>
      </c>
      <c r="E743" s="71"/>
      <c r="F743" s="71"/>
      <c r="G743" s="71"/>
    </row>
    <row r="744" spans="1:40" ht="12" hidden="1" outlineLevel="3" x14ac:dyDescent="0.2">
      <c r="A744" s="73" t="s">
        <v>961</v>
      </c>
      <c r="B744" s="71"/>
      <c r="C744" s="71"/>
      <c r="D744" s="72">
        <v>1565633.48</v>
      </c>
      <c r="E744" s="71"/>
      <c r="F744" s="71"/>
      <c r="G744" s="71"/>
      <c r="H744" s="4" t="s">
        <v>288</v>
      </c>
      <c r="AL744" s="91">
        <f t="shared" si="33"/>
        <v>1565633.48</v>
      </c>
    </row>
    <row r="745" spans="1:40" ht="12" outlineLevel="2" collapsed="1" x14ac:dyDescent="0.2">
      <c r="A745" s="74" t="s">
        <v>1230</v>
      </c>
      <c r="B745" s="71"/>
      <c r="C745" s="71"/>
      <c r="D745" s="72">
        <v>6746860.1900000004</v>
      </c>
      <c r="E745" s="71"/>
      <c r="F745" s="71"/>
      <c r="G745" s="71"/>
    </row>
    <row r="746" spans="1:40" ht="12" hidden="1" outlineLevel="3" x14ac:dyDescent="0.2">
      <c r="A746" s="73" t="s">
        <v>1020</v>
      </c>
      <c r="B746" s="71"/>
      <c r="C746" s="71"/>
      <c r="D746" s="72">
        <v>4342352.83</v>
      </c>
      <c r="E746" s="71"/>
      <c r="F746" s="71"/>
      <c r="G746" s="71"/>
      <c r="AL746" s="91"/>
    </row>
    <row r="747" spans="1:40" ht="12" hidden="1" outlineLevel="3" x14ac:dyDescent="0.2">
      <c r="A747" s="73" t="s">
        <v>1018</v>
      </c>
      <c r="B747" s="71"/>
      <c r="C747" s="71"/>
      <c r="D747" s="72">
        <v>2404507.36</v>
      </c>
      <c r="E747" s="71"/>
      <c r="F747" s="71"/>
      <c r="G747" s="71"/>
      <c r="AL747" s="91"/>
    </row>
    <row r="748" spans="1:40" ht="24" outlineLevel="2" collapsed="1" x14ac:dyDescent="0.2">
      <c r="A748" s="74" t="s">
        <v>1229</v>
      </c>
      <c r="B748" s="71"/>
      <c r="C748" s="71"/>
      <c r="D748" s="72">
        <v>374664.67</v>
      </c>
      <c r="E748" s="71"/>
      <c r="F748" s="71"/>
      <c r="G748" s="71"/>
    </row>
    <row r="749" spans="1:40" ht="12" hidden="1" outlineLevel="3" x14ac:dyDescent="0.2">
      <c r="A749" s="73" t="s">
        <v>1105</v>
      </c>
      <c r="B749" s="71"/>
      <c r="C749" s="71"/>
      <c r="D749" s="72">
        <v>249253.67</v>
      </c>
      <c r="E749" s="71"/>
      <c r="F749" s="71"/>
      <c r="G749" s="71"/>
      <c r="H749" s="31" t="s">
        <v>326</v>
      </c>
      <c r="AM749" s="91">
        <f t="shared" si="33"/>
        <v>249253.67</v>
      </c>
    </row>
    <row r="750" spans="1:40" ht="12" hidden="1" outlineLevel="3" x14ac:dyDescent="0.2">
      <c r="A750" s="73" t="s">
        <v>925</v>
      </c>
      <c r="B750" s="71"/>
      <c r="C750" s="71"/>
      <c r="D750" s="72">
        <v>125411</v>
      </c>
      <c r="E750" s="71"/>
      <c r="F750" s="71"/>
      <c r="G750" s="71"/>
      <c r="H750" s="31" t="s">
        <v>327</v>
      </c>
      <c r="AM750" s="91">
        <f t="shared" si="33"/>
        <v>125411</v>
      </c>
    </row>
    <row r="751" spans="1:40" ht="12" outlineLevel="2" collapsed="1" x14ac:dyDescent="0.2">
      <c r="A751" s="74" t="s">
        <v>1228</v>
      </c>
      <c r="B751" s="71"/>
      <c r="C751" s="71"/>
      <c r="D751" s="72">
        <v>1265593.4099999999</v>
      </c>
      <c r="E751" s="71"/>
      <c r="F751" s="71"/>
      <c r="G751" s="71"/>
    </row>
    <row r="752" spans="1:40" ht="12" hidden="1" outlineLevel="3" x14ac:dyDescent="0.2">
      <c r="A752" s="73" t="s">
        <v>1099</v>
      </c>
      <c r="B752" s="71"/>
      <c r="C752" s="71"/>
      <c r="D752" s="72">
        <v>30915.8</v>
      </c>
      <c r="E752" s="71"/>
      <c r="F752" s="71"/>
      <c r="G752" s="71"/>
      <c r="H752" s="31" t="s">
        <v>343</v>
      </c>
      <c r="AN752" s="91">
        <f t="shared" si="33"/>
        <v>30915.8</v>
      </c>
    </row>
    <row r="753" spans="1:40" ht="12" hidden="1" outlineLevel="3" x14ac:dyDescent="0.2">
      <c r="A753" s="73" t="s">
        <v>1096</v>
      </c>
      <c r="B753" s="71"/>
      <c r="C753" s="71"/>
      <c r="D753" s="72">
        <v>76898.64</v>
      </c>
      <c r="E753" s="71"/>
      <c r="F753" s="71"/>
      <c r="G753" s="71"/>
      <c r="H753" s="31" t="s">
        <v>335</v>
      </c>
      <c r="AN753" s="91">
        <f t="shared" si="33"/>
        <v>76898.64</v>
      </c>
    </row>
    <row r="754" spans="1:40" ht="12" hidden="1" outlineLevel="3" x14ac:dyDescent="0.2">
      <c r="A754" s="73" t="s">
        <v>1179</v>
      </c>
      <c r="B754" s="71"/>
      <c r="C754" s="71"/>
      <c r="D754" s="72">
        <v>11832.66</v>
      </c>
      <c r="E754" s="71"/>
      <c r="F754" s="71"/>
      <c r="G754" s="71"/>
      <c r="H754" s="4" t="s">
        <v>55</v>
      </c>
      <c r="AN754" s="91">
        <f t="shared" ref="AN754:AP774" si="34">$D754</f>
        <v>11832.66</v>
      </c>
    </row>
    <row r="755" spans="1:40" ht="12" hidden="1" outlineLevel="3" x14ac:dyDescent="0.2">
      <c r="A755" s="73" t="s">
        <v>1169</v>
      </c>
      <c r="B755" s="71"/>
      <c r="C755" s="71"/>
      <c r="D755" s="72">
        <v>21294.61</v>
      </c>
      <c r="E755" s="71"/>
      <c r="F755" s="71"/>
      <c r="G755" s="71"/>
      <c r="H755" s="4" t="s">
        <v>128</v>
      </c>
      <c r="AN755" s="91">
        <f t="shared" si="34"/>
        <v>21294.61</v>
      </c>
    </row>
    <row r="756" spans="1:40" ht="12" hidden="1" outlineLevel="3" x14ac:dyDescent="0.2">
      <c r="A756" s="73" t="s">
        <v>951</v>
      </c>
      <c r="B756" s="71"/>
      <c r="C756" s="71"/>
      <c r="D756" s="72">
        <v>57134.87</v>
      </c>
      <c r="E756" s="71"/>
      <c r="F756" s="71"/>
      <c r="G756" s="71"/>
      <c r="H756" s="4" t="s">
        <v>79</v>
      </c>
      <c r="AN756" s="91">
        <f t="shared" si="34"/>
        <v>57134.87</v>
      </c>
    </row>
    <row r="757" spans="1:40" ht="12" hidden="1" outlineLevel="3" x14ac:dyDescent="0.2">
      <c r="A757" s="73" t="s">
        <v>1164</v>
      </c>
      <c r="B757" s="71"/>
      <c r="C757" s="71"/>
      <c r="D757" s="72">
        <v>6278.43</v>
      </c>
      <c r="E757" s="71"/>
      <c r="F757" s="71"/>
      <c r="G757" s="71"/>
      <c r="H757" s="4" t="s">
        <v>85</v>
      </c>
      <c r="AN757" s="91">
        <f t="shared" si="34"/>
        <v>6278.43</v>
      </c>
    </row>
    <row r="758" spans="1:40" ht="12" hidden="1" outlineLevel="3" x14ac:dyDescent="0.2">
      <c r="A758" s="73" t="s">
        <v>1163</v>
      </c>
      <c r="B758" s="71"/>
      <c r="C758" s="71"/>
      <c r="D758" s="72">
        <v>352176.84</v>
      </c>
      <c r="E758" s="71"/>
      <c r="F758" s="71"/>
      <c r="G758" s="71"/>
      <c r="H758" s="4" t="s">
        <v>101</v>
      </c>
      <c r="AN758" s="91">
        <f t="shared" si="34"/>
        <v>352176.84</v>
      </c>
    </row>
    <row r="759" spans="1:40" ht="12" hidden="1" outlineLevel="3" x14ac:dyDescent="0.2">
      <c r="A759" s="73" t="s">
        <v>1018</v>
      </c>
      <c r="B759" s="71"/>
      <c r="C759" s="71"/>
      <c r="D759" s="72">
        <v>223911.24</v>
      </c>
      <c r="E759" s="71"/>
      <c r="F759" s="71"/>
      <c r="G759" s="71"/>
      <c r="H759" s="4" t="s">
        <v>166</v>
      </c>
      <c r="AN759" s="91">
        <f t="shared" si="34"/>
        <v>223911.24</v>
      </c>
    </row>
    <row r="760" spans="1:40" ht="12" hidden="1" outlineLevel="3" x14ac:dyDescent="0.2">
      <c r="A760" s="73" t="s">
        <v>1005</v>
      </c>
      <c r="B760" s="71"/>
      <c r="C760" s="71"/>
      <c r="D760" s="72">
        <v>185626.52</v>
      </c>
      <c r="E760" s="71"/>
      <c r="F760" s="71"/>
      <c r="G760" s="71"/>
      <c r="H760" s="4" t="s">
        <v>69</v>
      </c>
      <c r="AN760" s="91">
        <f t="shared" si="34"/>
        <v>185626.52</v>
      </c>
    </row>
    <row r="761" spans="1:40" ht="12" hidden="1" outlineLevel="3" x14ac:dyDescent="0.2">
      <c r="A761" s="73" t="s">
        <v>1155</v>
      </c>
      <c r="B761" s="71"/>
      <c r="C761" s="71"/>
      <c r="D761" s="72">
        <v>157979.10999999999</v>
      </c>
      <c r="E761" s="71"/>
      <c r="F761" s="71"/>
      <c r="G761" s="71"/>
      <c r="H761" s="4" t="s">
        <v>208</v>
      </c>
      <c r="AN761" s="91">
        <f t="shared" si="34"/>
        <v>157979.10999999999</v>
      </c>
    </row>
    <row r="762" spans="1:40" ht="12" hidden="1" outlineLevel="3" x14ac:dyDescent="0.2">
      <c r="A762" s="73" t="s">
        <v>999</v>
      </c>
      <c r="B762" s="71"/>
      <c r="C762" s="71"/>
      <c r="D762" s="72">
        <v>30530.66</v>
      </c>
      <c r="E762" s="71"/>
      <c r="F762" s="71"/>
      <c r="G762" s="71"/>
      <c r="H762" s="4" t="s">
        <v>213</v>
      </c>
      <c r="AN762" s="91">
        <f t="shared" si="34"/>
        <v>30530.66</v>
      </c>
    </row>
    <row r="763" spans="1:40" ht="12" hidden="1" outlineLevel="3" x14ac:dyDescent="0.2">
      <c r="A763" s="73" t="s">
        <v>985</v>
      </c>
      <c r="B763" s="71"/>
      <c r="C763" s="71"/>
      <c r="D763" s="72">
        <v>32241.97</v>
      </c>
      <c r="E763" s="71"/>
      <c r="F763" s="71"/>
      <c r="G763" s="71"/>
      <c r="H763" s="4" t="s">
        <v>185</v>
      </c>
      <c r="AN763" s="91">
        <f t="shared" si="34"/>
        <v>32241.97</v>
      </c>
    </row>
    <row r="764" spans="1:40" ht="12" hidden="1" outlineLevel="3" x14ac:dyDescent="0.2">
      <c r="A764" s="73" t="s">
        <v>1146</v>
      </c>
      <c r="B764" s="71"/>
      <c r="C764" s="71"/>
      <c r="D764" s="72">
        <v>17159.580000000002</v>
      </c>
      <c r="E764" s="71"/>
      <c r="F764" s="71"/>
      <c r="G764" s="71"/>
      <c r="H764" s="4" t="s">
        <v>225</v>
      </c>
      <c r="AN764" s="91">
        <f t="shared" si="34"/>
        <v>17159.580000000002</v>
      </c>
    </row>
    <row r="765" spans="1:40" ht="12" hidden="1" outlineLevel="3" x14ac:dyDescent="0.2">
      <c r="A765" s="73" t="s">
        <v>1143</v>
      </c>
      <c r="B765" s="71"/>
      <c r="C765" s="71"/>
      <c r="D765" s="72">
        <v>4273.55</v>
      </c>
      <c r="E765" s="71"/>
      <c r="F765" s="71"/>
      <c r="G765" s="71"/>
      <c r="H765" s="4" t="s">
        <v>229</v>
      </c>
      <c r="AN765" s="91">
        <f t="shared" si="34"/>
        <v>4273.55</v>
      </c>
    </row>
    <row r="766" spans="1:40" ht="12" hidden="1" outlineLevel="3" x14ac:dyDescent="0.2">
      <c r="A766" s="73" t="s">
        <v>938</v>
      </c>
      <c r="B766" s="71"/>
      <c r="C766" s="71"/>
      <c r="D766" s="72">
        <v>24984.13</v>
      </c>
      <c r="E766" s="71"/>
      <c r="F766" s="71"/>
      <c r="G766" s="71"/>
      <c r="H766" s="4" t="s">
        <v>233</v>
      </c>
      <c r="AN766" s="91">
        <f t="shared" si="34"/>
        <v>24984.13</v>
      </c>
    </row>
    <row r="767" spans="1:40" ht="12" hidden="1" outlineLevel="3" x14ac:dyDescent="0.2">
      <c r="A767" s="73" t="s">
        <v>1131</v>
      </c>
      <c r="B767" s="71"/>
      <c r="C767" s="71"/>
      <c r="D767" s="72">
        <v>6578.1</v>
      </c>
      <c r="E767" s="71"/>
      <c r="F767" s="71"/>
      <c r="G767" s="71"/>
      <c r="H767" s="4" t="s">
        <v>248</v>
      </c>
      <c r="AN767" s="91">
        <f t="shared" si="34"/>
        <v>6578.1</v>
      </c>
    </row>
    <row r="768" spans="1:40" ht="12" hidden="1" outlineLevel="3" x14ac:dyDescent="0.2">
      <c r="A768" s="73" t="s">
        <v>1129</v>
      </c>
      <c r="B768" s="71"/>
      <c r="C768" s="71"/>
      <c r="D768" s="72">
        <v>14275.58</v>
      </c>
      <c r="E768" s="71"/>
      <c r="F768" s="71"/>
      <c r="G768" s="71"/>
      <c r="H768" s="4" t="s">
        <v>251</v>
      </c>
      <c r="AN768" s="91">
        <f t="shared" si="34"/>
        <v>14275.58</v>
      </c>
    </row>
    <row r="769" spans="1:42" ht="12" hidden="1" outlineLevel="3" x14ac:dyDescent="0.2">
      <c r="A769" s="73" t="s">
        <v>1126</v>
      </c>
      <c r="B769" s="71"/>
      <c r="C769" s="71"/>
      <c r="D769" s="72">
        <v>11501.12</v>
      </c>
      <c r="E769" s="71"/>
      <c r="F769" s="71"/>
      <c r="G769" s="71"/>
      <c r="H769" s="4" t="s">
        <v>254</v>
      </c>
      <c r="AN769" s="91">
        <f t="shared" si="34"/>
        <v>11501.12</v>
      </c>
    </row>
    <row r="770" spans="1:42" ht="12" outlineLevel="2" collapsed="1" x14ac:dyDescent="0.2">
      <c r="A770" s="74" t="s">
        <v>1227</v>
      </c>
      <c r="B770" s="71"/>
      <c r="C770" s="71"/>
      <c r="D770" s="72">
        <v>212407.44</v>
      </c>
      <c r="E770" s="71"/>
      <c r="F770" s="71"/>
      <c r="G770" s="71"/>
    </row>
    <row r="771" spans="1:42" ht="12" hidden="1" outlineLevel="3" x14ac:dyDescent="0.2">
      <c r="A771" s="73" t="s">
        <v>950</v>
      </c>
      <c r="B771" s="71"/>
      <c r="C771" s="71"/>
      <c r="D771" s="72">
        <v>116743.12</v>
      </c>
      <c r="E771" s="71"/>
      <c r="F771" s="71"/>
      <c r="G771" s="71"/>
      <c r="H771" s="4" t="s">
        <v>84</v>
      </c>
      <c r="AO771" s="91">
        <f t="shared" si="34"/>
        <v>116743.12</v>
      </c>
    </row>
    <row r="772" spans="1:42" ht="12" hidden="1" outlineLevel="3" x14ac:dyDescent="0.2">
      <c r="A772" s="73" t="s">
        <v>985</v>
      </c>
      <c r="B772" s="71"/>
      <c r="C772" s="71"/>
      <c r="D772" s="72">
        <v>95664.320000000007</v>
      </c>
      <c r="E772" s="71"/>
      <c r="F772" s="71"/>
      <c r="G772" s="71"/>
      <c r="H772" s="4" t="s">
        <v>185</v>
      </c>
      <c r="AO772" s="91">
        <f t="shared" si="34"/>
        <v>95664.320000000007</v>
      </c>
    </row>
    <row r="773" spans="1:42" ht="12" outlineLevel="2" collapsed="1" x14ac:dyDescent="0.2">
      <c r="A773" s="74" t="s">
        <v>1226</v>
      </c>
      <c r="B773" s="71"/>
      <c r="C773" s="71"/>
      <c r="D773" s="72">
        <v>4489492.2699999996</v>
      </c>
      <c r="E773" s="71"/>
      <c r="F773" s="71"/>
      <c r="G773" s="71"/>
      <c r="H773" s="4"/>
    </row>
    <row r="774" spans="1:42" ht="12" hidden="1" outlineLevel="3" x14ac:dyDescent="0.2">
      <c r="A774" s="73" t="s">
        <v>1078</v>
      </c>
      <c r="B774" s="71"/>
      <c r="C774" s="71"/>
      <c r="D774" s="72">
        <v>38539.519999999997</v>
      </c>
      <c r="E774" s="71"/>
      <c r="F774" s="71"/>
      <c r="G774" s="71"/>
      <c r="H774" s="4" t="s">
        <v>58</v>
      </c>
      <c r="AP774" s="91">
        <f t="shared" si="34"/>
        <v>38539.519999999997</v>
      </c>
    </row>
    <row r="775" spans="1:42" ht="12" hidden="1" outlineLevel="3" x14ac:dyDescent="0.2">
      <c r="A775" s="73" t="s">
        <v>923</v>
      </c>
      <c r="B775" s="71"/>
      <c r="C775" s="71"/>
      <c r="D775" s="72">
        <v>310515.57</v>
      </c>
      <c r="E775" s="71"/>
      <c r="F775" s="71"/>
      <c r="G775" s="71"/>
      <c r="H775" s="31" t="s">
        <v>346</v>
      </c>
      <c r="AP775" s="91">
        <f t="shared" ref="AP775:AP794" si="35">$D775</f>
        <v>310515.57</v>
      </c>
    </row>
    <row r="776" spans="1:42" ht="12" hidden="1" outlineLevel="3" x14ac:dyDescent="0.2">
      <c r="A776" s="73" t="s">
        <v>1094</v>
      </c>
      <c r="B776" s="71"/>
      <c r="C776" s="71"/>
      <c r="D776" s="72">
        <v>37494.629999999997</v>
      </c>
      <c r="E776" s="71"/>
      <c r="F776" s="71"/>
      <c r="G776" s="71"/>
      <c r="H776" s="31" t="s">
        <v>338</v>
      </c>
      <c r="AP776" s="91">
        <f t="shared" si="35"/>
        <v>37494.629999999997</v>
      </c>
    </row>
    <row r="777" spans="1:42" ht="12" hidden="1" outlineLevel="3" x14ac:dyDescent="0.2">
      <c r="A777" s="73" t="s">
        <v>1178</v>
      </c>
      <c r="B777" s="71"/>
      <c r="C777" s="71"/>
      <c r="D777" s="72">
        <v>4476.43</v>
      </c>
      <c r="E777" s="71"/>
      <c r="F777" s="71"/>
      <c r="G777" s="71"/>
      <c r="H777" s="4" t="s">
        <v>56</v>
      </c>
      <c r="AP777" s="91">
        <f t="shared" si="35"/>
        <v>4476.43</v>
      </c>
    </row>
    <row r="778" spans="1:42" ht="12" hidden="1" outlineLevel="3" x14ac:dyDescent="0.2">
      <c r="A778" s="73" t="s">
        <v>1173</v>
      </c>
      <c r="B778" s="71"/>
      <c r="C778" s="71"/>
      <c r="D778" s="72">
        <v>1014793.53</v>
      </c>
      <c r="E778" s="71"/>
      <c r="F778" s="71"/>
      <c r="G778" s="71"/>
      <c r="H778" s="4" t="s">
        <v>132</v>
      </c>
      <c r="AP778" s="91">
        <f t="shared" si="35"/>
        <v>1014793.53</v>
      </c>
    </row>
    <row r="779" spans="1:42" ht="12" hidden="1" outlineLevel="3" x14ac:dyDescent="0.2">
      <c r="A779" s="73" t="s">
        <v>1056</v>
      </c>
      <c r="B779" s="71"/>
      <c r="C779" s="71"/>
      <c r="D779" s="72">
        <v>9645.94</v>
      </c>
      <c r="E779" s="71"/>
      <c r="F779" s="71"/>
      <c r="G779" s="71"/>
      <c r="H779" s="4" t="s">
        <v>145</v>
      </c>
      <c r="AP779" s="91">
        <f t="shared" si="35"/>
        <v>9645.94</v>
      </c>
    </row>
    <row r="780" spans="1:42" ht="12" hidden="1" outlineLevel="3" x14ac:dyDescent="0.2">
      <c r="A780" s="73" t="s">
        <v>1165</v>
      </c>
      <c r="B780" s="71"/>
      <c r="C780" s="71"/>
      <c r="D780" s="72">
        <v>168900.28</v>
      </c>
      <c r="E780" s="71"/>
      <c r="F780" s="71"/>
      <c r="G780" s="71"/>
      <c r="H780" s="4" t="s">
        <v>89</v>
      </c>
      <c r="AP780" s="91">
        <f t="shared" si="35"/>
        <v>168900.28</v>
      </c>
    </row>
    <row r="781" spans="1:42" ht="12" hidden="1" outlineLevel="3" x14ac:dyDescent="0.2">
      <c r="A781" s="73" t="s">
        <v>1164</v>
      </c>
      <c r="B781" s="71"/>
      <c r="C781" s="71"/>
      <c r="D781" s="72">
        <v>167131.04</v>
      </c>
      <c r="E781" s="71"/>
      <c r="F781" s="71"/>
      <c r="G781" s="71"/>
      <c r="H781" s="4" t="s">
        <v>85</v>
      </c>
      <c r="AP781" s="91">
        <f t="shared" si="35"/>
        <v>167131.04</v>
      </c>
    </row>
    <row r="782" spans="1:42" ht="12" hidden="1" outlineLevel="3" x14ac:dyDescent="0.2">
      <c r="A782" s="73" t="s">
        <v>1163</v>
      </c>
      <c r="B782" s="71"/>
      <c r="C782" s="71"/>
      <c r="D782" s="72">
        <v>409416.99</v>
      </c>
      <c r="E782" s="71"/>
      <c r="F782" s="71"/>
      <c r="G782" s="71"/>
      <c r="H782" s="4" t="s">
        <v>101</v>
      </c>
      <c r="AP782" s="91">
        <f t="shared" si="35"/>
        <v>409416.99</v>
      </c>
    </row>
    <row r="783" spans="1:42" ht="12.75" hidden="1" outlineLevel="3" x14ac:dyDescent="0.2">
      <c r="A783" s="73" t="s">
        <v>1161</v>
      </c>
      <c r="B783" s="71"/>
      <c r="C783" s="71"/>
      <c r="D783" s="72">
        <v>143399.66</v>
      </c>
      <c r="E783" s="71"/>
      <c r="F783" s="71"/>
      <c r="G783" s="71"/>
      <c r="H783" s="17" t="s">
        <v>99</v>
      </c>
      <c r="AP783" s="91">
        <f t="shared" si="35"/>
        <v>143399.66</v>
      </c>
    </row>
    <row r="784" spans="1:42" ht="12" hidden="1" outlineLevel="3" x14ac:dyDescent="0.2">
      <c r="A784" s="73" t="s">
        <v>1017</v>
      </c>
      <c r="B784" s="71"/>
      <c r="C784" s="71"/>
      <c r="D784" s="72">
        <v>284573.68</v>
      </c>
      <c r="E784" s="71"/>
      <c r="F784" s="71"/>
      <c r="G784" s="71"/>
      <c r="H784" s="4" t="s">
        <v>167</v>
      </c>
      <c r="AP784" s="91">
        <f t="shared" si="35"/>
        <v>284573.68</v>
      </c>
    </row>
    <row r="785" spans="1:43" ht="12" hidden="1" outlineLevel="3" x14ac:dyDescent="0.2">
      <c r="A785" s="73" t="s">
        <v>943</v>
      </c>
      <c r="B785" s="71"/>
      <c r="C785" s="71"/>
      <c r="D785" s="72">
        <v>58548.94</v>
      </c>
      <c r="E785" s="71"/>
      <c r="F785" s="71"/>
      <c r="G785" s="71"/>
      <c r="H785" s="4" t="s">
        <v>217</v>
      </c>
      <c r="AP785" s="91">
        <f t="shared" si="35"/>
        <v>58548.94</v>
      </c>
    </row>
    <row r="786" spans="1:43" ht="12" hidden="1" outlineLevel="3" x14ac:dyDescent="0.2">
      <c r="A786" s="73" t="s">
        <v>1151</v>
      </c>
      <c r="B786" s="71"/>
      <c r="C786" s="71"/>
      <c r="D786" s="72">
        <v>20831.75</v>
      </c>
      <c r="E786" s="71"/>
      <c r="F786" s="71"/>
      <c r="G786" s="71"/>
      <c r="H786" s="4" t="s">
        <v>220</v>
      </c>
      <c r="AP786" s="91">
        <f t="shared" si="35"/>
        <v>20831.75</v>
      </c>
    </row>
    <row r="787" spans="1:43" ht="12" hidden="1" outlineLevel="3" x14ac:dyDescent="0.2">
      <c r="A787" s="73" t="s">
        <v>991</v>
      </c>
      <c r="B787" s="71"/>
      <c r="C787" s="71"/>
      <c r="D787" s="72">
        <v>194008.26</v>
      </c>
      <c r="E787" s="71"/>
      <c r="F787" s="71"/>
      <c r="G787" s="71"/>
      <c r="H787" s="4" t="s">
        <v>178</v>
      </c>
      <c r="AP787" s="91">
        <f t="shared" si="35"/>
        <v>194008.26</v>
      </c>
    </row>
    <row r="788" spans="1:43" ht="12" hidden="1" outlineLevel="3" x14ac:dyDescent="0.2">
      <c r="A788" s="73" t="s">
        <v>969</v>
      </c>
      <c r="B788" s="71"/>
      <c r="C788" s="71"/>
      <c r="D788" s="72">
        <v>106290.8</v>
      </c>
      <c r="E788" s="71"/>
      <c r="F788" s="71"/>
      <c r="G788" s="71"/>
      <c r="H788" s="4" t="s">
        <v>223</v>
      </c>
      <c r="AP788" s="91">
        <f t="shared" si="35"/>
        <v>106290.8</v>
      </c>
    </row>
    <row r="789" spans="1:43" ht="12" hidden="1" outlineLevel="3" x14ac:dyDescent="0.2">
      <c r="A789" s="73" t="s">
        <v>938</v>
      </c>
      <c r="B789" s="71"/>
      <c r="C789" s="71"/>
      <c r="D789" s="72">
        <v>699172.27</v>
      </c>
      <c r="E789" s="71"/>
      <c r="F789" s="71"/>
      <c r="G789" s="71"/>
      <c r="H789" s="4" t="s">
        <v>233</v>
      </c>
      <c r="AP789" s="91">
        <f t="shared" si="35"/>
        <v>699172.27</v>
      </c>
    </row>
    <row r="790" spans="1:43" ht="12" hidden="1" outlineLevel="3" x14ac:dyDescent="0.2">
      <c r="A790" s="73" t="s">
        <v>1137</v>
      </c>
      <c r="B790" s="71"/>
      <c r="C790" s="71"/>
      <c r="D790" s="72">
        <v>151878.63</v>
      </c>
      <c r="E790" s="71"/>
      <c r="F790" s="71"/>
      <c r="G790" s="71"/>
      <c r="H790" s="4" t="s">
        <v>242</v>
      </c>
      <c r="AP790" s="91">
        <f t="shared" si="35"/>
        <v>151878.63</v>
      </c>
    </row>
    <row r="791" spans="1:43" ht="12" hidden="1" outlineLevel="3" x14ac:dyDescent="0.2">
      <c r="A791" s="73" t="s">
        <v>1135</v>
      </c>
      <c r="B791" s="71"/>
      <c r="C791" s="71"/>
      <c r="D791" s="72">
        <v>375635.14</v>
      </c>
      <c r="E791" s="71"/>
      <c r="F791" s="71"/>
      <c r="G791" s="71"/>
      <c r="H791" s="4" t="s">
        <v>244</v>
      </c>
      <c r="AP791" s="91">
        <f t="shared" si="35"/>
        <v>375635.14</v>
      </c>
    </row>
    <row r="792" spans="1:43" ht="12" hidden="1" outlineLevel="3" x14ac:dyDescent="0.2">
      <c r="A792" s="73" t="s">
        <v>1125</v>
      </c>
      <c r="B792" s="71"/>
      <c r="C792" s="71"/>
      <c r="D792" s="72">
        <v>76455.17</v>
      </c>
      <c r="E792" s="71"/>
      <c r="F792" s="71"/>
      <c r="G792" s="71"/>
      <c r="H792" s="4" t="s">
        <v>255</v>
      </c>
      <c r="AP792" s="91">
        <f t="shared" si="35"/>
        <v>76455.17</v>
      </c>
    </row>
    <row r="793" spans="1:43" ht="12" hidden="1" outlineLevel="3" x14ac:dyDescent="0.2">
      <c r="A793" s="73" t="s">
        <v>965</v>
      </c>
      <c r="B793" s="71"/>
      <c r="C793" s="71"/>
      <c r="D793" s="72">
        <v>58995.4</v>
      </c>
      <c r="E793" s="71"/>
      <c r="F793" s="71"/>
      <c r="G793" s="71"/>
      <c r="H793" s="4" t="s">
        <v>256</v>
      </c>
      <c r="AP793" s="91">
        <f t="shared" si="35"/>
        <v>58995.4</v>
      </c>
    </row>
    <row r="794" spans="1:43" ht="12" hidden="1" outlineLevel="3" x14ac:dyDescent="0.2">
      <c r="A794" s="73" t="s">
        <v>1192</v>
      </c>
      <c r="B794" s="71"/>
      <c r="C794" s="71"/>
      <c r="D794" s="72">
        <v>158788.64000000001</v>
      </c>
      <c r="E794" s="71"/>
      <c r="F794" s="71"/>
      <c r="G794" s="71"/>
      <c r="H794" s="4" t="s">
        <v>273</v>
      </c>
      <c r="AP794" s="91">
        <f t="shared" si="35"/>
        <v>158788.64000000001</v>
      </c>
    </row>
    <row r="795" spans="1:43" ht="36" outlineLevel="2" collapsed="1" x14ac:dyDescent="0.2">
      <c r="A795" s="74" t="s">
        <v>1225</v>
      </c>
      <c r="B795" s="71"/>
      <c r="C795" s="71"/>
      <c r="D795" s="72">
        <v>134788846.62</v>
      </c>
      <c r="E795" s="71"/>
      <c r="F795" s="71"/>
      <c r="G795" s="71"/>
    </row>
    <row r="796" spans="1:43" ht="12" hidden="1" outlineLevel="3" x14ac:dyDescent="0.2">
      <c r="A796" s="73" t="s">
        <v>930</v>
      </c>
      <c r="B796" s="71"/>
      <c r="C796" s="71"/>
      <c r="D796" s="72">
        <v>34983653.280000001</v>
      </c>
      <c r="E796" s="71"/>
      <c r="F796" s="71"/>
      <c r="G796" s="71"/>
      <c r="H796" s="4"/>
      <c r="I796" s="243">
        <f t="shared" ref="I796" si="36">$D796</f>
        <v>34983653.280000001</v>
      </c>
      <c r="J796" s="91"/>
      <c r="K796" s="91"/>
    </row>
    <row r="797" spans="1:43" ht="12" hidden="1" outlineLevel="3" x14ac:dyDescent="0.2">
      <c r="A797" s="73" t="s">
        <v>1183</v>
      </c>
      <c r="B797" s="71"/>
      <c r="C797" s="71"/>
      <c r="D797" s="72">
        <v>1075193.3400000001</v>
      </c>
      <c r="E797" s="71"/>
      <c r="F797" s="71"/>
      <c r="G797" s="71"/>
      <c r="H797" s="4" t="s">
        <v>1332</v>
      </c>
      <c r="J797" s="91">
        <f t="shared" ref="I797:J798" si="37">$D797</f>
        <v>1075193.3400000001</v>
      </c>
      <c r="K797" s="91"/>
    </row>
    <row r="798" spans="1:43" ht="12" hidden="1" outlineLevel="3" x14ac:dyDescent="0.2">
      <c r="A798" s="73" t="s">
        <v>919</v>
      </c>
      <c r="B798" s="71"/>
      <c r="C798" s="71"/>
      <c r="D798" s="72">
        <v>98730000</v>
      </c>
      <c r="E798" s="71"/>
      <c r="F798" s="71"/>
      <c r="G798" s="71"/>
      <c r="I798" s="243">
        <f t="shared" si="37"/>
        <v>98730000</v>
      </c>
      <c r="J798" s="91"/>
      <c r="K798" s="91"/>
    </row>
    <row r="799" spans="1:43" ht="12" outlineLevel="2" collapsed="1" x14ac:dyDescent="0.2">
      <c r="A799" s="74" t="s">
        <v>1224</v>
      </c>
      <c r="B799" s="71"/>
      <c r="C799" s="71"/>
      <c r="D799" s="72">
        <v>132384.95999999999</v>
      </c>
      <c r="E799" s="71"/>
      <c r="F799" s="71"/>
      <c r="G799" s="71"/>
    </row>
    <row r="800" spans="1:43" ht="12" hidden="1" outlineLevel="3" x14ac:dyDescent="0.2">
      <c r="A800" s="73" t="s">
        <v>1059</v>
      </c>
      <c r="B800" s="71"/>
      <c r="C800" s="71"/>
      <c r="D800" s="72">
        <v>13622.06</v>
      </c>
      <c r="E800" s="71"/>
      <c r="F800" s="71"/>
      <c r="G800" s="71"/>
      <c r="H800" s="4" t="s">
        <v>142</v>
      </c>
      <c r="AQ800" s="91">
        <f t="shared" ref="AQ800:AR815" si="38">$D800</f>
        <v>13622.06</v>
      </c>
    </row>
    <row r="801" spans="1:44" ht="12" hidden="1" outlineLevel="3" x14ac:dyDescent="0.2">
      <c r="A801" s="73" t="s">
        <v>951</v>
      </c>
      <c r="B801" s="71"/>
      <c r="C801" s="71"/>
      <c r="D801" s="72">
        <v>3926.6</v>
      </c>
      <c r="E801" s="71"/>
      <c r="F801" s="71"/>
      <c r="G801" s="71"/>
      <c r="H801" s="4" t="s">
        <v>79</v>
      </c>
      <c r="AQ801" s="91">
        <f t="shared" si="38"/>
        <v>3926.6</v>
      </c>
    </row>
    <row r="802" spans="1:44" ht="12" hidden="1" outlineLevel="3" x14ac:dyDescent="0.2">
      <c r="A802" s="73" t="s">
        <v>1033</v>
      </c>
      <c r="B802" s="71"/>
      <c r="C802" s="71"/>
      <c r="D802" s="72">
        <v>57674.04</v>
      </c>
      <c r="E802" s="71"/>
      <c r="F802" s="71"/>
      <c r="G802" s="71"/>
      <c r="H802" s="4" t="s">
        <v>96</v>
      </c>
      <c r="AQ802" s="91">
        <f t="shared" si="38"/>
        <v>57674.04</v>
      </c>
    </row>
    <row r="803" spans="1:44" ht="12" hidden="1" outlineLevel="3" x14ac:dyDescent="0.2">
      <c r="A803" s="73" t="s">
        <v>1025</v>
      </c>
      <c r="B803" s="71"/>
      <c r="C803" s="71"/>
      <c r="D803" s="72">
        <v>4258.93</v>
      </c>
      <c r="E803" s="71"/>
      <c r="F803" s="71"/>
      <c r="G803" s="71"/>
      <c r="H803" s="4" t="s">
        <v>157</v>
      </c>
      <c r="AQ803" s="91">
        <f t="shared" si="38"/>
        <v>4258.93</v>
      </c>
    </row>
    <row r="804" spans="1:44" ht="12" hidden="1" outlineLevel="3" x14ac:dyDescent="0.2">
      <c r="A804" s="73" t="s">
        <v>972</v>
      </c>
      <c r="B804" s="71"/>
      <c r="C804" s="71"/>
      <c r="D804" s="72">
        <v>37275.410000000003</v>
      </c>
      <c r="E804" s="71"/>
      <c r="F804" s="71"/>
      <c r="G804" s="71"/>
      <c r="H804" s="4" t="s">
        <v>202</v>
      </c>
      <c r="AQ804" s="91">
        <f t="shared" si="38"/>
        <v>37275.410000000003</v>
      </c>
    </row>
    <row r="805" spans="1:44" ht="12" hidden="1" outlineLevel="3" x14ac:dyDescent="0.2">
      <c r="A805" s="73" t="s">
        <v>1130</v>
      </c>
      <c r="B805" s="71"/>
      <c r="C805" s="71"/>
      <c r="D805" s="72">
        <v>8336.0499999999993</v>
      </c>
      <c r="E805" s="71"/>
      <c r="F805" s="71"/>
      <c r="G805" s="71"/>
      <c r="H805" s="4" t="s">
        <v>249</v>
      </c>
      <c r="AQ805" s="91">
        <f t="shared" si="38"/>
        <v>8336.0499999999993</v>
      </c>
    </row>
    <row r="806" spans="1:44" ht="12" hidden="1" outlineLevel="3" x14ac:dyDescent="0.2">
      <c r="A806" s="73" t="s">
        <v>966</v>
      </c>
      <c r="B806" s="71"/>
      <c r="C806" s="71"/>
      <c r="D806" s="72">
        <v>3967.75</v>
      </c>
      <c r="E806" s="71"/>
      <c r="F806" s="71"/>
      <c r="G806" s="71"/>
      <c r="H806" s="4" t="s">
        <v>250</v>
      </c>
      <c r="AQ806" s="91">
        <f t="shared" si="38"/>
        <v>3967.75</v>
      </c>
    </row>
    <row r="807" spans="1:44" ht="12" hidden="1" outlineLevel="3" x14ac:dyDescent="0.2">
      <c r="A807" s="73" t="s">
        <v>1129</v>
      </c>
      <c r="B807" s="71"/>
      <c r="C807" s="71"/>
      <c r="D807" s="72">
        <v>3324.12</v>
      </c>
      <c r="E807" s="71"/>
      <c r="F807" s="71"/>
      <c r="G807" s="71"/>
      <c r="H807" s="4" t="s">
        <v>251</v>
      </c>
      <c r="AQ807" s="91">
        <f t="shared" si="38"/>
        <v>3324.12</v>
      </c>
    </row>
    <row r="808" spans="1:44" ht="24" outlineLevel="2" collapsed="1" x14ac:dyDescent="0.2">
      <c r="A808" s="74" t="s">
        <v>1223</v>
      </c>
      <c r="B808" s="71"/>
      <c r="C808" s="71"/>
      <c r="D808" s="72">
        <v>2771282.66</v>
      </c>
      <c r="E808" s="71"/>
      <c r="F808" s="71"/>
      <c r="G808" s="71"/>
    </row>
    <row r="809" spans="1:44" ht="12" hidden="1" outlineLevel="3" x14ac:dyDescent="0.2">
      <c r="A809" s="73" t="s">
        <v>1194</v>
      </c>
      <c r="B809" s="71"/>
      <c r="C809" s="71"/>
      <c r="D809" s="72">
        <v>94350.57</v>
      </c>
      <c r="E809" s="71"/>
      <c r="F809" s="71"/>
      <c r="G809" s="71"/>
      <c r="H809" s="4" t="s">
        <v>880</v>
      </c>
      <c r="AR809" s="91">
        <f t="shared" si="38"/>
        <v>94350.57</v>
      </c>
    </row>
    <row r="810" spans="1:44" ht="12" hidden="1" outlineLevel="3" x14ac:dyDescent="0.2">
      <c r="A810" s="73" t="s">
        <v>1222</v>
      </c>
      <c r="B810" s="71"/>
      <c r="C810" s="71"/>
      <c r="D810" s="72">
        <v>173421.46</v>
      </c>
      <c r="E810" s="71"/>
      <c r="F810" s="71"/>
      <c r="G810" s="71"/>
      <c r="H810" s="4" t="s">
        <v>73</v>
      </c>
      <c r="AR810" s="91">
        <f t="shared" si="38"/>
        <v>173421.46</v>
      </c>
    </row>
    <row r="811" spans="1:44" ht="12" hidden="1" outlineLevel="3" x14ac:dyDescent="0.2">
      <c r="A811" s="73" t="s">
        <v>1221</v>
      </c>
      <c r="B811" s="71"/>
      <c r="C811" s="71"/>
      <c r="D811" s="72">
        <v>42296.5</v>
      </c>
      <c r="E811" s="71"/>
      <c r="F811" s="71"/>
      <c r="G811" s="71"/>
      <c r="H811" s="4" t="s">
        <v>78</v>
      </c>
      <c r="AR811" s="91">
        <f t="shared" si="38"/>
        <v>42296.5</v>
      </c>
    </row>
    <row r="812" spans="1:44" ht="12" hidden="1" outlineLevel="3" x14ac:dyDescent="0.2">
      <c r="A812" s="73" t="s">
        <v>1220</v>
      </c>
      <c r="B812" s="71"/>
      <c r="C812" s="71"/>
      <c r="D812" s="72">
        <v>107600.4</v>
      </c>
      <c r="E812" s="71"/>
      <c r="F812" s="71"/>
      <c r="G812" s="71"/>
      <c r="H812" s="4" t="s">
        <v>76</v>
      </c>
      <c r="AR812" s="91">
        <f t="shared" si="38"/>
        <v>107600.4</v>
      </c>
    </row>
    <row r="813" spans="1:44" ht="12" hidden="1" outlineLevel="3" x14ac:dyDescent="0.2">
      <c r="A813" s="73" t="s">
        <v>1219</v>
      </c>
      <c r="B813" s="71"/>
      <c r="C813" s="71"/>
      <c r="D813" s="72">
        <v>104347.75</v>
      </c>
      <c r="E813" s="71"/>
      <c r="F813" s="71"/>
      <c r="G813" s="71"/>
      <c r="H813" s="4" t="s">
        <v>77</v>
      </c>
      <c r="AR813" s="91">
        <f t="shared" si="38"/>
        <v>104347.75</v>
      </c>
    </row>
    <row r="814" spans="1:44" ht="12" hidden="1" outlineLevel="3" x14ac:dyDescent="0.2">
      <c r="A814" s="73" t="s">
        <v>951</v>
      </c>
      <c r="B814" s="71"/>
      <c r="C814" s="71"/>
      <c r="D814" s="72">
        <v>63423.76</v>
      </c>
      <c r="E814" s="71"/>
      <c r="F814" s="71"/>
      <c r="G814" s="71"/>
      <c r="H814" s="4" t="s">
        <v>79</v>
      </c>
      <c r="AR814" s="91">
        <f t="shared" si="38"/>
        <v>63423.76</v>
      </c>
    </row>
    <row r="815" spans="1:44" ht="12" hidden="1" outlineLevel="3" x14ac:dyDescent="0.2">
      <c r="A815" s="73" t="s">
        <v>1218</v>
      </c>
      <c r="B815" s="71"/>
      <c r="C815" s="71"/>
      <c r="D815" s="72">
        <v>82558.929999999993</v>
      </c>
      <c r="E815" s="71"/>
      <c r="F815" s="71"/>
      <c r="G815" s="71"/>
      <c r="H815" s="4" t="s">
        <v>80</v>
      </c>
      <c r="AR815" s="91">
        <f t="shared" si="38"/>
        <v>82558.929999999993</v>
      </c>
    </row>
    <row r="816" spans="1:44" ht="12" hidden="1" outlineLevel="3" x14ac:dyDescent="0.2">
      <c r="A816" s="73" t="s">
        <v>1217</v>
      </c>
      <c r="B816" s="71"/>
      <c r="C816" s="71"/>
      <c r="D816" s="72">
        <v>127970.46</v>
      </c>
      <c r="E816" s="71"/>
      <c r="F816" s="71"/>
      <c r="G816" s="71"/>
      <c r="H816" s="4" t="s">
        <v>83</v>
      </c>
      <c r="AR816" s="91">
        <f t="shared" ref="AR816:AR850" si="39">$D816</f>
        <v>127970.46</v>
      </c>
    </row>
    <row r="817" spans="1:44" ht="12" hidden="1" outlineLevel="3" x14ac:dyDescent="0.2">
      <c r="A817" s="73" t="s">
        <v>1216</v>
      </c>
      <c r="B817" s="71"/>
      <c r="C817" s="71"/>
      <c r="D817" s="72">
        <v>37609.65</v>
      </c>
      <c r="E817" s="71"/>
      <c r="F817" s="71"/>
      <c r="G817" s="71"/>
      <c r="H817" s="4" t="s">
        <v>1346</v>
      </c>
      <c r="AR817" s="91">
        <f t="shared" si="39"/>
        <v>37609.65</v>
      </c>
    </row>
    <row r="818" spans="1:44" ht="12" hidden="1" outlineLevel="3" x14ac:dyDescent="0.2">
      <c r="A818" s="73" t="s">
        <v>1215</v>
      </c>
      <c r="B818" s="71"/>
      <c r="C818" s="71"/>
      <c r="D818" s="72">
        <v>1329.75</v>
      </c>
      <c r="E818" s="71"/>
      <c r="F818" s="71"/>
      <c r="G818" s="71"/>
      <c r="H818" s="4" t="s">
        <v>1347</v>
      </c>
      <c r="AR818" s="91">
        <f t="shared" si="39"/>
        <v>1329.75</v>
      </c>
    </row>
    <row r="819" spans="1:44" ht="12" hidden="1" outlineLevel="3" x14ac:dyDescent="0.2">
      <c r="A819" s="73" t="s">
        <v>1037</v>
      </c>
      <c r="B819" s="71"/>
      <c r="C819" s="71"/>
      <c r="D819" s="72">
        <v>21235.96</v>
      </c>
      <c r="E819" s="71"/>
      <c r="F819" s="71"/>
      <c r="G819" s="71"/>
      <c r="H819" s="4" t="s">
        <v>93</v>
      </c>
      <c r="AR819" s="91">
        <f t="shared" si="39"/>
        <v>21235.96</v>
      </c>
    </row>
    <row r="820" spans="1:44" ht="12" hidden="1" outlineLevel="3" x14ac:dyDescent="0.2">
      <c r="A820" s="73" t="s">
        <v>1036</v>
      </c>
      <c r="B820" s="71"/>
      <c r="C820" s="71"/>
      <c r="D820" s="72">
        <v>12110.85</v>
      </c>
      <c r="E820" s="71"/>
      <c r="F820" s="71"/>
      <c r="G820" s="71"/>
      <c r="H820" s="4" t="s">
        <v>94</v>
      </c>
      <c r="AR820" s="91">
        <f t="shared" si="39"/>
        <v>12110.85</v>
      </c>
    </row>
    <row r="821" spans="1:44" ht="12" hidden="1" outlineLevel="3" x14ac:dyDescent="0.2">
      <c r="A821" s="73" t="s">
        <v>1035</v>
      </c>
      <c r="B821" s="71"/>
      <c r="C821" s="71"/>
      <c r="D821" s="72">
        <v>28871.83</v>
      </c>
      <c r="E821" s="71"/>
      <c r="F821" s="71"/>
      <c r="G821" s="71"/>
      <c r="H821" s="4" t="s">
        <v>95</v>
      </c>
      <c r="AR821" s="91">
        <f t="shared" si="39"/>
        <v>28871.83</v>
      </c>
    </row>
    <row r="822" spans="1:44" ht="12" hidden="1" outlineLevel="3" x14ac:dyDescent="0.2">
      <c r="A822" s="73" t="s">
        <v>1034</v>
      </c>
      <c r="B822" s="71"/>
      <c r="C822" s="71"/>
      <c r="D822" s="72">
        <v>22557.279999999999</v>
      </c>
      <c r="E822" s="71"/>
      <c r="F822" s="71"/>
      <c r="G822" s="71"/>
      <c r="H822" s="4" t="s">
        <v>91</v>
      </c>
      <c r="AR822" s="91">
        <f t="shared" si="39"/>
        <v>22557.279999999999</v>
      </c>
    </row>
    <row r="823" spans="1:44" ht="12" hidden="1" outlineLevel="3" x14ac:dyDescent="0.2">
      <c r="A823" s="73" t="s">
        <v>1033</v>
      </c>
      <c r="B823" s="71"/>
      <c r="C823" s="71"/>
      <c r="D823" s="72">
        <v>14522.55</v>
      </c>
      <c r="E823" s="71"/>
      <c r="F823" s="71"/>
      <c r="G823" s="71"/>
      <c r="H823" s="4" t="s">
        <v>96</v>
      </c>
      <c r="AR823" s="91">
        <f t="shared" si="39"/>
        <v>14522.55</v>
      </c>
    </row>
    <row r="824" spans="1:44" ht="12" hidden="1" outlineLevel="3" x14ac:dyDescent="0.2">
      <c r="A824" s="73" t="s">
        <v>1032</v>
      </c>
      <c r="B824" s="71"/>
      <c r="C824" s="71"/>
      <c r="D824" s="72">
        <v>25809.65</v>
      </c>
      <c r="E824" s="71"/>
      <c r="F824" s="71"/>
      <c r="G824" s="71"/>
      <c r="H824" s="4" t="s">
        <v>97</v>
      </c>
      <c r="AR824" s="91">
        <f t="shared" si="39"/>
        <v>25809.65</v>
      </c>
    </row>
    <row r="825" spans="1:44" ht="12" hidden="1" outlineLevel="3" x14ac:dyDescent="0.2">
      <c r="A825" s="73" t="s">
        <v>1031</v>
      </c>
      <c r="B825" s="71"/>
      <c r="C825" s="71"/>
      <c r="D825" s="72">
        <v>26478.18</v>
      </c>
      <c r="E825" s="71"/>
      <c r="F825" s="71"/>
      <c r="G825" s="71"/>
      <c r="H825" s="4" t="s">
        <v>98</v>
      </c>
      <c r="AR825" s="91">
        <f t="shared" si="39"/>
        <v>26478.18</v>
      </c>
    </row>
    <row r="826" spans="1:44" ht="12" hidden="1" outlineLevel="3" x14ac:dyDescent="0.2">
      <c r="A826" s="73" t="s">
        <v>1030</v>
      </c>
      <c r="B826" s="71"/>
      <c r="C826" s="71"/>
      <c r="D826" s="72">
        <v>12661.07</v>
      </c>
      <c r="E826" s="71"/>
      <c r="F826" s="71"/>
      <c r="G826" s="71"/>
      <c r="H826" s="4" t="s">
        <v>92</v>
      </c>
      <c r="AR826" s="91">
        <f t="shared" si="39"/>
        <v>12661.07</v>
      </c>
    </row>
    <row r="827" spans="1:44" ht="12" hidden="1" outlineLevel="3" x14ac:dyDescent="0.2">
      <c r="A827" s="73" t="s">
        <v>1007</v>
      </c>
      <c r="B827" s="71"/>
      <c r="C827" s="71"/>
      <c r="D827" s="72">
        <v>26608.97</v>
      </c>
      <c r="E827" s="71"/>
      <c r="F827" s="71"/>
      <c r="G827" s="71"/>
      <c r="H827" s="4" t="s">
        <v>103</v>
      </c>
      <c r="AR827" s="91">
        <f t="shared" si="39"/>
        <v>26608.97</v>
      </c>
    </row>
    <row r="828" spans="1:44" ht="12" hidden="1" outlineLevel="3" x14ac:dyDescent="0.2">
      <c r="A828" s="73" t="s">
        <v>1214</v>
      </c>
      <c r="B828" s="71"/>
      <c r="C828" s="71"/>
      <c r="D828" s="72">
        <v>124860.8</v>
      </c>
      <c r="E828" s="71"/>
      <c r="F828" s="71"/>
      <c r="G828" s="71"/>
      <c r="H828" s="4" t="s">
        <v>104</v>
      </c>
      <c r="AR828" s="91">
        <f t="shared" si="39"/>
        <v>124860.8</v>
      </c>
    </row>
    <row r="829" spans="1:44" ht="12" hidden="1" outlineLevel="3" x14ac:dyDescent="0.2">
      <c r="A829" s="73" t="s">
        <v>1006</v>
      </c>
      <c r="B829" s="71"/>
      <c r="C829" s="71"/>
      <c r="D829" s="72">
        <v>78069.06</v>
      </c>
      <c r="E829" s="71"/>
      <c r="F829" s="71"/>
      <c r="G829" s="71"/>
      <c r="H829" s="4" t="s">
        <v>105</v>
      </c>
      <c r="AR829" s="91">
        <f t="shared" si="39"/>
        <v>78069.06</v>
      </c>
    </row>
    <row r="830" spans="1:44" ht="12" hidden="1" outlineLevel="3" x14ac:dyDescent="0.2">
      <c r="A830" s="73" t="s">
        <v>1213</v>
      </c>
      <c r="B830" s="71"/>
      <c r="C830" s="71"/>
      <c r="D830" s="72">
        <v>72226.81</v>
      </c>
      <c r="E830" s="71"/>
      <c r="F830" s="71"/>
      <c r="G830" s="71"/>
      <c r="H830" s="4" t="s">
        <v>106</v>
      </c>
      <c r="AR830" s="91">
        <f t="shared" si="39"/>
        <v>72226.81</v>
      </c>
    </row>
    <row r="831" spans="1:44" ht="12" hidden="1" outlineLevel="3" x14ac:dyDescent="0.2">
      <c r="A831" s="73" t="s">
        <v>1193</v>
      </c>
      <c r="B831" s="71"/>
      <c r="C831" s="71"/>
      <c r="D831" s="72">
        <v>76071.240000000005</v>
      </c>
      <c r="E831" s="71"/>
      <c r="F831" s="71"/>
      <c r="G831" s="71"/>
      <c r="H831" s="4" t="s">
        <v>107</v>
      </c>
      <c r="AR831" s="91">
        <f t="shared" si="39"/>
        <v>76071.240000000005</v>
      </c>
    </row>
    <row r="832" spans="1:44" ht="12" hidden="1" outlineLevel="3" x14ac:dyDescent="0.2">
      <c r="A832" s="73" t="s">
        <v>1212</v>
      </c>
      <c r="B832" s="71"/>
      <c r="C832" s="71"/>
      <c r="D832" s="72">
        <v>185418.57</v>
      </c>
      <c r="E832" s="71"/>
      <c r="F832" s="71"/>
      <c r="G832" s="71"/>
      <c r="H832" s="4" t="s">
        <v>108</v>
      </c>
      <c r="AR832" s="91">
        <f t="shared" si="39"/>
        <v>185418.57</v>
      </c>
    </row>
    <row r="833" spans="1:44" ht="12" hidden="1" outlineLevel="3" x14ac:dyDescent="0.2">
      <c r="A833" s="73" t="s">
        <v>1211</v>
      </c>
      <c r="B833" s="71"/>
      <c r="C833" s="71"/>
      <c r="D833" s="72">
        <v>18689.43</v>
      </c>
      <c r="E833" s="71"/>
      <c r="F833" s="71"/>
      <c r="G833" s="71"/>
      <c r="H833" s="4" t="s">
        <v>266</v>
      </c>
      <c r="AR833" s="91">
        <f t="shared" si="39"/>
        <v>18689.43</v>
      </c>
    </row>
    <row r="834" spans="1:44" ht="12" hidden="1" outlineLevel="3" x14ac:dyDescent="0.2">
      <c r="A834" s="73" t="s">
        <v>1210</v>
      </c>
      <c r="B834" s="71"/>
      <c r="C834" s="71"/>
      <c r="D834" s="72">
        <v>76589.64</v>
      </c>
      <c r="E834" s="71"/>
      <c r="F834" s="71"/>
      <c r="G834" s="71"/>
      <c r="H834" s="4" t="s">
        <v>267</v>
      </c>
      <c r="AR834" s="91">
        <f t="shared" si="39"/>
        <v>76589.64</v>
      </c>
    </row>
    <row r="835" spans="1:44" ht="12" hidden="1" outlineLevel="3" x14ac:dyDescent="0.2">
      <c r="A835" s="73" t="s">
        <v>1209</v>
      </c>
      <c r="B835" s="71"/>
      <c r="C835" s="71"/>
      <c r="D835" s="72">
        <v>3527.06</v>
      </c>
      <c r="E835" s="71"/>
      <c r="F835" s="71"/>
      <c r="G835" s="71"/>
      <c r="H835" s="4" t="s">
        <v>268</v>
      </c>
      <c r="AR835" s="91">
        <f t="shared" si="39"/>
        <v>3527.06</v>
      </c>
    </row>
    <row r="836" spans="1:44" ht="12" hidden="1" outlineLevel="3" x14ac:dyDescent="0.2">
      <c r="A836" s="73" t="s">
        <v>1208</v>
      </c>
      <c r="B836" s="71"/>
      <c r="C836" s="71"/>
      <c r="D836" s="72">
        <v>13820.84</v>
      </c>
      <c r="E836" s="71"/>
      <c r="F836" s="71"/>
      <c r="G836" s="71"/>
      <c r="H836" s="4" t="s">
        <v>260</v>
      </c>
      <c r="AR836" s="91">
        <f t="shared" si="39"/>
        <v>13820.84</v>
      </c>
    </row>
    <row r="837" spans="1:44" ht="12" hidden="1" outlineLevel="3" x14ac:dyDescent="0.2">
      <c r="A837" s="73" t="s">
        <v>1207</v>
      </c>
      <c r="B837" s="71"/>
      <c r="C837" s="71"/>
      <c r="D837" s="72">
        <v>47297.46</v>
      </c>
      <c r="E837" s="71"/>
      <c r="F837" s="71"/>
      <c r="G837" s="71"/>
      <c r="H837" s="4" t="s">
        <v>261</v>
      </c>
      <c r="AR837" s="91">
        <f t="shared" si="39"/>
        <v>47297.46</v>
      </c>
    </row>
    <row r="838" spans="1:44" ht="12" hidden="1" outlineLevel="3" x14ac:dyDescent="0.2">
      <c r="A838" s="73" t="s">
        <v>1206</v>
      </c>
      <c r="B838" s="71"/>
      <c r="C838" s="71"/>
      <c r="D838" s="72">
        <v>6907.79</v>
      </c>
      <c r="E838" s="71"/>
      <c r="F838" s="71"/>
      <c r="G838" s="71"/>
      <c r="H838" s="4" t="s">
        <v>262</v>
      </c>
      <c r="AR838" s="91">
        <f t="shared" si="39"/>
        <v>6907.79</v>
      </c>
    </row>
    <row r="839" spans="1:44" ht="12" hidden="1" outlineLevel="3" x14ac:dyDescent="0.2">
      <c r="A839" s="73" t="s">
        <v>1205</v>
      </c>
      <c r="B839" s="71"/>
      <c r="C839" s="71"/>
      <c r="D839" s="72">
        <v>16363.04</v>
      </c>
      <c r="E839" s="71"/>
      <c r="F839" s="71"/>
      <c r="G839" s="71"/>
      <c r="H839" s="4" t="s">
        <v>263</v>
      </c>
      <c r="AR839" s="91">
        <f t="shared" si="39"/>
        <v>16363.04</v>
      </c>
    </row>
    <row r="840" spans="1:44" ht="12" hidden="1" outlineLevel="3" x14ac:dyDescent="0.2">
      <c r="A840" s="73" t="s">
        <v>1204</v>
      </c>
      <c r="B840" s="71"/>
      <c r="C840" s="71"/>
      <c r="D840" s="72">
        <v>8325.0499999999993</v>
      </c>
      <c r="E840" s="71"/>
      <c r="F840" s="71"/>
      <c r="G840" s="71"/>
      <c r="H840" s="4" t="s">
        <v>264</v>
      </c>
      <c r="AR840" s="91">
        <f t="shared" si="39"/>
        <v>8325.0499999999993</v>
      </c>
    </row>
    <row r="841" spans="1:44" ht="12" hidden="1" outlineLevel="3" x14ac:dyDescent="0.2">
      <c r="A841" s="73" t="s">
        <v>1203</v>
      </c>
      <c r="B841" s="71"/>
      <c r="C841" s="71"/>
      <c r="D841" s="72">
        <v>186865.97</v>
      </c>
      <c r="E841" s="71"/>
      <c r="F841" s="71"/>
      <c r="G841" s="71"/>
      <c r="H841" s="4" t="s">
        <v>265</v>
      </c>
      <c r="AR841" s="91">
        <f t="shared" si="39"/>
        <v>186865.97</v>
      </c>
    </row>
    <row r="842" spans="1:44" ht="12" hidden="1" outlineLevel="3" x14ac:dyDescent="0.2">
      <c r="A842" s="73" t="s">
        <v>1202</v>
      </c>
      <c r="B842" s="71"/>
      <c r="C842" s="71"/>
      <c r="D842" s="72">
        <v>14060.46</v>
      </c>
      <c r="E842" s="71"/>
      <c r="F842" s="71"/>
      <c r="G842" s="71"/>
      <c r="H842" s="4" t="s">
        <v>269</v>
      </c>
      <c r="AR842" s="91">
        <f t="shared" si="39"/>
        <v>14060.46</v>
      </c>
    </row>
    <row r="843" spans="1:44" ht="12" hidden="1" outlineLevel="3" x14ac:dyDescent="0.2">
      <c r="A843" s="73" t="s">
        <v>1201</v>
      </c>
      <c r="B843" s="71"/>
      <c r="C843" s="71"/>
      <c r="D843" s="72">
        <v>22455.18</v>
      </c>
      <c r="E843" s="71"/>
      <c r="F843" s="71"/>
      <c r="G843" s="71"/>
      <c r="H843" s="4" t="s">
        <v>270</v>
      </c>
      <c r="AR843" s="91">
        <f t="shared" si="39"/>
        <v>22455.18</v>
      </c>
    </row>
    <row r="844" spans="1:44" ht="12" hidden="1" outlineLevel="3" x14ac:dyDescent="0.2">
      <c r="A844" s="73" t="s">
        <v>1200</v>
      </c>
      <c r="B844" s="71"/>
      <c r="C844" s="71"/>
      <c r="D844" s="72">
        <v>114410.17</v>
      </c>
      <c r="E844" s="71"/>
      <c r="F844" s="71"/>
      <c r="G844" s="71"/>
      <c r="H844" s="4" t="s">
        <v>272</v>
      </c>
      <c r="AR844" s="91">
        <f t="shared" si="39"/>
        <v>114410.17</v>
      </c>
    </row>
    <row r="845" spans="1:44" ht="12" hidden="1" outlineLevel="3" x14ac:dyDescent="0.2">
      <c r="A845" s="73" t="s">
        <v>1192</v>
      </c>
      <c r="B845" s="71"/>
      <c r="C845" s="71"/>
      <c r="D845" s="72">
        <v>150983.84</v>
      </c>
      <c r="E845" s="71"/>
      <c r="F845" s="71"/>
      <c r="G845" s="71"/>
      <c r="H845" s="4" t="s">
        <v>273</v>
      </c>
      <c r="AR845" s="91">
        <f t="shared" si="39"/>
        <v>150983.84</v>
      </c>
    </row>
    <row r="846" spans="1:44" ht="12" hidden="1" outlineLevel="3" x14ac:dyDescent="0.2">
      <c r="A846" s="94" t="s">
        <v>1199</v>
      </c>
      <c r="B846" s="71"/>
      <c r="C846" s="71"/>
      <c r="D846" s="72">
        <v>6080.32</v>
      </c>
      <c r="E846" s="71"/>
      <c r="F846" s="71"/>
      <c r="G846" s="71"/>
      <c r="AR846" s="91">
        <f t="shared" si="39"/>
        <v>6080.32</v>
      </c>
    </row>
    <row r="847" spans="1:44" ht="12" hidden="1" outlineLevel="3" x14ac:dyDescent="0.2">
      <c r="A847" s="73" t="s">
        <v>964</v>
      </c>
      <c r="B847" s="71"/>
      <c r="C847" s="71"/>
      <c r="D847" s="72">
        <v>103571.79</v>
      </c>
      <c r="E847" s="71"/>
      <c r="F847" s="71"/>
      <c r="G847" s="71"/>
      <c r="H847" s="4" t="s">
        <v>274</v>
      </c>
      <c r="AR847" s="91">
        <f t="shared" si="39"/>
        <v>103571.79</v>
      </c>
    </row>
    <row r="848" spans="1:44" ht="12" hidden="1" outlineLevel="3" x14ac:dyDescent="0.2">
      <c r="A848" s="73" t="s">
        <v>1198</v>
      </c>
      <c r="B848" s="71"/>
      <c r="C848" s="71"/>
      <c r="D848" s="72">
        <v>63141.87</v>
      </c>
      <c r="E848" s="71"/>
      <c r="F848" s="71"/>
      <c r="G848" s="71"/>
      <c r="H848" s="4" t="s">
        <v>275</v>
      </c>
      <c r="AR848" s="91">
        <f t="shared" si="39"/>
        <v>63141.87</v>
      </c>
    </row>
    <row r="849" spans="1:44" ht="12" hidden="1" outlineLevel="3" x14ac:dyDescent="0.2">
      <c r="A849" s="73" t="s">
        <v>1197</v>
      </c>
      <c r="B849" s="71"/>
      <c r="C849" s="71"/>
      <c r="D849" s="72">
        <v>34413.97</v>
      </c>
      <c r="E849" s="71"/>
      <c r="F849" s="71"/>
      <c r="G849" s="71"/>
      <c r="H849" s="4" t="s">
        <v>276</v>
      </c>
      <c r="AR849" s="91">
        <f t="shared" si="39"/>
        <v>34413.97</v>
      </c>
    </row>
    <row r="850" spans="1:44" ht="12" hidden="1" outlineLevel="3" x14ac:dyDescent="0.2">
      <c r="A850" s="73" t="s">
        <v>1196</v>
      </c>
      <c r="B850" s="71"/>
      <c r="C850" s="71"/>
      <c r="D850" s="72">
        <v>321366.73</v>
      </c>
      <c r="E850" s="71"/>
      <c r="F850" s="71"/>
      <c r="G850" s="71"/>
      <c r="H850" s="4" t="s">
        <v>271</v>
      </c>
      <c r="AR850" s="91">
        <f t="shared" si="39"/>
        <v>321366.73</v>
      </c>
    </row>
    <row r="851" spans="1:44" ht="24" outlineLevel="2" collapsed="1" x14ac:dyDescent="0.2">
      <c r="A851" s="74" t="s">
        <v>1195</v>
      </c>
      <c r="B851" s="71"/>
      <c r="C851" s="71"/>
      <c r="D851" s="72">
        <v>33000</v>
      </c>
      <c r="E851" s="71"/>
      <c r="F851" s="71"/>
      <c r="G851" s="71"/>
    </row>
    <row r="852" spans="1:44" ht="12" hidden="1" outlineLevel="3" x14ac:dyDescent="0.2">
      <c r="A852" s="73" t="s">
        <v>930</v>
      </c>
      <c r="B852" s="71"/>
      <c r="C852" s="71"/>
      <c r="D852" s="72">
        <v>10416.67</v>
      </c>
      <c r="E852" s="71"/>
      <c r="F852" s="71"/>
      <c r="G852" s="71"/>
      <c r="I852" s="243">
        <f t="shared" ref="I852" si="40">$D852</f>
        <v>10416.67</v>
      </c>
    </row>
    <row r="853" spans="1:44" ht="12" hidden="1" outlineLevel="3" x14ac:dyDescent="0.2">
      <c r="A853" s="73" t="s">
        <v>1108</v>
      </c>
      <c r="B853" s="71"/>
      <c r="C853" s="71"/>
      <c r="D853" s="72">
        <v>2916.67</v>
      </c>
      <c r="E853" s="71"/>
      <c r="F853" s="71"/>
      <c r="G853" s="71"/>
      <c r="H853" s="31" t="s">
        <v>320</v>
      </c>
      <c r="AR853" s="91">
        <f t="shared" ref="I853:AS870" si="41">$D853</f>
        <v>2916.67</v>
      </c>
    </row>
    <row r="854" spans="1:44" ht="12" hidden="1" outlineLevel="3" x14ac:dyDescent="0.2">
      <c r="A854" s="73" t="s">
        <v>919</v>
      </c>
      <c r="B854" s="71"/>
      <c r="C854" s="71"/>
      <c r="D854" s="72">
        <v>4666.67</v>
      </c>
      <c r="E854" s="71"/>
      <c r="F854" s="71"/>
      <c r="G854" s="71"/>
      <c r="I854" s="243">
        <f t="shared" ref="I854" si="42">$D854</f>
        <v>4666.67</v>
      </c>
      <c r="AR854" s="91">
        <f t="shared" si="41"/>
        <v>4666.67</v>
      </c>
    </row>
    <row r="855" spans="1:44" ht="12" hidden="1" outlineLevel="3" x14ac:dyDescent="0.2">
      <c r="A855" s="73" t="s">
        <v>1194</v>
      </c>
      <c r="B855" s="71"/>
      <c r="C855" s="71"/>
      <c r="D855" s="72">
        <v>5833.33</v>
      </c>
      <c r="E855" s="71"/>
      <c r="F855" s="71"/>
      <c r="G855" s="71"/>
      <c r="H855" s="4" t="s">
        <v>880</v>
      </c>
      <c r="AR855" s="91">
        <f t="shared" si="41"/>
        <v>5833.33</v>
      </c>
    </row>
    <row r="856" spans="1:44" ht="12" hidden="1" outlineLevel="3" x14ac:dyDescent="0.2">
      <c r="A856" s="73" t="s">
        <v>1193</v>
      </c>
      <c r="B856" s="71"/>
      <c r="C856" s="71"/>
      <c r="D856" s="72">
        <v>5333.33</v>
      </c>
      <c r="E856" s="71"/>
      <c r="F856" s="71"/>
      <c r="G856" s="71"/>
      <c r="H856" s="4" t="s">
        <v>107</v>
      </c>
      <c r="AR856" s="91">
        <f t="shared" si="41"/>
        <v>5333.33</v>
      </c>
    </row>
    <row r="857" spans="1:44" ht="12" hidden="1" outlineLevel="3" x14ac:dyDescent="0.2">
      <c r="A857" s="73" t="s">
        <v>1192</v>
      </c>
      <c r="B857" s="71"/>
      <c r="C857" s="71"/>
      <c r="D857" s="72">
        <v>3833.33</v>
      </c>
      <c r="E857" s="71"/>
      <c r="F857" s="71"/>
      <c r="G857" s="71"/>
      <c r="H857" s="4" t="s">
        <v>273</v>
      </c>
      <c r="AR857" s="91">
        <f t="shared" si="41"/>
        <v>3833.33</v>
      </c>
    </row>
    <row r="858" spans="1:44" ht="12" outlineLevel="2" collapsed="1" x14ac:dyDescent="0.2">
      <c r="A858" s="74" t="s">
        <v>1191</v>
      </c>
      <c r="B858" s="71"/>
      <c r="C858" s="71"/>
      <c r="D858" s="72">
        <v>442481.37</v>
      </c>
      <c r="E858" s="71"/>
      <c r="F858" s="71"/>
      <c r="G858" s="71"/>
    </row>
    <row r="859" spans="1:44" ht="12" hidden="1" outlineLevel="3" x14ac:dyDescent="0.2">
      <c r="A859" s="73" t="s">
        <v>921</v>
      </c>
      <c r="B859" s="71"/>
      <c r="C859" s="71"/>
      <c r="D859" s="72">
        <v>442481.37</v>
      </c>
      <c r="E859" s="71"/>
      <c r="F859" s="71"/>
      <c r="G859" s="71"/>
      <c r="I859" s="243">
        <f t="shared" si="41"/>
        <v>442481.37</v>
      </c>
    </row>
    <row r="860" spans="1:44" ht="12" outlineLevel="2" collapsed="1" x14ac:dyDescent="0.2">
      <c r="A860" s="74" t="s">
        <v>1190</v>
      </c>
      <c r="B860" s="71"/>
      <c r="C860" s="71"/>
      <c r="D860" s="72">
        <v>3440339.65</v>
      </c>
      <c r="E860" s="71"/>
      <c r="F860" s="71"/>
      <c r="G860" s="71"/>
    </row>
    <row r="861" spans="1:44" ht="12" hidden="1" outlineLevel="3" x14ac:dyDescent="0.2">
      <c r="A861" s="73" t="s">
        <v>921</v>
      </c>
      <c r="B861" s="71"/>
      <c r="C861" s="71"/>
      <c r="D861" s="72">
        <v>1460893.62</v>
      </c>
      <c r="E861" s="71"/>
      <c r="F861" s="71"/>
      <c r="G861" s="71"/>
      <c r="I861" s="243">
        <f t="shared" si="41"/>
        <v>1460893.62</v>
      </c>
    </row>
    <row r="862" spans="1:44" ht="12" hidden="1" outlineLevel="3" x14ac:dyDescent="0.2">
      <c r="A862" s="73" t="s">
        <v>930</v>
      </c>
      <c r="B862" s="71"/>
      <c r="C862" s="71"/>
      <c r="D862" s="72">
        <v>98750</v>
      </c>
      <c r="E862" s="71"/>
      <c r="F862" s="71"/>
      <c r="G862" s="71"/>
      <c r="I862" s="243">
        <f t="shared" si="41"/>
        <v>98750</v>
      </c>
    </row>
    <row r="863" spans="1:44" ht="12" hidden="1" outlineLevel="3" x14ac:dyDescent="0.2">
      <c r="A863" s="73" t="s">
        <v>919</v>
      </c>
      <c r="B863" s="71"/>
      <c r="C863" s="71"/>
      <c r="D863" s="72">
        <v>1880696.03</v>
      </c>
      <c r="E863" s="71"/>
      <c r="F863" s="71"/>
      <c r="G863" s="71"/>
      <c r="I863" s="243">
        <f t="shared" si="41"/>
        <v>1880696.03</v>
      </c>
    </row>
    <row r="864" spans="1:44" ht="12" outlineLevel="2" collapsed="1" x14ac:dyDescent="0.2">
      <c r="A864" s="74" t="s">
        <v>1189</v>
      </c>
      <c r="B864" s="71"/>
      <c r="C864" s="71"/>
      <c r="D864" s="72">
        <v>247127.35</v>
      </c>
      <c r="E864" s="71"/>
      <c r="F864" s="71"/>
      <c r="G864" s="71"/>
    </row>
    <row r="865" spans="1:45" ht="12" hidden="1" outlineLevel="3" x14ac:dyDescent="0.2">
      <c r="A865" s="73" t="s">
        <v>921</v>
      </c>
      <c r="B865" s="71"/>
      <c r="C865" s="71"/>
      <c r="D865" s="72">
        <v>247127.35</v>
      </c>
      <c r="E865" s="71"/>
      <c r="F865" s="71"/>
      <c r="G865" s="71"/>
      <c r="I865" s="243">
        <f t="shared" si="41"/>
        <v>247127.35</v>
      </c>
    </row>
    <row r="866" spans="1:45" ht="12" outlineLevel="2" collapsed="1" x14ac:dyDescent="0.2">
      <c r="A866" s="74" t="s">
        <v>1188</v>
      </c>
      <c r="B866" s="71"/>
      <c r="C866" s="71"/>
      <c r="D866" s="72">
        <v>449414.51</v>
      </c>
      <c r="E866" s="71"/>
      <c r="F866" s="71"/>
      <c r="G866" s="71"/>
    </row>
    <row r="867" spans="1:45" ht="12" hidden="1" outlineLevel="3" x14ac:dyDescent="0.2">
      <c r="A867" s="73" t="s">
        <v>921</v>
      </c>
      <c r="B867" s="71"/>
      <c r="C867" s="71"/>
      <c r="D867" s="72">
        <v>449414.51</v>
      </c>
      <c r="E867" s="71"/>
      <c r="F867" s="71"/>
      <c r="G867" s="71"/>
      <c r="I867" s="243">
        <f t="shared" si="41"/>
        <v>449414.51</v>
      </c>
    </row>
    <row r="868" spans="1:45" ht="12" outlineLevel="2" collapsed="1" x14ac:dyDescent="0.2">
      <c r="A868" s="74" t="s">
        <v>1187</v>
      </c>
      <c r="B868" s="71"/>
      <c r="C868" s="71"/>
      <c r="D868" s="72">
        <v>17069947.719999999</v>
      </c>
      <c r="E868" s="71"/>
      <c r="F868" s="71"/>
      <c r="G868" s="71"/>
    </row>
    <row r="869" spans="1:45" ht="12" hidden="1" outlineLevel="3" x14ac:dyDescent="0.2">
      <c r="A869" s="73" t="s">
        <v>1080</v>
      </c>
      <c r="B869" s="71"/>
      <c r="C869" s="71"/>
      <c r="D869" s="79">
        <v>720</v>
      </c>
      <c r="E869" s="71"/>
      <c r="F869" s="71"/>
      <c r="G869" s="71"/>
      <c r="H869" s="4" t="s">
        <v>68</v>
      </c>
      <c r="AS869" s="91">
        <f t="shared" si="41"/>
        <v>720</v>
      </c>
    </row>
    <row r="870" spans="1:45" ht="12" hidden="1" outlineLevel="3" x14ac:dyDescent="0.2">
      <c r="A870" s="73" t="s">
        <v>1079</v>
      </c>
      <c r="B870" s="71"/>
      <c r="C870" s="71"/>
      <c r="D870" s="72">
        <v>23105.23</v>
      </c>
      <c r="E870" s="71"/>
      <c r="F870" s="71"/>
      <c r="G870" s="71"/>
      <c r="H870" s="4" t="s">
        <v>65</v>
      </c>
      <c r="AS870" s="91">
        <f t="shared" si="41"/>
        <v>23105.23</v>
      </c>
    </row>
    <row r="871" spans="1:45" ht="12" hidden="1" outlineLevel="3" x14ac:dyDescent="0.2">
      <c r="A871" s="73" t="s">
        <v>1078</v>
      </c>
      <c r="B871" s="71"/>
      <c r="C871" s="71"/>
      <c r="D871" s="72">
        <v>11251.68</v>
      </c>
      <c r="E871" s="71"/>
      <c r="F871" s="71"/>
      <c r="G871" s="71"/>
      <c r="H871" s="4" t="s">
        <v>58</v>
      </c>
      <c r="AS871" s="91">
        <f t="shared" ref="AS871:AS934" si="43">$D871</f>
        <v>11251.68</v>
      </c>
    </row>
    <row r="872" spans="1:45" ht="12" hidden="1" outlineLevel="3" x14ac:dyDescent="0.2">
      <c r="A872" s="73" t="s">
        <v>1077</v>
      </c>
      <c r="B872" s="71"/>
      <c r="C872" s="71"/>
      <c r="D872" s="72">
        <v>1723.17</v>
      </c>
      <c r="E872" s="71"/>
      <c r="F872" s="71"/>
      <c r="G872" s="71"/>
      <c r="H872" s="4" t="s">
        <v>59</v>
      </c>
      <c r="AS872" s="91">
        <f t="shared" si="43"/>
        <v>1723.17</v>
      </c>
    </row>
    <row r="873" spans="1:45" ht="12" hidden="1" outlineLevel="3" x14ac:dyDescent="0.2">
      <c r="A873" s="73" t="s">
        <v>954</v>
      </c>
      <c r="B873" s="71"/>
      <c r="C873" s="71"/>
      <c r="D873" s="72">
        <v>1724.83</v>
      </c>
      <c r="E873" s="71"/>
      <c r="F873" s="71"/>
      <c r="G873" s="71"/>
      <c r="H873" s="4" t="s">
        <v>60</v>
      </c>
      <c r="AS873" s="91">
        <f t="shared" si="43"/>
        <v>1724.83</v>
      </c>
    </row>
    <row r="874" spans="1:45" ht="12" hidden="1" outlineLevel="3" x14ac:dyDescent="0.2">
      <c r="A874" s="73" t="s">
        <v>1076</v>
      </c>
      <c r="B874" s="71"/>
      <c r="C874" s="71"/>
      <c r="D874" s="72">
        <v>4365.6899999999996</v>
      </c>
      <c r="E874" s="71"/>
      <c r="F874" s="71"/>
      <c r="G874" s="71"/>
      <c r="H874" s="4" t="s">
        <v>61</v>
      </c>
      <c r="AS874" s="91">
        <f t="shared" si="43"/>
        <v>4365.6899999999996</v>
      </c>
    </row>
    <row r="875" spans="1:45" ht="12" hidden="1" outlineLevel="3" x14ac:dyDescent="0.2">
      <c r="A875" s="73" t="s">
        <v>1075</v>
      </c>
      <c r="B875" s="71"/>
      <c r="C875" s="71"/>
      <c r="D875" s="72">
        <v>69833.919999999998</v>
      </c>
      <c r="E875" s="71"/>
      <c r="F875" s="71"/>
      <c r="G875" s="71"/>
      <c r="H875" s="4" t="s">
        <v>62</v>
      </c>
      <c r="AS875" s="91">
        <f t="shared" si="43"/>
        <v>69833.919999999998</v>
      </c>
    </row>
    <row r="876" spans="1:45" ht="12" hidden="1" outlineLevel="3" x14ac:dyDescent="0.2">
      <c r="A876" s="73" t="s">
        <v>1074</v>
      </c>
      <c r="B876" s="71"/>
      <c r="C876" s="71"/>
      <c r="D876" s="72">
        <v>14200.74</v>
      </c>
      <c r="E876" s="71"/>
      <c r="F876" s="71"/>
      <c r="G876" s="71"/>
      <c r="H876" s="4" t="s">
        <v>63</v>
      </c>
      <c r="AS876" s="91">
        <f t="shared" si="43"/>
        <v>14200.74</v>
      </c>
    </row>
    <row r="877" spans="1:45" ht="12" hidden="1" outlineLevel="3" x14ac:dyDescent="0.2">
      <c r="A877" s="73" t="s">
        <v>1073</v>
      </c>
      <c r="B877" s="71"/>
      <c r="C877" s="71"/>
      <c r="D877" s="72">
        <v>22251.52</v>
      </c>
      <c r="E877" s="71"/>
      <c r="F877" s="71"/>
      <c r="G877" s="71"/>
      <c r="H877" s="4" t="s">
        <v>64</v>
      </c>
      <c r="AS877" s="91">
        <f t="shared" si="43"/>
        <v>22251.52</v>
      </c>
    </row>
    <row r="878" spans="1:45" ht="12" hidden="1" outlineLevel="3" x14ac:dyDescent="0.2">
      <c r="A878" s="73" t="s">
        <v>929</v>
      </c>
      <c r="B878" s="71"/>
      <c r="C878" s="71"/>
      <c r="D878" s="72">
        <v>34385.99</v>
      </c>
      <c r="E878" s="71"/>
      <c r="F878" s="71"/>
      <c r="G878" s="71"/>
      <c r="H878" s="31" t="s">
        <v>331</v>
      </c>
      <c r="AS878" s="91">
        <f t="shared" si="43"/>
        <v>34385.99</v>
      </c>
    </row>
    <row r="879" spans="1:45" ht="12" hidden="1" outlineLevel="3" x14ac:dyDescent="0.2">
      <c r="A879" s="73" t="s">
        <v>928</v>
      </c>
      <c r="B879" s="71"/>
      <c r="C879" s="71"/>
      <c r="D879" s="72">
        <v>19711.080000000002</v>
      </c>
      <c r="E879" s="71"/>
      <c r="F879" s="71"/>
      <c r="G879" s="71"/>
      <c r="H879" s="31" t="s">
        <v>333</v>
      </c>
      <c r="AS879" s="91">
        <f t="shared" si="43"/>
        <v>19711.080000000002</v>
      </c>
    </row>
    <row r="880" spans="1:45" ht="12" hidden="1" outlineLevel="3" x14ac:dyDescent="0.2">
      <c r="A880" s="73" t="s">
        <v>927</v>
      </c>
      <c r="B880" s="71"/>
      <c r="C880" s="71"/>
      <c r="D880" s="72">
        <v>28865.61</v>
      </c>
      <c r="E880" s="71"/>
      <c r="F880" s="71"/>
      <c r="G880" s="71"/>
      <c r="H880" s="31" t="s">
        <v>332</v>
      </c>
      <c r="AS880" s="91">
        <f t="shared" si="43"/>
        <v>28865.61</v>
      </c>
    </row>
    <row r="881" spans="1:45" ht="12" hidden="1" outlineLevel="3" x14ac:dyDescent="0.2">
      <c r="A881" s="73" t="s">
        <v>1108</v>
      </c>
      <c r="B881" s="71"/>
      <c r="C881" s="71"/>
      <c r="D881" s="72">
        <v>99335.94</v>
      </c>
      <c r="E881" s="71"/>
      <c r="F881" s="71"/>
      <c r="G881" s="71"/>
      <c r="H881" s="31" t="s">
        <v>320</v>
      </c>
      <c r="AS881" s="91">
        <f t="shared" si="43"/>
        <v>99335.94</v>
      </c>
    </row>
    <row r="882" spans="1:45" ht="12" hidden="1" outlineLevel="3" x14ac:dyDescent="0.2">
      <c r="A882" s="73" t="s">
        <v>953</v>
      </c>
      <c r="B882" s="71"/>
      <c r="C882" s="71"/>
      <c r="D882" s="72">
        <v>104977.33</v>
      </c>
      <c r="E882" s="71"/>
      <c r="F882" s="71"/>
      <c r="G882" s="71"/>
      <c r="H882" s="31" t="s">
        <v>330</v>
      </c>
      <c r="AS882" s="91">
        <f t="shared" si="43"/>
        <v>104977.33</v>
      </c>
    </row>
    <row r="883" spans="1:45" ht="12" hidden="1" outlineLevel="3" x14ac:dyDescent="0.2">
      <c r="A883" s="73" t="s">
        <v>926</v>
      </c>
      <c r="B883" s="71"/>
      <c r="C883" s="71"/>
      <c r="D883" s="72">
        <v>80793.64</v>
      </c>
      <c r="E883" s="71"/>
      <c r="F883" s="71"/>
      <c r="G883" s="71"/>
      <c r="H883" s="31" t="s">
        <v>323</v>
      </c>
      <c r="AS883" s="91">
        <f t="shared" si="43"/>
        <v>80793.64</v>
      </c>
    </row>
    <row r="884" spans="1:45" ht="12" hidden="1" outlineLevel="3" x14ac:dyDescent="0.2">
      <c r="A884" s="73" t="s">
        <v>1107</v>
      </c>
      <c r="B884" s="71"/>
      <c r="C884" s="71"/>
      <c r="D884" s="72">
        <v>266342.07</v>
      </c>
      <c r="E884" s="71"/>
      <c r="F884" s="71"/>
      <c r="G884" s="71"/>
      <c r="H884" s="31" t="s">
        <v>324</v>
      </c>
      <c r="AS884" s="91">
        <f t="shared" si="43"/>
        <v>266342.07</v>
      </c>
    </row>
    <row r="885" spans="1:45" ht="12" hidden="1" outlineLevel="3" x14ac:dyDescent="0.2">
      <c r="A885" s="73" t="s">
        <v>1106</v>
      </c>
      <c r="B885" s="71"/>
      <c r="C885" s="71"/>
      <c r="D885" s="72">
        <v>69685.41</v>
      </c>
      <c r="E885" s="71"/>
      <c r="F885" s="71"/>
      <c r="G885" s="71"/>
      <c r="H885" s="31" t="s">
        <v>325</v>
      </c>
      <c r="AS885" s="91">
        <f t="shared" si="43"/>
        <v>69685.41</v>
      </c>
    </row>
    <row r="886" spans="1:45" ht="12" hidden="1" outlineLevel="3" x14ac:dyDescent="0.2">
      <c r="A886" s="73" t="s">
        <v>1105</v>
      </c>
      <c r="B886" s="71"/>
      <c r="C886" s="71"/>
      <c r="D886" s="72">
        <v>170246.51</v>
      </c>
      <c r="E886" s="71"/>
      <c r="F886" s="71"/>
      <c r="G886" s="71"/>
      <c r="H886" s="31" t="s">
        <v>326</v>
      </c>
      <c r="AS886" s="91">
        <f t="shared" si="43"/>
        <v>170246.51</v>
      </c>
    </row>
    <row r="887" spans="1:45" ht="12" hidden="1" outlineLevel="3" x14ac:dyDescent="0.2">
      <c r="A887" s="73" t="s">
        <v>925</v>
      </c>
      <c r="B887" s="71"/>
      <c r="C887" s="71"/>
      <c r="D887" s="72">
        <v>70620.55</v>
      </c>
      <c r="E887" s="71"/>
      <c r="F887" s="71"/>
      <c r="G887" s="71"/>
      <c r="H887" s="31" t="s">
        <v>327</v>
      </c>
      <c r="AS887" s="91">
        <f t="shared" si="43"/>
        <v>70620.55</v>
      </c>
    </row>
    <row r="888" spans="1:45" ht="12" hidden="1" outlineLevel="3" x14ac:dyDescent="0.2">
      <c r="A888" s="73" t="s">
        <v>1104</v>
      </c>
      <c r="B888" s="71"/>
      <c r="C888" s="71"/>
      <c r="D888" s="72">
        <v>237638.67</v>
      </c>
      <c r="E888" s="71"/>
      <c r="F888" s="71"/>
      <c r="G888" s="71"/>
      <c r="H888" s="31" t="s">
        <v>328</v>
      </c>
      <c r="AS888" s="91">
        <f t="shared" si="43"/>
        <v>237638.67</v>
      </c>
    </row>
    <row r="889" spans="1:45" ht="12" hidden="1" outlineLevel="3" x14ac:dyDescent="0.2">
      <c r="A889" s="73" t="s">
        <v>1103</v>
      </c>
      <c r="B889" s="71"/>
      <c r="C889" s="71"/>
      <c r="D889" s="72">
        <v>138308.66</v>
      </c>
      <c r="E889" s="71"/>
      <c r="F889" s="71"/>
      <c r="G889" s="71"/>
      <c r="H889" s="31" t="s">
        <v>329</v>
      </c>
      <c r="AS889" s="91">
        <f t="shared" si="43"/>
        <v>138308.66</v>
      </c>
    </row>
    <row r="890" spans="1:45" ht="12" hidden="1" outlineLevel="3" x14ac:dyDescent="0.2">
      <c r="A890" s="73" t="s">
        <v>1102</v>
      </c>
      <c r="B890" s="71"/>
      <c r="C890" s="71"/>
      <c r="D890" s="72">
        <v>195723.43</v>
      </c>
      <c r="E890" s="71"/>
      <c r="F890" s="71"/>
      <c r="G890" s="71"/>
      <c r="H890" s="31" t="s">
        <v>334</v>
      </c>
      <c r="AS890" s="91">
        <f t="shared" si="43"/>
        <v>195723.43</v>
      </c>
    </row>
    <row r="891" spans="1:45" ht="12" hidden="1" outlineLevel="3" x14ac:dyDescent="0.2">
      <c r="A891" s="73" t="s">
        <v>1101</v>
      </c>
      <c r="B891" s="71"/>
      <c r="C891" s="71"/>
      <c r="D891" s="72">
        <v>182866.55</v>
      </c>
      <c r="E891" s="71"/>
      <c r="F891" s="71"/>
      <c r="G891" s="71"/>
      <c r="H891" s="31" t="s">
        <v>341</v>
      </c>
      <c r="AS891" s="91">
        <f t="shared" si="43"/>
        <v>182866.55</v>
      </c>
    </row>
    <row r="892" spans="1:45" ht="12" hidden="1" outlineLevel="3" x14ac:dyDescent="0.2">
      <c r="A892" s="73" t="s">
        <v>1100</v>
      </c>
      <c r="B892" s="71"/>
      <c r="C892" s="71"/>
      <c r="D892" s="72">
        <v>119888.34</v>
      </c>
      <c r="E892" s="71"/>
      <c r="F892" s="71"/>
      <c r="G892" s="71"/>
      <c r="H892" s="31" t="s">
        <v>342</v>
      </c>
      <c r="AS892" s="91">
        <f t="shared" si="43"/>
        <v>119888.34</v>
      </c>
    </row>
    <row r="893" spans="1:45" ht="12" hidden="1" outlineLevel="3" x14ac:dyDescent="0.2">
      <c r="A893" s="73" t="s">
        <v>1099</v>
      </c>
      <c r="B893" s="71"/>
      <c r="C893" s="71"/>
      <c r="D893" s="72">
        <v>88845.1</v>
      </c>
      <c r="E893" s="71"/>
      <c r="F893" s="71"/>
      <c r="G893" s="71"/>
      <c r="H893" s="31" t="s">
        <v>343</v>
      </c>
      <c r="AS893" s="91">
        <f t="shared" si="43"/>
        <v>88845.1</v>
      </c>
    </row>
    <row r="894" spans="1:45" ht="12" hidden="1" outlineLevel="3" x14ac:dyDescent="0.2">
      <c r="A894" s="73" t="s">
        <v>924</v>
      </c>
      <c r="B894" s="71"/>
      <c r="C894" s="71"/>
      <c r="D894" s="72">
        <v>40670.39</v>
      </c>
      <c r="E894" s="71"/>
      <c r="F894" s="71"/>
      <c r="G894" s="71"/>
      <c r="H894" s="31" t="s">
        <v>344</v>
      </c>
      <c r="AS894" s="91">
        <f t="shared" si="43"/>
        <v>40670.39</v>
      </c>
    </row>
    <row r="895" spans="1:45" ht="12" hidden="1" outlineLevel="3" x14ac:dyDescent="0.2">
      <c r="A895" s="73" t="s">
        <v>1098</v>
      </c>
      <c r="B895" s="71"/>
      <c r="C895" s="71"/>
      <c r="D895" s="72">
        <v>55663.519999999997</v>
      </c>
      <c r="E895" s="71"/>
      <c r="F895" s="71"/>
      <c r="G895" s="71"/>
      <c r="H895" s="31" t="s">
        <v>345</v>
      </c>
      <c r="AS895" s="91">
        <f t="shared" si="43"/>
        <v>55663.519999999997</v>
      </c>
    </row>
    <row r="896" spans="1:45" ht="12" hidden="1" outlineLevel="3" x14ac:dyDescent="0.2">
      <c r="A896" s="73" t="s">
        <v>923</v>
      </c>
      <c r="B896" s="71"/>
      <c r="C896" s="71"/>
      <c r="D896" s="72">
        <v>109933.21</v>
      </c>
      <c r="E896" s="71"/>
      <c r="F896" s="71"/>
      <c r="G896" s="71"/>
      <c r="H896" s="31" t="s">
        <v>346</v>
      </c>
      <c r="AS896" s="91">
        <f t="shared" si="43"/>
        <v>109933.21</v>
      </c>
    </row>
    <row r="897" spans="1:45" ht="12" hidden="1" outlineLevel="3" x14ac:dyDescent="0.2">
      <c r="A897" s="73" t="s">
        <v>1097</v>
      </c>
      <c r="B897" s="71"/>
      <c r="C897" s="71"/>
      <c r="D897" s="72">
        <v>80779.179999999993</v>
      </c>
      <c r="E897" s="71"/>
      <c r="F897" s="71"/>
      <c r="G897" s="71"/>
      <c r="H897" s="31" t="s">
        <v>347</v>
      </c>
      <c r="AS897" s="91">
        <f t="shared" si="43"/>
        <v>80779.179999999993</v>
      </c>
    </row>
    <row r="898" spans="1:45" ht="12" hidden="1" outlineLevel="3" x14ac:dyDescent="0.2">
      <c r="A898" s="73" t="s">
        <v>1096</v>
      </c>
      <c r="B898" s="71"/>
      <c r="C898" s="71"/>
      <c r="D898" s="72">
        <v>90977.95</v>
      </c>
      <c r="E898" s="71"/>
      <c r="F898" s="71"/>
      <c r="G898" s="71"/>
      <c r="H898" s="31" t="s">
        <v>335</v>
      </c>
      <c r="AS898" s="91">
        <f t="shared" si="43"/>
        <v>90977.95</v>
      </c>
    </row>
    <row r="899" spans="1:45" ht="12" hidden="1" outlineLevel="3" x14ac:dyDescent="0.2">
      <c r="A899" s="73" t="s">
        <v>934</v>
      </c>
      <c r="B899" s="71"/>
      <c r="C899" s="71"/>
      <c r="D899" s="72">
        <v>272263.37</v>
      </c>
      <c r="E899" s="71"/>
      <c r="F899" s="71"/>
      <c r="G899" s="71"/>
      <c r="H899" s="31" t="s">
        <v>336</v>
      </c>
      <c r="AS899" s="91">
        <f t="shared" si="43"/>
        <v>272263.37</v>
      </c>
    </row>
    <row r="900" spans="1:45" ht="12" hidden="1" outlineLevel="3" x14ac:dyDescent="0.2">
      <c r="A900" s="73" t="s">
        <v>1095</v>
      </c>
      <c r="B900" s="71"/>
      <c r="C900" s="71"/>
      <c r="D900" s="72">
        <v>203561.39</v>
      </c>
      <c r="E900" s="71"/>
      <c r="F900" s="71"/>
      <c r="G900" s="71"/>
      <c r="H900" s="31" t="s">
        <v>337</v>
      </c>
      <c r="AS900" s="91">
        <f t="shared" si="43"/>
        <v>203561.39</v>
      </c>
    </row>
    <row r="901" spans="1:45" ht="12" hidden="1" outlineLevel="3" x14ac:dyDescent="0.2">
      <c r="A901" s="73" t="s">
        <v>1094</v>
      </c>
      <c r="B901" s="71"/>
      <c r="C901" s="71"/>
      <c r="D901" s="72">
        <v>49346.86</v>
      </c>
      <c r="E901" s="71"/>
      <c r="F901" s="71"/>
      <c r="G901" s="71"/>
      <c r="H901" s="31" t="s">
        <v>338</v>
      </c>
      <c r="AS901" s="91">
        <f t="shared" si="43"/>
        <v>49346.86</v>
      </c>
    </row>
    <row r="902" spans="1:45" ht="12" hidden="1" outlineLevel="3" x14ac:dyDescent="0.2">
      <c r="A902" s="73" t="s">
        <v>1093</v>
      </c>
      <c r="B902" s="71"/>
      <c r="C902" s="71"/>
      <c r="D902" s="72">
        <v>106692.28</v>
      </c>
      <c r="E902" s="71"/>
      <c r="F902" s="71"/>
      <c r="G902" s="71"/>
      <c r="H902" s="31" t="s">
        <v>339</v>
      </c>
      <c r="AS902" s="91">
        <f t="shared" si="43"/>
        <v>106692.28</v>
      </c>
    </row>
    <row r="903" spans="1:45" ht="12" hidden="1" outlineLevel="3" x14ac:dyDescent="0.2">
      <c r="A903" s="73" t="s">
        <v>1092</v>
      </c>
      <c r="B903" s="71"/>
      <c r="C903" s="71"/>
      <c r="D903" s="72">
        <v>84760</v>
      </c>
      <c r="E903" s="71"/>
      <c r="F903" s="71"/>
      <c r="G903" s="71"/>
      <c r="H903" s="31" t="s">
        <v>340</v>
      </c>
      <c r="AS903" s="91">
        <f t="shared" si="43"/>
        <v>84760</v>
      </c>
    </row>
    <row r="904" spans="1:45" ht="12" hidden="1" outlineLevel="3" x14ac:dyDescent="0.2">
      <c r="A904" s="73" t="s">
        <v>1091</v>
      </c>
      <c r="B904" s="71"/>
      <c r="C904" s="71"/>
      <c r="D904" s="72">
        <v>174238.87</v>
      </c>
      <c r="E904" s="71"/>
      <c r="F904" s="71"/>
      <c r="G904" s="71"/>
      <c r="H904" s="31" t="s">
        <v>348</v>
      </c>
      <c r="AS904" s="91">
        <f t="shared" si="43"/>
        <v>174238.87</v>
      </c>
    </row>
    <row r="905" spans="1:45" ht="12" hidden="1" outlineLevel="3" x14ac:dyDescent="0.2">
      <c r="A905" s="73" t="s">
        <v>1090</v>
      </c>
      <c r="B905" s="71"/>
      <c r="C905" s="71"/>
      <c r="D905" s="72">
        <v>84432.37</v>
      </c>
      <c r="E905" s="71"/>
      <c r="F905" s="71"/>
      <c r="G905" s="71"/>
      <c r="H905" s="31" t="s">
        <v>355</v>
      </c>
      <c r="AS905" s="91">
        <f t="shared" si="43"/>
        <v>84432.37</v>
      </c>
    </row>
    <row r="906" spans="1:45" ht="12" hidden="1" outlineLevel="3" x14ac:dyDescent="0.2">
      <c r="A906" s="73" t="s">
        <v>1083</v>
      </c>
      <c r="B906" s="71"/>
      <c r="C906" s="71"/>
      <c r="D906" s="72">
        <v>198471.54</v>
      </c>
      <c r="E906" s="71"/>
      <c r="F906" s="71"/>
      <c r="G906" s="71"/>
      <c r="H906" s="31" t="s">
        <v>349</v>
      </c>
      <c r="AS906" s="91">
        <f t="shared" si="43"/>
        <v>198471.54</v>
      </c>
    </row>
    <row r="907" spans="1:45" ht="12" hidden="1" outlineLevel="3" x14ac:dyDescent="0.2">
      <c r="A907" s="73" t="s">
        <v>1089</v>
      </c>
      <c r="B907" s="71"/>
      <c r="C907" s="71"/>
      <c r="D907" s="72">
        <v>150481.59</v>
      </c>
      <c r="E907" s="71"/>
      <c r="F907" s="71"/>
      <c r="G907" s="71"/>
      <c r="H907" s="31" t="s">
        <v>350</v>
      </c>
      <c r="AS907" s="91">
        <f t="shared" si="43"/>
        <v>150481.59</v>
      </c>
    </row>
    <row r="908" spans="1:45" ht="12" hidden="1" outlineLevel="3" x14ac:dyDescent="0.2">
      <c r="A908" s="73" t="s">
        <v>1088</v>
      </c>
      <c r="B908" s="71"/>
      <c r="C908" s="71"/>
      <c r="D908" s="72">
        <v>75284.19</v>
      </c>
      <c r="E908" s="71"/>
      <c r="F908" s="71"/>
      <c r="G908" s="71"/>
      <c r="H908" s="31" t="s">
        <v>351</v>
      </c>
      <c r="AS908" s="91">
        <f t="shared" si="43"/>
        <v>75284.19</v>
      </c>
    </row>
    <row r="909" spans="1:45" ht="12" hidden="1" outlineLevel="3" x14ac:dyDescent="0.2">
      <c r="A909" s="73" t="s">
        <v>1087</v>
      </c>
      <c r="B909" s="71"/>
      <c r="C909" s="71"/>
      <c r="D909" s="72">
        <v>65688.3</v>
      </c>
      <c r="E909" s="71"/>
      <c r="F909" s="71"/>
      <c r="G909" s="71"/>
      <c r="H909" s="31" t="s">
        <v>352</v>
      </c>
      <c r="AS909" s="91">
        <f t="shared" si="43"/>
        <v>65688.3</v>
      </c>
    </row>
    <row r="910" spans="1:45" ht="12" hidden="1" outlineLevel="3" x14ac:dyDescent="0.2">
      <c r="A910" s="73" t="s">
        <v>1086</v>
      </c>
      <c r="B910" s="71"/>
      <c r="C910" s="71"/>
      <c r="D910" s="72">
        <v>295597.17</v>
      </c>
      <c r="E910" s="71"/>
      <c r="F910" s="71"/>
      <c r="G910" s="71"/>
      <c r="H910" s="31" t="s">
        <v>353</v>
      </c>
      <c r="AS910" s="91">
        <f t="shared" si="43"/>
        <v>295597.17</v>
      </c>
    </row>
    <row r="911" spans="1:45" ht="12" hidden="1" outlineLevel="3" x14ac:dyDescent="0.2">
      <c r="A911" s="73" t="s">
        <v>1085</v>
      </c>
      <c r="B911" s="71"/>
      <c r="C911" s="71"/>
      <c r="D911" s="72">
        <v>113921.79</v>
      </c>
      <c r="E911" s="71"/>
      <c r="F911" s="71"/>
      <c r="G911" s="71"/>
      <c r="H911" s="31" t="s">
        <v>354</v>
      </c>
      <c r="AS911" s="91">
        <f t="shared" si="43"/>
        <v>113921.79</v>
      </c>
    </row>
    <row r="912" spans="1:45" ht="12" hidden="1" outlineLevel="3" x14ac:dyDescent="0.2">
      <c r="A912" s="73" t="s">
        <v>1186</v>
      </c>
      <c r="B912" s="71"/>
      <c r="C912" s="71"/>
      <c r="D912" s="72">
        <v>12923.59</v>
      </c>
      <c r="E912" s="71"/>
      <c r="F912" s="71"/>
      <c r="G912" s="71"/>
      <c r="H912" s="4" t="s">
        <v>291</v>
      </c>
      <c r="AS912" s="91">
        <f t="shared" si="43"/>
        <v>12923.59</v>
      </c>
    </row>
    <row r="913" spans="1:45" ht="12" hidden="1" outlineLevel="3" x14ac:dyDescent="0.2">
      <c r="A913" s="73" t="s">
        <v>1185</v>
      </c>
      <c r="B913" s="71"/>
      <c r="C913" s="71"/>
      <c r="D913" s="72">
        <v>4984.17</v>
      </c>
      <c r="E913" s="71"/>
      <c r="F913" s="71"/>
      <c r="G913" s="71"/>
      <c r="H913" s="4" t="s">
        <v>292</v>
      </c>
      <c r="AS913" s="91">
        <f t="shared" si="43"/>
        <v>4984.17</v>
      </c>
    </row>
    <row r="914" spans="1:45" ht="12" hidden="1" outlineLevel="3" x14ac:dyDescent="0.2">
      <c r="A914" s="73" t="s">
        <v>1184</v>
      </c>
      <c r="B914" s="71"/>
      <c r="C914" s="71"/>
      <c r="D914" s="72">
        <v>2790</v>
      </c>
      <c r="E914" s="71"/>
      <c r="F914" s="71"/>
      <c r="G914" s="71"/>
      <c r="H914" s="4" t="s">
        <v>290</v>
      </c>
      <c r="AS914" s="91">
        <f t="shared" si="43"/>
        <v>2790</v>
      </c>
    </row>
    <row r="915" spans="1:45" ht="12" hidden="1" outlineLevel="3" x14ac:dyDescent="0.2">
      <c r="A915" s="73" t="s">
        <v>1072</v>
      </c>
      <c r="B915" s="71"/>
      <c r="C915" s="71"/>
      <c r="D915" s="72">
        <v>70175.58</v>
      </c>
      <c r="E915" s="71"/>
      <c r="F915" s="71"/>
      <c r="G915" s="71"/>
      <c r="H915" s="4" t="s">
        <v>278</v>
      </c>
      <c r="AS915" s="91">
        <f t="shared" si="43"/>
        <v>70175.58</v>
      </c>
    </row>
    <row r="916" spans="1:45" ht="12" hidden="1" outlineLevel="3" x14ac:dyDescent="0.2">
      <c r="A916" s="73" t="s">
        <v>1071</v>
      </c>
      <c r="B916" s="71"/>
      <c r="C916" s="71"/>
      <c r="D916" s="72">
        <v>58567.5</v>
      </c>
      <c r="E916" s="71"/>
      <c r="F916" s="71"/>
      <c r="G916" s="71"/>
      <c r="H916" s="4" t="s">
        <v>280</v>
      </c>
      <c r="AS916" s="91">
        <f t="shared" si="43"/>
        <v>58567.5</v>
      </c>
    </row>
    <row r="917" spans="1:45" ht="12" hidden="1" outlineLevel="3" x14ac:dyDescent="0.2">
      <c r="A917" s="73" t="s">
        <v>1183</v>
      </c>
      <c r="B917" s="71"/>
      <c r="C917" s="71"/>
      <c r="D917" s="72">
        <v>25406.9</v>
      </c>
      <c r="E917" s="71"/>
      <c r="F917" s="71"/>
      <c r="G917" s="71"/>
      <c r="H917" s="4" t="s">
        <v>1332</v>
      </c>
      <c r="AS917" s="91">
        <f t="shared" si="43"/>
        <v>25406.9</v>
      </c>
    </row>
    <row r="918" spans="1:45" ht="12" hidden="1" outlineLevel="3" x14ac:dyDescent="0.2">
      <c r="A918" s="73" t="s">
        <v>1070</v>
      </c>
      <c r="B918" s="71"/>
      <c r="C918" s="71"/>
      <c r="D918" s="72">
        <v>26326.3</v>
      </c>
      <c r="E918" s="71"/>
      <c r="F918" s="71"/>
      <c r="G918" s="71"/>
      <c r="H918" s="4" t="s">
        <v>878</v>
      </c>
      <c r="AS918" s="91">
        <f t="shared" si="43"/>
        <v>26326.3</v>
      </c>
    </row>
    <row r="919" spans="1:45" ht="12" hidden="1" outlineLevel="3" x14ac:dyDescent="0.2">
      <c r="A919" s="73" t="s">
        <v>1069</v>
      </c>
      <c r="B919" s="71"/>
      <c r="C919" s="71"/>
      <c r="D919" s="72">
        <v>23239.3</v>
      </c>
      <c r="E919" s="71"/>
      <c r="F919" s="71"/>
      <c r="G919" s="71"/>
      <c r="H919" s="4" t="s">
        <v>879</v>
      </c>
      <c r="AS919" s="91">
        <f t="shared" si="43"/>
        <v>23239.3</v>
      </c>
    </row>
    <row r="920" spans="1:45" ht="12" hidden="1" outlineLevel="3" x14ac:dyDescent="0.2">
      <c r="A920" s="73" t="s">
        <v>1182</v>
      </c>
      <c r="B920" s="71"/>
      <c r="C920" s="71"/>
      <c r="D920" s="72">
        <v>3148.39</v>
      </c>
      <c r="E920" s="71"/>
      <c r="F920" s="71"/>
      <c r="G920" s="71"/>
      <c r="H920" s="4" t="s">
        <v>1336</v>
      </c>
      <c r="AS920" s="91">
        <f t="shared" si="43"/>
        <v>3148.39</v>
      </c>
    </row>
    <row r="921" spans="1:45" ht="12" hidden="1" outlineLevel="3" x14ac:dyDescent="0.2">
      <c r="A921" s="73" t="s">
        <v>1068</v>
      </c>
      <c r="B921" s="71"/>
      <c r="C921" s="71"/>
      <c r="D921" s="72">
        <v>32571.66</v>
      </c>
      <c r="E921" s="71"/>
      <c r="F921" s="71"/>
      <c r="G921" s="71"/>
      <c r="H921" s="4" t="s">
        <v>50</v>
      </c>
      <c r="AS921" s="91">
        <f t="shared" si="43"/>
        <v>32571.66</v>
      </c>
    </row>
    <row r="922" spans="1:45" ht="12" hidden="1" outlineLevel="3" x14ac:dyDescent="0.2">
      <c r="A922" s="73" t="s">
        <v>1181</v>
      </c>
      <c r="B922" s="71"/>
      <c r="C922" s="71"/>
      <c r="D922" s="72">
        <v>6718.07</v>
      </c>
      <c r="E922" s="71"/>
      <c r="F922" s="71"/>
      <c r="G922" s="71"/>
      <c r="H922" s="4" t="s">
        <v>1337</v>
      </c>
      <c r="AS922" s="91">
        <f t="shared" si="43"/>
        <v>6718.07</v>
      </c>
    </row>
    <row r="923" spans="1:45" ht="12" hidden="1" outlineLevel="3" x14ac:dyDescent="0.2">
      <c r="A923" s="73" t="s">
        <v>1067</v>
      </c>
      <c r="B923" s="71"/>
      <c r="C923" s="71"/>
      <c r="D923" s="72">
        <v>6299.48</v>
      </c>
      <c r="E923" s="71"/>
      <c r="F923" s="71"/>
      <c r="G923" s="71"/>
      <c r="H923" s="4" t="s">
        <v>1338</v>
      </c>
      <c r="AS923" s="91">
        <f t="shared" si="43"/>
        <v>6299.48</v>
      </c>
    </row>
    <row r="924" spans="1:45" ht="12" hidden="1" outlineLevel="3" x14ac:dyDescent="0.2">
      <c r="A924" s="73" t="s">
        <v>1066</v>
      </c>
      <c r="B924" s="71"/>
      <c r="C924" s="71"/>
      <c r="D924" s="72">
        <v>23150.45</v>
      </c>
      <c r="E924" s="71"/>
      <c r="F924" s="71"/>
      <c r="G924" s="71"/>
      <c r="H924" s="4" t="s">
        <v>53</v>
      </c>
      <c r="AS924" s="91">
        <f t="shared" si="43"/>
        <v>23150.45</v>
      </c>
    </row>
    <row r="925" spans="1:45" ht="12" hidden="1" outlineLevel="3" x14ac:dyDescent="0.2">
      <c r="A925" s="73" t="s">
        <v>1065</v>
      </c>
      <c r="B925" s="71"/>
      <c r="C925" s="71"/>
      <c r="D925" s="72">
        <v>17502.07</v>
      </c>
      <c r="E925" s="71"/>
      <c r="F925" s="71"/>
      <c r="G925" s="71"/>
      <c r="H925" s="4" t="s">
        <v>54</v>
      </c>
      <c r="AS925" s="91">
        <f t="shared" si="43"/>
        <v>17502.07</v>
      </c>
    </row>
    <row r="926" spans="1:45" ht="12" hidden="1" outlineLevel="3" x14ac:dyDescent="0.2">
      <c r="A926" s="73" t="s">
        <v>1180</v>
      </c>
      <c r="B926" s="71"/>
      <c r="C926" s="71"/>
      <c r="D926" s="72">
        <v>6297</v>
      </c>
      <c r="E926" s="71"/>
      <c r="F926" s="71"/>
      <c r="G926" s="71"/>
      <c r="H926" s="4" t="s">
        <v>1339</v>
      </c>
      <c r="AS926" s="91">
        <f t="shared" si="43"/>
        <v>6297</v>
      </c>
    </row>
    <row r="927" spans="1:45" ht="12" hidden="1" outlineLevel="3" x14ac:dyDescent="0.2">
      <c r="A927" s="73" t="s">
        <v>1179</v>
      </c>
      <c r="B927" s="71"/>
      <c r="C927" s="71"/>
      <c r="D927" s="72">
        <v>48659.29</v>
      </c>
      <c r="E927" s="71"/>
      <c r="F927" s="71"/>
      <c r="G927" s="71"/>
      <c r="H927" s="4" t="s">
        <v>55</v>
      </c>
      <c r="AS927" s="91">
        <f t="shared" si="43"/>
        <v>48659.29</v>
      </c>
    </row>
    <row r="928" spans="1:45" ht="12" hidden="1" outlineLevel="3" x14ac:dyDescent="0.2">
      <c r="A928" s="73" t="s">
        <v>1178</v>
      </c>
      <c r="B928" s="71"/>
      <c r="C928" s="71"/>
      <c r="D928" s="72">
        <v>23860.55</v>
      </c>
      <c r="E928" s="71"/>
      <c r="F928" s="71"/>
      <c r="G928" s="71"/>
      <c r="H928" s="4" t="s">
        <v>56</v>
      </c>
      <c r="AS928" s="91">
        <f t="shared" si="43"/>
        <v>23860.55</v>
      </c>
    </row>
    <row r="929" spans="1:45" ht="12" hidden="1" outlineLevel="3" x14ac:dyDescent="0.2">
      <c r="A929" s="73" t="s">
        <v>1064</v>
      </c>
      <c r="B929" s="71"/>
      <c r="C929" s="71"/>
      <c r="D929" s="72">
        <v>28323.360000000001</v>
      </c>
      <c r="E929" s="71"/>
      <c r="F929" s="71"/>
      <c r="G929" s="71"/>
      <c r="H929" s="4" t="s">
        <v>57</v>
      </c>
      <c r="AS929" s="91">
        <f t="shared" si="43"/>
        <v>28323.360000000001</v>
      </c>
    </row>
    <row r="930" spans="1:45" ht="12" hidden="1" outlineLevel="3" x14ac:dyDescent="0.2">
      <c r="A930" s="73" t="s">
        <v>1177</v>
      </c>
      <c r="B930" s="71"/>
      <c r="C930" s="71"/>
      <c r="D930" s="72">
        <v>60177.8</v>
      </c>
      <c r="E930" s="71"/>
      <c r="F930" s="71"/>
      <c r="G930" s="71"/>
      <c r="H930" s="4" t="s">
        <v>58</v>
      </c>
      <c r="AS930" s="91">
        <f t="shared" si="43"/>
        <v>60177.8</v>
      </c>
    </row>
    <row r="931" spans="1:45" ht="12" hidden="1" outlineLevel="3" x14ac:dyDescent="0.2">
      <c r="A931" s="73" t="s">
        <v>1176</v>
      </c>
      <c r="B931" s="71"/>
      <c r="C931" s="71"/>
      <c r="D931" s="72">
        <v>68417.27</v>
      </c>
      <c r="E931" s="71"/>
      <c r="F931" s="71"/>
      <c r="G931" s="71"/>
      <c r="H931" s="4" t="s">
        <v>59</v>
      </c>
      <c r="AS931" s="91">
        <f t="shared" si="43"/>
        <v>68417.27</v>
      </c>
    </row>
    <row r="932" spans="1:45" ht="12" hidden="1" outlineLevel="3" x14ac:dyDescent="0.2">
      <c r="A932" s="73" t="s">
        <v>1175</v>
      </c>
      <c r="B932" s="71"/>
      <c r="C932" s="71"/>
      <c r="D932" s="72">
        <v>32296.16</v>
      </c>
      <c r="E932" s="71"/>
      <c r="F932" s="71"/>
      <c r="G932" s="71"/>
      <c r="H932" s="4" t="s">
        <v>60</v>
      </c>
      <c r="AS932" s="91">
        <f t="shared" si="43"/>
        <v>32296.16</v>
      </c>
    </row>
    <row r="933" spans="1:45" ht="12" hidden="1" outlineLevel="3" x14ac:dyDescent="0.2">
      <c r="A933" s="73" t="s">
        <v>1174</v>
      </c>
      <c r="B933" s="71"/>
      <c r="C933" s="71"/>
      <c r="D933" s="72">
        <v>22738.41</v>
      </c>
      <c r="E933" s="71"/>
      <c r="F933" s="71"/>
      <c r="G933" s="71"/>
      <c r="H933" s="4" t="s">
        <v>61</v>
      </c>
      <c r="AS933" s="91">
        <f t="shared" si="43"/>
        <v>22738.41</v>
      </c>
    </row>
    <row r="934" spans="1:45" ht="12" hidden="1" outlineLevel="3" x14ac:dyDescent="0.2">
      <c r="A934" s="73" t="s">
        <v>1063</v>
      </c>
      <c r="B934" s="71"/>
      <c r="C934" s="71"/>
      <c r="D934" s="72">
        <v>6806.61</v>
      </c>
      <c r="E934" s="71"/>
      <c r="F934" s="71"/>
      <c r="G934" s="71"/>
      <c r="H934" s="4" t="s">
        <v>136</v>
      </c>
      <c r="AS934" s="91">
        <f t="shared" si="43"/>
        <v>6806.61</v>
      </c>
    </row>
    <row r="935" spans="1:45" ht="12" hidden="1" outlineLevel="3" x14ac:dyDescent="0.2">
      <c r="A935" s="73" t="s">
        <v>946</v>
      </c>
      <c r="B935" s="71"/>
      <c r="C935" s="71"/>
      <c r="D935" s="72">
        <v>40274.44</v>
      </c>
      <c r="E935" s="71"/>
      <c r="F935" s="71"/>
      <c r="G935" s="71"/>
      <c r="H935" s="4" t="s">
        <v>138</v>
      </c>
      <c r="AS935" s="91">
        <f t="shared" ref="AS935:AS998" si="44">$D935</f>
        <v>40274.44</v>
      </c>
    </row>
    <row r="936" spans="1:45" ht="12" hidden="1" outlineLevel="3" x14ac:dyDescent="0.2">
      <c r="A936" s="73" t="s">
        <v>1062</v>
      </c>
      <c r="B936" s="71"/>
      <c r="C936" s="71"/>
      <c r="D936" s="72">
        <v>123058.97</v>
      </c>
      <c r="E936" s="71"/>
      <c r="F936" s="71"/>
      <c r="G936" s="71"/>
      <c r="H936" s="4" t="s">
        <v>139</v>
      </c>
      <c r="AS936" s="91">
        <f t="shared" si="44"/>
        <v>123058.97</v>
      </c>
    </row>
    <row r="937" spans="1:45" ht="12" hidden="1" outlineLevel="3" x14ac:dyDescent="0.2">
      <c r="A937" s="73" t="s">
        <v>1061</v>
      </c>
      <c r="B937" s="71"/>
      <c r="C937" s="71"/>
      <c r="D937" s="72">
        <v>101787.28</v>
      </c>
      <c r="E937" s="71"/>
      <c r="F937" s="71"/>
      <c r="G937" s="71"/>
      <c r="H937" s="4" t="s">
        <v>140</v>
      </c>
      <c r="AS937" s="91">
        <f t="shared" si="44"/>
        <v>101787.28</v>
      </c>
    </row>
    <row r="938" spans="1:45" ht="12" hidden="1" outlineLevel="3" x14ac:dyDescent="0.2">
      <c r="A938" s="73" t="s">
        <v>1060</v>
      </c>
      <c r="B938" s="71"/>
      <c r="C938" s="71"/>
      <c r="D938" s="72">
        <v>8605.2900000000009</v>
      </c>
      <c r="E938" s="71"/>
      <c r="F938" s="71"/>
      <c r="G938" s="71"/>
      <c r="H938" s="4" t="s">
        <v>141</v>
      </c>
      <c r="AS938" s="91">
        <f t="shared" si="44"/>
        <v>8605.2900000000009</v>
      </c>
    </row>
    <row r="939" spans="1:45" ht="12" hidden="1" outlineLevel="3" x14ac:dyDescent="0.2">
      <c r="A939" s="73" t="s">
        <v>952</v>
      </c>
      <c r="B939" s="71"/>
      <c r="C939" s="71"/>
      <c r="D939" s="72">
        <v>153161.94</v>
      </c>
      <c r="E939" s="71"/>
      <c r="F939" s="71"/>
      <c r="G939" s="71"/>
      <c r="H939" s="4" t="s">
        <v>131</v>
      </c>
      <c r="AS939" s="91">
        <f t="shared" si="44"/>
        <v>153161.94</v>
      </c>
    </row>
    <row r="940" spans="1:45" ht="12" hidden="1" outlineLevel="3" x14ac:dyDescent="0.2">
      <c r="A940" s="73" t="s">
        <v>1173</v>
      </c>
      <c r="B940" s="71"/>
      <c r="C940" s="71"/>
      <c r="D940" s="72">
        <v>619440.92000000004</v>
      </c>
      <c r="E940" s="71"/>
      <c r="F940" s="71"/>
      <c r="G940" s="71"/>
      <c r="H940" s="4" t="s">
        <v>132</v>
      </c>
      <c r="AS940" s="91">
        <f t="shared" si="44"/>
        <v>619440.92000000004</v>
      </c>
    </row>
    <row r="941" spans="1:45" ht="12" hidden="1" outlineLevel="3" x14ac:dyDescent="0.2">
      <c r="A941" s="73" t="s">
        <v>1059</v>
      </c>
      <c r="B941" s="71"/>
      <c r="C941" s="71"/>
      <c r="D941" s="72">
        <v>7670.73</v>
      </c>
      <c r="E941" s="71"/>
      <c r="F941" s="71"/>
      <c r="G941" s="71"/>
      <c r="H941" s="4" t="s">
        <v>142</v>
      </c>
      <c r="AS941" s="91">
        <f t="shared" si="44"/>
        <v>7670.73</v>
      </c>
    </row>
    <row r="942" spans="1:45" ht="12" hidden="1" outlineLevel="3" x14ac:dyDescent="0.2">
      <c r="A942" s="73" t="s">
        <v>1172</v>
      </c>
      <c r="B942" s="71"/>
      <c r="C942" s="71"/>
      <c r="D942" s="72">
        <v>80548.91</v>
      </c>
      <c r="E942" s="71"/>
      <c r="F942" s="71"/>
      <c r="G942" s="71"/>
      <c r="H942" s="4" t="s">
        <v>143</v>
      </c>
      <c r="AS942" s="91">
        <f t="shared" si="44"/>
        <v>80548.91</v>
      </c>
    </row>
    <row r="943" spans="1:45" ht="12" hidden="1" outlineLevel="3" x14ac:dyDescent="0.2">
      <c r="A943" s="73" t="s">
        <v>1056</v>
      </c>
      <c r="B943" s="71"/>
      <c r="C943" s="71"/>
      <c r="D943" s="72">
        <v>37557.629999999997</v>
      </c>
      <c r="E943" s="71"/>
      <c r="F943" s="71"/>
      <c r="G943" s="71"/>
      <c r="H943" s="4" t="s">
        <v>145</v>
      </c>
      <c r="AS943" s="91">
        <f t="shared" si="44"/>
        <v>37557.629999999997</v>
      </c>
    </row>
    <row r="944" spans="1:45" ht="12" hidden="1" outlineLevel="3" x14ac:dyDescent="0.2">
      <c r="A944" s="73" t="s">
        <v>1055</v>
      </c>
      <c r="B944" s="71"/>
      <c r="C944" s="71"/>
      <c r="D944" s="72">
        <v>217770.06</v>
      </c>
      <c r="E944" s="71"/>
      <c r="F944" s="71"/>
      <c r="G944" s="71"/>
      <c r="H944" s="4" t="s">
        <v>146</v>
      </c>
      <c r="AS944" s="91">
        <f t="shared" si="44"/>
        <v>217770.06</v>
      </c>
    </row>
    <row r="945" spans="1:45" ht="12" hidden="1" outlineLevel="3" x14ac:dyDescent="0.2">
      <c r="A945" s="73" t="s">
        <v>1054</v>
      </c>
      <c r="B945" s="71"/>
      <c r="C945" s="71"/>
      <c r="D945" s="72">
        <v>63029.5</v>
      </c>
      <c r="E945" s="71"/>
      <c r="F945" s="71"/>
      <c r="G945" s="71"/>
      <c r="H945" s="4" t="s">
        <v>147</v>
      </c>
      <c r="AS945" s="91">
        <f t="shared" si="44"/>
        <v>63029.5</v>
      </c>
    </row>
    <row r="946" spans="1:45" ht="12" hidden="1" outlineLevel="3" x14ac:dyDescent="0.2">
      <c r="A946" s="73" t="s">
        <v>1053</v>
      </c>
      <c r="B946" s="71"/>
      <c r="C946" s="71"/>
      <c r="D946" s="72">
        <v>64642.67</v>
      </c>
      <c r="E946" s="71"/>
      <c r="F946" s="71"/>
      <c r="G946" s="71"/>
      <c r="H946" s="4" t="s">
        <v>148</v>
      </c>
      <c r="AS946" s="91">
        <f t="shared" si="44"/>
        <v>64642.67</v>
      </c>
    </row>
    <row r="947" spans="1:45" ht="12" hidden="1" outlineLevel="3" x14ac:dyDescent="0.2">
      <c r="A947" s="73" t="s">
        <v>1052</v>
      </c>
      <c r="B947" s="71"/>
      <c r="C947" s="71"/>
      <c r="D947" s="72">
        <v>27224.19</v>
      </c>
      <c r="E947" s="71"/>
      <c r="F947" s="71"/>
      <c r="G947" s="71"/>
      <c r="H947" s="4" t="s">
        <v>133</v>
      </c>
      <c r="AS947" s="91">
        <f t="shared" si="44"/>
        <v>27224.19</v>
      </c>
    </row>
    <row r="948" spans="1:45" ht="12" hidden="1" outlineLevel="3" x14ac:dyDescent="0.2">
      <c r="A948" s="73" t="s">
        <v>1051</v>
      </c>
      <c r="B948" s="71"/>
      <c r="C948" s="71"/>
      <c r="D948" s="72">
        <v>7936.84</v>
      </c>
      <c r="E948" s="71"/>
      <c r="F948" s="71"/>
      <c r="G948" s="71"/>
      <c r="H948" s="4" t="s">
        <v>134</v>
      </c>
      <c r="AS948" s="91">
        <f t="shared" si="44"/>
        <v>7936.84</v>
      </c>
    </row>
    <row r="949" spans="1:45" ht="12" hidden="1" outlineLevel="3" x14ac:dyDescent="0.2">
      <c r="A949" s="73" t="s">
        <v>1050</v>
      </c>
      <c r="B949" s="71"/>
      <c r="C949" s="71"/>
      <c r="D949" s="72">
        <v>93701.21</v>
      </c>
      <c r="E949" s="71"/>
      <c r="F949" s="71"/>
      <c r="G949" s="71"/>
      <c r="H949" s="4" t="s">
        <v>135</v>
      </c>
      <c r="AS949" s="91">
        <f t="shared" si="44"/>
        <v>93701.21</v>
      </c>
    </row>
    <row r="950" spans="1:45" ht="12" hidden="1" outlineLevel="3" x14ac:dyDescent="0.2">
      <c r="A950" s="73" t="s">
        <v>1049</v>
      </c>
      <c r="B950" s="71"/>
      <c r="C950" s="71"/>
      <c r="D950" s="72">
        <v>13665.84</v>
      </c>
      <c r="E950" s="71"/>
      <c r="F950" s="71"/>
      <c r="G950" s="71"/>
      <c r="H950" s="4" t="s">
        <v>110</v>
      </c>
      <c r="AS950" s="91">
        <f t="shared" si="44"/>
        <v>13665.84</v>
      </c>
    </row>
    <row r="951" spans="1:45" ht="12" hidden="1" outlineLevel="3" x14ac:dyDescent="0.2">
      <c r="A951" s="73" t="s">
        <v>1171</v>
      </c>
      <c r="B951" s="71"/>
      <c r="C951" s="71"/>
      <c r="D951" s="72">
        <v>180425.78</v>
      </c>
      <c r="E951" s="71"/>
      <c r="F951" s="71"/>
      <c r="G951" s="71"/>
      <c r="H951" s="4" t="s">
        <v>122</v>
      </c>
      <c r="AS951" s="91">
        <f t="shared" si="44"/>
        <v>180425.78</v>
      </c>
    </row>
    <row r="952" spans="1:45" ht="12" hidden="1" outlineLevel="3" x14ac:dyDescent="0.2">
      <c r="A952" s="73" t="s">
        <v>1047</v>
      </c>
      <c r="B952" s="71"/>
      <c r="C952" s="71"/>
      <c r="D952" s="72">
        <v>36333.97</v>
      </c>
      <c r="E952" s="71"/>
      <c r="F952" s="71"/>
      <c r="G952" s="71"/>
      <c r="H952" s="4" t="s">
        <v>123</v>
      </c>
      <c r="AS952" s="91">
        <f t="shared" si="44"/>
        <v>36333.97</v>
      </c>
    </row>
    <row r="953" spans="1:45" ht="12" hidden="1" outlineLevel="3" x14ac:dyDescent="0.2">
      <c r="A953" s="73" t="s">
        <v>1046</v>
      </c>
      <c r="B953" s="71"/>
      <c r="C953" s="71"/>
      <c r="D953" s="72">
        <v>68045.98</v>
      </c>
      <c r="E953" s="71"/>
      <c r="F953" s="71"/>
      <c r="G953" s="71"/>
      <c r="H953" s="4" t="s">
        <v>124</v>
      </c>
      <c r="AS953" s="91">
        <f t="shared" si="44"/>
        <v>68045.98</v>
      </c>
    </row>
    <row r="954" spans="1:45" ht="12" hidden="1" outlineLevel="3" x14ac:dyDescent="0.2">
      <c r="A954" s="73" t="s">
        <v>1045</v>
      </c>
      <c r="B954" s="71"/>
      <c r="C954" s="71"/>
      <c r="D954" s="72">
        <v>4697.9399999999996</v>
      </c>
      <c r="E954" s="71"/>
      <c r="F954" s="71"/>
      <c r="G954" s="71"/>
      <c r="H954" s="4" t="s">
        <v>125</v>
      </c>
      <c r="AS954" s="91">
        <f t="shared" si="44"/>
        <v>4697.9399999999996</v>
      </c>
    </row>
    <row r="955" spans="1:45" ht="12" hidden="1" outlineLevel="3" x14ac:dyDescent="0.2">
      <c r="A955" s="73" t="s">
        <v>1170</v>
      </c>
      <c r="B955" s="71"/>
      <c r="C955" s="71"/>
      <c r="D955" s="72">
        <v>83577.22</v>
      </c>
      <c r="E955" s="71"/>
      <c r="F955" s="71"/>
      <c r="G955" s="71"/>
      <c r="H955" s="4" t="s">
        <v>127</v>
      </c>
      <c r="AS955" s="91">
        <f t="shared" si="44"/>
        <v>83577.22</v>
      </c>
    </row>
    <row r="956" spans="1:45" ht="12" hidden="1" outlineLevel="3" x14ac:dyDescent="0.2">
      <c r="A956" s="73" t="s">
        <v>1169</v>
      </c>
      <c r="B956" s="71"/>
      <c r="C956" s="71"/>
      <c r="D956" s="72">
        <v>191155.38</v>
      </c>
      <c r="E956" s="71"/>
      <c r="F956" s="71"/>
      <c r="G956" s="71"/>
      <c r="H956" s="4" t="s">
        <v>128</v>
      </c>
      <c r="AS956" s="91">
        <f t="shared" si="44"/>
        <v>191155.38</v>
      </c>
    </row>
    <row r="957" spans="1:45" ht="12" hidden="1" outlineLevel="3" x14ac:dyDescent="0.2">
      <c r="A957" s="73" t="s">
        <v>1044</v>
      </c>
      <c r="B957" s="71"/>
      <c r="C957" s="71"/>
      <c r="D957" s="72">
        <v>129685.84</v>
      </c>
      <c r="E957" s="71"/>
      <c r="F957" s="71"/>
      <c r="G957" s="71"/>
      <c r="H957" s="4" t="s">
        <v>129</v>
      </c>
      <c r="AS957" s="91">
        <f t="shared" si="44"/>
        <v>129685.84</v>
      </c>
    </row>
    <row r="958" spans="1:45" ht="12" hidden="1" outlineLevel="3" x14ac:dyDescent="0.2">
      <c r="A958" s="73" t="s">
        <v>1043</v>
      </c>
      <c r="B958" s="71"/>
      <c r="C958" s="71"/>
      <c r="D958" s="72">
        <v>90986.72</v>
      </c>
      <c r="E958" s="71"/>
      <c r="F958" s="71"/>
      <c r="G958" s="71"/>
      <c r="H958" s="4" t="s">
        <v>130</v>
      </c>
      <c r="AS958" s="91">
        <f t="shared" si="44"/>
        <v>90986.72</v>
      </c>
    </row>
    <row r="959" spans="1:45" ht="12" hidden="1" outlineLevel="3" x14ac:dyDescent="0.2">
      <c r="A959" s="73" t="s">
        <v>1042</v>
      </c>
      <c r="B959" s="71"/>
      <c r="C959" s="71"/>
      <c r="D959" s="72">
        <v>120941.98</v>
      </c>
      <c r="E959" s="71"/>
      <c r="F959" s="71"/>
      <c r="G959" s="71"/>
      <c r="H959" s="4" t="s">
        <v>113</v>
      </c>
      <c r="AS959" s="91">
        <f t="shared" si="44"/>
        <v>120941.98</v>
      </c>
    </row>
    <row r="960" spans="1:45" ht="12" hidden="1" outlineLevel="3" x14ac:dyDescent="0.2">
      <c r="A960" s="73" t="s">
        <v>1041</v>
      </c>
      <c r="B960" s="71"/>
      <c r="C960" s="71"/>
      <c r="D960" s="72">
        <v>39142.58</v>
      </c>
      <c r="E960" s="71"/>
      <c r="F960" s="71"/>
      <c r="G960" s="71"/>
      <c r="H960" s="4" t="s">
        <v>116</v>
      </c>
      <c r="AS960" s="91">
        <f t="shared" si="44"/>
        <v>39142.58</v>
      </c>
    </row>
    <row r="961" spans="1:45" ht="12" hidden="1" outlineLevel="3" x14ac:dyDescent="0.2">
      <c r="A961" s="73" t="s">
        <v>1040</v>
      </c>
      <c r="B961" s="71"/>
      <c r="C961" s="71"/>
      <c r="D961" s="72">
        <v>35659.89</v>
      </c>
      <c r="E961" s="71"/>
      <c r="F961" s="71"/>
      <c r="G961" s="71"/>
      <c r="H961" s="4" t="s">
        <v>117</v>
      </c>
      <c r="AS961" s="91">
        <f t="shared" si="44"/>
        <v>35659.89</v>
      </c>
    </row>
    <row r="962" spans="1:45" ht="12" hidden="1" outlineLevel="3" x14ac:dyDescent="0.2">
      <c r="A962" s="73" t="s">
        <v>1168</v>
      </c>
      <c r="B962" s="71"/>
      <c r="C962" s="71"/>
      <c r="D962" s="72">
        <v>88432.57</v>
      </c>
      <c r="E962" s="71"/>
      <c r="F962" s="71"/>
      <c r="G962" s="71"/>
      <c r="H962" s="4" t="s">
        <v>119</v>
      </c>
      <c r="AS962" s="91">
        <f t="shared" si="44"/>
        <v>88432.57</v>
      </c>
    </row>
    <row r="963" spans="1:45" ht="12" hidden="1" outlineLevel="3" x14ac:dyDescent="0.2">
      <c r="A963" s="73" t="s">
        <v>1039</v>
      </c>
      <c r="B963" s="71"/>
      <c r="C963" s="71"/>
      <c r="D963" s="72">
        <v>182060.73</v>
      </c>
      <c r="E963" s="71"/>
      <c r="F963" s="71"/>
      <c r="G963" s="71"/>
      <c r="H963" s="4" t="s">
        <v>120</v>
      </c>
      <c r="AS963" s="91">
        <f t="shared" si="44"/>
        <v>182060.73</v>
      </c>
    </row>
    <row r="964" spans="1:45" ht="12" hidden="1" outlineLevel="3" x14ac:dyDescent="0.2">
      <c r="A964" s="73" t="s">
        <v>1167</v>
      </c>
      <c r="B964" s="71"/>
      <c r="C964" s="71"/>
      <c r="D964" s="72">
        <v>101751.63</v>
      </c>
      <c r="E964" s="71"/>
      <c r="F964" s="71"/>
      <c r="G964" s="71"/>
      <c r="H964" s="4" t="s">
        <v>86</v>
      </c>
      <c r="AS964" s="91">
        <f t="shared" si="44"/>
        <v>101751.63</v>
      </c>
    </row>
    <row r="965" spans="1:45" ht="12" hidden="1" outlineLevel="3" x14ac:dyDescent="0.2">
      <c r="A965" s="73" t="s">
        <v>945</v>
      </c>
      <c r="B965" s="71"/>
      <c r="C965" s="71"/>
      <c r="D965" s="72">
        <v>47491.4</v>
      </c>
      <c r="E965" s="71"/>
      <c r="F965" s="71"/>
      <c r="G965" s="71"/>
      <c r="H965" s="4" t="s">
        <v>87</v>
      </c>
      <c r="AS965" s="91">
        <f t="shared" si="44"/>
        <v>47491.4</v>
      </c>
    </row>
    <row r="966" spans="1:45" ht="12" hidden="1" outlineLevel="3" x14ac:dyDescent="0.2">
      <c r="A966" s="73" t="s">
        <v>944</v>
      </c>
      <c r="B966" s="71"/>
      <c r="C966" s="71"/>
      <c r="D966" s="72">
        <v>50894.400000000001</v>
      </c>
      <c r="E966" s="71"/>
      <c r="F966" s="71"/>
      <c r="G966" s="71"/>
      <c r="H966" s="4" t="s">
        <v>88</v>
      </c>
      <c r="AS966" s="91">
        <f t="shared" si="44"/>
        <v>50894.400000000001</v>
      </c>
    </row>
    <row r="967" spans="1:45" ht="12" hidden="1" outlineLevel="3" x14ac:dyDescent="0.2">
      <c r="A967" s="73" t="s">
        <v>1166</v>
      </c>
      <c r="B967" s="71"/>
      <c r="C967" s="71"/>
      <c r="D967" s="72">
        <v>18534.66</v>
      </c>
      <c r="E967" s="71"/>
      <c r="F967" s="71"/>
      <c r="G967" s="71"/>
      <c r="AS967" s="91">
        <f t="shared" si="44"/>
        <v>18534.66</v>
      </c>
    </row>
    <row r="968" spans="1:45" ht="12" hidden="1" outlineLevel="3" x14ac:dyDescent="0.2">
      <c r="A968" s="73" t="s">
        <v>1165</v>
      </c>
      <c r="B968" s="71"/>
      <c r="C968" s="71"/>
      <c r="D968" s="72">
        <v>163372.56</v>
      </c>
      <c r="E968" s="71"/>
      <c r="F968" s="71"/>
      <c r="G968" s="71"/>
      <c r="H968" s="4" t="s">
        <v>89</v>
      </c>
      <c r="AS968" s="91">
        <f t="shared" si="44"/>
        <v>163372.56</v>
      </c>
    </row>
    <row r="969" spans="1:45" ht="12" hidden="1" outlineLevel="3" x14ac:dyDescent="0.2">
      <c r="A969" s="73" t="s">
        <v>1038</v>
      </c>
      <c r="B969" s="71"/>
      <c r="C969" s="71"/>
      <c r="D969" s="72">
        <v>16322.78</v>
      </c>
      <c r="E969" s="71"/>
      <c r="F969" s="71"/>
      <c r="G969" s="71"/>
      <c r="H969" s="4" t="s">
        <v>90</v>
      </c>
      <c r="AS969" s="91">
        <f t="shared" si="44"/>
        <v>16322.78</v>
      </c>
    </row>
    <row r="970" spans="1:45" ht="12" hidden="1" outlineLevel="3" x14ac:dyDescent="0.2">
      <c r="A970" s="73" t="s">
        <v>950</v>
      </c>
      <c r="B970" s="71"/>
      <c r="C970" s="71"/>
      <c r="D970" s="72">
        <v>140253.38</v>
      </c>
      <c r="E970" s="71"/>
      <c r="F970" s="71"/>
      <c r="G970" s="71"/>
      <c r="H970" s="4" t="s">
        <v>84</v>
      </c>
      <c r="AS970" s="91">
        <f t="shared" si="44"/>
        <v>140253.38</v>
      </c>
    </row>
    <row r="971" spans="1:45" ht="12" hidden="1" outlineLevel="3" x14ac:dyDescent="0.2">
      <c r="A971" s="73" t="s">
        <v>1164</v>
      </c>
      <c r="B971" s="71"/>
      <c r="C971" s="71"/>
      <c r="D971" s="72">
        <v>146374.53</v>
      </c>
      <c r="E971" s="71"/>
      <c r="F971" s="71"/>
      <c r="G971" s="71"/>
      <c r="H971" s="4" t="s">
        <v>85</v>
      </c>
      <c r="AS971" s="91">
        <f t="shared" si="44"/>
        <v>146374.53</v>
      </c>
    </row>
    <row r="972" spans="1:45" ht="12" hidden="1" outlineLevel="3" x14ac:dyDescent="0.2">
      <c r="A972" s="73" t="s">
        <v>1163</v>
      </c>
      <c r="B972" s="71"/>
      <c r="C972" s="71"/>
      <c r="D972" s="72">
        <v>90311.93</v>
      </c>
      <c r="E972" s="71"/>
      <c r="F972" s="71"/>
      <c r="G972" s="71"/>
      <c r="H972" s="4" t="s">
        <v>101</v>
      </c>
      <c r="AS972" s="91">
        <f t="shared" si="44"/>
        <v>90311.93</v>
      </c>
    </row>
    <row r="973" spans="1:45" ht="12" hidden="1" outlineLevel="3" x14ac:dyDescent="0.2">
      <c r="A973" s="73" t="s">
        <v>1162</v>
      </c>
      <c r="B973" s="71"/>
      <c r="C973" s="71"/>
      <c r="D973" s="72">
        <v>37952.519999999997</v>
      </c>
      <c r="E973" s="71"/>
      <c r="F973" s="71"/>
      <c r="G973" s="71"/>
      <c r="H973" s="4" t="s">
        <v>102</v>
      </c>
      <c r="AS973" s="91">
        <f t="shared" si="44"/>
        <v>37952.519999999997</v>
      </c>
    </row>
    <row r="974" spans="1:45" ht="12.75" hidden="1" outlineLevel="3" x14ac:dyDescent="0.2">
      <c r="A974" s="73" t="s">
        <v>1161</v>
      </c>
      <c r="B974" s="71"/>
      <c r="C974" s="71"/>
      <c r="D974" s="72">
        <v>102300.96</v>
      </c>
      <c r="E974" s="71"/>
      <c r="F974" s="71"/>
      <c r="G974" s="71"/>
      <c r="H974" s="17" t="s">
        <v>99</v>
      </c>
      <c r="AS974" s="91">
        <f t="shared" si="44"/>
        <v>102300.96</v>
      </c>
    </row>
    <row r="975" spans="1:45" ht="12" hidden="1" outlineLevel="3" x14ac:dyDescent="0.2">
      <c r="A975" s="73" t="s">
        <v>1160</v>
      </c>
      <c r="B975" s="71"/>
      <c r="C975" s="71"/>
      <c r="D975" s="72">
        <v>106835.78</v>
      </c>
      <c r="E975" s="71"/>
      <c r="F975" s="71"/>
      <c r="G975" s="71"/>
      <c r="H975" s="4" t="s">
        <v>149</v>
      </c>
      <c r="AS975" s="91">
        <f t="shared" si="44"/>
        <v>106835.78</v>
      </c>
    </row>
    <row r="976" spans="1:45" ht="12" hidden="1" outlineLevel="3" x14ac:dyDescent="0.2">
      <c r="A976" s="73" t="s">
        <v>1029</v>
      </c>
      <c r="B976" s="71"/>
      <c r="C976" s="71"/>
      <c r="D976" s="72">
        <v>26037.11</v>
      </c>
      <c r="E976" s="71"/>
      <c r="F976" s="71"/>
      <c r="G976" s="71"/>
      <c r="H976" s="4" t="s">
        <v>153</v>
      </c>
      <c r="AS976" s="91">
        <f t="shared" si="44"/>
        <v>26037.11</v>
      </c>
    </row>
    <row r="977" spans="1:45" ht="12" hidden="1" outlineLevel="3" x14ac:dyDescent="0.2">
      <c r="A977" s="73" t="s">
        <v>1028</v>
      </c>
      <c r="B977" s="71"/>
      <c r="C977" s="71"/>
      <c r="D977" s="72">
        <v>109566.86</v>
      </c>
      <c r="E977" s="71"/>
      <c r="F977" s="71"/>
      <c r="G977" s="71"/>
      <c r="H977" s="4" t="s">
        <v>154</v>
      </c>
      <c r="AS977" s="91">
        <f t="shared" si="44"/>
        <v>109566.86</v>
      </c>
    </row>
    <row r="978" spans="1:45" ht="12" hidden="1" outlineLevel="3" x14ac:dyDescent="0.2">
      <c r="A978" s="73" t="s">
        <v>1027</v>
      </c>
      <c r="B978" s="71"/>
      <c r="C978" s="71"/>
      <c r="D978" s="72">
        <v>152086.51</v>
      </c>
      <c r="E978" s="71"/>
      <c r="F978" s="71"/>
      <c r="G978" s="71"/>
      <c r="H978" s="4" t="s">
        <v>155</v>
      </c>
      <c r="AS978" s="91">
        <f t="shared" si="44"/>
        <v>152086.51</v>
      </c>
    </row>
    <row r="979" spans="1:45" ht="12" hidden="1" outlineLevel="3" x14ac:dyDescent="0.2">
      <c r="A979" s="73" t="s">
        <v>1026</v>
      </c>
      <c r="B979" s="71"/>
      <c r="C979" s="71"/>
      <c r="D979" s="72">
        <v>103858.2</v>
      </c>
      <c r="E979" s="71"/>
      <c r="F979" s="71"/>
      <c r="G979" s="71"/>
      <c r="H979" s="4" t="s">
        <v>156</v>
      </c>
      <c r="AS979" s="91">
        <f t="shared" si="44"/>
        <v>103858.2</v>
      </c>
    </row>
    <row r="980" spans="1:45" ht="12" hidden="1" outlineLevel="3" x14ac:dyDescent="0.2">
      <c r="A980" s="73" t="s">
        <v>1025</v>
      </c>
      <c r="B980" s="71"/>
      <c r="C980" s="71"/>
      <c r="D980" s="72">
        <v>74453.279999999999</v>
      </c>
      <c r="E980" s="71"/>
      <c r="F980" s="71"/>
      <c r="G980" s="71"/>
      <c r="H980" s="4" t="s">
        <v>157</v>
      </c>
      <c r="AS980" s="91">
        <f t="shared" si="44"/>
        <v>74453.279999999999</v>
      </c>
    </row>
    <row r="981" spans="1:45" ht="12" hidden="1" outlineLevel="3" x14ac:dyDescent="0.2">
      <c r="A981" s="73" t="s">
        <v>1024</v>
      </c>
      <c r="B981" s="71"/>
      <c r="C981" s="71"/>
      <c r="D981" s="72">
        <v>70769.009999999995</v>
      </c>
      <c r="E981" s="71"/>
      <c r="F981" s="71"/>
      <c r="G981" s="71"/>
      <c r="H981" s="4" t="s">
        <v>158</v>
      </c>
      <c r="AS981" s="91">
        <f t="shared" si="44"/>
        <v>70769.009999999995</v>
      </c>
    </row>
    <row r="982" spans="1:45" ht="12" hidden="1" outlineLevel="3" x14ac:dyDescent="0.2">
      <c r="A982" s="73" t="s">
        <v>1023</v>
      </c>
      <c r="B982" s="71"/>
      <c r="C982" s="71"/>
      <c r="D982" s="72">
        <v>57264.55</v>
      </c>
      <c r="E982" s="71"/>
      <c r="F982" s="71"/>
      <c r="G982" s="71"/>
      <c r="H982" s="4" t="s">
        <v>159</v>
      </c>
      <c r="AS982" s="91">
        <f t="shared" si="44"/>
        <v>57264.55</v>
      </c>
    </row>
    <row r="983" spans="1:45" ht="12" hidden="1" outlineLevel="3" x14ac:dyDescent="0.2">
      <c r="A983" s="73" t="s">
        <v>1022</v>
      </c>
      <c r="B983" s="71"/>
      <c r="C983" s="71"/>
      <c r="D983" s="72">
        <v>45866.81</v>
      </c>
      <c r="E983" s="71"/>
      <c r="F983" s="71"/>
      <c r="G983" s="71"/>
      <c r="H983" s="4" t="s">
        <v>160</v>
      </c>
      <c r="AS983" s="91">
        <f t="shared" si="44"/>
        <v>45866.81</v>
      </c>
    </row>
    <row r="984" spans="1:45" ht="12" hidden="1" outlineLevel="3" x14ac:dyDescent="0.2">
      <c r="A984" s="73" t="s">
        <v>1021</v>
      </c>
      <c r="B984" s="71"/>
      <c r="C984" s="71"/>
      <c r="D984" s="72">
        <v>212644.13</v>
      </c>
      <c r="E984" s="71"/>
      <c r="F984" s="71"/>
      <c r="G984" s="71"/>
      <c r="H984" s="4" t="s">
        <v>161</v>
      </c>
      <c r="AS984" s="91">
        <f t="shared" si="44"/>
        <v>212644.13</v>
      </c>
    </row>
    <row r="985" spans="1:45" ht="12" hidden="1" outlineLevel="3" x14ac:dyDescent="0.2">
      <c r="A985" s="73" t="s">
        <v>1020</v>
      </c>
      <c r="B985" s="71"/>
      <c r="C985" s="71"/>
      <c r="D985" s="72">
        <v>187903.99</v>
      </c>
      <c r="E985" s="71"/>
      <c r="F985" s="71"/>
      <c r="G985" s="71"/>
      <c r="H985" s="4" t="s">
        <v>162</v>
      </c>
      <c r="AS985" s="91">
        <f t="shared" si="44"/>
        <v>187903.99</v>
      </c>
    </row>
    <row r="986" spans="1:45" ht="12" hidden="1" outlineLevel="3" x14ac:dyDescent="0.2">
      <c r="A986" s="73" t="s">
        <v>1019</v>
      </c>
      <c r="B986" s="71"/>
      <c r="C986" s="71"/>
      <c r="D986" s="72">
        <v>137047.37</v>
      </c>
      <c r="E986" s="71"/>
      <c r="F986" s="71"/>
      <c r="G986" s="71"/>
      <c r="H986" s="4" t="s">
        <v>164</v>
      </c>
      <c r="AS986" s="91">
        <f t="shared" si="44"/>
        <v>137047.37</v>
      </c>
    </row>
    <row r="987" spans="1:45" ht="12" hidden="1" outlineLevel="3" x14ac:dyDescent="0.2">
      <c r="A987" s="73" t="s">
        <v>1018</v>
      </c>
      <c r="B987" s="71"/>
      <c r="C987" s="71"/>
      <c r="D987" s="72">
        <v>146323.26999999999</v>
      </c>
      <c r="E987" s="71"/>
      <c r="F987" s="71"/>
      <c r="G987" s="71"/>
      <c r="H987" s="4" t="s">
        <v>166</v>
      </c>
      <c r="AS987" s="91">
        <f t="shared" si="44"/>
        <v>146323.26999999999</v>
      </c>
    </row>
    <row r="988" spans="1:45" ht="12" hidden="1" outlineLevel="3" x14ac:dyDescent="0.2">
      <c r="A988" s="73" t="s">
        <v>1017</v>
      </c>
      <c r="B988" s="71"/>
      <c r="C988" s="71"/>
      <c r="D988" s="72">
        <v>37349.93</v>
      </c>
      <c r="E988" s="71"/>
      <c r="F988" s="71"/>
      <c r="G988" s="71"/>
      <c r="H988" s="4" t="s">
        <v>167</v>
      </c>
      <c r="AS988" s="91">
        <f t="shared" si="44"/>
        <v>37349.93</v>
      </c>
    </row>
    <row r="989" spans="1:45" ht="12" hidden="1" outlineLevel="3" x14ac:dyDescent="0.2">
      <c r="A989" s="73" t="s">
        <v>1016</v>
      </c>
      <c r="B989" s="71"/>
      <c r="C989" s="71"/>
      <c r="D989" s="72">
        <v>24843.64</v>
      </c>
      <c r="E989" s="71"/>
      <c r="F989" s="71"/>
      <c r="G989" s="71"/>
      <c r="H989" s="4" t="s">
        <v>168</v>
      </c>
      <c r="AS989" s="91">
        <f t="shared" si="44"/>
        <v>24843.64</v>
      </c>
    </row>
    <row r="990" spans="1:45" ht="12" hidden="1" outlineLevel="3" x14ac:dyDescent="0.2">
      <c r="A990" s="73" t="s">
        <v>1015</v>
      </c>
      <c r="B990" s="71"/>
      <c r="C990" s="71"/>
      <c r="D990" s="79">
        <v>373.34</v>
      </c>
      <c r="E990" s="71"/>
      <c r="F990" s="71"/>
      <c r="G990" s="71"/>
      <c r="H990" s="4" t="s">
        <v>169</v>
      </c>
      <c r="AS990" s="91">
        <f t="shared" si="44"/>
        <v>373.34</v>
      </c>
    </row>
    <row r="991" spans="1:45" ht="12" hidden="1" outlineLevel="3" x14ac:dyDescent="0.2">
      <c r="A991" s="73" t="s">
        <v>1014</v>
      </c>
      <c r="B991" s="71"/>
      <c r="C991" s="71"/>
      <c r="D991" s="72">
        <v>54700.32</v>
      </c>
      <c r="E991" s="71"/>
      <c r="F991" s="71"/>
      <c r="G991" s="71"/>
      <c r="H991" s="4" t="s">
        <v>150</v>
      </c>
      <c r="AS991" s="91">
        <f t="shared" si="44"/>
        <v>54700.32</v>
      </c>
    </row>
    <row r="992" spans="1:45" ht="12" hidden="1" outlineLevel="3" x14ac:dyDescent="0.2">
      <c r="A992" s="73" t="s">
        <v>1013</v>
      </c>
      <c r="B992" s="71"/>
      <c r="C992" s="71"/>
      <c r="D992" s="72">
        <v>7665.96</v>
      </c>
      <c r="E992" s="71"/>
      <c r="F992" s="71"/>
      <c r="G992" s="71"/>
      <c r="H992" s="4" t="s">
        <v>170</v>
      </c>
      <c r="AS992" s="91">
        <f t="shared" si="44"/>
        <v>7665.96</v>
      </c>
    </row>
    <row r="993" spans="1:45" ht="12" hidden="1" outlineLevel="3" x14ac:dyDescent="0.2">
      <c r="A993" s="73" t="s">
        <v>1012</v>
      </c>
      <c r="B993" s="71"/>
      <c r="C993" s="71"/>
      <c r="D993" s="72">
        <v>57549.73</v>
      </c>
      <c r="E993" s="71"/>
      <c r="F993" s="71"/>
      <c r="G993" s="71"/>
      <c r="H993" s="4" t="s">
        <v>171</v>
      </c>
      <c r="AS993" s="91">
        <f t="shared" si="44"/>
        <v>57549.73</v>
      </c>
    </row>
    <row r="994" spans="1:45" ht="12" hidden="1" outlineLevel="3" x14ac:dyDescent="0.2">
      <c r="A994" s="73" t="s">
        <v>1011</v>
      </c>
      <c r="B994" s="71"/>
      <c r="C994" s="71"/>
      <c r="D994" s="72">
        <v>45083.35</v>
      </c>
      <c r="E994" s="71"/>
      <c r="F994" s="71"/>
      <c r="G994" s="71"/>
      <c r="H994" s="4" t="s">
        <v>172</v>
      </c>
      <c r="AS994" s="91">
        <f t="shared" si="44"/>
        <v>45083.35</v>
      </c>
    </row>
    <row r="995" spans="1:45" ht="12" hidden="1" outlineLevel="3" x14ac:dyDescent="0.2">
      <c r="A995" s="73" t="s">
        <v>1010</v>
      </c>
      <c r="B995" s="71"/>
      <c r="C995" s="71"/>
      <c r="D995" s="72">
        <v>20724.8</v>
      </c>
      <c r="E995" s="71"/>
      <c r="F995" s="71"/>
      <c r="G995" s="71"/>
      <c r="H995" s="4" t="s">
        <v>173</v>
      </c>
      <c r="AS995" s="91">
        <f t="shared" si="44"/>
        <v>20724.8</v>
      </c>
    </row>
    <row r="996" spans="1:45" ht="12" hidden="1" outlineLevel="3" x14ac:dyDescent="0.2">
      <c r="A996" s="73" t="s">
        <v>1159</v>
      </c>
      <c r="B996" s="71"/>
      <c r="C996" s="71"/>
      <c r="D996" s="72">
        <v>121553.29</v>
      </c>
      <c r="E996" s="71"/>
      <c r="F996" s="71"/>
      <c r="G996" s="71"/>
      <c r="H996" s="4" t="s">
        <v>174</v>
      </c>
      <c r="AS996" s="91">
        <f t="shared" si="44"/>
        <v>121553.29</v>
      </c>
    </row>
    <row r="997" spans="1:45" ht="12" hidden="1" outlineLevel="3" x14ac:dyDescent="0.2">
      <c r="A997" s="73" t="s">
        <v>1158</v>
      </c>
      <c r="B997" s="71"/>
      <c r="C997" s="71"/>
      <c r="D997" s="72">
        <v>31644.42</v>
      </c>
      <c r="E997" s="71"/>
      <c r="F997" s="71"/>
      <c r="G997" s="71"/>
      <c r="H997" s="4" t="s">
        <v>151</v>
      </c>
      <c r="AS997" s="91">
        <f t="shared" si="44"/>
        <v>31644.42</v>
      </c>
    </row>
    <row r="998" spans="1:45" ht="12" hidden="1" outlineLevel="3" x14ac:dyDescent="0.2">
      <c r="A998" s="73" t="s">
        <v>949</v>
      </c>
      <c r="B998" s="71"/>
      <c r="C998" s="71"/>
      <c r="D998" s="72">
        <v>35576.04</v>
      </c>
      <c r="E998" s="71"/>
      <c r="F998" s="71"/>
      <c r="G998" s="71"/>
      <c r="H998" s="4" t="s">
        <v>109</v>
      </c>
      <c r="AS998" s="91">
        <f t="shared" si="44"/>
        <v>35576.04</v>
      </c>
    </row>
    <row r="999" spans="1:45" ht="12" hidden="1" outlineLevel="3" x14ac:dyDescent="0.2">
      <c r="A999" s="73" t="s">
        <v>1005</v>
      </c>
      <c r="B999" s="71"/>
      <c r="C999" s="71"/>
      <c r="D999" s="72">
        <v>96260.71</v>
      </c>
      <c r="E999" s="71"/>
      <c r="F999" s="71"/>
      <c r="G999" s="71"/>
      <c r="H999" s="4" t="s">
        <v>69</v>
      </c>
      <c r="AS999" s="91">
        <f t="shared" ref="AS999:AS1062" si="45">$D999</f>
        <v>96260.71</v>
      </c>
    </row>
    <row r="1000" spans="1:45" ht="12" hidden="1" outlineLevel="3" x14ac:dyDescent="0.2">
      <c r="A1000" s="73" t="s">
        <v>1157</v>
      </c>
      <c r="B1000" s="71"/>
      <c r="C1000" s="71"/>
      <c r="D1000" s="72">
        <v>64958.32</v>
      </c>
      <c r="E1000" s="71"/>
      <c r="F1000" s="71"/>
      <c r="G1000" s="71"/>
      <c r="H1000" s="4" t="s">
        <v>72</v>
      </c>
      <c r="AS1000" s="91">
        <f t="shared" si="45"/>
        <v>64958.32</v>
      </c>
    </row>
    <row r="1001" spans="1:45" ht="12" hidden="1" outlineLevel="3" x14ac:dyDescent="0.2">
      <c r="A1001" s="73" t="s">
        <v>1004</v>
      </c>
      <c r="B1001" s="71"/>
      <c r="C1001" s="71"/>
      <c r="D1001" s="72">
        <v>22297.75</v>
      </c>
      <c r="E1001" s="71"/>
      <c r="F1001" s="71"/>
      <c r="G1001" s="71"/>
      <c r="H1001" s="4" t="s">
        <v>71</v>
      </c>
      <c r="AS1001" s="91">
        <f t="shared" si="45"/>
        <v>22297.75</v>
      </c>
    </row>
    <row r="1002" spans="1:45" ht="12" hidden="1" outlineLevel="3" x14ac:dyDescent="0.2">
      <c r="A1002" s="73" t="s">
        <v>1156</v>
      </c>
      <c r="B1002" s="71"/>
      <c r="C1002" s="71"/>
      <c r="D1002" s="72">
        <v>27660.54</v>
      </c>
      <c r="E1002" s="71"/>
      <c r="F1002" s="71"/>
      <c r="G1002" s="71"/>
      <c r="H1002" s="4" t="s">
        <v>205</v>
      </c>
      <c r="AS1002" s="91">
        <f t="shared" si="45"/>
        <v>27660.54</v>
      </c>
    </row>
    <row r="1003" spans="1:45" ht="12" hidden="1" outlineLevel="3" x14ac:dyDescent="0.2">
      <c r="A1003" s="73" t="s">
        <v>1003</v>
      </c>
      <c r="B1003" s="71"/>
      <c r="C1003" s="71"/>
      <c r="D1003" s="72">
        <v>31491.37</v>
      </c>
      <c r="E1003" s="71"/>
      <c r="F1003" s="71"/>
      <c r="G1003" s="71"/>
      <c r="H1003" s="4" t="s">
        <v>206</v>
      </c>
      <c r="AS1003" s="91">
        <f t="shared" si="45"/>
        <v>31491.37</v>
      </c>
    </row>
    <row r="1004" spans="1:45" ht="12" hidden="1" outlineLevel="3" x14ac:dyDescent="0.2">
      <c r="A1004" s="73" t="s">
        <v>1002</v>
      </c>
      <c r="B1004" s="71"/>
      <c r="C1004" s="71"/>
      <c r="D1004" s="72">
        <v>45749.09</v>
      </c>
      <c r="E1004" s="71"/>
      <c r="F1004" s="71"/>
      <c r="G1004" s="71"/>
      <c r="H1004" s="4" t="s">
        <v>207</v>
      </c>
      <c r="AS1004" s="91">
        <f t="shared" si="45"/>
        <v>45749.09</v>
      </c>
    </row>
    <row r="1005" spans="1:45" ht="12" hidden="1" outlineLevel="3" x14ac:dyDescent="0.2">
      <c r="A1005" s="73" t="s">
        <v>1155</v>
      </c>
      <c r="B1005" s="71"/>
      <c r="C1005" s="71"/>
      <c r="D1005" s="72">
        <v>45783.3</v>
      </c>
      <c r="E1005" s="71"/>
      <c r="F1005" s="71"/>
      <c r="G1005" s="71"/>
      <c r="H1005" s="4" t="s">
        <v>208</v>
      </c>
      <c r="AS1005" s="91">
        <f t="shared" si="45"/>
        <v>45783.3</v>
      </c>
    </row>
    <row r="1006" spans="1:45" ht="12" hidden="1" outlineLevel="3" x14ac:dyDescent="0.2">
      <c r="A1006" s="73" t="s">
        <v>1154</v>
      </c>
      <c r="B1006" s="71"/>
      <c r="C1006" s="71"/>
      <c r="D1006" s="72">
        <v>49364.160000000003</v>
      </c>
      <c r="E1006" s="71"/>
      <c r="F1006" s="71"/>
      <c r="G1006" s="71"/>
      <c r="H1006" s="4" t="s">
        <v>209</v>
      </c>
      <c r="AS1006" s="91">
        <f t="shared" si="45"/>
        <v>49364.160000000003</v>
      </c>
    </row>
    <row r="1007" spans="1:45" ht="12" hidden="1" outlineLevel="3" x14ac:dyDescent="0.2">
      <c r="A1007" s="73" t="s">
        <v>1153</v>
      </c>
      <c r="B1007" s="71"/>
      <c r="C1007" s="71"/>
      <c r="D1007" s="72">
        <v>50241.81</v>
      </c>
      <c r="E1007" s="71"/>
      <c r="F1007" s="71"/>
      <c r="G1007" s="71"/>
      <c r="H1007" s="4" t="s">
        <v>210</v>
      </c>
      <c r="AS1007" s="91">
        <f t="shared" si="45"/>
        <v>50241.81</v>
      </c>
    </row>
    <row r="1008" spans="1:45" ht="12" hidden="1" outlineLevel="3" x14ac:dyDescent="0.2">
      <c r="A1008" s="73" t="s">
        <v>1001</v>
      </c>
      <c r="B1008" s="71"/>
      <c r="C1008" s="71"/>
      <c r="D1008" s="72">
        <v>38482.85</v>
      </c>
      <c r="E1008" s="71"/>
      <c r="F1008" s="71"/>
      <c r="G1008" s="71"/>
      <c r="H1008" s="4" t="s">
        <v>211</v>
      </c>
      <c r="AS1008" s="91">
        <f t="shared" si="45"/>
        <v>38482.85</v>
      </c>
    </row>
    <row r="1009" spans="1:45" ht="12" hidden="1" outlineLevel="3" x14ac:dyDescent="0.2">
      <c r="A1009" s="73" t="s">
        <v>1000</v>
      </c>
      <c r="B1009" s="71"/>
      <c r="C1009" s="71"/>
      <c r="D1009" s="72">
        <v>34367.97</v>
      </c>
      <c r="E1009" s="71"/>
      <c r="F1009" s="71"/>
      <c r="G1009" s="71"/>
      <c r="H1009" s="4" t="s">
        <v>212</v>
      </c>
      <c r="AS1009" s="91">
        <f t="shared" si="45"/>
        <v>34367.97</v>
      </c>
    </row>
    <row r="1010" spans="1:45" ht="12" hidden="1" outlineLevel="3" x14ac:dyDescent="0.2">
      <c r="A1010" s="73" t="s">
        <v>999</v>
      </c>
      <c r="B1010" s="71"/>
      <c r="C1010" s="71"/>
      <c r="D1010" s="72">
        <v>45752.78</v>
      </c>
      <c r="E1010" s="71"/>
      <c r="F1010" s="71"/>
      <c r="G1010" s="71"/>
      <c r="H1010" s="4" t="s">
        <v>213</v>
      </c>
      <c r="AS1010" s="91">
        <f t="shared" si="45"/>
        <v>45752.78</v>
      </c>
    </row>
    <row r="1011" spans="1:45" ht="12" hidden="1" outlineLevel="3" x14ac:dyDescent="0.2">
      <c r="A1011" s="73" t="s">
        <v>998</v>
      </c>
      <c r="B1011" s="71"/>
      <c r="C1011" s="71"/>
      <c r="D1011" s="72">
        <v>78911.75</v>
      </c>
      <c r="E1011" s="71"/>
      <c r="F1011" s="71"/>
      <c r="G1011" s="71"/>
      <c r="H1011" s="4" t="s">
        <v>214</v>
      </c>
      <c r="AS1011" s="91">
        <f t="shared" si="45"/>
        <v>78911.75</v>
      </c>
    </row>
    <row r="1012" spans="1:45" ht="12" hidden="1" outlineLevel="3" x14ac:dyDescent="0.2">
      <c r="A1012" s="73" t="s">
        <v>997</v>
      </c>
      <c r="B1012" s="71"/>
      <c r="C1012" s="71"/>
      <c r="D1012" s="72">
        <v>70920.3</v>
      </c>
      <c r="E1012" s="71"/>
      <c r="F1012" s="71"/>
      <c r="G1012" s="71"/>
      <c r="H1012" s="4" t="s">
        <v>215</v>
      </c>
      <c r="AS1012" s="91">
        <f t="shared" si="45"/>
        <v>70920.3</v>
      </c>
    </row>
    <row r="1013" spans="1:45" ht="12" hidden="1" outlineLevel="3" x14ac:dyDescent="0.2">
      <c r="A1013" s="73" t="s">
        <v>996</v>
      </c>
      <c r="B1013" s="71"/>
      <c r="C1013" s="71"/>
      <c r="D1013" s="72">
        <v>35916.79</v>
      </c>
      <c r="E1013" s="71"/>
      <c r="F1013" s="71"/>
      <c r="G1013" s="71"/>
      <c r="H1013" s="4" t="s">
        <v>216</v>
      </c>
      <c r="AS1013" s="91">
        <f t="shared" si="45"/>
        <v>35916.79</v>
      </c>
    </row>
    <row r="1014" spans="1:45" ht="12" hidden="1" outlineLevel="3" x14ac:dyDescent="0.2">
      <c r="A1014" s="73" t="s">
        <v>943</v>
      </c>
      <c r="B1014" s="71"/>
      <c r="C1014" s="71"/>
      <c r="D1014" s="72">
        <v>63160.52</v>
      </c>
      <c r="E1014" s="71"/>
      <c r="F1014" s="71"/>
      <c r="G1014" s="71"/>
      <c r="H1014" s="4" t="s">
        <v>217</v>
      </c>
      <c r="AS1014" s="91">
        <f t="shared" si="45"/>
        <v>63160.52</v>
      </c>
    </row>
    <row r="1015" spans="1:45" ht="12" hidden="1" outlineLevel="3" x14ac:dyDescent="0.2">
      <c r="A1015" s="73" t="s">
        <v>995</v>
      </c>
      <c r="B1015" s="71"/>
      <c r="C1015" s="71"/>
      <c r="D1015" s="72">
        <v>45924.74</v>
      </c>
      <c r="E1015" s="71"/>
      <c r="F1015" s="71"/>
      <c r="G1015" s="71"/>
      <c r="H1015" s="4" t="s">
        <v>218</v>
      </c>
      <c r="AS1015" s="91">
        <f t="shared" si="45"/>
        <v>45924.74</v>
      </c>
    </row>
    <row r="1016" spans="1:45" ht="12" hidden="1" outlineLevel="3" x14ac:dyDescent="0.2">
      <c r="A1016" s="73" t="s">
        <v>1152</v>
      </c>
      <c r="B1016" s="71"/>
      <c r="C1016" s="71"/>
      <c r="D1016" s="72">
        <v>27148.04</v>
      </c>
      <c r="E1016" s="71"/>
      <c r="F1016" s="71"/>
      <c r="G1016" s="71"/>
      <c r="H1016" s="4" t="s">
        <v>219</v>
      </c>
      <c r="AS1016" s="91">
        <f t="shared" si="45"/>
        <v>27148.04</v>
      </c>
    </row>
    <row r="1017" spans="1:45" ht="12" hidden="1" outlineLevel="3" x14ac:dyDescent="0.2">
      <c r="A1017" s="73" t="s">
        <v>1151</v>
      </c>
      <c r="B1017" s="71"/>
      <c r="C1017" s="71"/>
      <c r="D1017" s="72">
        <v>47863.75</v>
      </c>
      <c r="E1017" s="71"/>
      <c r="F1017" s="71"/>
      <c r="G1017" s="71"/>
      <c r="H1017" s="4" t="s">
        <v>220</v>
      </c>
      <c r="AS1017" s="91">
        <f t="shared" si="45"/>
        <v>47863.75</v>
      </c>
    </row>
    <row r="1018" spans="1:45" ht="12" hidden="1" outlineLevel="3" x14ac:dyDescent="0.2">
      <c r="A1018" s="73" t="s">
        <v>994</v>
      </c>
      <c r="B1018" s="71"/>
      <c r="C1018" s="71"/>
      <c r="D1018" s="72">
        <v>51857.17</v>
      </c>
      <c r="E1018" s="71"/>
      <c r="F1018" s="71"/>
      <c r="G1018" s="71"/>
      <c r="H1018" s="4" t="s">
        <v>175</v>
      </c>
      <c r="AS1018" s="91">
        <f t="shared" si="45"/>
        <v>51857.17</v>
      </c>
    </row>
    <row r="1019" spans="1:45" ht="12" hidden="1" outlineLevel="3" x14ac:dyDescent="0.2">
      <c r="A1019" s="73" t="s">
        <v>993</v>
      </c>
      <c r="B1019" s="71"/>
      <c r="C1019" s="71"/>
      <c r="D1019" s="72">
        <v>29751.47</v>
      </c>
      <c r="E1019" s="71"/>
      <c r="F1019" s="71"/>
      <c r="G1019" s="71"/>
      <c r="H1019" s="4" t="s">
        <v>176</v>
      </c>
      <c r="AS1019" s="91">
        <f t="shared" si="45"/>
        <v>29751.47</v>
      </c>
    </row>
    <row r="1020" spans="1:45" ht="12" hidden="1" outlineLevel="3" x14ac:dyDescent="0.2">
      <c r="A1020" s="73" t="s">
        <v>992</v>
      </c>
      <c r="B1020" s="71"/>
      <c r="C1020" s="71"/>
      <c r="D1020" s="72">
        <v>49105.120000000003</v>
      </c>
      <c r="E1020" s="71"/>
      <c r="F1020" s="71"/>
      <c r="G1020" s="71"/>
      <c r="H1020" s="4" t="s">
        <v>177</v>
      </c>
      <c r="AS1020" s="91">
        <f t="shared" si="45"/>
        <v>49105.120000000003</v>
      </c>
    </row>
    <row r="1021" spans="1:45" ht="12" hidden="1" outlineLevel="3" x14ac:dyDescent="0.2">
      <c r="A1021" s="73" t="s">
        <v>991</v>
      </c>
      <c r="B1021" s="71"/>
      <c r="C1021" s="71"/>
      <c r="D1021" s="72">
        <v>55244.82</v>
      </c>
      <c r="E1021" s="71"/>
      <c r="F1021" s="71"/>
      <c r="G1021" s="71"/>
      <c r="H1021" s="4" t="s">
        <v>178</v>
      </c>
      <c r="AS1021" s="91">
        <f t="shared" si="45"/>
        <v>55244.82</v>
      </c>
    </row>
    <row r="1022" spans="1:45" ht="12" hidden="1" outlineLevel="3" x14ac:dyDescent="0.2">
      <c r="A1022" s="73" t="s">
        <v>990</v>
      </c>
      <c r="B1022" s="71"/>
      <c r="C1022" s="71"/>
      <c r="D1022" s="72">
        <v>40694.629999999997</v>
      </c>
      <c r="E1022" s="71"/>
      <c r="F1022" s="71"/>
      <c r="G1022" s="71"/>
      <c r="H1022" s="4" t="s">
        <v>179</v>
      </c>
      <c r="AS1022" s="91">
        <f t="shared" si="45"/>
        <v>40694.629999999997</v>
      </c>
    </row>
    <row r="1023" spans="1:45" ht="12" hidden="1" outlineLevel="3" x14ac:dyDescent="0.2">
      <c r="A1023" s="73" t="s">
        <v>1150</v>
      </c>
      <c r="B1023" s="71"/>
      <c r="C1023" s="71"/>
      <c r="D1023" s="72">
        <v>31189.85</v>
      </c>
      <c r="E1023" s="71"/>
      <c r="F1023" s="71"/>
      <c r="G1023" s="71"/>
      <c r="H1023" s="4" t="s">
        <v>180</v>
      </c>
      <c r="AS1023" s="91">
        <f t="shared" si="45"/>
        <v>31189.85</v>
      </c>
    </row>
    <row r="1024" spans="1:45" ht="12" hidden="1" outlineLevel="3" x14ac:dyDescent="0.2">
      <c r="A1024" s="73" t="s">
        <v>989</v>
      </c>
      <c r="B1024" s="71"/>
      <c r="C1024" s="71"/>
      <c r="D1024" s="72">
        <v>41378.699999999997</v>
      </c>
      <c r="E1024" s="71"/>
      <c r="F1024" s="71"/>
      <c r="G1024" s="71"/>
      <c r="H1024" s="4" t="s">
        <v>181</v>
      </c>
      <c r="AS1024" s="91">
        <f t="shared" si="45"/>
        <v>41378.699999999997</v>
      </c>
    </row>
    <row r="1025" spans="1:45" ht="12" hidden="1" outlineLevel="3" x14ac:dyDescent="0.2">
      <c r="A1025" s="73" t="s">
        <v>988</v>
      </c>
      <c r="B1025" s="71"/>
      <c r="C1025" s="71"/>
      <c r="D1025" s="72">
        <v>68822.84</v>
      </c>
      <c r="E1025" s="71"/>
      <c r="F1025" s="71"/>
      <c r="G1025" s="71"/>
      <c r="H1025" s="4" t="s">
        <v>182</v>
      </c>
      <c r="AS1025" s="91">
        <f t="shared" si="45"/>
        <v>68822.84</v>
      </c>
    </row>
    <row r="1026" spans="1:45" ht="12" hidden="1" outlineLevel="3" x14ac:dyDescent="0.2">
      <c r="A1026" s="73" t="s">
        <v>987</v>
      </c>
      <c r="B1026" s="71"/>
      <c r="C1026" s="71"/>
      <c r="D1026" s="72">
        <v>50226.16</v>
      </c>
      <c r="E1026" s="71"/>
      <c r="F1026" s="71"/>
      <c r="G1026" s="71"/>
      <c r="H1026" s="4" t="s">
        <v>183</v>
      </c>
      <c r="AS1026" s="91">
        <f t="shared" si="45"/>
        <v>50226.16</v>
      </c>
    </row>
    <row r="1027" spans="1:45" ht="12" hidden="1" outlineLevel="3" x14ac:dyDescent="0.2">
      <c r="A1027" s="73" t="s">
        <v>986</v>
      </c>
      <c r="B1027" s="71"/>
      <c r="C1027" s="71"/>
      <c r="D1027" s="72">
        <v>27408.28</v>
      </c>
      <c r="E1027" s="71"/>
      <c r="F1027" s="71"/>
      <c r="G1027" s="71"/>
      <c r="H1027" s="4" t="s">
        <v>184</v>
      </c>
      <c r="AS1027" s="91">
        <f t="shared" si="45"/>
        <v>27408.28</v>
      </c>
    </row>
    <row r="1028" spans="1:45" ht="12" hidden="1" outlineLevel="3" x14ac:dyDescent="0.2">
      <c r="A1028" s="73" t="s">
        <v>985</v>
      </c>
      <c r="B1028" s="71"/>
      <c r="C1028" s="71"/>
      <c r="D1028" s="72">
        <v>33169.83</v>
      </c>
      <c r="E1028" s="71"/>
      <c r="F1028" s="71"/>
      <c r="G1028" s="71"/>
      <c r="H1028" s="4" t="s">
        <v>185</v>
      </c>
      <c r="AS1028" s="91">
        <f t="shared" si="45"/>
        <v>33169.83</v>
      </c>
    </row>
    <row r="1029" spans="1:45" ht="12" hidden="1" outlineLevel="3" x14ac:dyDescent="0.2">
      <c r="A1029" s="73" t="s">
        <v>942</v>
      </c>
      <c r="B1029" s="71"/>
      <c r="C1029" s="71"/>
      <c r="D1029" s="72">
        <v>30913.84</v>
      </c>
      <c r="E1029" s="71"/>
      <c r="F1029" s="71"/>
      <c r="G1029" s="71"/>
      <c r="H1029" s="4" t="s">
        <v>186</v>
      </c>
      <c r="AS1029" s="91">
        <f t="shared" si="45"/>
        <v>30913.84</v>
      </c>
    </row>
    <row r="1030" spans="1:45" ht="12" hidden="1" outlineLevel="3" x14ac:dyDescent="0.2">
      <c r="A1030" s="73" t="s">
        <v>984</v>
      </c>
      <c r="B1030" s="71"/>
      <c r="C1030" s="71"/>
      <c r="D1030" s="72">
        <v>88255.33</v>
      </c>
      <c r="E1030" s="71"/>
      <c r="F1030" s="71"/>
      <c r="G1030" s="71"/>
      <c r="H1030" s="4" t="s">
        <v>187</v>
      </c>
      <c r="AS1030" s="91">
        <f t="shared" si="45"/>
        <v>88255.33</v>
      </c>
    </row>
    <row r="1031" spans="1:45" ht="12" hidden="1" outlineLevel="3" x14ac:dyDescent="0.2">
      <c r="A1031" s="73" t="s">
        <v>983</v>
      </c>
      <c r="B1031" s="71"/>
      <c r="C1031" s="71"/>
      <c r="D1031" s="72">
        <v>30148.28</v>
      </c>
      <c r="E1031" s="71"/>
      <c r="F1031" s="71"/>
      <c r="G1031" s="71"/>
      <c r="H1031" s="4" t="s">
        <v>188</v>
      </c>
      <c r="AS1031" s="91">
        <f t="shared" si="45"/>
        <v>30148.28</v>
      </c>
    </row>
    <row r="1032" spans="1:45" ht="12" hidden="1" outlineLevel="3" x14ac:dyDescent="0.2">
      <c r="A1032" s="73" t="s">
        <v>982</v>
      </c>
      <c r="B1032" s="71"/>
      <c r="C1032" s="71"/>
      <c r="D1032" s="72">
        <v>54234.51</v>
      </c>
      <c r="E1032" s="71"/>
      <c r="F1032" s="71"/>
      <c r="G1032" s="71"/>
      <c r="H1032" s="4" t="s">
        <v>189</v>
      </c>
      <c r="AS1032" s="91">
        <f t="shared" si="45"/>
        <v>54234.51</v>
      </c>
    </row>
    <row r="1033" spans="1:45" ht="12" hidden="1" outlineLevel="3" x14ac:dyDescent="0.2">
      <c r="A1033" s="73" t="s">
        <v>981</v>
      </c>
      <c r="B1033" s="71"/>
      <c r="C1033" s="71"/>
      <c r="D1033" s="72">
        <v>19773.54</v>
      </c>
      <c r="E1033" s="71"/>
      <c r="F1033" s="71"/>
      <c r="G1033" s="71"/>
      <c r="H1033" s="4" t="s">
        <v>190</v>
      </c>
      <c r="AS1033" s="91">
        <f t="shared" si="45"/>
        <v>19773.54</v>
      </c>
    </row>
    <row r="1034" spans="1:45" ht="12" hidden="1" outlineLevel="3" x14ac:dyDescent="0.2">
      <c r="A1034" s="73" t="s">
        <v>980</v>
      </c>
      <c r="B1034" s="71"/>
      <c r="C1034" s="71"/>
      <c r="D1034" s="72">
        <v>31875.3</v>
      </c>
      <c r="E1034" s="71"/>
      <c r="F1034" s="71"/>
      <c r="G1034" s="71"/>
      <c r="H1034" s="4" t="s">
        <v>191</v>
      </c>
      <c r="AS1034" s="91">
        <f t="shared" si="45"/>
        <v>31875.3</v>
      </c>
    </row>
    <row r="1035" spans="1:45" ht="12" hidden="1" outlineLevel="3" x14ac:dyDescent="0.2">
      <c r="A1035" s="73" t="s">
        <v>979</v>
      </c>
      <c r="B1035" s="71"/>
      <c r="C1035" s="71"/>
      <c r="D1035" s="72">
        <v>78332.639999999999</v>
      </c>
      <c r="E1035" s="71"/>
      <c r="F1035" s="71"/>
      <c r="G1035" s="71"/>
      <c r="H1035" s="4" t="s">
        <v>192</v>
      </c>
      <c r="AS1035" s="91">
        <f t="shared" si="45"/>
        <v>78332.639999999999</v>
      </c>
    </row>
    <row r="1036" spans="1:45" ht="12" hidden="1" outlineLevel="3" x14ac:dyDescent="0.2">
      <c r="A1036" s="73" t="s">
        <v>941</v>
      </c>
      <c r="B1036" s="71"/>
      <c r="C1036" s="71"/>
      <c r="D1036" s="72">
        <v>19914.53</v>
      </c>
      <c r="E1036" s="71"/>
      <c r="F1036" s="71"/>
      <c r="G1036" s="71"/>
      <c r="H1036" s="4" t="s">
        <v>193</v>
      </c>
      <c r="AS1036" s="91">
        <f t="shared" si="45"/>
        <v>19914.53</v>
      </c>
    </row>
    <row r="1037" spans="1:45" ht="12" hidden="1" outlineLevel="3" x14ac:dyDescent="0.2">
      <c r="A1037" s="73" t="s">
        <v>940</v>
      </c>
      <c r="B1037" s="71"/>
      <c r="C1037" s="71"/>
      <c r="D1037" s="72">
        <v>52600.08</v>
      </c>
      <c r="E1037" s="71"/>
      <c r="F1037" s="71"/>
      <c r="G1037" s="71"/>
      <c r="H1037" s="4" t="s">
        <v>194</v>
      </c>
      <c r="AS1037" s="91">
        <f t="shared" si="45"/>
        <v>52600.08</v>
      </c>
    </row>
    <row r="1038" spans="1:45" ht="12" hidden="1" outlineLevel="3" x14ac:dyDescent="0.2">
      <c r="A1038" s="73" t="s">
        <v>978</v>
      </c>
      <c r="B1038" s="71"/>
      <c r="C1038" s="71"/>
      <c r="D1038" s="72">
        <v>57494.29</v>
      </c>
      <c r="E1038" s="71"/>
      <c r="F1038" s="71"/>
      <c r="G1038" s="71"/>
      <c r="H1038" s="4" t="s">
        <v>195</v>
      </c>
      <c r="AS1038" s="91">
        <f t="shared" si="45"/>
        <v>57494.29</v>
      </c>
    </row>
    <row r="1039" spans="1:45" ht="12" hidden="1" outlineLevel="3" x14ac:dyDescent="0.2">
      <c r="A1039" s="73" t="s">
        <v>1149</v>
      </c>
      <c r="B1039" s="71"/>
      <c r="C1039" s="71"/>
      <c r="D1039" s="72">
        <v>51490.69</v>
      </c>
      <c r="E1039" s="71"/>
      <c r="F1039" s="71"/>
      <c r="G1039" s="71"/>
      <c r="H1039" s="4" t="s">
        <v>196</v>
      </c>
      <c r="AS1039" s="91">
        <f t="shared" si="45"/>
        <v>51490.69</v>
      </c>
    </row>
    <row r="1040" spans="1:45" ht="12" hidden="1" outlineLevel="3" x14ac:dyDescent="0.2">
      <c r="A1040" s="73" t="s">
        <v>977</v>
      </c>
      <c r="B1040" s="71"/>
      <c r="C1040" s="71"/>
      <c r="D1040" s="72">
        <v>29642.92</v>
      </c>
      <c r="E1040" s="71"/>
      <c r="F1040" s="71"/>
      <c r="G1040" s="71"/>
      <c r="H1040" s="4" t="s">
        <v>197</v>
      </c>
      <c r="AS1040" s="91">
        <f t="shared" si="45"/>
        <v>29642.92</v>
      </c>
    </row>
    <row r="1041" spans="1:45" ht="12" hidden="1" outlineLevel="3" x14ac:dyDescent="0.2">
      <c r="A1041" s="73" t="s">
        <v>976</v>
      </c>
      <c r="B1041" s="71"/>
      <c r="C1041" s="71"/>
      <c r="D1041" s="72">
        <v>13337.59</v>
      </c>
      <c r="E1041" s="71"/>
      <c r="F1041" s="71"/>
      <c r="G1041" s="71"/>
      <c r="H1041" s="4" t="s">
        <v>198</v>
      </c>
      <c r="AS1041" s="91">
        <f t="shared" si="45"/>
        <v>13337.59</v>
      </c>
    </row>
    <row r="1042" spans="1:45" ht="12" hidden="1" outlineLevel="3" x14ac:dyDescent="0.2">
      <c r="A1042" s="73" t="s">
        <v>975</v>
      </c>
      <c r="B1042" s="71"/>
      <c r="C1042" s="71"/>
      <c r="D1042" s="72">
        <v>44185.53</v>
      </c>
      <c r="E1042" s="71"/>
      <c r="F1042" s="71"/>
      <c r="G1042" s="71"/>
      <c r="H1042" s="4" t="s">
        <v>199</v>
      </c>
      <c r="AS1042" s="91">
        <f t="shared" si="45"/>
        <v>44185.53</v>
      </c>
    </row>
    <row r="1043" spans="1:45" ht="12" hidden="1" outlineLevel="3" x14ac:dyDescent="0.2">
      <c r="A1043" s="73" t="s">
        <v>974</v>
      </c>
      <c r="B1043" s="71"/>
      <c r="C1043" s="71"/>
      <c r="D1043" s="72">
        <v>81661.66</v>
      </c>
      <c r="E1043" s="71"/>
      <c r="F1043" s="71"/>
      <c r="G1043" s="71"/>
      <c r="H1043" s="4" t="s">
        <v>200</v>
      </c>
      <c r="AS1043" s="91">
        <f t="shared" si="45"/>
        <v>81661.66</v>
      </c>
    </row>
    <row r="1044" spans="1:45" ht="12" hidden="1" outlineLevel="3" x14ac:dyDescent="0.2">
      <c r="A1044" s="73" t="s">
        <v>973</v>
      </c>
      <c r="B1044" s="71"/>
      <c r="C1044" s="71"/>
      <c r="D1044" s="72">
        <v>59181.57</v>
      </c>
      <c r="E1044" s="71"/>
      <c r="F1044" s="71"/>
      <c r="G1044" s="71"/>
      <c r="H1044" s="4" t="s">
        <v>201</v>
      </c>
      <c r="AS1044" s="91">
        <f t="shared" si="45"/>
        <v>59181.57</v>
      </c>
    </row>
    <row r="1045" spans="1:45" ht="12" hidden="1" outlineLevel="3" x14ac:dyDescent="0.2">
      <c r="A1045" s="73" t="s">
        <v>972</v>
      </c>
      <c r="B1045" s="71"/>
      <c r="C1045" s="71"/>
      <c r="D1045" s="72">
        <v>60814.83</v>
      </c>
      <c r="E1045" s="71"/>
      <c r="F1045" s="71"/>
      <c r="G1045" s="71"/>
      <c r="H1045" s="4" t="s">
        <v>202</v>
      </c>
      <c r="AS1045" s="91">
        <f t="shared" si="45"/>
        <v>60814.83</v>
      </c>
    </row>
    <row r="1046" spans="1:45" ht="12" hidden="1" outlineLevel="3" x14ac:dyDescent="0.2">
      <c r="A1046" s="73" t="s">
        <v>971</v>
      </c>
      <c r="B1046" s="71"/>
      <c r="C1046" s="71"/>
      <c r="D1046" s="72">
        <v>69121.47</v>
      </c>
      <c r="E1046" s="71"/>
      <c r="F1046" s="71"/>
      <c r="G1046" s="71"/>
      <c r="H1046" s="4" t="s">
        <v>203</v>
      </c>
      <c r="AS1046" s="91">
        <f t="shared" si="45"/>
        <v>69121.47</v>
      </c>
    </row>
    <row r="1047" spans="1:45" ht="12" hidden="1" outlineLevel="3" x14ac:dyDescent="0.2">
      <c r="A1047" s="73" t="s">
        <v>970</v>
      </c>
      <c r="B1047" s="71"/>
      <c r="C1047" s="71"/>
      <c r="D1047" s="72">
        <v>64956.84</v>
      </c>
      <c r="E1047" s="71"/>
      <c r="F1047" s="71"/>
      <c r="G1047" s="71"/>
      <c r="H1047" s="4" t="s">
        <v>204</v>
      </c>
      <c r="AS1047" s="91">
        <f t="shared" si="45"/>
        <v>64956.84</v>
      </c>
    </row>
    <row r="1048" spans="1:45" ht="12" hidden="1" outlineLevel="3" x14ac:dyDescent="0.2">
      <c r="A1048" s="73" t="s">
        <v>1148</v>
      </c>
      <c r="B1048" s="71"/>
      <c r="C1048" s="71"/>
      <c r="D1048" s="72">
        <v>65874.61</v>
      </c>
      <c r="E1048" s="71"/>
      <c r="F1048" s="71"/>
      <c r="G1048" s="71"/>
      <c r="H1048" s="4" t="s">
        <v>221</v>
      </c>
      <c r="AS1048" s="91">
        <f t="shared" si="45"/>
        <v>65874.61</v>
      </c>
    </row>
    <row r="1049" spans="1:45" ht="12" hidden="1" outlineLevel="3" x14ac:dyDescent="0.2">
      <c r="A1049" s="73" t="s">
        <v>1147</v>
      </c>
      <c r="B1049" s="71"/>
      <c r="C1049" s="71"/>
      <c r="D1049" s="72">
        <v>100137.48</v>
      </c>
      <c r="E1049" s="71"/>
      <c r="F1049" s="71"/>
      <c r="G1049" s="71"/>
      <c r="H1049" s="4" t="s">
        <v>222</v>
      </c>
      <c r="AS1049" s="91">
        <f t="shared" si="45"/>
        <v>100137.48</v>
      </c>
    </row>
    <row r="1050" spans="1:45" ht="12" hidden="1" outlineLevel="3" x14ac:dyDescent="0.2">
      <c r="A1050" s="73" t="s">
        <v>969</v>
      </c>
      <c r="B1050" s="71"/>
      <c r="C1050" s="71"/>
      <c r="D1050" s="72">
        <v>104170.91</v>
      </c>
      <c r="E1050" s="71"/>
      <c r="F1050" s="71"/>
      <c r="G1050" s="71"/>
      <c r="H1050" s="4" t="s">
        <v>223</v>
      </c>
      <c r="AS1050" s="91">
        <f t="shared" si="45"/>
        <v>104170.91</v>
      </c>
    </row>
    <row r="1051" spans="1:45" ht="12" hidden="1" outlineLevel="3" x14ac:dyDescent="0.2">
      <c r="A1051" s="73" t="s">
        <v>968</v>
      </c>
      <c r="B1051" s="71"/>
      <c r="C1051" s="71"/>
      <c r="D1051" s="72">
        <v>72397.87</v>
      </c>
      <c r="E1051" s="71"/>
      <c r="F1051" s="71"/>
      <c r="G1051" s="71"/>
      <c r="H1051" s="4" t="s">
        <v>224</v>
      </c>
      <c r="AS1051" s="91">
        <f t="shared" si="45"/>
        <v>72397.87</v>
      </c>
    </row>
    <row r="1052" spans="1:45" ht="12" hidden="1" outlineLevel="3" x14ac:dyDescent="0.2">
      <c r="A1052" s="73" t="s">
        <v>1146</v>
      </c>
      <c r="B1052" s="71"/>
      <c r="C1052" s="71"/>
      <c r="D1052" s="72">
        <v>91488.55</v>
      </c>
      <c r="E1052" s="71"/>
      <c r="F1052" s="71"/>
      <c r="G1052" s="71"/>
      <c r="H1052" s="4" t="s">
        <v>225</v>
      </c>
      <c r="AS1052" s="91">
        <f t="shared" si="45"/>
        <v>91488.55</v>
      </c>
    </row>
    <row r="1053" spans="1:45" ht="12" hidden="1" outlineLevel="3" x14ac:dyDescent="0.2">
      <c r="A1053" s="73" t="s">
        <v>1082</v>
      </c>
      <c r="B1053" s="71"/>
      <c r="C1053" s="71"/>
      <c r="D1053" s="72">
        <v>30490.09</v>
      </c>
      <c r="E1053" s="71"/>
      <c r="F1053" s="71"/>
      <c r="G1053" s="71"/>
      <c r="H1053" s="4" t="s">
        <v>226</v>
      </c>
      <c r="AS1053" s="91">
        <f t="shared" si="45"/>
        <v>30490.09</v>
      </c>
    </row>
    <row r="1054" spans="1:45" ht="12" hidden="1" outlineLevel="3" x14ac:dyDescent="0.2">
      <c r="A1054" s="73" t="s">
        <v>1145</v>
      </c>
      <c r="B1054" s="71"/>
      <c r="C1054" s="71"/>
      <c r="D1054" s="72">
        <v>19774.54</v>
      </c>
      <c r="E1054" s="71"/>
      <c r="F1054" s="71"/>
      <c r="G1054" s="71"/>
      <c r="H1054" s="4" t="s">
        <v>227</v>
      </c>
      <c r="AS1054" s="91">
        <f t="shared" si="45"/>
        <v>19774.54</v>
      </c>
    </row>
    <row r="1055" spans="1:45" ht="12" hidden="1" outlineLevel="3" x14ac:dyDescent="0.2">
      <c r="A1055" s="73" t="s">
        <v>1144</v>
      </c>
      <c r="B1055" s="71"/>
      <c r="C1055" s="71"/>
      <c r="D1055" s="72">
        <v>30463.33</v>
      </c>
      <c r="E1055" s="71"/>
      <c r="F1055" s="71"/>
      <c r="G1055" s="71"/>
      <c r="H1055" s="4" t="s">
        <v>228</v>
      </c>
      <c r="AS1055" s="91">
        <f t="shared" si="45"/>
        <v>30463.33</v>
      </c>
    </row>
    <row r="1056" spans="1:45" ht="12" hidden="1" outlineLevel="3" x14ac:dyDescent="0.2">
      <c r="A1056" s="73" t="s">
        <v>1143</v>
      </c>
      <c r="B1056" s="71"/>
      <c r="C1056" s="71"/>
      <c r="D1056" s="72">
        <v>26333.75</v>
      </c>
      <c r="E1056" s="71"/>
      <c r="F1056" s="71"/>
      <c r="G1056" s="71"/>
      <c r="H1056" s="4" t="s">
        <v>229</v>
      </c>
      <c r="AS1056" s="91">
        <f t="shared" si="45"/>
        <v>26333.75</v>
      </c>
    </row>
    <row r="1057" spans="1:45" ht="12" hidden="1" outlineLevel="3" x14ac:dyDescent="0.2">
      <c r="A1057" s="73" t="s">
        <v>1142</v>
      </c>
      <c r="B1057" s="71"/>
      <c r="C1057" s="71"/>
      <c r="D1057" s="72">
        <v>22756.15</v>
      </c>
      <c r="E1057" s="71"/>
      <c r="F1057" s="71"/>
      <c r="G1057" s="71"/>
      <c r="H1057" s="4" t="s">
        <v>230</v>
      </c>
      <c r="AS1057" s="91">
        <f t="shared" si="45"/>
        <v>22756.15</v>
      </c>
    </row>
    <row r="1058" spans="1:45" ht="12" hidden="1" outlineLevel="3" x14ac:dyDescent="0.2">
      <c r="A1058" s="73" t="s">
        <v>1141</v>
      </c>
      <c r="B1058" s="71"/>
      <c r="C1058" s="71"/>
      <c r="D1058" s="72">
        <v>31234.92</v>
      </c>
      <c r="E1058" s="71"/>
      <c r="F1058" s="71"/>
      <c r="G1058" s="71"/>
      <c r="H1058" s="4" t="s">
        <v>231</v>
      </c>
      <c r="AS1058" s="91">
        <f t="shared" si="45"/>
        <v>31234.92</v>
      </c>
    </row>
    <row r="1059" spans="1:45" ht="12" hidden="1" outlineLevel="3" x14ac:dyDescent="0.2">
      <c r="A1059" s="73" t="s">
        <v>939</v>
      </c>
      <c r="B1059" s="71"/>
      <c r="C1059" s="71"/>
      <c r="D1059" s="72">
        <v>319879.40000000002</v>
      </c>
      <c r="E1059" s="71"/>
      <c r="F1059" s="71"/>
      <c r="G1059" s="71"/>
      <c r="H1059" s="4" t="s">
        <v>232</v>
      </c>
      <c r="AS1059" s="91">
        <f t="shared" si="45"/>
        <v>319879.40000000002</v>
      </c>
    </row>
    <row r="1060" spans="1:45" ht="12" hidden="1" outlineLevel="3" x14ac:dyDescent="0.2">
      <c r="A1060" s="73" t="s">
        <v>938</v>
      </c>
      <c r="B1060" s="71"/>
      <c r="C1060" s="71"/>
      <c r="D1060" s="72">
        <v>623949.6</v>
      </c>
      <c r="E1060" s="71"/>
      <c r="F1060" s="71"/>
      <c r="G1060" s="71"/>
      <c r="H1060" s="4" t="s">
        <v>233</v>
      </c>
      <c r="AS1060" s="91">
        <f t="shared" si="45"/>
        <v>623949.6</v>
      </c>
    </row>
    <row r="1061" spans="1:45" ht="12" hidden="1" outlineLevel="3" x14ac:dyDescent="0.2">
      <c r="A1061" s="73" t="s">
        <v>1140</v>
      </c>
      <c r="B1061" s="71"/>
      <c r="C1061" s="71"/>
      <c r="D1061" s="72">
        <v>54370.19</v>
      </c>
      <c r="E1061" s="71"/>
      <c r="F1061" s="71"/>
      <c r="G1061" s="71"/>
      <c r="H1061" s="4" t="s">
        <v>234</v>
      </c>
      <c r="AS1061" s="91">
        <f t="shared" si="45"/>
        <v>54370.19</v>
      </c>
    </row>
    <row r="1062" spans="1:45" ht="12" hidden="1" outlineLevel="3" x14ac:dyDescent="0.2">
      <c r="A1062" s="73" t="s">
        <v>967</v>
      </c>
      <c r="B1062" s="71"/>
      <c r="C1062" s="71"/>
      <c r="D1062" s="72">
        <v>39685.81</v>
      </c>
      <c r="E1062" s="71"/>
      <c r="F1062" s="71"/>
      <c r="G1062" s="71"/>
      <c r="H1062" s="4" t="s">
        <v>235</v>
      </c>
      <c r="AS1062" s="91">
        <f t="shared" si="45"/>
        <v>39685.81</v>
      </c>
    </row>
    <row r="1063" spans="1:45" ht="12" hidden="1" outlineLevel="3" x14ac:dyDescent="0.2">
      <c r="A1063" s="73" t="s">
        <v>937</v>
      </c>
      <c r="B1063" s="71"/>
      <c r="C1063" s="71"/>
      <c r="D1063" s="72">
        <v>47339.25</v>
      </c>
      <c r="E1063" s="71"/>
      <c r="F1063" s="71"/>
      <c r="G1063" s="71"/>
      <c r="H1063" s="4" t="s">
        <v>236</v>
      </c>
      <c r="AS1063" s="91">
        <f t="shared" ref="AS1063:AS1094" si="46">$D1063</f>
        <v>47339.25</v>
      </c>
    </row>
    <row r="1064" spans="1:45" ht="12" hidden="1" outlineLevel="3" x14ac:dyDescent="0.2">
      <c r="A1064" s="73" t="s">
        <v>1139</v>
      </c>
      <c r="B1064" s="71"/>
      <c r="C1064" s="71"/>
      <c r="D1064" s="72">
        <v>26844.799999999999</v>
      </c>
      <c r="E1064" s="71"/>
      <c r="F1064" s="71"/>
      <c r="G1064" s="71"/>
      <c r="H1064" s="4" t="s">
        <v>240</v>
      </c>
      <c r="AS1064" s="91">
        <f t="shared" si="46"/>
        <v>26844.799999999999</v>
      </c>
    </row>
    <row r="1065" spans="1:45" ht="12" hidden="1" outlineLevel="3" x14ac:dyDescent="0.2">
      <c r="A1065" s="73" t="s">
        <v>1138</v>
      </c>
      <c r="B1065" s="71"/>
      <c r="C1065" s="71"/>
      <c r="D1065" s="72">
        <v>84643.33</v>
      </c>
      <c r="E1065" s="71"/>
      <c r="F1065" s="71"/>
      <c r="G1065" s="71"/>
      <c r="H1065" s="4" t="s">
        <v>241</v>
      </c>
      <c r="AS1065" s="91">
        <f t="shared" si="46"/>
        <v>84643.33</v>
      </c>
    </row>
    <row r="1066" spans="1:45" ht="12" hidden="1" outlineLevel="3" x14ac:dyDescent="0.2">
      <c r="A1066" s="73" t="s">
        <v>1137</v>
      </c>
      <c r="B1066" s="71"/>
      <c r="C1066" s="71"/>
      <c r="D1066" s="72">
        <v>34123.97</v>
      </c>
      <c r="E1066" s="71"/>
      <c r="F1066" s="71"/>
      <c r="G1066" s="71"/>
      <c r="H1066" s="4" t="s">
        <v>242</v>
      </c>
      <c r="AS1066" s="91">
        <f t="shared" si="46"/>
        <v>34123.97</v>
      </c>
    </row>
    <row r="1067" spans="1:45" ht="12" hidden="1" outlineLevel="3" x14ac:dyDescent="0.2">
      <c r="A1067" s="73" t="s">
        <v>1136</v>
      </c>
      <c r="B1067" s="71"/>
      <c r="C1067" s="71"/>
      <c r="D1067" s="72">
        <v>25072.19</v>
      </c>
      <c r="E1067" s="71"/>
      <c r="F1067" s="71"/>
      <c r="G1067" s="71"/>
      <c r="H1067" s="4" t="s">
        <v>243</v>
      </c>
      <c r="AS1067" s="91">
        <f t="shared" si="46"/>
        <v>25072.19</v>
      </c>
    </row>
    <row r="1068" spans="1:45" ht="12" hidden="1" outlineLevel="3" x14ac:dyDescent="0.2">
      <c r="A1068" s="73" t="s">
        <v>1135</v>
      </c>
      <c r="B1068" s="71"/>
      <c r="C1068" s="71"/>
      <c r="D1068" s="72">
        <v>164680.49</v>
      </c>
      <c r="E1068" s="71"/>
      <c r="F1068" s="71"/>
      <c r="G1068" s="71"/>
      <c r="H1068" s="4" t="s">
        <v>244</v>
      </c>
      <c r="AS1068" s="91">
        <f t="shared" si="46"/>
        <v>164680.49</v>
      </c>
    </row>
    <row r="1069" spans="1:45" ht="12" hidden="1" outlineLevel="3" x14ac:dyDescent="0.2">
      <c r="A1069" s="73" t="s">
        <v>1134</v>
      </c>
      <c r="B1069" s="71"/>
      <c r="C1069" s="71"/>
      <c r="D1069" s="72">
        <v>43226.33</v>
      </c>
      <c r="E1069" s="71"/>
      <c r="F1069" s="71"/>
      <c r="G1069" s="71"/>
      <c r="H1069" s="4" t="s">
        <v>245</v>
      </c>
      <c r="AS1069" s="91">
        <f t="shared" si="46"/>
        <v>43226.33</v>
      </c>
    </row>
    <row r="1070" spans="1:45" ht="12" hidden="1" outlineLevel="3" x14ac:dyDescent="0.2">
      <c r="A1070" s="73" t="s">
        <v>1133</v>
      </c>
      <c r="B1070" s="71"/>
      <c r="C1070" s="71"/>
      <c r="D1070" s="72">
        <v>47263.98</v>
      </c>
      <c r="E1070" s="71"/>
      <c r="F1070" s="71"/>
      <c r="G1070" s="71"/>
      <c r="H1070" s="4" t="s">
        <v>246</v>
      </c>
      <c r="AS1070" s="91">
        <f t="shared" si="46"/>
        <v>47263.98</v>
      </c>
    </row>
    <row r="1071" spans="1:45" ht="12" hidden="1" outlineLevel="3" x14ac:dyDescent="0.2">
      <c r="A1071" s="73" t="s">
        <v>1132</v>
      </c>
      <c r="B1071" s="71"/>
      <c r="C1071" s="71"/>
      <c r="D1071" s="72">
        <v>197362.64</v>
      </c>
      <c r="E1071" s="71"/>
      <c r="F1071" s="71"/>
      <c r="G1071" s="71"/>
      <c r="H1071" s="4" t="s">
        <v>247</v>
      </c>
      <c r="AS1071" s="91">
        <f t="shared" si="46"/>
        <v>197362.64</v>
      </c>
    </row>
    <row r="1072" spans="1:45" ht="12" hidden="1" outlineLevel="3" x14ac:dyDescent="0.2">
      <c r="A1072" s="73" t="s">
        <v>1131</v>
      </c>
      <c r="B1072" s="71"/>
      <c r="C1072" s="71"/>
      <c r="D1072" s="72">
        <v>407611.19</v>
      </c>
      <c r="E1072" s="71"/>
      <c r="F1072" s="71"/>
      <c r="G1072" s="71"/>
      <c r="H1072" s="4" t="s">
        <v>248</v>
      </c>
      <c r="AS1072" s="91">
        <f t="shared" si="46"/>
        <v>407611.19</v>
      </c>
    </row>
    <row r="1073" spans="1:45" ht="12" hidden="1" outlineLevel="3" x14ac:dyDescent="0.2">
      <c r="A1073" s="73" t="s">
        <v>936</v>
      </c>
      <c r="B1073" s="71"/>
      <c r="C1073" s="71"/>
      <c r="D1073" s="72">
        <v>178582.6</v>
      </c>
      <c r="E1073" s="71"/>
      <c r="F1073" s="71"/>
      <c r="G1073" s="71"/>
      <c r="H1073" s="4" t="s">
        <v>237</v>
      </c>
      <c r="AS1073" s="91">
        <f t="shared" si="46"/>
        <v>178582.6</v>
      </c>
    </row>
    <row r="1074" spans="1:45" ht="12" hidden="1" outlineLevel="3" x14ac:dyDescent="0.2">
      <c r="A1074" s="73" t="s">
        <v>1130</v>
      </c>
      <c r="B1074" s="71"/>
      <c r="C1074" s="71"/>
      <c r="D1074" s="72">
        <v>41775.85</v>
      </c>
      <c r="E1074" s="71"/>
      <c r="F1074" s="71"/>
      <c r="G1074" s="71"/>
      <c r="H1074" s="4" t="s">
        <v>249</v>
      </c>
      <c r="AS1074" s="91">
        <f t="shared" si="46"/>
        <v>41775.85</v>
      </c>
    </row>
    <row r="1075" spans="1:45" ht="12" hidden="1" outlineLevel="3" x14ac:dyDescent="0.2">
      <c r="A1075" s="73" t="s">
        <v>966</v>
      </c>
      <c r="B1075" s="71"/>
      <c r="C1075" s="71"/>
      <c r="D1075" s="72">
        <v>76912.009999999995</v>
      </c>
      <c r="E1075" s="71"/>
      <c r="F1075" s="71"/>
      <c r="G1075" s="71"/>
      <c r="H1075" s="4" t="s">
        <v>250</v>
      </c>
      <c r="AS1075" s="91">
        <f t="shared" si="46"/>
        <v>76912.009999999995</v>
      </c>
    </row>
    <row r="1076" spans="1:45" ht="12" hidden="1" outlineLevel="3" x14ac:dyDescent="0.2">
      <c r="A1076" s="73" t="s">
        <v>1129</v>
      </c>
      <c r="B1076" s="71"/>
      <c r="C1076" s="71"/>
      <c r="D1076" s="72">
        <v>18736.939999999999</v>
      </c>
      <c r="E1076" s="71"/>
      <c r="F1076" s="71"/>
      <c r="G1076" s="71"/>
      <c r="H1076" s="4" t="s">
        <v>251</v>
      </c>
      <c r="AS1076" s="91">
        <f t="shared" si="46"/>
        <v>18736.939999999999</v>
      </c>
    </row>
    <row r="1077" spans="1:45" ht="12" hidden="1" outlineLevel="3" x14ac:dyDescent="0.2">
      <c r="A1077" s="73" t="s">
        <v>1128</v>
      </c>
      <c r="B1077" s="71"/>
      <c r="C1077" s="71"/>
      <c r="D1077" s="72">
        <v>126478.35</v>
      </c>
      <c r="E1077" s="71"/>
      <c r="F1077" s="71"/>
      <c r="G1077" s="71"/>
      <c r="H1077" s="4" t="s">
        <v>252</v>
      </c>
      <c r="AS1077" s="91">
        <f t="shared" si="46"/>
        <v>126478.35</v>
      </c>
    </row>
    <row r="1078" spans="1:45" ht="12" hidden="1" outlineLevel="3" x14ac:dyDescent="0.2">
      <c r="A1078" s="73" t="s">
        <v>1127</v>
      </c>
      <c r="B1078" s="71"/>
      <c r="C1078" s="71"/>
      <c r="D1078" s="72">
        <v>23384.42</v>
      </c>
      <c r="E1078" s="71"/>
      <c r="F1078" s="71"/>
      <c r="G1078" s="71"/>
      <c r="H1078" s="4" t="s">
        <v>253</v>
      </c>
      <c r="AS1078" s="91">
        <f t="shared" si="46"/>
        <v>23384.42</v>
      </c>
    </row>
    <row r="1079" spans="1:45" ht="12" hidden="1" outlineLevel="3" x14ac:dyDescent="0.2">
      <c r="A1079" s="73" t="s">
        <v>1126</v>
      </c>
      <c r="B1079" s="71"/>
      <c r="C1079" s="71"/>
      <c r="D1079" s="72">
        <v>54771.56</v>
      </c>
      <c r="E1079" s="71"/>
      <c r="F1079" s="71"/>
      <c r="G1079" s="71"/>
      <c r="H1079" s="4" t="s">
        <v>254</v>
      </c>
      <c r="AS1079" s="91">
        <f t="shared" si="46"/>
        <v>54771.56</v>
      </c>
    </row>
    <row r="1080" spans="1:45" ht="12" hidden="1" outlineLevel="3" x14ac:dyDescent="0.2">
      <c r="A1080" s="73" t="s">
        <v>1125</v>
      </c>
      <c r="B1080" s="71"/>
      <c r="C1080" s="71"/>
      <c r="D1080" s="72">
        <v>98072.46</v>
      </c>
      <c r="E1080" s="71"/>
      <c r="F1080" s="71"/>
      <c r="G1080" s="71"/>
      <c r="H1080" s="4" t="s">
        <v>255</v>
      </c>
      <c r="AS1080" s="91">
        <f t="shared" si="46"/>
        <v>98072.46</v>
      </c>
    </row>
    <row r="1081" spans="1:45" ht="12" hidden="1" outlineLevel="3" x14ac:dyDescent="0.2">
      <c r="A1081" s="73" t="s">
        <v>1124</v>
      </c>
      <c r="B1081" s="71"/>
      <c r="C1081" s="71"/>
      <c r="D1081" s="72">
        <v>104076.31</v>
      </c>
      <c r="E1081" s="71"/>
      <c r="F1081" s="71"/>
      <c r="G1081" s="71"/>
      <c r="H1081" s="4" t="s">
        <v>238</v>
      </c>
      <c r="AS1081" s="91">
        <f t="shared" si="46"/>
        <v>104076.31</v>
      </c>
    </row>
    <row r="1082" spans="1:45" ht="12" hidden="1" outlineLevel="3" x14ac:dyDescent="0.2">
      <c r="A1082" s="73" t="s">
        <v>965</v>
      </c>
      <c r="B1082" s="71"/>
      <c r="C1082" s="71"/>
      <c r="D1082" s="72">
        <v>157108.56</v>
      </c>
      <c r="E1082" s="71"/>
      <c r="F1082" s="71"/>
      <c r="G1082" s="71"/>
      <c r="H1082" s="4" t="s">
        <v>256</v>
      </c>
      <c r="AS1082" s="91">
        <f t="shared" si="46"/>
        <v>157108.56</v>
      </c>
    </row>
    <row r="1083" spans="1:45" ht="12" hidden="1" outlineLevel="3" x14ac:dyDescent="0.2">
      <c r="A1083" s="73" t="s">
        <v>948</v>
      </c>
      <c r="B1083" s="71"/>
      <c r="C1083" s="71"/>
      <c r="D1083" s="72">
        <v>63003.8</v>
      </c>
      <c r="E1083" s="71"/>
      <c r="F1083" s="71"/>
      <c r="G1083" s="71"/>
      <c r="H1083" s="4" t="s">
        <v>258</v>
      </c>
      <c r="AS1083" s="91">
        <f t="shared" si="46"/>
        <v>63003.8</v>
      </c>
    </row>
    <row r="1084" spans="1:45" ht="12" hidden="1" outlineLevel="3" x14ac:dyDescent="0.2">
      <c r="A1084" s="73" t="s">
        <v>1123</v>
      </c>
      <c r="B1084" s="71"/>
      <c r="C1084" s="71"/>
      <c r="D1084" s="72">
        <v>47298.81</v>
      </c>
      <c r="E1084" s="71"/>
      <c r="F1084" s="71"/>
      <c r="G1084" s="71"/>
      <c r="H1084" s="4" t="s">
        <v>239</v>
      </c>
      <c r="AS1084" s="91">
        <f t="shared" si="46"/>
        <v>47298.81</v>
      </c>
    </row>
    <row r="1085" spans="1:45" ht="12" hidden="1" outlineLevel="3" x14ac:dyDescent="0.2">
      <c r="A1085" s="73" t="s">
        <v>1122</v>
      </c>
      <c r="B1085" s="71"/>
      <c r="C1085" s="71"/>
      <c r="D1085" s="72">
        <v>54297.74</v>
      </c>
      <c r="E1085" s="71"/>
      <c r="F1085" s="71"/>
      <c r="G1085" s="71"/>
      <c r="H1085" s="4" t="s">
        <v>259</v>
      </c>
      <c r="AS1085" s="91">
        <f t="shared" si="46"/>
        <v>54297.74</v>
      </c>
    </row>
    <row r="1086" spans="1:45" ht="12" hidden="1" outlineLevel="3" x14ac:dyDescent="0.2">
      <c r="A1086" s="73" t="s">
        <v>1121</v>
      </c>
      <c r="B1086" s="71"/>
      <c r="C1086" s="71"/>
      <c r="D1086" s="72">
        <v>28939.27</v>
      </c>
      <c r="E1086" s="71"/>
      <c r="F1086" s="71"/>
      <c r="G1086" s="71"/>
      <c r="H1086" s="4" t="s">
        <v>277</v>
      </c>
      <c r="AS1086" s="91">
        <f t="shared" si="46"/>
        <v>28939.27</v>
      </c>
    </row>
    <row r="1087" spans="1:45" ht="12" hidden="1" outlineLevel="3" x14ac:dyDescent="0.2">
      <c r="A1087" s="73" t="s">
        <v>1120</v>
      </c>
      <c r="B1087" s="71"/>
      <c r="C1087" s="71"/>
      <c r="D1087" s="72">
        <v>60127.29</v>
      </c>
      <c r="E1087" s="71"/>
      <c r="F1087" s="71"/>
      <c r="G1087" s="71"/>
      <c r="H1087" s="4" t="s">
        <v>281</v>
      </c>
      <c r="AS1087" s="91">
        <f t="shared" si="46"/>
        <v>60127.29</v>
      </c>
    </row>
    <row r="1088" spans="1:45" ht="12" hidden="1" outlineLevel="3" x14ac:dyDescent="0.2">
      <c r="A1088" s="73" t="s">
        <v>963</v>
      </c>
      <c r="B1088" s="71"/>
      <c r="C1088" s="71"/>
      <c r="D1088" s="79">
        <v>697.88</v>
      </c>
      <c r="E1088" s="71"/>
      <c r="F1088" s="71"/>
      <c r="G1088" s="71"/>
      <c r="H1088" s="4" t="s">
        <v>285</v>
      </c>
      <c r="AS1088" s="91">
        <f t="shared" si="46"/>
        <v>697.88</v>
      </c>
    </row>
    <row r="1089" spans="1:47" ht="12" hidden="1" outlineLevel="3" x14ac:dyDescent="0.2">
      <c r="A1089" s="73" t="s">
        <v>962</v>
      </c>
      <c r="B1089" s="71"/>
      <c r="C1089" s="71"/>
      <c r="D1089" s="72">
        <v>36753.35</v>
      </c>
      <c r="E1089" s="71"/>
      <c r="F1089" s="71"/>
      <c r="G1089" s="71"/>
      <c r="H1089" s="4" t="s">
        <v>286</v>
      </c>
      <c r="AS1089" s="91">
        <f t="shared" si="46"/>
        <v>36753.35</v>
      </c>
    </row>
    <row r="1090" spans="1:47" ht="12" hidden="1" outlineLevel="3" x14ac:dyDescent="0.2">
      <c r="A1090" s="73" t="s">
        <v>1119</v>
      </c>
      <c r="B1090" s="71"/>
      <c r="C1090" s="71"/>
      <c r="D1090" s="72">
        <v>29623.99</v>
      </c>
      <c r="E1090" s="71"/>
      <c r="F1090" s="71"/>
      <c r="G1090" s="71"/>
      <c r="H1090" s="4" t="s">
        <v>287</v>
      </c>
      <c r="AS1090" s="91">
        <f t="shared" si="46"/>
        <v>29623.99</v>
      </c>
    </row>
    <row r="1091" spans="1:47" ht="12" hidden="1" outlineLevel="3" x14ac:dyDescent="0.2">
      <c r="A1091" s="73" t="s">
        <v>961</v>
      </c>
      <c r="B1091" s="71"/>
      <c r="C1091" s="71"/>
      <c r="D1091" s="72">
        <v>35544.75</v>
      </c>
      <c r="E1091" s="71"/>
      <c r="F1091" s="71"/>
      <c r="G1091" s="71"/>
      <c r="H1091" s="4" t="s">
        <v>288</v>
      </c>
      <c r="AS1091" s="91">
        <f t="shared" si="46"/>
        <v>35544.75</v>
      </c>
    </row>
    <row r="1092" spans="1:47" ht="12" hidden="1" outlineLevel="3" x14ac:dyDescent="0.2">
      <c r="A1092" s="73" t="s">
        <v>960</v>
      </c>
      <c r="B1092" s="71"/>
      <c r="C1092" s="71"/>
      <c r="D1092" s="72">
        <v>28264.16</v>
      </c>
      <c r="E1092" s="71"/>
      <c r="F1092" s="71"/>
      <c r="G1092" s="71"/>
      <c r="H1092" s="4" t="s">
        <v>282</v>
      </c>
      <c r="AS1092" s="91">
        <f t="shared" si="46"/>
        <v>28264.16</v>
      </c>
    </row>
    <row r="1093" spans="1:47" ht="12" hidden="1" outlineLevel="3" x14ac:dyDescent="0.2">
      <c r="A1093" s="73" t="s">
        <v>959</v>
      </c>
      <c r="B1093" s="71"/>
      <c r="C1093" s="71"/>
      <c r="D1093" s="72">
        <v>23318.81</v>
      </c>
      <c r="E1093" s="71"/>
      <c r="F1093" s="71"/>
      <c r="G1093" s="71"/>
      <c r="H1093" s="4" t="s">
        <v>283</v>
      </c>
      <c r="AS1093" s="91">
        <f t="shared" si="46"/>
        <v>23318.81</v>
      </c>
    </row>
    <row r="1094" spans="1:47" ht="12" hidden="1" outlineLevel="3" x14ac:dyDescent="0.2">
      <c r="A1094" s="73" t="s">
        <v>1118</v>
      </c>
      <c r="B1094" s="71"/>
      <c r="C1094" s="71"/>
      <c r="D1094" s="72">
        <v>115901.61</v>
      </c>
      <c r="E1094" s="71"/>
      <c r="F1094" s="71"/>
      <c r="G1094" s="71"/>
      <c r="H1094" s="4" t="s">
        <v>284</v>
      </c>
      <c r="AS1094" s="91">
        <f t="shared" si="46"/>
        <v>115901.61</v>
      </c>
    </row>
    <row r="1095" spans="1:47" ht="12" outlineLevel="2" collapsed="1" x14ac:dyDescent="0.2">
      <c r="A1095" s="74" t="s">
        <v>1117</v>
      </c>
      <c r="B1095" s="71"/>
      <c r="C1095" s="71"/>
      <c r="D1095" s="72">
        <v>5567.12</v>
      </c>
      <c r="E1095" s="71"/>
      <c r="F1095" s="71"/>
      <c r="G1095" s="71"/>
    </row>
    <row r="1096" spans="1:47" ht="12" hidden="1" outlineLevel="3" x14ac:dyDescent="0.2">
      <c r="A1096" s="73" t="s">
        <v>921</v>
      </c>
      <c r="B1096" s="71"/>
      <c r="C1096" s="71"/>
      <c r="D1096" s="72">
        <v>5567.12</v>
      </c>
      <c r="E1096" s="71"/>
      <c r="F1096" s="71"/>
      <c r="G1096" s="71"/>
      <c r="I1096" s="243">
        <f t="shared" ref="I1096" si="47">$D1096</f>
        <v>5567.12</v>
      </c>
    </row>
    <row r="1097" spans="1:47" ht="12" outlineLevel="2" collapsed="1" x14ac:dyDescent="0.2">
      <c r="A1097" s="74" t="s">
        <v>1116</v>
      </c>
      <c r="B1097" s="71"/>
      <c r="C1097" s="71"/>
      <c r="D1097" s="72">
        <v>19072648.59</v>
      </c>
      <c r="E1097" s="71"/>
      <c r="F1097" s="71"/>
      <c r="G1097" s="71"/>
    </row>
    <row r="1098" spans="1:47" ht="12" hidden="1" outlineLevel="3" x14ac:dyDescent="0.2">
      <c r="A1098" s="73" t="s">
        <v>919</v>
      </c>
      <c r="B1098" s="71"/>
      <c r="C1098" s="71"/>
      <c r="D1098" s="72">
        <v>19072648.59</v>
      </c>
      <c r="E1098" s="71"/>
      <c r="F1098" s="71"/>
      <c r="G1098" s="71"/>
      <c r="H1098" s="67" t="s">
        <v>1349</v>
      </c>
      <c r="I1098" s="242">
        <f>$D1098</f>
        <v>19072648.59</v>
      </c>
      <c r="AT1098" s="91">
        <f t="shared" ref="AT1098" si="48">$D1098</f>
        <v>19072648.59</v>
      </c>
    </row>
    <row r="1099" spans="1:47" ht="12" outlineLevel="2" collapsed="1" x14ac:dyDescent="0.2">
      <c r="A1099" s="74" t="s">
        <v>1115</v>
      </c>
      <c r="B1099" s="71"/>
      <c r="C1099" s="71"/>
      <c r="D1099" s="72">
        <v>11174.49</v>
      </c>
      <c r="E1099" s="71"/>
      <c r="F1099" s="71"/>
      <c r="G1099" s="71"/>
    </row>
    <row r="1100" spans="1:47" ht="12" hidden="1" outlineLevel="3" x14ac:dyDescent="0.2">
      <c r="A1100" s="73" t="s">
        <v>921</v>
      </c>
      <c r="B1100" s="71"/>
      <c r="C1100" s="71"/>
      <c r="D1100" s="72">
        <v>11174.49</v>
      </c>
      <c r="E1100" s="71"/>
      <c r="F1100" s="71"/>
      <c r="G1100" s="71"/>
      <c r="I1100" s="243">
        <f t="shared" ref="I1100" si="49">$D1100</f>
        <v>11174.49</v>
      </c>
    </row>
    <row r="1101" spans="1:47" ht="12" outlineLevel="2" collapsed="1" x14ac:dyDescent="0.2">
      <c r="A1101" s="74" t="s">
        <v>1114</v>
      </c>
      <c r="B1101" s="71"/>
      <c r="C1101" s="71"/>
      <c r="D1101" s="72">
        <v>1793619.96</v>
      </c>
      <c r="E1101" s="71"/>
      <c r="F1101" s="71"/>
      <c r="G1101" s="71"/>
    </row>
    <row r="1102" spans="1:47" ht="12" hidden="1" outlineLevel="3" x14ac:dyDescent="0.2">
      <c r="A1102" s="73" t="s">
        <v>930</v>
      </c>
      <c r="B1102" s="71"/>
      <c r="C1102" s="71"/>
      <c r="D1102" s="72">
        <v>1793619.96</v>
      </c>
      <c r="E1102" s="71"/>
      <c r="F1102" s="71"/>
      <c r="G1102" s="71"/>
      <c r="AU1102" s="91">
        <f t="shared" ref="AU1102" si="50">$D1102</f>
        <v>1793619.96</v>
      </c>
    </row>
    <row r="1103" spans="1:47" ht="12" outlineLevel="2" collapsed="1" x14ac:dyDescent="0.2">
      <c r="A1103" s="74" t="s">
        <v>1113</v>
      </c>
      <c r="B1103" s="71"/>
      <c r="C1103" s="71"/>
      <c r="D1103" s="72">
        <v>66887.12</v>
      </c>
      <c r="E1103" s="71"/>
      <c r="F1103" s="71"/>
      <c r="G1103" s="71"/>
    </row>
    <row r="1104" spans="1:47" ht="12" hidden="1" outlineLevel="3" x14ac:dyDescent="0.2">
      <c r="A1104" s="73" t="s">
        <v>921</v>
      </c>
      <c r="B1104" s="71"/>
      <c r="C1104" s="71"/>
      <c r="D1104" s="72">
        <v>66887.12</v>
      </c>
      <c r="E1104" s="71"/>
      <c r="F1104" s="71"/>
      <c r="G1104" s="71"/>
      <c r="I1104" s="243">
        <f t="shared" ref="I1104:I1105" si="51">$D1104</f>
        <v>66887.12</v>
      </c>
    </row>
    <row r="1105" spans="1:49" ht="12" outlineLevel="2" collapsed="1" x14ac:dyDescent="0.2">
      <c r="A1105" s="74" t="s">
        <v>1112</v>
      </c>
      <c r="B1105" s="71"/>
      <c r="C1105" s="71"/>
      <c r="D1105" s="72">
        <v>33005881.800000001</v>
      </c>
      <c r="E1105" s="71"/>
      <c r="F1105" s="71"/>
      <c r="G1105" s="71"/>
      <c r="I1105" s="297">
        <f t="shared" si="51"/>
        <v>33005881.800000001</v>
      </c>
    </row>
    <row r="1106" spans="1:49" ht="12" hidden="1" outlineLevel="3" x14ac:dyDescent="0.2">
      <c r="A1106" s="73" t="s">
        <v>921</v>
      </c>
      <c r="B1106" s="71"/>
      <c r="C1106" s="71"/>
      <c r="D1106" s="72">
        <v>33005881.800000001</v>
      </c>
      <c r="E1106" s="71"/>
      <c r="F1106" s="71"/>
      <c r="G1106" s="71"/>
      <c r="I1106" s="243">
        <f t="shared" ref="I1106" si="52">$D1106</f>
        <v>33005881.800000001</v>
      </c>
    </row>
    <row r="1107" spans="1:49" ht="12" outlineLevel="2" collapsed="1" x14ac:dyDescent="0.2">
      <c r="A1107" s="74" t="s">
        <v>1111</v>
      </c>
      <c r="B1107" s="71"/>
      <c r="C1107" s="71"/>
      <c r="D1107" s="72">
        <v>410409.21</v>
      </c>
      <c r="E1107" s="71"/>
      <c r="F1107" s="71"/>
      <c r="G1107" s="71"/>
    </row>
    <row r="1108" spans="1:49" ht="12" hidden="1" outlineLevel="3" x14ac:dyDescent="0.2">
      <c r="A1108" s="73" t="s">
        <v>921</v>
      </c>
      <c r="B1108" s="71"/>
      <c r="C1108" s="71"/>
      <c r="D1108" s="72">
        <v>410409.21</v>
      </c>
      <c r="E1108" s="71"/>
      <c r="F1108" s="71"/>
      <c r="G1108" s="71"/>
      <c r="I1108" s="243">
        <f t="shared" ref="I1108" si="53">$D1108</f>
        <v>410409.21</v>
      </c>
    </row>
    <row r="1109" spans="1:49" ht="24" outlineLevel="2" collapsed="1" x14ac:dyDescent="0.2">
      <c r="A1109" s="74" t="s">
        <v>1110</v>
      </c>
      <c r="B1109" s="71"/>
      <c r="C1109" s="71"/>
      <c r="D1109" s="72">
        <v>3625792.43</v>
      </c>
      <c r="E1109" s="71"/>
      <c r="F1109" s="71"/>
      <c r="G1109" s="71"/>
    </row>
    <row r="1110" spans="1:49" ht="12" hidden="1" outlineLevel="3" x14ac:dyDescent="0.2">
      <c r="A1110" s="73" t="s">
        <v>919</v>
      </c>
      <c r="B1110" s="71"/>
      <c r="C1110" s="71"/>
      <c r="D1110" s="72">
        <v>3353325</v>
      </c>
      <c r="E1110" s="71"/>
      <c r="F1110" s="71"/>
      <c r="G1110" s="71"/>
      <c r="AV1110" s="91">
        <f t="shared" ref="AV1110:AW1125" si="54">$D1110</f>
        <v>3353325</v>
      </c>
    </row>
    <row r="1111" spans="1:49" ht="12" hidden="1" outlineLevel="3" x14ac:dyDescent="0.2">
      <c r="A1111" s="73" t="s">
        <v>1020</v>
      </c>
      <c r="B1111" s="71"/>
      <c r="C1111" s="71"/>
      <c r="D1111" s="72">
        <v>272467.43</v>
      </c>
      <c r="E1111" s="71"/>
      <c r="F1111" s="71"/>
      <c r="G1111" s="71"/>
      <c r="AV1111" s="91">
        <f t="shared" si="54"/>
        <v>272467.43</v>
      </c>
    </row>
    <row r="1112" spans="1:49" ht="12" outlineLevel="2" collapsed="1" x14ac:dyDescent="0.2">
      <c r="A1112" s="74" t="s">
        <v>1109</v>
      </c>
      <c r="B1112" s="71"/>
      <c r="C1112" s="71"/>
      <c r="D1112" s="72">
        <v>2700000</v>
      </c>
      <c r="E1112" s="71"/>
      <c r="F1112" s="71"/>
      <c r="G1112" s="71"/>
    </row>
    <row r="1113" spans="1:49" ht="12" hidden="1" outlineLevel="3" x14ac:dyDescent="0.2">
      <c r="A1113" s="73" t="s">
        <v>1108</v>
      </c>
      <c r="B1113" s="71"/>
      <c r="C1113" s="71"/>
      <c r="D1113" s="72">
        <v>149999.96</v>
      </c>
      <c r="E1113" s="71"/>
      <c r="F1113" s="71"/>
      <c r="G1113" s="71"/>
      <c r="H1113" s="31" t="s">
        <v>320</v>
      </c>
      <c r="AW1113" s="91">
        <f t="shared" si="54"/>
        <v>149999.96</v>
      </c>
    </row>
    <row r="1114" spans="1:49" ht="12" hidden="1" outlineLevel="3" x14ac:dyDescent="0.2">
      <c r="A1114" s="73" t="s">
        <v>953</v>
      </c>
      <c r="B1114" s="71"/>
      <c r="C1114" s="71"/>
      <c r="D1114" s="72">
        <v>150000.4</v>
      </c>
      <c r="E1114" s="71"/>
      <c r="F1114" s="71"/>
      <c r="G1114" s="71"/>
      <c r="H1114" s="31" t="s">
        <v>330</v>
      </c>
      <c r="AW1114" s="91">
        <f t="shared" si="54"/>
        <v>150000.4</v>
      </c>
    </row>
    <row r="1115" spans="1:49" ht="12" hidden="1" outlineLevel="3" x14ac:dyDescent="0.2">
      <c r="A1115" s="73" t="s">
        <v>926</v>
      </c>
      <c r="B1115" s="71"/>
      <c r="C1115" s="71"/>
      <c r="D1115" s="72">
        <v>149999.96</v>
      </c>
      <c r="E1115" s="71"/>
      <c r="F1115" s="71"/>
      <c r="G1115" s="71"/>
      <c r="H1115" s="31" t="s">
        <v>323</v>
      </c>
      <c r="AW1115" s="91">
        <f t="shared" si="54"/>
        <v>149999.96</v>
      </c>
    </row>
    <row r="1116" spans="1:49" ht="12" hidden="1" outlineLevel="3" x14ac:dyDescent="0.2">
      <c r="A1116" s="73" t="s">
        <v>1107</v>
      </c>
      <c r="B1116" s="71"/>
      <c r="C1116" s="71"/>
      <c r="D1116" s="72">
        <v>149999.96</v>
      </c>
      <c r="E1116" s="71"/>
      <c r="F1116" s="71"/>
      <c r="G1116" s="71"/>
      <c r="H1116" s="31" t="s">
        <v>324</v>
      </c>
      <c r="AW1116" s="91">
        <f t="shared" si="54"/>
        <v>149999.96</v>
      </c>
    </row>
    <row r="1117" spans="1:49" ht="12" hidden="1" outlineLevel="3" x14ac:dyDescent="0.2">
      <c r="A1117" s="73" t="s">
        <v>1106</v>
      </c>
      <c r="B1117" s="71"/>
      <c r="C1117" s="71"/>
      <c r="D1117" s="72">
        <v>149999.96</v>
      </c>
      <c r="E1117" s="71"/>
      <c r="F1117" s="71"/>
      <c r="G1117" s="71"/>
      <c r="H1117" s="31" t="s">
        <v>325</v>
      </c>
      <c r="AW1117" s="91">
        <f t="shared" si="54"/>
        <v>149999.96</v>
      </c>
    </row>
    <row r="1118" spans="1:49" ht="12" hidden="1" outlineLevel="3" x14ac:dyDescent="0.2">
      <c r="A1118" s="73" t="s">
        <v>1105</v>
      </c>
      <c r="B1118" s="71"/>
      <c r="C1118" s="71"/>
      <c r="D1118" s="72">
        <v>149999.96</v>
      </c>
      <c r="E1118" s="71"/>
      <c r="F1118" s="71"/>
      <c r="G1118" s="71"/>
      <c r="H1118" s="31" t="s">
        <v>326</v>
      </c>
      <c r="AW1118" s="91">
        <f t="shared" si="54"/>
        <v>149999.96</v>
      </c>
    </row>
    <row r="1119" spans="1:49" ht="12" hidden="1" outlineLevel="3" x14ac:dyDescent="0.2">
      <c r="A1119" s="73" t="s">
        <v>925</v>
      </c>
      <c r="B1119" s="71"/>
      <c r="C1119" s="71"/>
      <c r="D1119" s="72">
        <v>149999.96</v>
      </c>
      <c r="E1119" s="71"/>
      <c r="F1119" s="71"/>
      <c r="G1119" s="71"/>
      <c r="H1119" s="31" t="s">
        <v>327</v>
      </c>
      <c r="AW1119" s="91">
        <f t="shared" si="54"/>
        <v>149999.96</v>
      </c>
    </row>
    <row r="1120" spans="1:49" ht="12" hidden="1" outlineLevel="3" x14ac:dyDescent="0.2">
      <c r="A1120" s="73" t="s">
        <v>1104</v>
      </c>
      <c r="B1120" s="71"/>
      <c r="C1120" s="71"/>
      <c r="D1120" s="72">
        <v>149999.96</v>
      </c>
      <c r="E1120" s="71"/>
      <c r="F1120" s="71"/>
      <c r="G1120" s="71"/>
      <c r="H1120" s="31" t="s">
        <v>328</v>
      </c>
      <c r="AW1120" s="91">
        <f t="shared" si="54"/>
        <v>149999.96</v>
      </c>
    </row>
    <row r="1121" spans="1:49" ht="12" hidden="1" outlineLevel="3" x14ac:dyDescent="0.2">
      <c r="A1121" s="73" t="s">
        <v>1103</v>
      </c>
      <c r="B1121" s="71"/>
      <c r="C1121" s="71"/>
      <c r="D1121" s="72">
        <v>149999.96</v>
      </c>
      <c r="E1121" s="71"/>
      <c r="F1121" s="71"/>
      <c r="G1121" s="71"/>
      <c r="H1121" s="31" t="s">
        <v>329</v>
      </c>
      <c r="AW1121" s="91">
        <f t="shared" si="54"/>
        <v>149999.96</v>
      </c>
    </row>
    <row r="1122" spans="1:49" ht="12" hidden="1" outlineLevel="3" x14ac:dyDescent="0.2">
      <c r="A1122" s="73" t="s">
        <v>1102</v>
      </c>
      <c r="B1122" s="71"/>
      <c r="C1122" s="71"/>
      <c r="D1122" s="72">
        <v>13636.36</v>
      </c>
      <c r="E1122" s="71"/>
      <c r="F1122" s="71"/>
      <c r="G1122" s="71"/>
      <c r="H1122" s="31" t="s">
        <v>334</v>
      </c>
      <c r="AW1122" s="91">
        <f t="shared" si="54"/>
        <v>13636.36</v>
      </c>
    </row>
    <row r="1123" spans="1:49" ht="12" hidden="1" outlineLevel="3" x14ac:dyDescent="0.2">
      <c r="A1123" s="73" t="s">
        <v>1101</v>
      </c>
      <c r="B1123" s="71"/>
      <c r="C1123" s="71"/>
      <c r="D1123" s="72">
        <v>13636.36</v>
      </c>
      <c r="E1123" s="71"/>
      <c r="F1123" s="71"/>
      <c r="G1123" s="71"/>
      <c r="H1123" s="31" t="s">
        <v>341</v>
      </c>
      <c r="AW1123" s="91">
        <f t="shared" si="54"/>
        <v>13636.36</v>
      </c>
    </row>
    <row r="1124" spans="1:49" ht="12" hidden="1" outlineLevel="3" x14ac:dyDescent="0.2">
      <c r="A1124" s="73" t="s">
        <v>1100</v>
      </c>
      <c r="B1124" s="71"/>
      <c r="C1124" s="71"/>
      <c r="D1124" s="72">
        <v>13636.36</v>
      </c>
      <c r="E1124" s="71"/>
      <c r="F1124" s="71"/>
      <c r="G1124" s="71"/>
      <c r="H1124" s="31" t="s">
        <v>342</v>
      </c>
      <c r="AW1124" s="91">
        <f t="shared" si="54"/>
        <v>13636.36</v>
      </c>
    </row>
    <row r="1125" spans="1:49" ht="12" hidden="1" outlineLevel="3" x14ac:dyDescent="0.2">
      <c r="A1125" s="73" t="s">
        <v>1099</v>
      </c>
      <c r="B1125" s="71"/>
      <c r="C1125" s="71"/>
      <c r="D1125" s="72">
        <v>13636.36</v>
      </c>
      <c r="E1125" s="71"/>
      <c r="F1125" s="71"/>
      <c r="G1125" s="71"/>
      <c r="H1125" s="31" t="s">
        <v>343</v>
      </c>
      <c r="AW1125" s="91">
        <f t="shared" si="54"/>
        <v>13636.36</v>
      </c>
    </row>
    <row r="1126" spans="1:49" ht="12" hidden="1" outlineLevel="3" x14ac:dyDescent="0.2">
      <c r="A1126" s="73" t="s">
        <v>924</v>
      </c>
      <c r="B1126" s="71"/>
      <c r="C1126" s="71"/>
      <c r="D1126" s="72">
        <v>13636.4</v>
      </c>
      <c r="E1126" s="71"/>
      <c r="F1126" s="71"/>
      <c r="G1126" s="71"/>
      <c r="H1126" s="31" t="s">
        <v>344</v>
      </c>
      <c r="AW1126" s="91">
        <f t="shared" ref="AW1126:AX1145" si="55">$D1126</f>
        <v>13636.4</v>
      </c>
    </row>
    <row r="1127" spans="1:49" ht="12" hidden="1" outlineLevel="3" x14ac:dyDescent="0.2">
      <c r="A1127" s="73" t="s">
        <v>1098</v>
      </c>
      <c r="B1127" s="71"/>
      <c r="C1127" s="71"/>
      <c r="D1127" s="72">
        <v>149999.96</v>
      </c>
      <c r="E1127" s="71"/>
      <c r="F1127" s="71"/>
      <c r="G1127" s="71"/>
      <c r="H1127" s="31" t="s">
        <v>345</v>
      </c>
      <c r="AW1127" s="91">
        <f t="shared" si="55"/>
        <v>149999.96</v>
      </c>
    </row>
    <row r="1128" spans="1:49" ht="12" hidden="1" outlineLevel="3" x14ac:dyDescent="0.2">
      <c r="A1128" s="73" t="s">
        <v>923</v>
      </c>
      <c r="B1128" s="71"/>
      <c r="C1128" s="71"/>
      <c r="D1128" s="72">
        <v>149999.96</v>
      </c>
      <c r="E1128" s="71"/>
      <c r="F1128" s="71"/>
      <c r="G1128" s="71"/>
      <c r="H1128" s="31" t="s">
        <v>346</v>
      </c>
      <c r="AW1128" s="91">
        <f t="shared" si="55"/>
        <v>149999.96</v>
      </c>
    </row>
    <row r="1129" spans="1:49" ht="12" hidden="1" outlineLevel="3" x14ac:dyDescent="0.2">
      <c r="A1129" s="73" t="s">
        <v>1097</v>
      </c>
      <c r="B1129" s="71"/>
      <c r="C1129" s="71"/>
      <c r="D1129" s="72">
        <v>99999.96</v>
      </c>
      <c r="E1129" s="71"/>
      <c r="F1129" s="71"/>
      <c r="G1129" s="71"/>
      <c r="H1129" s="31" t="s">
        <v>347</v>
      </c>
      <c r="AW1129" s="91">
        <f t="shared" si="55"/>
        <v>99999.96</v>
      </c>
    </row>
    <row r="1130" spans="1:49" ht="12" hidden="1" outlineLevel="3" x14ac:dyDescent="0.2">
      <c r="A1130" s="73" t="s">
        <v>1096</v>
      </c>
      <c r="B1130" s="71"/>
      <c r="C1130" s="71"/>
      <c r="D1130" s="72">
        <v>13636.36</v>
      </c>
      <c r="E1130" s="71"/>
      <c r="F1130" s="71"/>
      <c r="G1130" s="71"/>
      <c r="H1130" s="31" t="s">
        <v>335</v>
      </c>
      <c r="AW1130" s="91">
        <f t="shared" si="55"/>
        <v>13636.36</v>
      </c>
    </row>
    <row r="1131" spans="1:49" ht="12" hidden="1" outlineLevel="3" x14ac:dyDescent="0.2">
      <c r="A1131" s="73" t="s">
        <v>934</v>
      </c>
      <c r="B1131" s="71"/>
      <c r="C1131" s="71"/>
      <c r="D1131" s="72">
        <v>13636.36</v>
      </c>
      <c r="E1131" s="71"/>
      <c r="F1131" s="71"/>
      <c r="G1131" s="71"/>
      <c r="H1131" s="31" t="s">
        <v>336</v>
      </c>
      <c r="AW1131" s="91">
        <f t="shared" si="55"/>
        <v>13636.36</v>
      </c>
    </row>
    <row r="1132" spans="1:49" ht="12" hidden="1" outlineLevel="3" x14ac:dyDescent="0.2">
      <c r="A1132" s="73" t="s">
        <v>1095</v>
      </c>
      <c r="B1132" s="71"/>
      <c r="C1132" s="71"/>
      <c r="D1132" s="72">
        <v>13636.36</v>
      </c>
      <c r="E1132" s="71"/>
      <c r="F1132" s="71"/>
      <c r="G1132" s="71"/>
      <c r="H1132" s="31" t="s">
        <v>337</v>
      </c>
      <c r="AW1132" s="91">
        <f t="shared" si="55"/>
        <v>13636.36</v>
      </c>
    </row>
    <row r="1133" spans="1:49" ht="12" hidden="1" outlineLevel="3" x14ac:dyDescent="0.2">
      <c r="A1133" s="73" t="s">
        <v>1094</v>
      </c>
      <c r="B1133" s="71"/>
      <c r="C1133" s="71"/>
      <c r="D1133" s="72">
        <v>13636.36</v>
      </c>
      <c r="E1133" s="71"/>
      <c r="F1133" s="71"/>
      <c r="G1133" s="71"/>
      <c r="H1133" s="31" t="s">
        <v>338</v>
      </c>
      <c r="AW1133" s="91">
        <f t="shared" si="55"/>
        <v>13636.36</v>
      </c>
    </row>
    <row r="1134" spans="1:49" ht="12" hidden="1" outlineLevel="3" x14ac:dyDescent="0.2">
      <c r="A1134" s="73" t="s">
        <v>1093</v>
      </c>
      <c r="B1134" s="71"/>
      <c r="C1134" s="71"/>
      <c r="D1134" s="72">
        <v>13636.36</v>
      </c>
      <c r="E1134" s="71"/>
      <c r="F1134" s="71"/>
      <c r="G1134" s="71"/>
      <c r="H1134" s="31" t="s">
        <v>339</v>
      </c>
      <c r="AW1134" s="91">
        <f t="shared" si="55"/>
        <v>13636.36</v>
      </c>
    </row>
    <row r="1135" spans="1:49" ht="12" hidden="1" outlineLevel="3" x14ac:dyDescent="0.2">
      <c r="A1135" s="73" t="s">
        <v>1092</v>
      </c>
      <c r="B1135" s="71"/>
      <c r="C1135" s="71"/>
      <c r="D1135" s="72">
        <v>13636.36</v>
      </c>
      <c r="E1135" s="71"/>
      <c r="F1135" s="71"/>
      <c r="G1135" s="71"/>
      <c r="H1135" s="31" t="s">
        <v>340</v>
      </c>
      <c r="AW1135" s="91">
        <f t="shared" si="55"/>
        <v>13636.36</v>
      </c>
    </row>
    <row r="1136" spans="1:49" ht="12" hidden="1" outlineLevel="3" x14ac:dyDescent="0.2">
      <c r="A1136" s="73" t="s">
        <v>1091</v>
      </c>
      <c r="B1136" s="71"/>
      <c r="C1136" s="71"/>
      <c r="D1136" s="72">
        <v>99999.96</v>
      </c>
      <c r="E1136" s="71"/>
      <c r="F1136" s="71"/>
      <c r="G1136" s="71"/>
      <c r="H1136" s="31" t="s">
        <v>348</v>
      </c>
      <c r="AW1136" s="91">
        <f t="shared" si="55"/>
        <v>99999.96</v>
      </c>
    </row>
    <row r="1137" spans="1:51" ht="12" hidden="1" outlineLevel="3" x14ac:dyDescent="0.2">
      <c r="A1137" s="73" t="s">
        <v>1090</v>
      </c>
      <c r="B1137" s="71"/>
      <c r="C1137" s="71"/>
      <c r="D1137" s="72">
        <v>100000.32000000001</v>
      </c>
      <c r="E1137" s="71"/>
      <c r="F1137" s="71"/>
      <c r="G1137" s="71"/>
      <c r="H1137" s="31" t="s">
        <v>355</v>
      </c>
      <c r="AW1137" s="91">
        <f t="shared" si="55"/>
        <v>100000.32000000001</v>
      </c>
    </row>
    <row r="1138" spans="1:51" ht="12" hidden="1" outlineLevel="3" x14ac:dyDescent="0.2">
      <c r="A1138" s="73" t="s">
        <v>1083</v>
      </c>
      <c r="B1138" s="71"/>
      <c r="C1138" s="71"/>
      <c r="D1138" s="72">
        <v>99999.96</v>
      </c>
      <c r="E1138" s="71"/>
      <c r="F1138" s="71"/>
      <c r="G1138" s="71"/>
      <c r="H1138" s="31" t="s">
        <v>349</v>
      </c>
      <c r="AW1138" s="91">
        <f t="shared" si="55"/>
        <v>99999.96</v>
      </c>
    </row>
    <row r="1139" spans="1:51" ht="12" hidden="1" outlineLevel="3" x14ac:dyDescent="0.2">
      <c r="A1139" s="73" t="s">
        <v>1089</v>
      </c>
      <c r="B1139" s="71"/>
      <c r="C1139" s="71"/>
      <c r="D1139" s="72">
        <v>99999.96</v>
      </c>
      <c r="E1139" s="71"/>
      <c r="F1139" s="71"/>
      <c r="G1139" s="71"/>
      <c r="H1139" s="31" t="s">
        <v>350</v>
      </c>
      <c r="AW1139" s="91">
        <f t="shared" si="55"/>
        <v>99999.96</v>
      </c>
    </row>
    <row r="1140" spans="1:51" ht="12" hidden="1" outlineLevel="3" x14ac:dyDescent="0.2">
      <c r="A1140" s="73" t="s">
        <v>1088</v>
      </c>
      <c r="B1140" s="71"/>
      <c r="C1140" s="71"/>
      <c r="D1140" s="72">
        <v>99999.96</v>
      </c>
      <c r="E1140" s="71"/>
      <c r="F1140" s="71"/>
      <c r="G1140" s="71"/>
      <c r="H1140" s="31" t="s">
        <v>351</v>
      </c>
      <c r="AW1140" s="91">
        <f t="shared" si="55"/>
        <v>99999.96</v>
      </c>
    </row>
    <row r="1141" spans="1:51" ht="12" hidden="1" outlineLevel="3" x14ac:dyDescent="0.2">
      <c r="A1141" s="73" t="s">
        <v>1087</v>
      </c>
      <c r="B1141" s="71"/>
      <c r="C1141" s="71"/>
      <c r="D1141" s="72">
        <v>99999.96</v>
      </c>
      <c r="E1141" s="71"/>
      <c r="F1141" s="71"/>
      <c r="G1141" s="71"/>
      <c r="H1141" s="31" t="s">
        <v>352</v>
      </c>
      <c r="AW1141" s="91">
        <f t="shared" si="55"/>
        <v>99999.96</v>
      </c>
    </row>
    <row r="1142" spans="1:51" ht="12" hidden="1" outlineLevel="3" x14ac:dyDescent="0.2">
      <c r="A1142" s="73" t="s">
        <v>1086</v>
      </c>
      <c r="B1142" s="71"/>
      <c r="C1142" s="71"/>
      <c r="D1142" s="72">
        <v>99999.96</v>
      </c>
      <c r="E1142" s="71"/>
      <c r="F1142" s="71"/>
      <c r="G1142" s="71"/>
      <c r="H1142" s="31" t="s">
        <v>353</v>
      </c>
      <c r="AW1142" s="91">
        <f t="shared" si="55"/>
        <v>99999.96</v>
      </c>
    </row>
    <row r="1143" spans="1:51" ht="12" hidden="1" outlineLevel="3" x14ac:dyDescent="0.2">
      <c r="A1143" s="73" t="s">
        <v>1085</v>
      </c>
      <c r="B1143" s="71"/>
      <c r="C1143" s="71"/>
      <c r="D1143" s="72">
        <v>99999.96</v>
      </c>
      <c r="E1143" s="71"/>
      <c r="F1143" s="71"/>
      <c r="G1143" s="71"/>
      <c r="H1143" s="31" t="s">
        <v>354</v>
      </c>
      <c r="AW1143" s="91">
        <f t="shared" si="55"/>
        <v>99999.96</v>
      </c>
    </row>
    <row r="1144" spans="1:51" ht="36" outlineLevel="2" collapsed="1" x14ac:dyDescent="0.2">
      <c r="A1144" s="74" t="s">
        <v>1084</v>
      </c>
      <c r="B1144" s="71"/>
      <c r="C1144" s="71"/>
      <c r="D1144" s="72">
        <v>42500</v>
      </c>
      <c r="E1144" s="71"/>
      <c r="F1144" s="71"/>
      <c r="G1144" s="71"/>
    </row>
    <row r="1145" spans="1:51" ht="12" hidden="1" outlineLevel="3" x14ac:dyDescent="0.2">
      <c r="A1145" s="73" t="s">
        <v>1083</v>
      </c>
      <c r="B1145" s="71"/>
      <c r="C1145" s="71"/>
      <c r="D1145" s="72">
        <v>8500</v>
      </c>
      <c r="E1145" s="71"/>
      <c r="F1145" s="71"/>
      <c r="G1145" s="71"/>
      <c r="H1145" s="31" t="s">
        <v>349</v>
      </c>
      <c r="AX1145" s="91">
        <f t="shared" si="55"/>
        <v>8500</v>
      </c>
    </row>
    <row r="1146" spans="1:51" ht="12" hidden="1" outlineLevel="3" x14ac:dyDescent="0.2">
      <c r="A1146" s="73" t="s">
        <v>1026</v>
      </c>
      <c r="B1146" s="71"/>
      <c r="C1146" s="71"/>
      <c r="D1146" s="72">
        <v>8500</v>
      </c>
      <c r="E1146" s="71"/>
      <c r="F1146" s="71"/>
      <c r="G1146" s="71"/>
      <c r="H1146" s="4" t="s">
        <v>156</v>
      </c>
      <c r="AX1146" s="91">
        <f t="shared" ref="AX1146:AY1161" si="56">$D1146</f>
        <v>8500</v>
      </c>
    </row>
    <row r="1147" spans="1:51" ht="12" hidden="1" outlineLevel="3" x14ac:dyDescent="0.2">
      <c r="A1147" s="73" t="s">
        <v>988</v>
      </c>
      <c r="B1147" s="71"/>
      <c r="C1147" s="71"/>
      <c r="D1147" s="72">
        <v>17000</v>
      </c>
      <c r="E1147" s="71"/>
      <c r="F1147" s="71"/>
      <c r="G1147" s="71"/>
      <c r="H1147" s="4" t="s">
        <v>182</v>
      </c>
      <c r="AX1147" s="91">
        <f t="shared" si="56"/>
        <v>17000</v>
      </c>
    </row>
    <row r="1148" spans="1:51" ht="12" hidden="1" outlineLevel="3" x14ac:dyDescent="0.2">
      <c r="A1148" s="73" t="s">
        <v>1082</v>
      </c>
      <c r="B1148" s="71"/>
      <c r="C1148" s="71"/>
      <c r="D1148" s="72">
        <v>8500</v>
      </c>
      <c r="E1148" s="71"/>
      <c r="F1148" s="71"/>
      <c r="G1148" s="71"/>
      <c r="H1148" s="4" t="s">
        <v>226</v>
      </c>
      <c r="AX1148" s="91">
        <f t="shared" si="56"/>
        <v>8500</v>
      </c>
    </row>
    <row r="1149" spans="1:51" ht="12" outlineLevel="2" collapsed="1" x14ac:dyDescent="0.2">
      <c r="A1149" s="290" t="s">
        <v>1081</v>
      </c>
      <c r="B1149" s="291"/>
      <c r="C1149" s="291"/>
      <c r="D1149" s="272">
        <v>4941545.62</v>
      </c>
      <c r="E1149" s="291"/>
      <c r="F1149" s="291"/>
      <c r="G1149" s="291"/>
      <c r="H1149" s="292"/>
      <c r="I1149" s="292"/>
    </row>
    <row r="1150" spans="1:51" ht="12" hidden="1" outlineLevel="3" x14ac:dyDescent="0.2">
      <c r="A1150" s="73" t="s">
        <v>1080</v>
      </c>
      <c r="B1150" s="71"/>
      <c r="C1150" s="71"/>
      <c r="D1150" s="72">
        <v>14904.17</v>
      </c>
      <c r="E1150" s="71"/>
      <c r="F1150" s="71"/>
      <c r="G1150" s="71"/>
      <c r="H1150" s="67" t="s">
        <v>68</v>
      </c>
      <c r="AY1150" s="91">
        <f t="shared" si="56"/>
        <v>14904.17</v>
      </c>
    </row>
    <row r="1151" spans="1:51" ht="12" hidden="1" outlineLevel="3" x14ac:dyDescent="0.2">
      <c r="A1151" s="73" t="s">
        <v>1079</v>
      </c>
      <c r="B1151" s="71"/>
      <c r="C1151" s="71"/>
      <c r="D1151" s="72">
        <v>14904.17</v>
      </c>
      <c r="E1151" s="71"/>
      <c r="F1151" s="71"/>
      <c r="G1151" s="71"/>
      <c r="H1151" s="67" t="s">
        <v>65</v>
      </c>
      <c r="AY1151" s="91">
        <f t="shared" si="56"/>
        <v>14904.17</v>
      </c>
    </row>
    <row r="1152" spans="1:51" ht="12" hidden="1" outlineLevel="3" x14ac:dyDescent="0.2">
      <c r="A1152" s="73" t="s">
        <v>1078</v>
      </c>
      <c r="B1152" s="71"/>
      <c r="C1152" s="71"/>
      <c r="D1152" s="72">
        <v>6157.5</v>
      </c>
      <c r="E1152" s="71"/>
      <c r="F1152" s="71"/>
      <c r="G1152" s="71"/>
      <c r="H1152" s="67" t="s">
        <v>58</v>
      </c>
      <c r="AY1152" s="91">
        <f t="shared" si="56"/>
        <v>6157.5</v>
      </c>
    </row>
    <row r="1153" spans="1:51" ht="12" hidden="1" outlineLevel="3" x14ac:dyDescent="0.2">
      <c r="A1153" s="73" t="s">
        <v>1077</v>
      </c>
      <c r="B1153" s="71"/>
      <c r="C1153" s="71"/>
      <c r="D1153" s="72">
        <v>6390.83</v>
      </c>
      <c r="E1153" s="71"/>
      <c r="F1153" s="71"/>
      <c r="G1153" s="71"/>
      <c r="H1153" s="67" t="s">
        <v>59</v>
      </c>
      <c r="AY1153" s="91">
        <f t="shared" si="56"/>
        <v>6390.83</v>
      </c>
    </row>
    <row r="1154" spans="1:51" ht="12" hidden="1" outlineLevel="3" x14ac:dyDescent="0.2">
      <c r="A1154" s="73" t="s">
        <v>954</v>
      </c>
      <c r="B1154" s="71"/>
      <c r="C1154" s="71"/>
      <c r="D1154" s="72">
        <v>11160.84</v>
      </c>
      <c r="E1154" s="71"/>
      <c r="F1154" s="71"/>
      <c r="G1154" s="71"/>
      <c r="H1154" s="67" t="s">
        <v>60</v>
      </c>
      <c r="AY1154" s="91">
        <f t="shared" si="56"/>
        <v>11160.84</v>
      </c>
    </row>
    <row r="1155" spans="1:51" ht="12" hidden="1" outlineLevel="3" x14ac:dyDescent="0.2">
      <c r="A1155" s="73" t="s">
        <v>1076</v>
      </c>
      <c r="B1155" s="71"/>
      <c r="C1155" s="71"/>
      <c r="D1155" s="72">
        <v>10584.17</v>
      </c>
      <c r="E1155" s="71"/>
      <c r="F1155" s="71"/>
      <c r="G1155" s="71"/>
      <c r="H1155" s="67" t="s">
        <v>61</v>
      </c>
      <c r="AY1155" s="91">
        <f t="shared" si="56"/>
        <v>10584.17</v>
      </c>
    </row>
    <row r="1156" spans="1:51" ht="12" hidden="1" outlineLevel="3" x14ac:dyDescent="0.2">
      <c r="A1156" s="73" t="s">
        <v>1075</v>
      </c>
      <c r="B1156" s="71"/>
      <c r="C1156" s="71"/>
      <c r="D1156" s="72">
        <v>10854.17</v>
      </c>
      <c r="E1156" s="71"/>
      <c r="F1156" s="71"/>
      <c r="G1156" s="71"/>
      <c r="H1156" s="67" t="s">
        <v>62</v>
      </c>
      <c r="AY1156" s="91">
        <f t="shared" si="56"/>
        <v>10854.17</v>
      </c>
    </row>
    <row r="1157" spans="1:51" ht="12" hidden="1" outlineLevel="3" x14ac:dyDescent="0.2">
      <c r="A1157" s="73" t="s">
        <v>1074</v>
      </c>
      <c r="B1157" s="71"/>
      <c r="C1157" s="71"/>
      <c r="D1157" s="72">
        <v>10854.17</v>
      </c>
      <c r="E1157" s="71"/>
      <c r="F1157" s="71"/>
      <c r="G1157" s="71"/>
      <c r="H1157" s="67" t="s">
        <v>63</v>
      </c>
      <c r="AY1157" s="91">
        <f t="shared" si="56"/>
        <v>10854.17</v>
      </c>
    </row>
    <row r="1158" spans="1:51" ht="12" hidden="1" outlineLevel="3" x14ac:dyDescent="0.2">
      <c r="A1158" s="73" t="s">
        <v>1073</v>
      </c>
      <c r="B1158" s="71"/>
      <c r="C1158" s="71"/>
      <c r="D1158" s="72">
        <v>6157.5</v>
      </c>
      <c r="E1158" s="71"/>
      <c r="F1158" s="71"/>
      <c r="G1158" s="71"/>
      <c r="H1158" s="67" t="s">
        <v>64</v>
      </c>
      <c r="AY1158" s="91">
        <f t="shared" si="56"/>
        <v>6157.5</v>
      </c>
    </row>
    <row r="1159" spans="1:51" ht="12" hidden="1" outlineLevel="3" x14ac:dyDescent="0.2">
      <c r="A1159" s="73" t="s">
        <v>928</v>
      </c>
      <c r="B1159" s="71"/>
      <c r="C1159" s="71"/>
      <c r="D1159" s="72">
        <v>8942.5</v>
      </c>
      <c r="E1159" s="71"/>
      <c r="F1159" s="71"/>
      <c r="G1159" s="71"/>
      <c r="H1159" s="31" t="s">
        <v>333</v>
      </c>
      <c r="AY1159" s="91">
        <f t="shared" si="56"/>
        <v>8942.5</v>
      </c>
    </row>
    <row r="1160" spans="1:51" ht="12" hidden="1" outlineLevel="3" x14ac:dyDescent="0.2">
      <c r="A1160" s="73" t="s">
        <v>927</v>
      </c>
      <c r="B1160" s="71"/>
      <c r="C1160" s="71"/>
      <c r="D1160" s="72">
        <v>28950.5</v>
      </c>
      <c r="E1160" s="71"/>
      <c r="F1160" s="71"/>
      <c r="G1160" s="71"/>
      <c r="H1160" s="31" t="s">
        <v>332</v>
      </c>
      <c r="AY1160" s="91">
        <f t="shared" si="56"/>
        <v>28950.5</v>
      </c>
    </row>
    <row r="1161" spans="1:51" ht="12" hidden="1" outlineLevel="3" x14ac:dyDescent="0.2">
      <c r="A1161" s="73" t="s">
        <v>1072</v>
      </c>
      <c r="B1161" s="71"/>
      <c r="C1161" s="71"/>
      <c r="D1161" s="72">
        <v>16226.25</v>
      </c>
      <c r="E1161" s="71"/>
      <c r="F1161" s="71"/>
      <c r="G1161" s="71"/>
      <c r="H1161" s="67" t="s">
        <v>278</v>
      </c>
      <c r="AY1161" s="91">
        <f t="shared" si="56"/>
        <v>16226.25</v>
      </c>
    </row>
    <row r="1162" spans="1:51" ht="12" hidden="1" outlineLevel="3" x14ac:dyDescent="0.2">
      <c r="A1162" s="73" t="s">
        <v>1071</v>
      </c>
      <c r="B1162" s="71"/>
      <c r="C1162" s="71"/>
      <c r="D1162" s="72">
        <v>47920</v>
      </c>
      <c r="E1162" s="71"/>
      <c r="F1162" s="71"/>
      <c r="G1162" s="71"/>
      <c r="H1162" s="67" t="s">
        <v>280</v>
      </c>
      <c r="AY1162" s="91">
        <f t="shared" ref="I1162:AY1225" si="57">$D1162</f>
        <v>47920</v>
      </c>
    </row>
    <row r="1163" spans="1:51" ht="12" hidden="1" outlineLevel="3" x14ac:dyDescent="0.2">
      <c r="A1163" s="73" t="s">
        <v>919</v>
      </c>
      <c r="B1163" s="71"/>
      <c r="C1163" s="71"/>
      <c r="D1163" s="72">
        <v>484479.6</v>
      </c>
      <c r="E1163" s="71"/>
      <c r="F1163" s="71"/>
      <c r="G1163" s="71"/>
      <c r="I1163" s="243">
        <f t="shared" si="57"/>
        <v>484479.6</v>
      </c>
    </row>
    <row r="1164" spans="1:51" ht="12" hidden="1" outlineLevel="3" x14ac:dyDescent="0.2">
      <c r="A1164" s="73" t="s">
        <v>1070</v>
      </c>
      <c r="B1164" s="71"/>
      <c r="C1164" s="71"/>
      <c r="D1164" s="72">
        <v>10755.84</v>
      </c>
      <c r="E1164" s="71"/>
      <c r="F1164" s="71"/>
      <c r="G1164" s="71"/>
      <c r="H1164" s="67" t="s">
        <v>878</v>
      </c>
      <c r="AY1164" s="91">
        <f t="shared" si="57"/>
        <v>10755.84</v>
      </c>
    </row>
    <row r="1165" spans="1:51" ht="12" hidden="1" outlineLevel="3" x14ac:dyDescent="0.2">
      <c r="A1165" s="73" t="s">
        <v>1069</v>
      </c>
      <c r="B1165" s="71"/>
      <c r="C1165" s="71"/>
      <c r="D1165" s="72">
        <v>7592.5</v>
      </c>
      <c r="E1165" s="71"/>
      <c r="F1165" s="71"/>
      <c r="G1165" s="71"/>
      <c r="H1165" s="67" t="s">
        <v>879</v>
      </c>
      <c r="AY1165" s="91">
        <f t="shared" si="57"/>
        <v>7592.5</v>
      </c>
    </row>
    <row r="1166" spans="1:51" ht="12" hidden="1" outlineLevel="3" x14ac:dyDescent="0.2">
      <c r="A1166" s="73" t="s">
        <v>1068</v>
      </c>
      <c r="B1166" s="71"/>
      <c r="C1166" s="71"/>
      <c r="D1166" s="72">
        <v>11160.84</v>
      </c>
      <c r="E1166" s="71"/>
      <c r="F1166" s="71"/>
      <c r="G1166" s="71"/>
      <c r="H1166" s="67" t="s">
        <v>50</v>
      </c>
      <c r="AY1166" s="91">
        <f t="shared" si="57"/>
        <v>11160.84</v>
      </c>
    </row>
    <row r="1167" spans="1:51" ht="12" hidden="1" outlineLevel="3" x14ac:dyDescent="0.2">
      <c r="A1167" s="73" t="s">
        <v>1067</v>
      </c>
      <c r="B1167" s="71"/>
      <c r="C1167" s="71"/>
      <c r="D1167" s="72">
        <v>8217.5</v>
      </c>
      <c r="E1167" s="71"/>
      <c r="F1167" s="71"/>
      <c r="G1167" s="71"/>
      <c r="H1167" s="67" t="s">
        <v>1338</v>
      </c>
      <c r="AY1167" s="91">
        <f t="shared" si="57"/>
        <v>8217.5</v>
      </c>
    </row>
    <row r="1168" spans="1:51" ht="12" hidden="1" outlineLevel="3" x14ac:dyDescent="0.2">
      <c r="A1168" s="73" t="s">
        <v>1066</v>
      </c>
      <c r="B1168" s="71"/>
      <c r="C1168" s="71"/>
      <c r="D1168" s="72">
        <v>12037.5</v>
      </c>
      <c r="E1168" s="71"/>
      <c r="F1168" s="71"/>
      <c r="G1168" s="71"/>
      <c r="H1168" s="67" t="s">
        <v>53</v>
      </c>
      <c r="AY1168" s="91">
        <f t="shared" si="57"/>
        <v>12037.5</v>
      </c>
    </row>
    <row r="1169" spans="1:51" ht="12" hidden="1" outlineLevel="3" x14ac:dyDescent="0.2">
      <c r="A1169" s="73" t="s">
        <v>1065</v>
      </c>
      <c r="B1169" s="71"/>
      <c r="C1169" s="71"/>
      <c r="D1169" s="72">
        <v>18475</v>
      </c>
      <c r="E1169" s="71"/>
      <c r="F1169" s="71"/>
      <c r="G1169" s="71"/>
      <c r="H1169" s="67" t="s">
        <v>54</v>
      </c>
      <c r="AY1169" s="91">
        <f t="shared" si="57"/>
        <v>18475</v>
      </c>
    </row>
    <row r="1170" spans="1:51" ht="12" hidden="1" outlineLevel="3" x14ac:dyDescent="0.2">
      <c r="A1170" s="73" t="s">
        <v>1064</v>
      </c>
      <c r="B1170" s="71"/>
      <c r="C1170" s="71"/>
      <c r="D1170" s="72">
        <v>9154.17</v>
      </c>
      <c r="E1170" s="71"/>
      <c r="F1170" s="71"/>
      <c r="G1170" s="71"/>
      <c r="H1170" s="67" t="s">
        <v>57</v>
      </c>
      <c r="AY1170" s="91">
        <f t="shared" si="57"/>
        <v>9154.17</v>
      </c>
    </row>
    <row r="1171" spans="1:51" ht="12" hidden="1" outlineLevel="3" x14ac:dyDescent="0.2">
      <c r="A1171" s="73" t="s">
        <v>1063</v>
      </c>
      <c r="B1171" s="71"/>
      <c r="C1171" s="71"/>
      <c r="D1171" s="72">
        <v>37208.339999999997</v>
      </c>
      <c r="E1171" s="71"/>
      <c r="F1171" s="71"/>
      <c r="G1171" s="71"/>
      <c r="H1171" s="67" t="s">
        <v>136</v>
      </c>
      <c r="AY1171" s="91">
        <f t="shared" si="57"/>
        <v>37208.339999999997</v>
      </c>
    </row>
    <row r="1172" spans="1:51" ht="12" hidden="1" outlineLevel="3" x14ac:dyDescent="0.2">
      <c r="A1172" s="73" t="s">
        <v>946</v>
      </c>
      <c r="B1172" s="71"/>
      <c r="C1172" s="71"/>
      <c r="D1172" s="72">
        <v>74767.5</v>
      </c>
      <c r="E1172" s="71"/>
      <c r="F1172" s="71"/>
      <c r="G1172" s="71"/>
      <c r="H1172" s="67" t="s">
        <v>138</v>
      </c>
      <c r="AY1172" s="91">
        <f t="shared" si="57"/>
        <v>74767.5</v>
      </c>
    </row>
    <row r="1173" spans="1:51" ht="12" hidden="1" outlineLevel="3" x14ac:dyDescent="0.2">
      <c r="A1173" s="73" t="s">
        <v>1062</v>
      </c>
      <c r="B1173" s="71"/>
      <c r="C1173" s="71"/>
      <c r="D1173" s="72">
        <v>44452.5</v>
      </c>
      <c r="E1173" s="71"/>
      <c r="F1173" s="71"/>
      <c r="G1173" s="71"/>
      <c r="H1173" s="67" t="s">
        <v>139</v>
      </c>
      <c r="AY1173" s="91">
        <f t="shared" si="57"/>
        <v>44452.5</v>
      </c>
    </row>
    <row r="1174" spans="1:51" ht="12" hidden="1" outlineLevel="3" x14ac:dyDescent="0.2">
      <c r="A1174" s="73" t="s">
        <v>1061</v>
      </c>
      <c r="B1174" s="71"/>
      <c r="C1174" s="71"/>
      <c r="D1174" s="72">
        <v>22321.66</v>
      </c>
      <c r="E1174" s="71"/>
      <c r="F1174" s="71"/>
      <c r="G1174" s="71"/>
      <c r="H1174" s="67" t="s">
        <v>140</v>
      </c>
      <c r="AY1174" s="91">
        <f t="shared" si="57"/>
        <v>22321.66</v>
      </c>
    </row>
    <row r="1175" spans="1:51" ht="12" hidden="1" outlineLevel="3" x14ac:dyDescent="0.2">
      <c r="A1175" s="73" t="s">
        <v>1060</v>
      </c>
      <c r="B1175" s="71"/>
      <c r="C1175" s="71"/>
      <c r="D1175" s="72">
        <v>22591.66</v>
      </c>
      <c r="E1175" s="71"/>
      <c r="F1175" s="71"/>
      <c r="G1175" s="71"/>
      <c r="H1175" s="67" t="s">
        <v>141</v>
      </c>
      <c r="AY1175" s="91">
        <f t="shared" si="57"/>
        <v>22591.66</v>
      </c>
    </row>
    <row r="1176" spans="1:51" ht="12" hidden="1" outlineLevel="3" x14ac:dyDescent="0.2">
      <c r="A1176" s="73" t="s">
        <v>952</v>
      </c>
      <c r="B1176" s="71"/>
      <c r="C1176" s="71"/>
      <c r="D1176" s="72">
        <v>69805.84</v>
      </c>
      <c r="E1176" s="71"/>
      <c r="F1176" s="71"/>
      <c r="G1176" s="71"/>
      <c r="H1176" s="67" t="s">
        <v>131</v>
      </c>
      <c r="AY1176" s="91">
        <f t="shared" si="57"/>
        <v>69805.84</v>
      </c>
    </row>
    <row r="1177" spans="1:51" ht="12" hidden="1" outlineLevel="3" x14ac:dyDescent="0.2">
      <c r="A1177" s="73" t="s">
        <v>1059</v>
      </c>
      <c r="B1177" s="71"/>
      <c r="C1177" s="71"/>
      <c r="D1177" s="72">
        <v>20013.330000000002</v>
      </c>
      <c r="E1177" s="71"/>
      <c r="F1177" s="71"/>
      <c r="G1177" s="71"/>
      <c r="H1177" s="67" t="s">
        <v>142</v>
      </c>
      <c r="AY1177" s="91">
        <f t="shared" si="57"/>
        <v>20013.330000000002</v>
      </c>
    </row>
    <row r="1178" spans="1:51" ht="12" hidden="1" outlineLevel="3" x14ac:dyDescent="0.2">
      <c r="A1178" s="73" t="s">
        <v>1058</v>
      </c>
      <c r="B1178" s="71"/>
      <c r="C1178" s="71"/>
      <c r="D1178" s="72">
        <v>13333.33</v>
      </c>
      <c r="E1178" s="71"/>
      <c r="F1178" s="71"/>
      <c r="G1178" s="71"/>
      <c r="H1178" s="67" t="s">
        <v>143</v>
      </c>
      <c r="AY1178" s="91">
        <f t="shared" si="57"/>
        <v>13333.33</v>
      </c>
    </row>
    <row r="1179" spans="1:51" ht="12" hidden="1" outlineLevel="3" x14ac:dyDescent="0.2">
      <c r="A1179" s="73" t="s">
        <v>1057</v>
      </c>
      <c r="B1179" s="71"/>
      <c r="C1179" s="71"/>
      <c r="D1179" s="72">
        <v>12314.17</v>
      </c>
      <c r="E1179" s="71"/>
      <c r="F1179" s="71"/>
      <c r="G1179" s="71"/>
      <c r="H1179" s="67" t="s">
        <v>144</v>
      </c>
      <c r="AY1179" s="91">
        <f t="shared" si="57"/>
        <v>12314.17</v>
      </c>
    </row>
    <row r="1180" spans="1:51" ht="12" hidden="1" outlineLevel="3" x14ac:dyDescent="0.2">
      <c r="A1180" s="73" t="s">
        <v>1056</v>
      </c>
      <c r="B1180" s="71"/>
      <c r="C1180" s="71"/>
      <c r="D1180" s="72">
        <v>85567.5</v>
      </c>
      <c r="E1180" s="71"/>
      <c r="F1180" s="71"/>
      <c r="G1180" s="71"/>
      <c r="H1180" s="67" t="s">
        <v>145</v>
      </c>
      <c r="AY1180" s="91">
        <f t="shared" si="57"/>
        <v>85567.5</v>
      </c>
    </row>
    <row r="1181" spans="1:51" ht="12" hidden="1" outlineLevel="3" x14ac:dyDescent="0.2">
      <c r="A1181" s="73" t="s">
        <v>1055</v>
      </c>
      <c r="B1181" s="71"/>
      <c r="C1181" s="71"/>
      <c r="D1181" s="72">
        <v>24358.33</v>
      </c>
      <c r="E1181" s="71"/>
      <c r="F1181" s="71"/>
      <c r="G1181" s="71"/>
      <c r="H1181" s="67" t="s">
        <v>146</v>
      </c>
      <c r="AY1181" s="91">
        <f t="shared" si="57"/>
        <v>24358.33</v>
      </c>
    </row>
    <row r="1182" spans="1:51" ht="12" hidden="1" outlineLevel="3" x14ac:dyDescent="0.2">
      <c r="A1182" s="73" t="s">
        <v>1054</v>
      </c>
      <c r="B1182" s="71"/>
      <c r="C1182" s="71"/>
      <c r="D1182" s="72">
        <v>23601.67</v>
      </c>
      <c r="E1182" s="71"/>
      <c r="F1182" s="71"/>
      <c r="G1182" s="71"/>
      <c r="H1182" s="67" t="s">
        <v>147</v>
      </c>
      <c r="AY1182" s="91">
        <f t="shared" si="57"/>
        <v>23601.67</v>
      </c>
    </row>
    <row r="1183" spans="1:51" ht="12" hidden="1" outlineLevel="3" x14ac:dyDescent="0.2">
      <c r="A1183" s="73" t="s">
        <v>1053</v>
      </c>
      <c r="B1183" s="71"/>
      <c r="C1183" s="71"/>
      <c r="D1183" s="72">
        <v>13484.17</v>
      </c>
      <c r="E1183" s="71"/>
      <c r="F1183" s="71"/>
      <c r="G1183" s="71"/>
      <c r="H1183" s="67" t="s">
        <v>148</v>
      </c>
      <c r="AY1183" s="91">
        <f t="shared" si="57"/>
        <v>13484.17</v>
      </c>
    </row>
    <row r="1184" spans="1:51" ht="12" hidden="1" outlineLevel="3" x14ac:dyDescent="0.2">
      <c r="A1184" s="73" t="s">
        <v>1052</v>
      </c>
      <c r="B1184" s="71"/>
      <c r="C1184" s="71"/>
      <c r="D1184" s="72">
        <v>50057.5</v>
      </c>
      <c r="E1184" s="71"/>
      <c r="F1184" s="71"/>
      <c r="G1184" s="71"/>
      <c r="H1184" s="67" t="s">
        <v>133</v>
      </c>
      <c r="AY1184" s="91">
        <f t="shared" si="57"/>
        <v>50057.5</v>
      </c>
    </row>
    <row r="1185" spans="1:51" ht="12" hidden="1" outlineLevel="3" x14ac:dyDescent="0.2">
      <c r="A1185" s="73" t="s">
        <v>1051</v>
      </c>
      <c r="B1185" s="71"/>
      <c r="C1185" s="71"/>
      <c r="D1185" s="72">
        <v>47087.5</v>
      </c>
      <c r="E1185" s="71"/>
      <c r="F1185" s="71"/>
      <c r="G1185" s="71"/>
      <c r="H1185" s="67" t="s">
        <v>134</v>
      </c>
      <c r="AY1185" s="91">
        <f t="shared" si="57"/>
        <v>47087.5</v>
      </c>
    </row>
    <row r="1186" spans="1:51" ht="12" hidden="1" outlineLevel="3" x14ac:dyDescent="0.2">
      <c r="A1186" s="73" t="s">
        <v>1050</v>
      </c>
      <c r="B1186" s="71"/>
      <c r="C1186" s="71"/>
      <c r="D1186" s="72">
        <v>50192.5</v>
      </c>
      <c r="E1186" s="71"/>
      <c r="F1186" s="71"/>
      <c r="G1186" s="71"/>
      <c r="H1186" s="67" t="s">
        <v>135</v>
      </c>
      <c r="AY1186" s="91">
        <f t="shared" si="57"/>
        <v>50192.5</v>
      </c>
    </row>
    <row r="1187" spans="1:51" ht="12" hidden="1" outlineLevel="3" x14ac:dyDescent="0.2">
      <c r="A1187" s="73" t="s">
        <v>1049</v>
      </c>
      <c r="B1187" s="71"/>
      <c r="C1187" s="71"/>
      <c r="D1187" s="72">
        <v>63493.5</v>
      </c>
      <c r="E1187" s="71"/>
      <c r="F1187" s="71"/>
      <c r="G1187" s="71"/>
      <c r="H1187" s="67" t="s">
        <v>110</v>
      </c>
      <c r="AY1187" s="91">
        <f t="shared" si="57"/>
        <v>63493.5</v>
      </c>
    </row>
    <row r="1188" spans="1:51" ht="12" hidden="1" outlineLevel="3" x14ac:dyDescent="0.2">
      <c r="A1188" s="73" t="s">
        <v>1048</v>
      </c>
      <c r="B1188" s="71"/>
      <c r="C1188" s="71"/>
      <c r="D1188" s="72">
        <v>15330.84</v>
      </c>
      <c r="E1188" s="71"/>
      <c r="F1188" s="71"/>
      <c r="G1188" s="71"/>
      <c r="H1188" s="67" t="s">
        <v>122</v>
      </c>
      <c r="AY1188" s="91">
        <f t="shared" si="57"/>
        <v>15330.84</v>
      </c>
    </row>
    <row r="1189" spans="1:51" ht="12" hidden="1" outlineLevel="3" x14ac:dyDescent="0.2">
      <c r="A1189" s="73" t="s">
        <v>1047</v>
      </c>
      <c r="B1189" s="71"/>
      <c r="C1189" s="71"/>
      <c r="D1189" s="72">
        <v>31800.84</v>
      </c>
      <c r="E1189" s="71"/>
      <c r="F1189" s="71"/>
      <c r="G1189" s="71"/>
      <c r="H1189" s="67" t="s">
        <v>123</v>
      </c>
      <c r="AY1189" s="91">
        <f t="shared" si="57"/>
        <v>31800.84</v>
      </c>
    </row>
    <row r="1190" spans="1:51" ht="12" hidden="1" outlineLevel="3" x14ac:dyDescent="0.2">
      <c r="A1190" s="73" t="s">
        <v>1046</v>
      </c>
      <c r="B1190" s="71"/>
      <c r="C1190" s="71"/>
      <c r="D1190" s="72">
        <v>16410.84</v>
      </c>
      <c r="E1190" s="71"/>
      <c r="F1190" s="71"/>
      <c r="G1190" s="71"/>
      <c r="H1190" s="67" t="s">
        <v>124</v>
      </c>
      <c r="AY1190" s="91">
        <f t="shared" si="57"/>
        <v>16410.84</v>
      </c>
    </row>
    <row r="1191" spans="1:51" ht="12" hidden="1" outlineLevel="3" x14ac:dyDescent="0.2">
      <c r="A1191" s="73" t="s">
        <v>1045</v>
      </c>
      <c r="B1191" s="71"/>
      <c r="C1191" s="71"/>
      <c r="D1191" s="72">
        <v>44836.68</v>
      </c>
      <c r="E1191" s="71"/>
      <c r="F1191" s="71"/>
      <c r="G1191" s="71"/>
      <c r="H1191" s="67" t="s">
        <v>125</v>
      </c>
      <c r="AY1191" s="91">
        <f t="shared" si="57"/>
        <v>44836.68</v>
      </c>
    </row>
    <row r="1192" spans="1:51" ht="12" hidden="1" outlineLevel="3" x14ac:dyDescent="0.2">
      <c r="A1192" s="73" t="s">
        <v>1044</v>
      </c>
      <c r="B1192" s="71"/>
      <c r="C1192" s="71"/>
      <c r="D1192" s="72">
        <v>24090</v>
      </c>
      <c r="E1192" s="71"/>
      <c r="F1192" s="71"/>
      <c r="G1192" s="71"/>
      <c r="H1192" s="67" t="s">
        <v>129</v>
      </c>
      <c r="AY1192" s="91">
        <f t="shared" si="57"/>
        <v>24090</v>
      </c>
    </row>
    <row r="1193" spans="1:51" ht="12" hidden="1" outlineLevel="3" x14ac:dyDescent="0.2">
      <c r="A1193" s="73" t="s">
        <v>1043</v>
      </c>
      <c r="B1193" s="71"/>
      <c r="C1193" s="71"/>
      <c r="D1193" s="72">
        <v>23283.34</v>
      </c>
      <c r="E1193" s="71"/>
      <c r="F1193" s="71"/>
      <c r="G1193" s="71"/>
      <c r="H1193" s="67" t="s">
        <v>130</v>
      </c>
      <c r="AY1193" s="91">
        <f t="shared" si="57"/>
        <v>23283.34</v>
      </c>
    </row>
    <row r="1194" spans="1:51" ht="12" hidden="1" outlineLevel="3" x14ac:dyDescent="0.2">
      <c r="A1194" s="73" t="s">
        <v>1042</v>
      </c>
      <c r="B1194" s="71"/>
      <c r="C1194" s="71"/>
      <c r="D1194" s="72">
        <v>71403.7</v>
      </c>
      <c r="E1194" s="71"/>
      <c r="F1194" s="71"/>
      <c r="G1194" s="71"/>
      <c r="H1194" s="67" t="s">
        <v>113</v>
      </c>
      <c r="AY1194" s="91">
        <f t="shared" si="57"/>
        <v>71403.7</v>
      </c>
    </row>
    <row r="1195" spans="1:51" ht="12" hidden="1" outlineLevel="3" x14ac:dyDescent="0.2">
      <c r="A1195" s="73" t="s">
        <v>1041</v>
      </c>
      <c r="B1195" s="71"/>
      <c r="C1195" s="71"/>
      <c r="D1195" s="72">
        <v>53200.84</v>
      </c>
      <c r="E1195" s="71"/>
      <c r="F1195" s="71"/>
      <c r="G1195" s="71"/>
      <c r="H1195" s="67" t="s">
        <v>116</v>
      </c>
      <c r="AY1195" s="91">
        <f t="shared" si="57"/>
        <v>53200.84</v>
      </c>
    </row>
    <row r="1196" spans="1:51" ht="12" hidden="1" outlineLevel="3" x14ac:dyDescent="0.2">
      <c r="A1196" s="73" t="s">
        <v>1040</v>
      </c>
      <c r="B1196" s="71"/>
      <c r="C1196" s="71"/>
      <c r="D1196" s="72">
        <v>57622.71</v>
      </c>
      <c r="E1196" s="71"/>
      <c r="F1196" s="71"/>
      <c r="G1196" s="71"/>
      <c r="H1196" s="67" t="s">
        <v>117</v>
      </c>
      <c r="AY1196" s="91">
        <f t="shared" si="57"/>
        <v>57622.71</v>
      </c>
    </row>
    <row r="1197" spans="1:51" ht="12" hidden="1" outlineLevel="3" x14ac:dyDescent="0.2">
      <c r="A1197" s="73" t="s">
        <v>1039</v>
      </c>
      <c r="B1197" s="71"/>
      <c r="C1197" s="71"/>
      <c r="D1197" s="72">
        <v>33331.25</v>
      </c>
      <c r="E1197" s="71"/>
      <c r="F1197" s="71"/>
      <c r="G1197" s="71"/>
      <c r="H1197" s="67" t="s">
        <v>120</v>
      </c>
      <c r="AY1197" s="91">
        <f t="shared" si="57"/>
        <v>33331.25</v>
      </c>
    </row>
    <row r="1198" spans="1:51" ht="12" hidden="1" outlineLevel="3" x14ac:dyDescent="0.2">
      <c r="A1198" s="73" t="s">
        <v>1038</v>
      </c>
      <c r="B1198" s="71"/>
      <c r="C1198" s="71"/>
      <c r="D1198" s="72">
        <v>10584.17</v>
      </c>
      <c r="E1198" s="71"/>
      <c r="F1198" s="71"/>
      <c r="G1198" s="71"/>
      <c r="H1198" s="67" t="s">
        <v>90</v>
      </c>
      <c r="AY1198" s="91">
        <f t="shared" si="57"/>
        <v>10584.17</v>
      </c>
    </row>
    <row r="1199" spans="1:51" ht="12" hidden="1" outlineLevel="3" x14ac:dyDescent="0.2">
      <c r="A1199" s="73" t="s">
        <v>1037</v>
      </c>
      <c r="B1199" s="71"/>
      <c r="C1199" s="71"/>
      <c r="D1199" s="72">
        <v>9424.17</v>
      </c>
      <c r="E1199" s="71"/>
      <c r="F1199" s="71"/>
      <c r="G1199" s="71"/>
      <c r="H1199" s="67" t="s">
        <v>93</v>
      </c>
      <c r="AY1199" s="91">
        <f t="shared" si="57"/>
        <v>9424.17</v>
      </c>
    </row>
    <row r="1200" spans="1:51" ht="12" hidden="1" outlineLevel="3" x14ac:dyDescent="0.2">
      <c r="A1200" s="73" t="s">
        <v>1036</v>
      </c>
      <c r="B1200" s="71"/>
      <c r="C1200" s="71"/>
      <c r="D1200" s="72">
        <v>8389.17</v>
      </c>
      <c r="E1200" s="71"/>
      <c r="F1200" s="71"/>
      <c r="G1200" s="71"/>
      <c r="H1200" s="67" t="s">
        <v>94</v>
      </c>
      <c r="AY1200" s="91">
        <f t="shared" si="57"/>
        <v>8389.17</v>
      </c>
    </row>
    <row r="1201" spans="1:51" ht="12" hidden="1" outlineLevel="3" x14ac:dyDescent="0.2">
      <c r="A1201" s="73" t="s">
        <v>1035</v>
      </c>
      <c r="B1201" s="71"/>
      <c r="C1201" s="71"/>
      <c r="D1201" s="72">
        <v>24356.25</v>
      </c>
      <c r="E1201" s="71"/>
      <c r="F1201" s="71"/>
      <c r="G1201" s="71"/>
      <c r="H1201" s="67" t="s">
        <v>95</v>
      </c>
      <c r="AY1201" s="91">
        <f t="shared" si="57"/>
        <v>24356.25</v>
      </c>
    </row>
    <row r="1202" spans="1:51" ht="12" hidden="1" outlineLevel="3" x14ac:dyDescent="0.2">
      <c r="A1202" s="73" t="s">
        <v>1034</v>
      </c>
      <c r="B1202" s="71"/>
      <c r="C1202" s="71"/>
      <c r="D1202" s="72">
        <v>24344.17</v>
      </c>
      <c r="E1202" s="71"/>
      <c r="F1202" s="71"/>
      <c r="G1202" s="71"/>
      <c r="H1202" s="67" t="s">
        <v>91</v>
      </c>
      <c r="AY1202" s="91">
        <f t="shared" si="57"/>
        <v>24344.17</v>
      </c>
    </row>
    <row r="1203" spans="1:51" ht="12" hidden="1" outlineLevel="3" x14ac:dyDescent="0.2">
      <c r="A1203" s="73" t="s">
        <v>1033</v>
      </c>
      <c r="B1203" s="71"/>
      <c r="C1203" s="71"/>
      <c r="D1203" s="72">
        <v>2202.5</v>
      </c>
      <c r="E1203" s="71"/>
      <c r="F1203" s="71"/>
      <c r="G1203" s="71"/>
      <c r="H1203" s="67" t="s">
        <v>96</v>
      </c>
      <c r="AY1203" s="91">
        <f t="shared" si="57"/>
        <v>2202.5</v>
      </c>
    </row>
    <row r="1204" spans="1:51" ht="12" hidden="1" outlineLevel="3" x14ac:dyDescent="0.2">
      <c r="A1204" s="73" t="s">
        <v>1032</v>
      </c>
      <c r="B1204" s="71"/>
      <c r="C1204" s="71"/>
      <c r="D1204" s="72">
        <v>5715.83</v>
      </c>
      <c r="E1204" s="71"/>
      <c r="F1204" s="71"/>
      <c r="G1204" s="71"/>
      <c r="H1204" s="67" t="s">
        <v>97</v>
      </c>
      <c r="AY1204" s="91">
        <f t="shared" si="57"/>
        <v>5715.83</v>
      </c>
    </row>
    <row r="1205" spans="1:51" ht="12" hidden="1" outlineLevel="3" x14ac:dyDescent="0.2">
      <c r="A1205" s="73" t="s">
        <v>1031</v>
      </c>
      <c r="B1205" s="71"/>
      <c r="C1205" s="71"/>
      <c r="D1205" s="72">
        <v>6022.5</v>
      </c>
      <c r="E1205" s="71"/>
      <c r="F1205" s="71"/>
      <c r="G1205" s="71"/>
      <c r="H1205" s="67" t="s">
        <v>98</v>
      </c>
      <c r="AY1205" s="91">
        <f t="shared" si="57"/>
        <v>6022.5</v>
      </c>
    </row>
    <row r="1206" spans="1:51" ht="12" hidden="1" outlineLevel="3" x14ac:dyDescent="0.2">
      <c r="A1206" s="73" t="s">
        <v>1030</v>
      </c>
      <c r="B1206" s="71"/>
      <c r="C1206" s="71"/>
      <c r="D1206" s="72">
        <v>8650</v>
      </c>
      <c r="E1206" s="71"/>
      <c r="F1206" s="71"/>
      <c r="G1206" s="71"/>
      <c r="H1206" s="67" t="s">
        <v>92</v>
      </c>
      <c r="AY1206" s="91">
        <f t="shared" si="57"/>
        <v>8650</v>
      </c>
    </row>
    <row r="1207" spans="1:51" ht="12" hidden="1" outlineLevel="3" x14ac:dyDescent="0.2">
      <c r="A1207" s="73" t="s">
        <v>1029</v>
      </c>
      <c r="B1207" s="71"/>
      <c r="C1207" s="71"/>
      <c r="D1207" s="72">
        <v>31235</v>
      </c>
      <c r="E1207" s="71"/>
      <c r="F1207" s="71"/>
      <c r="G1207" s="71"/>
      <c r="H1207" s="67" t="s">
        <v>153</v>
      </c>
      <c r="AY1207" s="91">
        <f t="shared" si="57"/>
        <v>31235</v>
      </c>
    </row>
    <row r="1208" spans="1:51" ht="12" hidden="1" outlineLevel="3" x14ac:dyDescent="0.2">
      <c r="A1208" s="73" t="s">
        <v>1028</v>
      </c>
      <c r="B1208" s="71"/>
      <c r="C1208" s="71"/>
      <c r="D1208" s="72">
        <v>31401.67</v>
      </c>
      <c r="E1208" s="71"/>
      <c r="F1208" s="71"/>
      <c r="G1208" s="71"/>
      <c r="H1208" s="67" t="s">
        <v>154</v>
      </c>
      <c r="AY1208" s="91">
        <f t="shared" si="57"/>
        <v>31401.67</v>
      </c>
    </row>
    <row r="1209" spans="1:51" ht="12" hidden="1" outlineLevel="3" x14ac:dyDescent="0.2">
      <c r="A1209" s="73" t="s">
        <v>1027</v>
      </c>
      <c r="B1209" s="71"/>
      <c r="C1209" s="71"/>
      <c r="D1209" s="72">
        <v>71150.84</v>
      </c>
      <c r="E1209" s="71"/>
      <c r="F1209" s="71"/>
      <c r="G1209" s="71"/>
      <c r="H1209" s="67" t="s">
        <v>155</v>
      </c>
      <c r="AY1209" s="91">
        <f t="shared" si="57"/>
        <v>71150.84</v>
      </c>
    </row>
    <row r="1210" spans="1:51" ht="12" hidden="1" outlineLevel="3" x14ac:dyDescent="0.2">
      <c r="A1210" s="73" t="s">
        <v>1026</v>
      </c>
      <c r="B1210" s="71"/>
      <c r="C1210" s="71"/>
      <c r="D1210" s="72">
        <v>31401.67</v>
      </c>
      <c r="E1210" s="71"/>
      <c r="F1210" s="71"/>
      <c r="G1210" s="71"/>
      <c r="H1210" s="67" t="s">
        <v>156</v>
      </c>
      <c r="AY1210" s="91">
        <f t="shared" si="57"/>
        <v>31401.67</v>
      </c>
    </row>
    <row r="1211" spans="1:51" ht="12" hidden="1" outlineLevel="3" x14ac:dyDescent="0.2">
      <c r="A1211" s="73" t="s">
        <v>1025</v>
      </c>
      <c r="B1211" s="71"/>
      <c r="C1211" s="71"/>
      <c r="D1211" s="72">
        <v>48167.5</v>
      </c>
      <c r="E1211" s="71"/>
      <c r="F1211" s="71"/>
      <c r="G1211" s="71"/>
      <c r="H1211" s="67" t="s">
        <v>157</v>
      </c>
      <c r="AY1211" s="91">
        <f t="shared" si="57"/>
        <v>48167.5</v>
      </c>
    </row>
    <row r="1212" spans="1:51" ht="12" hidden="1" outlineLevel="3" x14ac:dyDescent="0.2">
      <c r="A1212" s="73" t="s">
        <v>1024</v>
      </c>
      <c r="B1212" s="71"/>
      <c r="C1212" s="71"/>
      <c r="D1212" s="72">
        <v>19685</v>
      </c>
      <c r="E1212" s="71"/>
      <c r="F1212" s="71"/>
      <c r="G1212" s="71"/>
      <c r="H1212" s="67" t="s">
        <v>158</v>
      </c>
      <c r="AY1212" s="91">
        <f t="shared" si="57"/>
        <v>19685</v>
      </c>
    </row>
    <row r="1213" spans="1:51" ht="12" hidden="1" outlineLevel="3" x14ac:dyDescent="0.2">
      <c r="A1213" s="73" t="s">
        <v>1023</v>
      </c>
      <c r="B1213" s="71"/>
      <c r="C1213" s="71"/>
      <c r="D1213" s="72">
        <v>49247.5</v>
      </c>
      <c r="E1213" s="71"/>
      <c r="F1213" s="71"/>
      <c r="G1213" s="71"/>
      <c r="H1213" s="67" t="s">
        <v>159</v>
      </c>
      <c r="AY1213" s="91">
        <f t="shared" si="57"/>
        <v>49247.5</v>
      </c>
    </row>
    <row r="1214" spans="1:51" ht="12" hidden="1" outlineLevel="3" x14ac:dyDescent="0.2">
      <c r="A1214" s="73" t="s">
        <v>1022</v>
      </c>
      <c r="B1214" s="71"/>
      <c r="C1214" s="71"/>
      <c r="D1214" s="72">
        <v>21781.66</v>
      </c>
      <c r="E1214" s="71"/>
      <c r="F1214" s="71"/>
      <c r="G1214" s="71"/>
      <c r="H1214" s="67" t="s">
        <v>160</v>
      </c>
      <c r="AY1214" s="91">
        <f t="shared" si="57"/>
        <v>21781.66</v>
      </c>
    </row>
    <row r="1215" spans="1:51" ht="12" hidden="1" outlineLevel="3" x14ac:dyDescent="0.2">
      <c r="A1215" s="73" t="s">
        <v>1021</v>
      </c>
      <c r="B1215" s="71"/>
      <c r="C1215" s="71"/>
      <c r="D1215" s="72">
        <v>50192.5</v>
      </c>
      <c r="E1215" s="71"/>
      <c r="F1215" s="71"/>
      <c r="G1215" s="71"/>
      <c r="H1215" s="67" t="s">
        <v>161</v>
      </c>
      <c r="AY1215" s="91">
        <f t="shared" si="57"/>
        <v>50192.5</v>
      </c>
    </row>
    <row r="1216" spans="1:51" ht="12" hidden="1" outlineLevel="3" x14ac:dyDescent="0.2">
      <c r="A1216" s="73" t="s">
        <v>1020</v>
      </c>
      <c r="B1216" s="71"/>
      <c r="C1216" s="71"/>
      <c r="D1216" s="72">
        <v>44431.68</v>
      </c>
      <c r="E1216" s="71"/>
      <c r="F1216" s="71"/>
      <c r="G1216" s="71"/>
      <c r="H1216" s="67" t="s">
        <v>162</v>
      </c>
      <c r="AY1216" s="91">
        <f t="shared" si="57"/>
        <v>44431.68</v>
      </c>
    </row>
    <row r="1217" spans="1:51" ht="12" hidden="1" outlineLevel="3" x14ac:dyDescent="0.2">
      <c r="A1217" s="73" t="s">
        <v>1019</v>
      </c>
      <c r="B1217" s="71"/>
      <c r="C1217" s="71"/>
      <c r="D1217" s="72">
        <v>44161.68</v>
      </c>
      <c r="E1217" s="71"/>
      <c r="F1217" s="71"/>
      <c r="G1217" s="71"/>
      <c r="H1217" s="67" t="s">
        <v>164</v>
      </c>
      <c r="AY1217" s="91">
        <f t="shared" si="57"/>
        <v>44161.68</v>
      </c>
    </row>
    <row r="1218" spans="1:51" ht="12" hidden="1" outlineLevel="3" x14ac:dyDescent="0.2">
      <c r="A1218" s="73" t="s">
        <v>1018</v>
      </c>
      <c r="B1218" s="71"/>
      <c r="C1218" s="71"/>
      <c r="D1218" s="72">
        <v>39362.5</v>
      </c>
      <c r="E1218" s="71"/>
      <c r="F1218" s="71"/>
      <c r="G1218" s="71"/>
      <c r="H1218" s="67" t="s">
        <v>166</v>
      </c>
      <c r="AY1218" s="91">
        <f t="shared" si="57"/>
        <v>39362.5</v>
      </c>
    </row>
    <row r="1219" spans="1:51" ht="12" hidden="1" outlineLevel="3" x14ac:dyDescent="0.2">
      <c r="A1219" s="73" t="s">
        <v>1017</v>
      </c>
      <c r="B1219" s="71"/>
      <c r="C1219" s="71"/>
      <c r="D1219" s="72">
        <v>49517.5</v>
      </c>
      <c r="E1219" s="71"/>
      <c r="F1219" s="71"/>
      <c r="G1219" s="71"/>
      <c r="H1219" s="67" t="s">
        <v>167</v>
      </c>
      <c r="AY1219" s="91">
        <f t="shared" si="57"/>
        <v>49517.5</v>
      </c>
    </row>
    <row r="1220" spans="1:51" ht="12" hidden="1" outlineLevel="3" x14ac:dyDescent="0.2">
      <c r="A1220" s="73" t="s">
        <v>1016</v>
      </c>
      <c r="B1220" s="71"/>
      <c r="C1220" s="71"/>
      <c r="D1220" s="72">
        <v>49517.5</v>
      </c>
      <c r="E1220" s="71"/>
      <c r="F1220" s="71"/>
      <c r="G1220" s="71"/>
      <c r="H1220" s="67" t="s">
        <v>168</v>
      </c>
      <c r="AY1220" s="91">
        <f t="shared" si="57"/>
        <v>49517.5</v>
      </c>
    </row>
    <row r="1221" spans="1:51" ht="12" hidden="1" outlineLevel="3" x14ac:dyDescent="0.2">
      <c r="A1221" s="73" t="s">
        <v>1015</v>
      </c>
      <c r="B1221" s="71"/>
      <c r="C1221" s="71"/>
      <c r="D1221" s="72">
        <v>44999.17</v>
      </c>
      <c r="E1221" s="71"/>
      <c r="F1221" s="71"/>
      <c r="G1221" s="71"/>
      <c r="H1221" s="67" t="s">
        <v>169</v>
      </c>
      <c r="AY1221" s="91">
        <f t="shared" si="57"/>
        <v>44999.17</v>
      </c>
    </row>
    <row r="1222" spans="1:51" ht="12" hidden="1" outlineLevel="3" x14ac:dyDescent="0.2">
      <c r="A1222" s="73" t="s">
        <v>1014</v>
      </c>
      <c r="B1222" s="71"/>
      <c r="C1222" s="71"/>
      <c r="D1222" s="72">
        <v>19611.669999999998</v>
      </c>
      <c r="E1222" s="71"/>
      <c r="F1222" s="71"/>
      <c r="G1222" s="71"/>
      <c r="H1222" s="67" t="s">
        <v>150</v>
      </c>
      <c r="AY1222" s="91">
        <f t="shared" si="57"/>
        <v>19611.669999999998</v>
      </c>
    </row>
    <row r="1223" spans="1:51" ht="12" hidden="1" outlineLevel="3" x14ac:dyDescent="0.2">
      <c r="A1223" s="73" t="s">
        <v>1013</v>
      </c>
      <c r="B1223" s="71"/>
      <c r="C1223" s="71"/>
      <c r="D1223" s="72">
        <v>21708.33</v>
      </c>
      <c r="E1223" s="71"/>
      <c r="F1223" s="71"/>
      <c r="G1223" s="71"/>
      <c r="H1223" s="67" t="s">
        <v>170</v>
      </c>
      <c r="AY1223" s="91">
        <f t="shared" si="57"/>
        <v>21708.33</v>
      </c>
    </row>
    <row r="1224" spans="1:51" ht="12" hidden="1" outlineLevel="3" x14ac:dyDescent="0.2">
      <c r="A1224" s="73" t="s">
        <v>1012</v>
      </c>
      <c r="B1224" s="71"/>
      <c r="C1224" s="71"/>
      <c r="D1224" s="72">
        <v>21708.33</v>
      </c>
      <c r="E1224" s="71"/>
      <c r="F1224" s="71"/>
      <c r="G1224" s="71"/>
      <c r="H1224" s="67" t="s">
        <v>171</v>
      </c>
      <c r="AY1224" s="91">
        <f t="shared" si="57"/>
        <v>21708.33</v>
      </c>
    </row>
    <row r="1225" spans="1:51" ht="12" hidden="1" outlineLevel="3" x14ac:dyDescent="0.2">
      <c r="A1225" s="73" t="s">
        <v>1011</v>
      </c>
      <c r="B1225" s="71"/>
      <c r="C1225" s="71"/>
      <c r="D1225" s="72">
        <v>22248.33</v>
      </c>
      <c r="E1225" s="71"/>
      <c r="F1225" s="71"/>
      <c r="G1225" s="71"/>
      <c r="H1225" s="67" t="s">
        <v>172</v>
      </c>
      <c r="AY1225" s="91">
        <f t="shared" si="57"/>
        <v>22248.33</v>
      </c>
    </row>
    <row r="1226" spans="1:51" ht="12" hidden="1" outlineLevel="3" x14ac:dyDescent="0.2">
      <c r="A1226" s="73" t="s">
        <v>1010</v>
      </c>
      <c r="B1226" s="71"/>
      <c r="C1226" s="71"/>
      <c r="D1226" s="72">
        <v>22248.33</v>
      </c>
      <c r="E1226" s="71"/>
      <c r="F1226" s="71"/>
      <c r="G1226" s="71"/>
      <c r="H1226" s="67" t="s">
        <v>173</v>
      </c>
      <c r="AY1226" s="91">
        <f t="shared" ref="AY1226:AY1281" si="58">$D1226</f>
        <v>22248.33</v>
      </c>
    </row>
    <row r="1227" spans="1:51" ht="12" hidden="1" outlineLevel="3" x14ac:dyDescent="0.2">
      <c r="A1227" s="73" t="s">
        <v>1009</v>
      </c>
      <c r="B1227" s="71"/>
      <c r="C1227" s="71"/>
      <c r="D1227" s="72">
        <v>23160.84</v>
      </c>
      <c r="E1227" s="71"/>
      <c r="F1227" s="71"/>
      <c r="G1227" s="71"/>
      <c r="H1227" s="67" t="s">
        <v>151</v>
      </c>
      <c r="AY1227" s="91">
        <f t="shared" si="58"/>
        <v>23160.84</v>
      </c>
    </row>
    <row r="1228" spans="1:51" ht="12" hidden="1" outlineLevel="3" x14ac:dyDescent="0.2">
      <c r="A1228" s="73" t="s">
        <v>1008</v>
      </c>
      <c r="B1228" s="71"/>
      <c r="C1228" s="71"/>
      <c r="D1228" s="72">
        <v>23160.84</v>
      </c>
      <c r="E1228" s="71"/>
      <c r="F1228" s="71"/>
      <c r="G1228" s="71"/>
      <c r="H1228" s="67" t="s">
        <v>152</v>
      </c>
      <c r="AY1228" s="91">
        <f t="shared" si="58"/>
        <v>23160.84</v>
      </c>
    </row>
    <row r="1229" spans="1:51" ht="12" hidden="1" outlineLevel="3" x14ac:dyDescent="0.2">
      <c r="A1229" s="73" t="s">
        <v>1007</v>
      </c>
      <c r="B1229" s="71"/>
      <c r="C1229" s="71"/>
      <c r="D1229" s="72">
        <v>9694.17</v>
      </c>
      <c r="E1229" s="71"/>
      <c r="F1229" s="71"/>
      <c r="G1229" s="71"/>
      <c r="H1229" s="67" t="s">
        <v>103</v>
      </c>
      <c r="AY1229" s="91">
        <f t="shared" si="58"/>
        <v>9694.17</v>
      </c>
    </row>
    <row r="1230" spans="1:51" ht="12" hidden="1" outlineLevel="3" x14ac:dyDescent="0.2">
      <c r="A1230" s="73" t="s">
        <v>1006</v>
      </c>
      <c r="B1230" s="71"/>
      <c r="C1230" s="71"/>
      <c r="D1230" s="72">
        <v>38924.17</v>
      </c>
      <c r="E1230" s="71"/>
      <c r="F1230" s="71"/>
      <c r="G1230" s="71"/>
      <c r="H1230" s="67" t="s">
        <v>105</v>
      </c>
      <c r="AY1230" s="91">
        <f t="shared" si="58"/>
        <v>38924.17</v>
      </c>
    </row>
    <row r="1231" spans="1:51" ht="12" hidden="1" outlineLevel="3" x14ac:dyDescent="0.2">
      <c r="A1231" s="73" t="s">
        <v>1005</v>
      </c>
      <c r="B1231" s="71"/>
      <c r="C1231" s="71"/>
      <c r="D1231" s="72">
        <v>47800.84</v>
      </c>
      <c r="E1231" s="71"/>
      <c r="F1231" s="71"/>
      <c r="G1231" s="71"/>
      <c r="H1231" s="67" t="s">
        <v>69</v>
      </c>
      <c r="AY1231" s="91">
        <f t="shared" si="58"/>
        <v>47800.84</v>
      </c>
    </row>
    <row r="1232" spans="1:51" ht="12" hidden="1" outlineLevel="3" x14ac:dyDescent="0.2">
      <c r="A1232" s="73" t="s">
        <v>1004</v>
      </c>
      <c r="B1232" s="71"/>
      <c r="C1232" s="71"/>
      <c r="D1232" s="72">
        <v>10666.67</v>
      </c>
      <c r="E1232" s="71"/>
      <c r="F1232" s="71"/>
      <c r="G1232" s="71"/>
      <c r="H1232" s="67" t="s">
        <v>71</v>
      </c>
      <c r="AY1232" s="91">
        <f t="shared" si="58"/>
        <v>10666.67</v>
      </c>
    </row>
    <row r="1233" spans="1:51" ht="12" hidden="1" outlineLevel="3" x14ac:dyDescent="0.2">
      <c r="A1233" s="73" t="s">
        <v>1003</v>
      </c>
      <c r="B1233" s="71"/>
      <c r="C1233" s="71"/>
      <c r="D1233" s="72">
        <v>45248.25</v>
      </c>
      <c r="E1233" s="71"/>
      <c r="F1233" s="71"/>
      <c r="G1233" s="71"/>
      <c r="H1233" s="67" t="s">
        <v>206</v>
      </c>
      <c r="AY1233" s="91">
        <f t="shared" si="58"/>
        <v>45248.25</v>
      </c>
    </row>
    <row r="1234" spans="1:51" ht="12" hidden="1" outlineLevel="3" x14ac:dyDescent="0.2">
      <c r="A1234" s="73" t="s">
        <v>1002</v>
      </c>
      <c r="B1234" s="71"/>
      <c r="C1234" s="71"/>
      <c r="D1234" s="72">
        <v>56377.75</v>
      </c>
      <c r="E1234" s="71"/>
      <c r="F1234" s="71"/>
      <c r="G1234" s="71"/>
      <c r="H1234" s="67" t="s">
        <v>207</v>
      </c>
      <c r="AY1234" s="91">
        <f t="shared" si="58"/>
        <v>56377.75</v>
      </c>
    </row>
    <row r="1235" spans="1:51" ht="12" hidden="1" outlineLevel="3" x14ac:dyDescent="0.2">
      <c r="A1235" s="73" t="s">
        <v>1001</v>
      </c>
      <c r="B1235" s="71"/>
      <c r="C1235" s="71"/>
      <c r="D1235" s="72">
        <v>28584.17</v>
      </c>
      <c r="E1235" s="71"/>
      <c r="F1235" s="71"/>
      <c r="G1235" s="71"/>
      <c r="H1235" s="67" t="s">
        <v>211</v>
      </c>
      <c r="AY1235" s="91">
        <f t="shared" si="58"/>
        <v>28584.17</v>
      </c>
    </row>
    <row r="1236" spans="1:51" ht="12" hidden="1" outlineLevel="3" x14ac:dyDescent="0.2">
      <c r="A1236" s="73" t="s">
        <v>1000</v>
      </c>
      <c r="B1236" s="71"/>
      <c r="C1236" s="71"/>
      <c r="D1236" s="72">
        <v>15894.17</v>
      </c>
      <c r="E1236" s="71"/>
      <c r="F1236" s="71"/>
      <c r="G1236" s="71"/>
      <c r="H1236" s="67" t="s">
        <v>212</v>
      </c>
      <c r="AY1236" s="91">
        <f t="shared" si="58"/>
        <v>15894.17</v>
      </c>
    </row>
    <row r="1237" spans="1:51" ht="12" hidden="1" outlineLevel="3" x14ac:dyDescent="0.2">
      <c r="A1237" s="73" t="s">
        <v>999</v>
      </c>
      <c r="B1237" s="71"/>
      <c r="C1237" s="71"/>
      <c r="D1237" s="72">
        <v>20897.5</v>
      </c>
      <c r="E1237" s="71"/>
      <c r="F1237" s="71"/>
      <c r="G1237" s="71"/>
      <c r="H1237" s="67" t="s">
        <v>213</v>
      </c>
      <c r="AY1237" s="91">
        <f t="shared" si="58"/>
        <v>20897.5</v>
      </c>
    </row>
    <row r="1238" spans="1:51" ht="12" hidden="1" outlineLevel="3" x14ac:dyDescent="0.2">
      <c r="A1238" s="73" t="s">
        <v>998</v>
      </c>
      <c r="B1238" s="71"/>
      <c r="C1238" s="71"/>
      <c r="D1238" s="72">
        <v>57634.17</v>
      </c>
      <c r="E1238" s="71"/>
      <c r="F1238" s="71"/>
      <c r="G1238" s="71"/>
      <c r="H1238" s="67" t="s">
        <v>214</v>
      </c>
      <c r="AY1238" s="91">
        <f t="shared" si="58"/>
        <v>57634.17</v>
      </c>
    </row>
    <row r="1239" spans="1:51" ht="12" hidden="1" outlineLevel="3" x14ac:dyDescent="0.2">
      <c r="A1239" s="73" t="s">
        <v>997</v>
      </c>
      <c r="B1239" s="71"/>
      <c r="C1239" s="71"/>
      <c r="D1239" s="72">
        <v>57634.17</v>
      </c>
      <c r="E1239" s="71"/>
      <c r="F1239" s="71"/>
      <c r="G1239" s="71"/>
      <c r="H1239" s="67" t="s">
        <v>215</v>
      </c>
      <c r="AY1239" s="91">
        <f t="shared" si="58"/>
        <v>57634.17</v>
      </c>
    </row>
    <row r="1240" spans="1:51" ht="12" hidden="1" outlineLevel="3" x14ac:dyDescent="0.2">
      <c r="A1240" s="73" t="s">
        <v>996</v>
      </c>
      <c r="B1240" s="71"/>
      <c r="C1240" s="71"/>
      <c r="D1240" s="72">
        <v>5820</v>
      </c>
      <c r="E1240" s="71"/>
      <c r="F1240" s="71"/>
      <c r="G1240" s="71"/>
      <c r="H1240" s="67" t="s">
        <v>216</v>
      </c>
      <c r="AY1240" s="91">
        <f t="shared" si="58"/>
        <v>5820</v>
      </c>
    </row>
    <row r="1241" spans="1:51" ht="12" hidden="1" outlineLevel="3" x14ac:dyDescent="0.2">
      <c r="A1241" s="73" t="s">
        <v>995</v>
      </c>
      <c r="B1241" s="71"/>
      <c r="C1241" s="71"/>
      <c r="D1241" s="72">
        <v>14737.5</v>
      </c>
      <c r="E1241" s="71"/>
      <c r="F1241" s="71"/>
      <c r="G1241" s="71"/>
      <c r="H1241" s="67" t="s">
        <v>218</v>
      </c>
      <c r="AY1241" s="91">
        <f t="shared" si="58"/>
        <v>14737.5</v>
      </c>
    </row>
    <row r="1242" spans="1:51" ht="12" hidden="1" outlineLevel="3" x14ac:dyDescent="0.2">
      <c r="A1242" s="73" t="s">
        <v>994</v>
      </c>
      <c r="B1242" s="71"/>
      <c r="C1242" s="71"/>
      <c r="D1242" s="72">
        <v>37795</v>
      </c>
      <c r="E1242" s="71"/>
      <c r="F1242" s="71"/>
      <c r="G1242" s="71"/>
      <c r="H1242" s="67" t="s">
        <v>175</v>
      </c>
      <c r="AY1242" s="91">
        <f t="shared" si="58"/>
        <v>37795</v>
      </c>
    </row>
    <row r="1243" spans="1:51" ht="12" hidden="1" outlineLevel="3" x14ac:dyDescent="0.2">
      <c r="A1243" s="73" t="s">
        <v>993</v>
      </c>
      <c r="B1243" s="71"/>
      <c r="C1243" s="71"/>
      <c r="D1243" s="72">
        <v>37795</v>
      </c>
      <c r="E1243" s="71"/>
      <c r="F1243" s="71"/>
      <c r="G1243" s="71"/>
      <c r="H1243" s="67" t="s">
        <v>176</v>
      </c>
      <c r="AY1243" s="91">
        <f t="shared" si="58"/>
        <v>37795</v>
      </c>
    </row>
    <row r="1244" spans="1:51" ht="12" hidden="1" outlineLevel="3" x14ac:dyDescent="0.2">
      <c r="A1244" s="73" t="s">
        <v>992</v>
      </c>
      <c r="B1244" s="71"/>
      <c r="C1244" s="71"/>
      <c r="D1244" s="72">
        <v>57255.25</v>
      </c>
      <c r="E1244" s="71"/>
      <c r="F1244" s="71"/>
      <c r="G1244" s="71"/>
      <c r="H1244" s="67" t="s">
        <v>177</v>
      </c>
      <c r="AY1244" s="91">
        <f t="shared" si="58"/>
        <v>57255.25</v>
      </c>
    </row>
    <row r="1245" spans="1:51" ht="12" hidden="1" outlineLevel="3" x14ac:dyDescent="0.2">
      <c r="A1245" s="73" t="s">
        <v>991</v>
      </c>
      <c r="B1245" s="71"/>
      <c r="C1245" s="71"/>
      <c r="D1245" s="72">
        <v>82582.5</v>
      </c>
      <c r="E1245" s="71"/>
      <c r="F1245" s="71"/>
      <c r="G1245" s="71"/>
      <c r="H1245" s="67" t="s">
        <v>178</v>
      </c>
      <c r="AY1245" s="91">
        <f t="shared" si="58"/>
        <v>82582.5</v>
      </c>
    </row>
    <row r="1246" spans="1:51" ht="12" hidden="1" outlineLevel="3" x14ac:dyDescent="0.2">
      <c r="A1246" s="73" t="s">
        <v>990</v>
      </c>
      <c r="B1246" s="71"/>
      <c r="C1246" s="71"/>
      <c r="D1246" s="72">
        <v>36107.5</v>
      </c>
      <c r="E1246" s="71"/>
      <c r="F1246" s="71"/>
      <c r="G1246" s="71"/>
      <c r="H1246" s="67" t="s">
        <v>179</v>
      </c>
      <c r="AY1246" s="91">
        <f t="shared" si="58"/>
        <v>36107.5</v>
      </c>
    </row>
    <row r="1247" spans="1:51" ht="12" hidden="1" outlineLevel="3" x14ac:dyDescent="0.2">
      <c r="A1247" s="73" t="s">
        <v>989</v>
      </c>
      <c r="B1247" s="71"/>
      <c r="C1247" s="71"/>
      <c r="D1247" s="72">
        <v>27123.75</v>
      </c>
      <c r="E1247" s="71"/>
      <c r="F1247" s="71"/>
      <c r="G1247" s="71"/>
      <c r="H1247" s="67" t="s">
        <v>181</v>
      </c>
      <c r="AY1247" s="91">
        <f t="shared" si="58"/>
        <v>27123.75</v>
      </c>
    </row>
    <row r="1248" spans="1:51" ht="12" hidden="1" outlineLevel="3" x14ac:dyDescent="0.2">
      <c r="A1248" s="73" t="s">
        <v>988</v>
      </c>
      <c r="B1248" s="71"/>
      <c r="C1248" s="71"/>
      <c r="D1248" s="72">
        <v>74071.25</v>
      </c>
      <c r="E1248" s="71"/>
      <c r="F1248" s="71"/>
      <c r="G1248" s="71"/>
      <c r="H1248" s="67" t="s">
        <v>182</v>
      </c>
      <c r="AY1248" s="91">
        <f t="shared" si="58"/>
        <v>74071.25</v>
      </c>
    </row>
    <row r="1249" spans="1:51" ht="12" hidden="1" outlineLevel="3" x14ac:dyDescent="0.2">
      <c r="A1249" s="73" t="s">
        <v>987</v>
      </c>
      <c r="B1249" s="71"/>
      <c r="C1249" s="71"/>
      <c r="D1249" s="72">
        <v>27292.5</v>
      </c>
      <c r="E1249" s="71"/>
      <c r="F1249" s="71"/>
      <c r="G1249" s="71"/>
      <c r="H1249" s="67" t="s">
        <v>183</v>
      </c>
      <c r="AY1249" s="91">
        <f t="shared" si="58"/>
        <v>27292.5</v>
      </c>
    </row>
    <row r="1250" spans="1:51" ht="12" hidden="1" outlineLevel="3" x14ac:dyDescent="0.2">
      <c r="A1250" s="73" t="s">
        <v>986</v>
      </c>
      <c r="B1250" s="71"/>
      <c r="C1250" s="71"/>
      <c r="D1250" s="72">
        <v>37795</v>
      </c>
      <c r="E1250" s="71"/>
      <c r="F1250" s="71"/>
      <c r="G1250" s="71"/>
      <c r="H1250" s="67" t="s">
        <v>184</v>
      </c>
      <c r="AY1250" s="91">
        <f t="shared" si="58"/>
        <v>37795</v>
      </c>
    </row>
    <row r="1251" spans="1:51" ht="12" hidden="1" outlineLevel="3" x14ac:dyDescent="0.2">
      <c r="A1251" s="73" t="s">
        <v>985</v>
      </c>
      <c r="B1251" s="71"/>
      <c r="C1251" s="71"/>
      <c r="D1251" s="72">
        <v>55935</v>
      </c>
      <c r="E1251" s="71"/>
      <c r="F1251" s="71"/>
      <c r="G1251" s="71"/>
      <c r="H1251" s="67" t="s">
        <v>185</v>
      </c>
      <c r="AY1251" s="91">
        <f t="shared" si="58"/>
        <v>55935</v>
      </c>
    </row>
    <row r="1252" spans="1:51" ht="12" hidden="1" outlineLevel="3" x14ac:dyDescent="0.2">
      <c r="A1252" s="73" t="s">
        <v>984</v>
      </c>
      <c r="B1252" s="71"/>
      <c r="C1252" s="71"/>
      <c r="D1252" s="72">
        <v>63708.75</v>
      </c>
      <c r="E1252" s="71"/>
      <c r="F1252" s="71"/>
      <c r="G1252" s="71"/>
      <c r="H1252" s="67" t="s">
        <v>187</v>
      </c>
      <c r="AY1252" s="91">
        <f t="shared" si="58"/>
        <v>63708.75</v>
      </c>
    </row>
    <row r="1253" spans="1:51" ht="12" hidden="1" outlineLevel="3" x14ac:dyDescent="0.2">
      <c r="A1253" s="73" t="s">
        <v>983</v>
      </c>
      <c r="B1253" s="71"/>
      <c r="C1253" s="71"/>
      <c r="D1253" s="72">
        <v>25568.75</v>
      </c>
      <c r="E1253" s="71"/>
      <c r="F1253" s="71"/>
      <c r="G1253" s="71"/>
      <c r="H1253" s="67" t="s">
        <v>188</v>
      </c>
      <c r="AY1253" s="91">
        <f t="shared" si="58"/>
        <v>25568.75</v>
      </c>
    </row>
    <row r="1254" spans="1:51" ht="12" hidden="1" outlineLevel="3" x14ac:dyDescent="0.2">
      <c r="A1254" s="73" t="s">
        <v>982</v>
      </c>
      <c r="B1254" s="71"/>
      <c r="C1254" s="71"/>
      <c r="D1254" s="72">
        <v>25400</v>
      </c>
      <c r="E1254" s="71"/>
      <c r="F1254" s="71"/>
      <c r="G1254" s="71"/>
      <c r="H1254" s="67" t="s">
        <v>189</v>
      </c>
      <c r="AY1254" s="91">
        <f t="shared" si="58"/>
        <v>25400</v>
      </c>
    </row>
    <row r="1255" spans="1:51" ht="12" hidden="1" outlineLevel="3" x14ac:dyDescent="0.2">
      <c r="A1255" s="73" t="s">
        <v>981</v>
      </c>
      <c r="B1255" s="71"/>
      <c r="C1255" s="71"/>
      <c r="D1255" s="72">
        <v>28515</v>
      </c>
      <c r="E1255" s="71"/>
      <c r="F1255" s="71"/>
      <c r="G1255" s="71"/>
      <c r="H1255" s="67" t="s">
        <v>190</v>
      </c>
      <c r="AY1255" s="91">
        <f t="shared" si="58"/>
        <v>28515</v>
      </c>
    </row>
    <row r="1256" spans="1:51" ht="12" hidden="1" outlineLevel="3" x14ac:dyDescent="0.2">
      <c r="A1256" s="73" t="s">
        <v>980</v>
      </c>
      <c r="B1256" s="71"/>
      <c r="C1256" s="71"/>
      <c r="D1256" s="72">
        <v>25568.75</v>
      </c>
      <c r="E1256" s="71"/>
      <c r="F1256" s="71"/>
      <c r="G1256" s="71"/>
      <c r="H1256" s="67" t="s">
        <v>191</v>
      </c>
      <c r="AY1256" s="91">
        <f t="shared" si="58"/>
        <v>25568.75</v>
      </c>
    </row>
    <row r="1257" spans="1:51" ht="12" hidden="1" outlineLevel="3" x14ac:dyDescent="0.2">
      <c r="A1257" s="73" t="s">
        <v>979</v>
      </c>
      <c r="B1257" s="71"/>
      <c r="C1257" s="71"/>
      <c r="D1257" s="72">
        <v>68633.5</v>
      </c>
      <c r="E1257" s="71"/>
      <c r="F1257" s="71"/>
      <c r="G1257" s="71"/>
      <c r="H1257" s="67" t="s">
        <v>192</v>
      </c>
      <c r="AY1257" s="91">
        <f t="shared" si="58"/>
        <v>68633.5</v>
      </c>
    </row>
    <row r="1258" spans="1:51" ht="12" hidden="1" outlineLevel="3" x14ac:dyDescent="0.2">
      <c r="A1258" s="73" t="s">
        <v>941</v>
      </c>
      <c r="B1258" s="71"/>
      <c r="C1258" s="71"/>
      <c r="D1258" s="72">
        <v>25062.5</v>
      </c>
      <c r="E1258" s="71"/>
      <c r="F1258" s="71"/>
      <c r="G1258" s="71"/>
      <c r="H1258" s="67" t="s">
        <v>193</v>
      </c>
      <c r="AY1258" s="91">
        <f t="shared" si="58"/>
        <v>25062.5</v>
      </c>
    </row>
    <row r="1259" spans="1:51" ht="12" hidden="1" outlineLevel="3" x14ac:dyDescent="0.2">
      <c r="A1259" s="73" t="s">
        <v>940</v>
      </c>
      <c r="B1259" s="71"/>
      <c r="C1259" s="71"/>
      <c r="D1259" s="72">
        <v>61080.25</v>
      </c>
      <c r="E1259" s="71"/>
      <c r="F1259" s="71"/>
      <c r="G1259" s="71"/>
      <c r="H1259" s="67" t="s">
        <v>194</v>
      </c>
      <c r="AY1259" s="91">
        <f t="shared" si="58"/>
        <v>61080.25</v>
      </c>
    </row>
    <row r="1260" spans="1:51" ht="12" hidden="1" outlineLevel="3" x14ac:dyDescent="0.2">
      <c r="A1260" s="73" t="s">
        <v>978</v>
      </c>
      <c r="B1260" s="71"/>
      <c r="C1260" s="71"/>
      <c r="D1260" s="72">
        <v>62801.5</v>
      </c>
      <c r="E1260" s="71"/>
      <c r="F1260" s="71"/>
      <c r="G1260" s="71"/>
      <c r="H1260" s="67" t="s">
        <v>195</v>
      </c>
      <c r="AY1260" s="91">
        <f t="shared" si="58"/>
        <v>62801.5</v>
      </c>
    </row>
    <row r="1261" spans="1:51" ht="12" hidden="1" outlineLevel="3" x14ac:dyDescent="0.2">
      <c r="A1261" s="73" t="s">
        <v>977</v>
      </c>
      <c r="B1261" s="71"/>
      <c r="C1261" s="71"/>
      <c r="D1261" s="72">
        <v>50350</v>
      </c>
      <c r="E1261" s="71"/>
      <c r="F1261" s="71"/>
      <c r="G1261" s="71"/>
      <c r="H1261" s="67" t="s">
        <v>197</v>
      </c>
      <c r="AY1261" s="91">
        <f t="shared" si="58"/>
        <v>50350</v>
      </c>
    </row>
    <row r="1262" spans="1:51" ht="12" hidden="1" outlineLevel="3" x14ac:dyDescent="0.2">
      <c r="A1262" s="73" t="s">
        <v>976</v>
      </c>
      <c r="B1262" s="71"/>
      <c r="C1262" s="71"/>
      <c r="D1262" s="72">
        <v>92150.25</v>
      </c>
      <c r="E1262" s="71"/>
      <c r="F1262" s="71"/>
      <c r="G1262" s="71"/>
      <c r="H1262" s="67" t="s">
        <v>198</v>
      </c>
      <c r="AY1262" s="91">
        <f t="shared" si="58"/>
        <v>92150.25</v>
      </c>
    </row>
    <row r="1263" spans="1:51" ht="12" hidden="1" outlineLevel="3" x14ac:dyDescent="0.2">
      <c r="A1263" s="73" t="s">
        <v>975</v>
      </c>
      <c r="B1263" s="71"/>
      <c r="C1263" s="71"/>
      <c r="D1263" s="72">
        <v>86585.55</v>
      </c>
      <c r="E1263" s="71"/>
      <c r="F1263" s="71"/>
      <c r="G1263" s="71"/>
      <c r="H1263" s="67" t="s">
        <v>199</v>
      </c>
      <c r="AY1263" s="91">
        <f t="shared" si="58"/>
        <v>86585.55</v>
      </c>
    </row>
    <row r="1264" spans="1:51" ht="12" hidden="1" outlineLevel="3" x14ac:dyDescent="0.2">
      <c r="A1264" s="73" t="s">
        <v>974</v>
      </c>
      <c r="B1264" s="71"/>
      <c r="C1264" s="71"/>
      <c r="D1264" s="72">
        <v>50518.75</v>
      </c>
      <c r="E1264" s="71"/>
      <c r="F1264" s="71"/>
      <c r="G1264" s="71"/>
      <c r="H1264" s="67" t="s">
        <v>200</v>
      </c>
      <c r="AY1264" s="91">
        <f t="shared" si="58"/>
        <v>50518.75</v>
      </c>
    </row>
    <row r="1265" spans="1:51" ht="12" hidden="1" outlineLevel="3" x14ac:dyDescent="0.2">
      <c r="A1265" s="73" t="s">
        <v>973</v>
      </c>
      <c r="B1265" s="71"/>
      <c r="C1265" s="71"/>
      <c r="D1265" s="72">
        <v>50518.75</v>
      </c>
      <c r="E1265" s="71"/>
      <c r="F1265" s="71"/>
      <c r="G1265" s="71"/>
      <c r="H1265" s="67" t="s">
        <v>201</v>
      </c>
      <c r="AY1265" s="91">
        <f t="shared" si="58"/>
        <v>50518.75</v>
      </c>
    </row>
    <row r="1266" spans="1:51" ht="12" hidden="1" outlineLevel="3" x14ac:dyDescent="0.2">
      <c r="A1266" s="73" t="s">
        <v>972</v>
      </c>
      <c r="B1266" s="71"/>
      <c r="C1266" s="71"/>
      <c r="D1266" s="72">
        <v>86585.55</v>
      </c>
      <c r="E1266" s="71"/>
      <c r="F1266" s="71"/>
      <c r="G1266" s="71"/>
      <c r="H1266" s="67" t="s">
        <v>202</v>
      </c>
      <c r="AY1266" s="91">
        <f t="shared" si="58"/>
        <v>86585.55</v>
      </c>
    </row>
    <row r="1267" spans="1:51" ht="12" hidden="1" outlineLevel="3" x14ac:dyDescent="0.2">
      <c r="A1267" s="73" t="s">
        <v>971</v>
      </c>
      <c r="B1267" s="71"/>
      <c r="C1267" s="71"/>
      <c r="D1267" s="72">
        <v>69180</v>
      </c>
      <c r="E1267" s="71"/>
      <c r="F1267" s="71"/>
      <c r="G1267" s="71"/>
      <c r="H1267" s="67" t="s">
        <v>203</v>
      </c>
      <c r="AY1267" s="91">
        <f t="shared" si="58"/>
        <v>69180</v>
      </c>
    </row>
    <row r="1268" spans="1:51" ht="12" hidden="1" outlineLevel="3" x14ac:dyDescent="0.2">
      <c r="A1268" s="73" t="s">
        <v>970</v>
      </c>
      <c r="B1268" s="71"/>
      <c r="C1268" s="71"/>
      <c r="D1268" s="72">
        <v>30666.25</v>
      </c>
      <c r="E1268" s="71"/>
      <c r="F1268" s="71"/>
      <c r="G1268" s="71"/>
      <c r="H1268" s="67" t="s">
        <v>204</v>
      </c>
      <c r="AY1268" s="91">
        <f t="shared" si="58"/>
        <v>30666.25</v>
      </c>
    </row>
    <row r="1269" spans="1:51" ht="12" hidden="1" outlineLevel="3" x14ac:dyDescent="0.2">
      <c r="A1269" s="73" t="s">
        <v>969</v>
      </c>
      <c r="B1269" s="71"/>
      <c r="C1269" s="71"/>
      <c r="D1269" s="72">
        <v>27967.5</v>
      </c>
      <c r="E1269" s="71"/>
      <c r="F1269" s="71"/>
      <c r="G1269" s="71"/>
      <c r="H1269" s="67" t="s">
        <v>223</v>
      </c>
      <c r="AY1269" s="91">
        <f t="shared" si="58"/>
        <v>27967.5</v>
      </c>
    </row>
    <row r="1270" spans="1:51" ht="12" hidden="1" outlineLevel="3" x14ac:dyDescent="0.2">
      <c r="A1270" s="73" t="s">
        <v>968</v>
      </c>
      <c r="B1270" s="71"/>
      <c r="C1270" s="71"/>
      <c r="D1270" s="72">
        <v>12584.17</v>
      </c>
      <c r="E1270" s="71"/>
      <c r="F1270" s="71"/>
      <c r="G1270" s="71"/>
      <c r="H1270" s="67" t="s">
        <v>224</v>
      </c>
      <c r="AY1270" s="91">
        <f t="shared" si="58"/>
        <v>12584.17</v>
      </c>
    </row>
    <row r="1271" spans="1:51" ht="12" hidden="1" outlineLevel="3" x14ac:dyDescent="0.2">
      <c r="A1271" s="73" t="s">
        <v>967</v>
      </c>
      <c r="B1271" s="71"/>
      <c r="C1271" s="71"/>
      <c r="D1271" s="72">
        <v>12314.17</v>
      </c>
      <c r="E1271" s="71"/>
      <c r="F1271" s="71"/>
      <c r="G1271" s="71"/>
      <c r="H1271" s="67" t="s">
        <v>235</v>
      </c>
      <c r="AY1271" s="91">
        <f t="shared" si="58"/>
        <v>12314.17</v>
      </c>
    </row>
    <row r="1272" spans="1:51" ht="12" hidden="1" outlineLevel="3" x14ac:dyDescent="0.2">
      <c r="A1272" s="73" t="s">
        <v>966</v>
      </c>
      <c r="B1272" s="71"/>
      <c r="C1272" s="71"/>
      <c r="D1272" s="72">
        <v>118661.75</v>
      </c>
      <c r="E1272" s="71"/>
      <c r="F1272" s="71"/>
      <c r="G1272" s="71"/>
      <c r="H1272" s="67" t="s">
        <v>250</v>
      </c>
      <c r="AY1272" s="91">
        <f t="shared" si="58"/>
        <v>118661.75</v>
      </c>
    </row>
    <row r="1273" spans="1:51" ht="12" hidden="1" outlineLevel="3" x14ac:dyDescent="0.2">
      <c r="A1273" s="73" t="s">
        <v>965</v>
      </c>
      <c r="B1273" s="71"/>
      <c r="C1273" s="71"/>
      <c r="D1273" s="72">
        <v>35670</v>
      </c>
      <c r="E1273" s="71"/>
      <c r="F1273" s="71"/>
      <c r="G1273" s="71"/>
      <c r="H1273" s="67" t="s">
        <v>256</v>
      </c>
      <c r="AY1273" s="91">
        <f t="shared" si="58"/>
        <v>35670</v>
      </c>
    </row>
    <row r="1274" spans="1:51" ht="12" hidden="1" outlineLevel="3" x14ac:dyDescent="0.2">
      <c r="A1274" s="73" t="s">
        <v>948</v>
      </c>
      <c r="B1274" s="71"/>
      <c r="C1274" s="71"/>
      <c r="D1274" s="72">
        <v>77435.009999999995</v>
      </c>
      <c r="E1274" s="71"/>
      <c r="F1274" s="71"/>
      <c r="G1274" s="71"/>
      <c r="H1274" s="67" t="s">
        <v>258</v>
      </c>
      <c r="AY1274" s="91">
        <f t="shared" si="58"/>
        <v>77435.009999999995</v>
      </c>
    </row>
    <row r="1275" spans="1:51" ht="12" hidden="1" outlineLevel="3" x14ac:dyDescent="0.2">
      <c r="A1275" s="73" t="s">
        <v>964</v>
      </c>
      <c r="B1275" s="71"/>
      <c r="C1275" s="71"/>
      <c r="D1275" s="72">
        <v>42990</v>
      </c>
      <c r="E1275" s="71"/>
      <c r="F1275" s="71"/>
      <c r="G1275" s="71"/>
      <c r="H1275" s="67" t="s">
        <v>274</v>
      </c>
      <c r="AY1275" s="91">
        <f t="shared" si="58"/>
        <v>42990</v>
      </c>
    </row>
    <row r="1276" spans="1:51" ht="12" hidden="1" outlineLevel="3" x14ac:dyDescent="0.2">
      <c r="A1276" s="73" t="s">
        <v>963</v>
      </c>
      <c r="B1276" s="71"/>
      <c r="C1276" s="71"/>
      <c r="D1276" s="72">
        <v>36108.75</v>
      </c>
      <c r="E1276" s="71"/>
      <c r="F1276" s="71"/>
      <c r="G1276" s="71"/>
      <c r="H1276" s="67" t="s">
        <v>285</v>
      </c>
      <c r="AY1276" s="91">
        <f t="shared" si="58"/>
        <v>36108.75</v>
      </c>
    </row>
    <row r="1277" spans="1:51" ht="12" hidden="1" outlineLevel="3" x14ac:dyDescent="0.2">
      <c r="A1277" s="73" t="s">
        <v>962</v>
      </c>
      <c r="B1277" s="71"/>
      <c r="C1277" s="71"/>
      <c r="D1277" s="72">
        <v>36108.75</v>
      </c>
      <c r="E1277" s="71"/>
      <c r="F1277" s="71"/>
      <c r="G1277" s="71"/>
      <c r="H1277" s="67" t="s">
        <v>286</v>
      </c>
      <c r="AY1277" s="91">
        <f t="shared" si="58"/>
        <v>36108.75</v>
      </c>
    </row>
    <row r="1278" spans="1:51" ht="12" hidden="1" outlineLevel="3" x14ac:dyDescent="0.2">
      <c r="A1278" s="73" t="s">
        <v>961</v>
      </c>
      <c r="B1278" s="71"/>
      <c r="C1278" s="71"/>
      <c r="D1278" s="72">
        <v>39961.25</v>
      </c>
      <c r="E1278" s="71"/>
      <c r="F1278" s="71"/>
      <c r="G1278" s="71"/>
      <c r="H1278" s="67" t="s">
        <v>288</v>
      </c>
      <c r="AY1278" s="91">
        <f t="shared" si="58"/>
        <v>39961.25</v>
      </c>
    </row>
    <row r="1279" spans="1:51" ht="12" hidden="1" outlineLevel="3" x14ac:dyDescent="0.2">
      <c r="A1279" s="73" t="s">
        <v>960</v>
      </c>
      <c r="B1279" s="71"/>
      <c r="C1279" s="71"/>
      <c r="D1279" s="72">
        <v>8600</v>
      </c>
      <c r="E1279" s="71"/>
      <c r="F1279" s="71"/>
      <c r="G1279" s="71"/>
      <c r="H1279" s="67" t="s">
        <v>282</v>
      </c>
      <c r="AY1279" s="91">
        <f t="shared" si="58"/>
        <v>8600</v>
      </c>
    </row>
    <row r="1280" spans="1:51" ht="12" hidden="1" outlineLevel="3" x14ac:dyDescent="0.2">
      <c r="A1280" s="73" t="s">
        <v>959</v>
      </c>
      <c r="B1280" s="71"/>
      <c r="C1280" s="71"/>
      <c r="D1280" s="72">
        <v>13622.5</v>
      </c>
      <c r="E1280" s="71"/>
      <c r="F1280" s="71"/>
      <c r="G1280" s="71"/>
      <c r="H1280" s="67" t="s">
        <v>283</v>
      </c>
      <c r="AY1280" s="91">
        <f t="shared" si="58"/>
        <v>13622.5</v>
      </c>
    </row>
    <row r="1281" spans="1:53" ht="12" hidden="1" outlineLevel="3" x14ac:dyDescent="0.2">
      <c r="A1281" s="73" t="s">
        <v>958</v>
      </c>
      <c r="B1281" s="71"/>
      <c r="C1281" s="71"/>
      <c r="D1281" s="72">
        <v>11330.83</v>
      </c>
      <c r="E1281" s="71"/>
      <c r="F1281" s="71"/>
      <c r="G1281" s="71"/>
      <c r="H1281" s="67" t="s">
        <v>289</v>
      </c>
      <c r="AY1281" s="91">
        <f t="shared" si="58"/>
        <v>11330.83</v>
      </c>
    </row>
    <row r="1282" spans="1:53" ht="12" outlineLevel="2" collapsed="1" x14ac:dyDescent="0.2">
      <c r="A1282" s="74" t="s">
        <v>957</v>
      </c>
      <c r="B1282" s="71"/>
      <c r="C1282" s="71"/>
      <c r="D1282" s="72">
        <v>91989</v>
      </c>
      <c r="E1282" s="71"/>
      <c r="F1282" s="71"/>
      <c r="G1282" s="71"/>
      <c r="I1282" s="297">
        <f t="shared" ref="I1282" si="59">$D1282</f>
        <v>91989</v>
      </c>
    </row>
    <row r="1283" spans="1:53" ht="12" hidden="1" outlineLevel="3" x14ac:dyDescent="0.2">
      <c r="A1283" s="73" t="s">
        <v>921</v>
      </c>
      <c r="B1283" s="71"/>
      <c r="C1283" s="71"/>
      <c r="D1283" s="72">
        <v>91989</v>
      </c>
      <c r="E1283" s="71"/>
      <c r="F1283" s="71"/>
      <c r="G1283" s="71"/>
    </row>
    <row r="1284" spans="1:53" ht="12" outlineLevel="2" collapsed="1" x14ac:dyDescent="0.2">
      <c r="A1284" s="74" t="s">
        <v>17</v>
      </c>
      <c r="B1284" s="71"/>
      <c r="C1284" s="71"/>
      <c r="D1284" s="72">
        <v>2234708.34</v>
      </c>
      <c r="E1284" s="71"/>
      <c r="F1284" s="71"/>
      <c r="G1284" s="71"/>
    </row>
    <row r="1285" spans="1:53" ht="12" hidden="1" outlineLevel="3" x14ac:dyDescent="0.2">
      <c r="A1285" s="73" t="s">
        <v>919</v>
      </c>
      <c r="B1285" s="71"/>
      <c r="C1285" s="71"/>
      <c r="D1285" s="72">
        <v>2234708.34</v>
      </c>
      <c r="E1285" s="71"/>
      <c r="F1285" s="71"/>
      <c r="G1285" s="71"/>
      <c r="K1285" s="91">
        <f t="shared" ref="K1285" si="60">$D1285</f>
        <v>2234708.34</v>
      </c>
    </row>
    <row r="1286" spans="1:53" ht="12" outlineLevel="2" collapsed="1" x14ac:dyDescent="0.2">
      <c r="A1286" s="74" t="s">
        <v>956</v>
      </c>
      <c r="B1286" s="71"/>
      <c r="C1286" s="71"/>
      <c r="D1286" s="72">
        <v>1101321.6000000001</v>
      </c>
      <c r="E1286" s="71"/>
      <c r="F1286" s="71"/>
      <c r="G1286" s="71"/>
      <c r="I1286" s="243">
        <f t="shared" ref="I1286" si="61">$D1286</f>
        <v>1101321.6000000001</v>
      </c>
    </row>
    <row r="1287" spans="1:53" ht="12" hidden="1" outlineLevel="3" x14ac:dyDescent="0.2">
      <c r="A1287" s="73" t="s">
        <v>919</v>
      </c>
      <c r="B1287" s="71"/>
      <c r="C1287" s="71"/>
      <c r="D1287" s="72">
        <v>1101321.6000000001</v>
      </c>
      <c r="E1287" s="71"/>
      <c r="F1287" s="71"/>
      <c r="G1287" s="71"/>
      <c r="I1287" s="243">
        <f t="shared" ref="I1287:BB1302" si="62">$D1287</f>
        <v>1101321.6000000001</v>
      </c>
    </row>
    <row r="1288" spans="1:53" ht="12" outlineLevel="2" collapsed="1" x14ac:dyDescent="0.2">
      <c r="A1288" s="74" t="s">
        <v>955</v>
      </c>
      <c r="B1288" s="71"/>
      <c r="C1288" s="71"/>
      <c r="D1288" s="72">
        <v>1180620</v>
      </c>
      <c r="E1288" s="71"/>
      <c r="F1288" s="71"/>
      <c r="G1288" s="71"/>
    </row>
    <row r="1289" spans="1:53" ht="12" hidden="1" outlineLevel="3" x14ac:dyDescent="0.2">
      <c r="A1289" s="73" t="s">
        <v>954</v>
      </c>
      <c r="B1289" s="71"/>
      <c r="C1289" s="71"/>
      <c r="D1289" s="72">
        <v>50120</v>
      </c>
      <c r="E1289" s="71"/>
      <c r="F1289" s="71"/>
      <c r="G1289" s="71"/>
      <c r="H1289" s="4" t="s">
        <v>60</v>
      </c>
      <c r="BA1289" s="91">
        <f t="shared" si="62"/>
        <v>50120</v>
      </c>
    </row>
    <row r="1290" spans="1:53" ht="12" hidden="1" outlineLevel="3" x14ac:dyDescent="0.2">
      <c r="A1290" s="73" t="s">
        <v>928</v>
      </c>
      <c r="B1290" s="71"/>
      <c r="C1290" s="71"/>
      <c r="D1290" s="72">
        <v>44226</v>
      </c>
      <c r="E1290" s="71"/>
      <c r="F1290" s="71"/>
      <c r="G1290" s="71"/>
      <c r="H1290" s="31" t="s">
        <v>333</v>
      </c>
      <c r="BA1290" s="91">
        <f t="shared" si="62"/>
        <v>44226</v>
      </c>
    </row>
    <row r="1291" spans="1:53" ht="12" hidden="1" outlineLevel="3" x14ac:dyDescent="0.2">
      <c r="A1291" s="73" t="s">
        <v>953</v>
      </c>
      <c r="B1291" s="71"/>
      <c r="C1291" s="71"/>
      <c r="D1291" s="72">
        <v>23000</v>
      </c>
      <c r="E1291" s="71"/>
      <c r="F1291" s="71"/>
      <c r="G1291" s="71"/>
      <c r="H1291" s="31" t="s">
        <v>330</v>
      </c>
      <c r="BA1291" s="91">
        <f t="shared" si="62"/>
        <v>23000</v>
      </c>
    </row>
    <row r="1292" spans="1:53" ht="12" hidden="1" outlineLevel="3" x14ac:dyDescent="0.2">
      <c r="A1292" s="73" t="s">
        <v>952</v>
      </c>
      <c r="B1292" s="71"/>
      <c r="C1292" s="71"/>
      <c r="D1292" s="72">
        <v>256420</v>
      </c>
      <c r="E1292" s="71"/>
      <c r="F1292" s="71"/>
      <c r="G1292" s="71"/>
      <c r="H1292" s="4" t="s">
        <v>131</v>
      </c>
      <c r="BA1292" s="91">
        <f t="shared" si="62"/>
        <v>256420</v>
      </c>
    </row>
    <row r="1293" spans="1:53" ht="12" hidden="1" outlineLevel="3" x14ac:dyDescent="0.2">
      <c r="A1293" s="73" t="s">
        <v>951</v>
      </c>
      <c r="B1293" s="71"/>
      <c r="C1293" s="71"/>
      <c r="D1293" s="72">
        <v>49625</v>
      </c>
      <c r="E1293" s="71"/>
      <c r="F1293" s="71"/>
      <c r="G1293" s="71"/>
      <c r="H1293" s="4" t="s">
        <v>79</v>
      </c>
      <c r="BA1293" s="91">
        <f t="shared" si="62"/>
        <v>49625</v>
      </c>
    </row>
    <row r="1294" spans="1:53" ht="12" hidden="1" outlineLevel="3" x14ac:dyDescent="0.2">
      <c r="A1294" s="73" t="s">
        <v>945</v>
      </c>
      <c r="B1294" s="71"/>
      <c r="C1294" s="71"/>
      <c r="D1294" s="72">
        <v>80990</v>
      </c>
      <c r="E1294" s="71"/>
      <c r="F1294" s="71"/>
      <c r="G1294" s="71"/>
      <c r="H1294" s="4" t="s">
        <v>87</v>
      </c>
      <c r="BA1294" s="91">
        <f t="shared" si="62"/>
        <v>80990</v>
      </c>
    </row>
    <row r="1295" spans="1:53" ht="12" hidden="1" outlineLevel="3" x14ac:dyDescent="0.2">
      <c r="A1295" s="73" t="s">
        <v>944</v>
      </c>
      <c r="B1295" s="71"/>
      <c r="C1295" s="71"/>
      <c r="D1295" s="72">
        <v>187137</v>
      </c>
      <c r="E1295" s="71"/>
      <c r="F1295" s="71"/>
      <c r="G1295" s="71"/>
      <c r="H1295" s="4" t="s">
        <v>88</v>
      </c>
      <c r="BA1295" s="91">
        <f t="shared" si="62"/>
        <v>187137</v>
      </c>
    </row>
    <row r="1296" spans="1:53" ht="12" hidden="1" outlineLevel="3" x14ac:dyDescent="0.2">
      <c r="A1296" s="73" t="s">
        <v>950</v>
      </c>
      <c r="B1296" s="71"/>
      <c r="C1296" s="71"/>
      <c r="D1296" s="72">
        <v>64500</v>
      </c>
      <c r="E1296" s="71"/>
      <c r="F1296" s="71"/>
      <c r="G1296" s="71"/>
      <c r="H1296" s="4" t="s">
        <v>84</v>
      </c>
      <c r="BA1296" s="91">
        <f t="shared" si="62"/>
        <v>64500</v>
      </c>
    </row>
    <row r="1297" spans="1:54" ht="12" hidden="1" outlineLevel="3" x14ac:dyDescent="0.2">
      <c r="A1297" s="73" t="s">
        <v>949</v>
      </c>
      <c r="B1297" s="71"/>
      <c r="C1297" s="71"/>
      <c r="D1297" s="72">
        <v>88904</v>
      </c>
      <c r="E1297" s="71"/>
      <c r="F1297" s="71"/>
      <c r="G1297" s="71"/>
      <c r="H1297" s="4" t="s">
        <v>109</v>
      </c>
      <c r="BA1297" s="91">
        <f t="shared" si="62"/>
        <v>88904</v>
      </c>
    </row>
    <row r="1298" spans="1:54" ht="12" hidden="1" outlineLevel="3" x14ac:dyDescent="0.2">
      <c r="A1298" s="73" t="s">
        <v>942</v>
      </c>
      <c r="B1298" s="71"/>
      <c r="C1298" s="71"/>
      <c r="D1298" s="72">
        <v>59804</v>
      </c>
      <c r="E1298" s="71"/>
      <c r="F1298" s="71"/>
      <c r="G1298" s="71"/>
      <c r="H1298" s="4" t="s">
        <v>186</v>
      </c>
      <c r="BA1298" s="91">
        <f t="shared" si="62"/>
        <v>59804</v>
      </c>
    </row>
    <row r="1299" spans="1:54" ht="12" hidden="1" outlineLevel="3" x14ac:dyDescent="0.2">
      <c r="A1299" s="73" t="s">
        <v>937</v>
      </c>
      <c r="B1299" s="71"/>
      <c r="C1299" s="71"/>
      <c r="D1299" s="72">
        <v>98606</v>
      </c>
      <c r="E1299" s="71"/>
      <c r="F1299" s="71"/>
      <c r="G1299" s="71"/>
      <c r="H1299" s="4" t="s">
        <v>236</v>
      </c>
      <c r="BA1299" s="91">
        <f t="shared" si="62"/>
        <v>98606</v>
      </c>
    </row>
    <row r="1300" spans="1:54" ht="12" hidden="1" outlineLevel="3" x14ac:dyDescent="0.2">
      <c r="A1300" s="73" t="s">
        <v>948</v>
      </c>
      <c r="B1300" s="71"/>
      <c r="C1300" s="71"/>
      <c r="D1300" s="72">
        <v>177288</v>
      </c>
      <c r="E1300" s="71"/>
      <c r="F1300" s="71"/>
      <c r="G1300" s="71"/>
      <c r="H1300" s="4" t="s">
        <v>258</v>
      </c>
      <c r="BA1300" s="91">
        <f t="shared" si="62"/>
        <v>177288</v>
      </c>
    </row>
    <row r="1301" spans="1:54" ht="12" outlineLevel="2" collapsed="1" x14ac:dyDescent="0.2">
      <c r="A1301" s="74" t="s">
        <v>947</v>
      </c>
      <c r="B1301" s="71"/>
      <c r="C1301" s="71"/>
      <c r="D1301" s="72">
        <v>96023</v>
      </c>
      <c r="E1301" s="71"/>
      <c r="F1301" s="71"/>
      <c r="G1301" s="71"/>
    </row>
    <row r="1302" spans="1:54" ht="12" hidden="1" outlineLevel="3" x14ac:dyDescent="0.2">
      <c r="A1302" s="73" t="s">
        <v>927</v>
      </c>
      <c r="B1302" s="71"/>
      <c r="C1302" s="71"/>
      <c r="D1302" s="72">
        <v>7233</v>
      </c>
      <c r="E1302" s="71"/>
      <c r="F1302" s="71"/>
      <c r="G1302" s="71"/>
      <c r="H1302" s="31" t="s">
        <v>332</v>
      </c>
      <c r="BB1302" s="91">
        <f t="shared" si="62"/>
        <v>7233</v>
      </c>
    </row>
    <row r="1303" spans="1:54" ht="12" hidden="1" outlineLevel="3" x14ac:dyDescent="0.2">
      <c r="A1303" s="73" t="s">
        <v>946</v>
      </c>
      <c r="B1303" s="71"/>
      <c r="C1303" s="71"/>
      <c r="D1303" s="72">
        <v>7128</v>
      </c>
      <c r="E1303" s="71"/>
      <c r="F1303" s="71"/>
      <c r="G1303" s="71"/>
      <c r="H1303" s="4" t="s">
        <v>138</v>
      </c>
      <c r="BB1303" s="91">
        <f t="shared" ref="BB1303:BD1317" si="63">$D1303</f>
        <v>7128</v>
      </c>
    </row>
    <row r="1304" spans="1:54" ht="12" hidden="1" outlineLevel="3" x14ac:dyDescent="0.2">
      <c r="A1304" s="73" t="s">
        <v>945</v>
      </c>
      <c r="B1304" s="71"/>
      <c r="C1304" s="71"/>
      <c r="D1304" s="72">
        <v>7231</v>
      </c>
      <c r="E1304" s="71"/>
      <c r="F1304" s="71"/>
      <c r="G1304" s="71"/>
      <c r="H1304" s="4" t="s">
        <v>87</v>
      </c>
      <c r="BB1304" s="91">
        <f t="shared" si="63"/>
        <v>7231</v>
      </c>
    </row>
    <row r="1305" spans="1:54" ht="12" hidden="1" outlineLevel="3" x14ac:dyDescent="0.2">
      <c r="A1305" s="73" t="s">
        <v>944</v>
      </c>
      <c r="B1305" s="71"/>
      <c r="C1305" s="71"/>
      <c r="D1305" s="72">
        <v>10208</v>
      </c>
      <c r="E1305" s="71"/>
      <c r="F1305" s="71"/>
      <c r="G1305" s="71"/>
      <c r="H1305" s="4" t="s">
        <v>88</v>
      </c>
      <c r="BB1305" s="91">
        <f t="shared" si="63"/>
        <v>10208</v>
      </c>
    </row>
    <row r="1306" spans="1:54" ht="12" hidden="1" outlineLevel="3" x14ac:dyDescent="0.2">
      <c r="A1306" s="73" t="s">
        <v>943</v>
      </c>
      <c r="B1306" s="71"/>
      <c r="C1306" s="71"/>
      <c r="D1306" s="72">
        <v>7569</v>
      </c>
      <c r="E1306" s="71"/>
      <c r="F1306" s="71"/>
      <c r="G1306" s="71"/>
      <c r="H1306" s="67" t="s">
        <v>217</v>
      </c>
      <c r="BB1306" s="91">
        <f t="shared" si="63"/>
        <v>7569</v>
      </c>
    </row>
    <row r="1307" spans="1:54" ht="12" hidden="1" outlineLevel="3" x14ac:dyDescent="0.2">
      <c r="A1307" s="73" t="s">
        <v>942</v>
      </c>
      <c r="B1307" s="71"/>
      <c r="C1307" s="71"/>
      <c r="D1307" s="72">
        <v>6257</v>
      </c>
      <c r="E1307" s="71"/>
      <c r="F1307" s="71"/>
      <c r="G1307" s="71"/>
      <c r="H1307" s="67" t="s">
        <v>186</v>
      </c>
      <c r="BB1307" s="91">
        <f t="shared" si="63"/>
        <v>6257</v>
      </c>
    </row>
    <row r="1308" spans="1:54" ht="12" hidden="1" outlineLevel="3" x14ac:dyDescent="0.2">
      <c r="A1308" s="73" t="s">
        <v>941</v>
      </c>
      <c r="B1308" s="71"/>
      <c r="C1308" s="71"/>
      <c r="D1308" s="72">
        <v>16511</v>
      </c>
      <c r="E1308" s="71"/>
      <c r="F1308" s="71"/>
      <c r="G1308" s="71"/>
      <c r="H1308" s="67" t="s">
        <v>193</v>
      </c>
      <c r="BB1308" s="91">
        <f t="shared" si="63"/>
        <v>16511</v>
      </c>
    </row>
    <row r="1309" spans="1:54" ht="12" hidden="1" outlineLevel="3" x14ac:dyDescent="0.2">
      <c r="A1309" s="73" t="s">
        <v>940</v>
      </c>
      <c r="B1309" s="71"/>
      <c r="C1309" s="71"/>
      <c r="D1309" s="72">
        <v>7076</v>
      </c>
      <c r="E1309" s="71"/>
      <c r="F1309" s="71"/>
      <c r="G1309" s="71"/>
      <c r="H1309" s="67" t="s">
        <v>194</v>
      </c>
      <c r="BB1309" s="91">
        <f t="shared" si="63"/>
        <v>7076</v>
      </c>
    </row>
    <row r="1310" spans="1:54" ht="12" hidden="1" outlineLevel="3" x14ac:dyDescent="0.2">
      <c r="A1310" s="73" t="s">
        <v>939</v>
      </c>
      <c r="B1310" s="71"/>
      <c r="C1310" s="71"/>
      <c r="D1310" s="72">
        <v>1000</v>
      </c>
      <c r="E1310" s="71"/>
      <c r="F1310" s="71"/>
      <c r="G1310" s="71"/>
      <c r="H1310" s="4" t="s">
        <v>232</v>
      </c>
      <c r="BB1310" s="91">
        <f t="shared" si="63"/>
        <v>1000</v>
      </c>
    </row>
    <row r="1311" spans="1:54" ht="12" hidden="1" outlineLevel="3" x14ac:dyDescent="0.2">
      <c r="A1311" s="73" t="s">
        <v>938</v>
      </c>
      <c r="B1311" s="71"/>
      <c r="C1311" s="71"/>
      <c r="D1311" s="72">
        <v>18490</v>
      </c>
      <c r="E1311" s="71"/>
      <c r="F1311" s="71"/>
      <c r="G1311" s="71"/>
      <c r="H1311" s="4" t="s">
        <v>233</v>
      </c>
      <c r="BB1311" s="91">
        <f t="shared" si="63"/>
        <v>18490</v>
      </c>
    </row>
    <row r="1312" spans="1:54" ht="12" hidden="1" outlineLevel="3" x14ac:dyDescent="0.2">
      <c r="A1312" s="73" t="s">
        <v>937</v>
      </c>
      <c r="B1312" s="71"/>
      <c r="C1312" s="71"/>
      <c r="D1312" s="72">
        <v>1000</v>
      </c>
      <c r="E1312" s="71"/>
      <c r="F1312" s="71"/>
      <c r="G1312" s="71"/>
      <c r="H1312" s="4" t="s">
        <v>236</v>
      </c>
      <c r="BB1312" s="91">
        <f t="shared" si="63"/>
        <v>1000</v>
      </c>
    </row>
    <row r="1313" spans="1:56" ht="12" hidden="1" outlineLevel="3" x14ac:dyDescent="0.2">
      <c r="A1313" s="73" t="s">
        <v>936</v>
      </c>
      <c r="B1313" s="71"/>
      <c r="C1313" s="71"/>
      <c r="D1313" s="72">
        <v>6320</v>
      </c>
      <c r="E1313" s="71"/>
      <c r="F1313" s="71"/>
      <c r="G1313" s="71"/>
      <c r="H1313" s="4" t="s">
        <v>237</v>
      </c>
      <c r="BB1313" s="91">
        <f t="shared" si="63"/>
        <v>6320</v>
      </c>
    </row>
    <row r="1314" spans="1:56" ht="12" outlineLevel="2" collapsed="1" x14ac:dyDescent="0.2">
      <c r="A1314" s="74" t="s">
        <v>935</v>
      </c>
      <c r="B1314" s="71"/>
      <c r="C1314" s="71"/>
      <c r="D1314" s="72">
        <v>54450.86</v>
      </c>
      <c r="E1314" s="71"/>
      <c r="F1314" s="71"/>
      <c r="G1314" s="71"/>
    </row>
    <row r="1315" spans="1:56" ht="12" hidden="1" outlineLevel="3" x14ac:dyDescent="0.2">
      <c r="A1315" s="73" t="s">
        <v>934</v>
      </c>
      <c r="B1315" s="71"/>
      <c r="C1315" s="71"/>
      <c r="D1315" s="72">
        <v>54450.86</v>
      </c>
      <c r="E1315" s="71"/>
      <c r="F1315" s="71"/>
      <c r="G1315" s="71"/>
      <c r="H1315" s="31" t="s">
        <v>336</v>
      </c>
      <c r="BC1315" s="91">
        <f t="shared" si="63"/>
        <v>54450.86</v>
      </c>
    </row>
    <row r="1316" spans="1:56" ht="12" outlineLevel="2" collapsed="1" x14ac:dyDescent="0.2">
      <c r="A1316" s="74" t="s">
        <v>933</v>
      </c>
      <c r="B1316" s="71"/>
      <c r="C1316" s="71"/>
      <c r="D1316" s="72">
        <v>1485800</v>
      </c>
      <c r="E1316" s="71"/>
      <c r="F1316" s="71"/>
      <c r="G1316" s="71"/>
      <c r="I1316" s="243">
        <f t="shared" ref="I1316" si="64">$D1316</f>
        <v>1485800</v>
      </c>
    </row>
    <row r="1317" spans="1:56" ht="12" hidden="1" outlineLevel="3" x14ac:dyDescent="0.2">
      <c r="A1317" s="73" t="s">
        <v>919</v>
      </c>
      <c r="B1317" s="71"/>
      <c r="C1317" s="71"/>
      <c r="D1317" s="72">
        <v>1485800</v>
      </c>
      <c r="E1317" s="71"/>
      <c r="F1317" s="71"/>
      <c r="G1317" s="71"/>
      <c r="BD1317" s="91">
        <f t="shared" si="63"/>
        <v>1485800</v>
      </c>
    </row>
    <row r="1318" spans="1:56" ht="12" outlineLevel="1" x14ac:dyDescent="0.2">
      <c r="A1318" s="78" t="s">
        <v>932</v>
      </c>
      <c r="B1318" s="76"/>
      <c r="C1318" s="76"/>
      <c r="D1318" s="77">
        <v>49193478.450000003</v>
      </c>
      <c r="E1318" s="77">
        <v>49193478.450000003</v>
      </c>
      <c r="F1318" s="76"/>
      <c r="G1318" s="76"/>
    </row>
    <row r="1319" spans="1:56" ht="12" outlineLevel="2" collapsed="1" x14ac:dyDescent="0.2">
      <c r="A1319" s="74" t="s">
        <v>921</v>
      </c>
      <c r="B1319" s="71"/>
      <c r="C1319" s="71"/>
      <c r="D1319" s="71"/>
      <c r="E1319" s="72">
        <v>50846903.340000004</v>
      </c>
      <c r="F1319" s="71"/>
      <c r="G1319" s="71"/>
    </row>
    <row r="1320" spans="1:56" ht="12" hidden="1" outlineLevel="3" x14ac:dyDescent="0.2">
      <c r="A1320" s="73" t="s">
        <v>921</v>
      </c>
      <c r="B1320" s="71"/>
      <c r="C1320" s="71"/>
      <c r="D1320" s="71"/>
      <c r="E1320" s="72">
        <v>50846903.340000004</v>
      </c>
      <c r="F1320" s="71"/>
      <c r="G1320" s="71"/>
    </row>
    <row r="1321" spans="1:56" ht="12" outlineLevel="2" collapsed="1" x14ac:dyDescent="0.2">
      <c r="A1321" s="74" t="s">
        <v>921</v>
      </c>
      <c r="B1321" s="71"/>
      <c r="C1321" s="71"/>
      <c r="D1321" s="71"/>
      <c r="E1321" s="75">
        <v>-1653424.89</v>
      </c>
      <c r="F1321" s="71"/>
      <c r="G1321" s="71"/>
    </row>
    <row r="1322" spans="1:56" ht="12" hidden="1" outlineLevel="3" x14ac:dyDescent="0.2">
      <c r="A1322" s="73" t="s">
        <v>921</v>
      </c>
      <c r="B1322" s="71"/>
      <c r="C1322" s="71"/>
      <c r="D1322" s="71"/>
      <c r="E1322" s="75">
        <v>-1653424.89</v>
      </c>
      <c r="F1322" s="71"/>
      <c r="G1322" s="71"/>
    </row>
    <row r="1323" spans="1:56" ht="12" outlineLevel="2" collapsed="1" x14ac:dyDescent="0.2">
      <c r="A1323" s="74" t="s">
        <v>931</v>
      </c>
      <c r="B1323" s="71"/>
      <c r="C1323" s="71"/>
      <c r="D1323" s="72">
        <v>49193478.450000003</v>
      </c>
      <c r="E1323" s="71"/>
      <c r="F1323" s="71"/>
      <c r="G1323" s="71"/>
    </row>
    <row r="1324" spans="1:56" ht="12" hidden="1" outlineLevel="3" x14ac:dyDescent="0.2">
      <c r="A1324" s="73" t="s">
        <v>930</v>
      </c>
      <c r="B1324" s="71"/>
      <c r="C1324" s="71"/>
      <c r="D1324" s="72">
        <v>21473627.789999999</v>
      </c>
      <c r="E1324" s="71"/>
      <c r="F1324" s="71"/>
      <c r="G1324" s="71"/>
    </row>
    <row r="1325" spans="1:56" ht="12" hidden="1" outlineLevel="3" x14ac:dyDescent="0.2">
      <c r="A1325" s="73" t="s">
        <v>929</v>
      </c>
      <c r="B1325" s="71"/>
      <c r="C1325" s="71"/>
      <c r="D1325" s="72">
        <v>3755.34</v>
      </c>
      <c r="E1325" s="71"/>
      <c r="F1325" s="71"/>
      <c r="G1325" s="71"/>
    </row>
    <row r="1326" spans="1:56" ht="12" hidden="1" outlineLevel="3" x14ac:dyDescent="0.2">
      <c r="A1326" s="73" t="s">
        <v>928</v>
      </c>
      <c r="B1326" s="71"/>
      <c r="C1326" s="71"/>
      <c r="D1326" s="72">
        <v>1388.82</v>
      </c>
      <c r="E1326" s="71"/>
      <c r="F1326" s="71"/>
      <c r="G1326" s="71"/>
    </row>
    <row r="1327" spans="1:56" ht="12" hidden="1" outlineLevel="3" x14ac:dyDescent="0.2">
      <c r="A1327" s="73" t="s">
        <v>927</v>
      </c>
      <c r="B1327" s="71"/>
      <c r="C1327" s="71"/>
      <c r="D1327" s="72">
        <v>2863.44</v>
      </c>
      <c r="E1327" s="71"/>
      <c r="F1327" s="71"/>
      <c r="G1327" s="71"/>
    </row>
    <row r="1328" spans="1:56" ht="12" hidden="1" outlineLevel="3" x14ac:dyDescent="0.2">
      <c r="A1328" s="73" t="s">
        <v>926</v>
      </c>
      <c r="B1328" s="71"/>
      <c r="C1328" s="71"/>
      <c r="D1328" s="79">
        <v>981.69</v>
      </c>
      <c r="E1328" s="71"/>
      <c r="F1328" s="71"/>
      <c r="G1328" s="71"/>
    </row>
    <row r="1329" spans="1:9" ht="12" hidden="1" outlineLevel="3" x14ac:dyDescent="0.2">
      <c r="A1329" s="73" t="s">
        <v>925</v>
      </c>
      <c r="B1329" s="71"/>
      <c r="C1329" s="71"/>
      <c r="D1329" s="79">
        <v>951.92</v>
      </c>
      <c r="E1329" s="71"/>
      <c r="F1329" s="71"/>
      <c r="G1329" s="71"/>
    </row>
    <row r="1330" spans="1:9" ht="12" hidden="1" outlineLevel="3" x14ac:dyDescent="0.2">
      <c r="A1330" s="73" t="s">
        <v>924</v>
      </c>
      <c r="B1330" s="71"/>
      <c r="C1330" s="71"/>
      <c r="D1330" s="72">
        <v>33423.879999999997</v>
      </c>
      <c r="E1330" s="71"/>
      <c r="F1330" s="71"/>
      <c r="G1330" s="71"/>
    </row>
    <row r="1331" spans="1:9" ht="12" hidden="1" outlineLevel="3" x14ac:dyDescent="0.2">
      <c r="A1331" s="73" t="s">
        <v>923</v>
      </c>
      <c r="B1331" s="71"/>
      <c r="C1331" s="71"/>
      <c r="D1331" s="72">
        <v>1921.56</v>
      </c>
      <c r="E1331" s="71"/>
      <c r="F1331" s="71"/>
      <c r="G1331" s="71"/>
    </row>
    <row r="1332" spans="1:9" ht="12" hidden="1" outlineLevel="3" x14ac:dyDescent="0.2">
      <c r="A1332" s="73" t="s">
        <v>919</v>
      </c>
      <c r="B1332" s="71"/>
      <c r="C1332" s="71"/>
      <c r="D1332" s="72">
        <v>27674564.010000002</v>
      </c>
      <c r="E1332" s="71"/>
      <c r="F1332" s="71"/>
      <c r="G1332" s="71"/>
    </row>
    <row r="1333" spans="1:9" ht="12" outlineLevel="1" x14ac:dyDescent="0.2">
      <c r="A1333" s="78" t="s">
        <v>922</v>
      </c>
      <c r="B1333" s="76"/>
      <c r="C1333" s="76"/>
      <c r="D1333" s="77">
        <v>41111223.340000004</v>
      </c>
      <c r="E1333" s="77">
        <v>41111223.340000004</v>
      </c>
      <c r="F1333" s="76"/>
      <c r="G1333" s="76"/>
    </row>
    <row r="1334" spans="1:9" ht="12" outlineLevel="2" collapsed="1" x14ac:dyDescent="0.2">
      <c r="A1334" s="74" t="s">
        <v>921</v>
      </c>
      <c r="B1334" s="71"/>
      <c r="C1334" s="71"/>
      <c r="D1334" s="71"/>
      <c r="E1334" s="72">
        <v>42625446.140000001</v>
      </c>
      <c r="F1334" s="71"/>
      <c r="G1334" s="71"/>
    </row>
    <row r="1335" spans="1:9" ht="12" hidden="1" outlineLevel="3" x14ac:dyDescent="0.2">
      <c r="A1335" s="73" t="s">
        <v>921</v>
      </c>
      <c r="B1335" s="71"/>
      <c r="C1335" s="71"/>
      <c r="D1335" s="71"/>
      <c r="E1335" s="72">
        <v>42625446.140000001</v>
      </c>
      <c r="F1335" s="71"/>
      <c r="G1335" s="71"/>
    </row>
    <row r="1336" spans="1:9" ht="12" outlineLevel="2" collapsed="1" x14ac:dyDescent="0.2">
      <c r="A1336" s="74" t="s">
        <v>921</v>
      </c>
      <c r="B1336" s="71"/>
      <c r="C1336" s="71"/>
      <c r="D1336" s="71"/>
      <c r="E1336" s="75">
        <v>-1514222.8</v>
      </c>
      <c r="F1336" s="71"/>
      <c r="G1336" s="71"/>
    </row>
    <row r="1337" spans="1:9" ht="12" hidden="1" outlineLevel="3" x14ac:dyDescent="0.2">
      <c r="A1337" s="73" t="s">
        <v>921</v>
      </c>
      <c r="B1337" s="71"/>
      <c r="C1337" s="71"/>
      <c r="D1337" s="71"/>
      <c r="E1337" s="75">
        <v>-1514222.8</v>
      </c>
      <c r="F1337" s="71"/>
      <c r="G1337" s="71"/>
    </row>
    <row r="1338" spans="1:9" ht="12" outlineLevel="2" collapsed="1" x14ac:dyDescent="0.2">
      <c r="A1338" s="74" t="s">
        <v>920</v>
      </c>
      <c r="B1338" s="71"/>
      <c r="C1338" s="71"/>
      <c r="D1338" s="72">
        <v>41111223.340000004</v>
      </c>
      <c r="E1338" s="71"/>
      <c r="F1338" s="71"/>
      <c r="G1338" s="71"/>
    </row>
    <row r="1339" spans="1:9" ht="12" hidden="1" outlineLevel="3" x14ac:dyDescent="0.2">
      <c r="A1339" s="73" t="s">
        <v>919</v>
      </c>
      <c r="B1339" s="71"/>
      <c r="C1339" s="71"/>
      <c r="D1339" s="72">
        <v>41111223.340000004</v>
      </c>
      <c r="E1339" s="71"/>
      <c r="F1339" s="71"/>
      <c r="G1339" s="71"/>
    </row>
    <row r="1340" spans="1:9" ht="12.75" x14ac:dyDescent="0.2">
      <c r="A1340" s="70" t="s">
        <v>918</v>
      </c>
      <c r="B1340" s="68"/>
      <c r="C1340" s="68"/>
      <c r="D1340" s="69">
        <v>1115421055.3199999</v>
      </c>
      <c r="E1340" s="69">
        <v>1115421055.3199999</v>
      </c>
      <c r="F1340" s="68"/>
      <c r="G1340" s="68"/>
    </row>
    <row r="1341" spans="1:9" x14ac:dyDescent="0.2">
      <c r="I1341" s="67">
        <f>31850*12</f>
        <v>382200</v>
      </c>
    </row>
  </sheetData>
  <autoFilter ref="A6:BD1340">
    <filterColumn colId="1" showButton="0"/>
    <filterColumn colId="3" showButton="0"/>
    <filterColumn colId="5" showButton="0"/>
  </autoFilter>
  <mergeCells count="10">
    <mergeCell ref="A4:G4"/>
    <mergeCell ref="B6:C6"/>
    <mergeCell ref="D6:E6"/>
    <mergeCell ref="F6:G6"/>
    <mergeCell ref="B7:B9"/>
    <mergeCell ref="C7:C9"/>
    <mergeCell ref="D7:D9"/>
    <mergeCell ref="E7:E9"/>
    <mergeCell ref="F7:F9"/>
    <mergeCell ref="G7:G9"/>
  </mergeCells>
  <pageMargins left="0.39370078740157477" right="0.39370078740157477" top="0" bottom="0" header="0" footer="0"/>
  <pageSetup paperSize="9" scale="55" fitToWidth="0" fitToHeight="0" pageOrder="overThenDown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37"/>
  <sheetViews>
    <sheetView workbookViewId="0">
      <selection activeCell="EB284" sqref="EB284"/>
    </sheetView>
  </sheetViews>
  <sheetFormatPr defaultRowHeight="11.25" outlineLevelRow="1" x14ac:dyDescent="0.2"/>
  <cols>
    <col min="1" max="1" width="30" style="67" customWidth="1"/>
    <col min="2" max="7" width="16" style="67" customWidth="1"/>
    <col min="8" max="256" width="9.140625" style="67" customWidth="1"/>
    <col min="257" max="16384" width="9.140625" style="67"/>
  </cols>
  <sheetData>
    <row r="1" spans="1:7" ht="12.75" customHeight="1" x14ac:dyDescent="0.2">
      <c r="A1" s="88" t="s">
        <v>1309</v>
      </c>
      <c r="B1" s="85"/>
      <c r="C1" s="85"/>
      <c r="D1" s="85"/>
    </row>
    <row r="2" spans="1:7" ht="15.75" customHeight="1" x14ac:dyDescent="0.25">
      <c r="A2" s="87" t="s">
        <v>1311</v>
      </c>
      <c r="B2" s="85"/>
      <c r="C2" s="85"/>
      <c r="D2" s="85"/>
    </row>
    <row r="3" spans="1:7" ht="2.1" customHeight="1" x14ac:dyDescent="0.2"/>
    <row r="4" spans="1:7" ht="11.25" customHeight="1" x14ac:dyDescent="0.2">
      <c r="A4" s="386" t="s">
        <v>1307</v>
      </c>
      <c r="B4" s="387"/>
      <c r="C4" s="388"/>
      <c r="D4" s="388"/>
      <c r="E4" s="388"/>
      <c r="F4" s="388"/>
      <c r="G4" s="388"/>
    </row>
    <row r="5" spans="1:7" ht="2.1" customHeight="1" x14ac:dyDescent="0.2">
      <c r="A5" s="86"/>
      <c r="B5" s="86"/>
      <c r="C5" s="85"/>
      <c r="D5" s="85"/>
      <c r="E5" s="85"/>
      <c r="F5" s="85"/>
      <c r="G5" s="85"/>
    </row>
    <row r="6" spans="1:7" ht="12.75" customHeight="1" x14ac:dyDescent="0.2">
      <c r="A6" s="84" t="s">
        <v>1306</v>
      </c>
      <c r="B6" s="389" t="s">
        <v>1305</v>
      </c>
      <c r="C6" s="389"/>
      <c r="D6" s="389" t="s">
        <v>1304</v>
      </c>
      <c r="E6" s="389"/>
      <c r="F6" s="389" t="s">
        <v>1303</v>
      </c>
      <c r="G6" s="389"/>
    </row>
    <row r="7" spans="1:7" ht="11.25" customHeight="1" x14ac:dyDescent="0.2">
      <c r="A7" s="393" t="s">
        <v>1299</v>
      </c>
      <c r="B7" s="390" t="s">
        <v>1301</v>
      </c>
      <c r="C7" s="390" t="s">
        <v>1300</v>
      </c>
      <c r="D7" s="390" t="s">
        <v>1301</v>
      </c>
      <c r="E7" s="390" t="s">
        <v>1300</v>
      </c>
      <c r="F7" s="390" t="s">
        <v>1301</v>
      </c>
      <c r="G7" s="390" t="s">
        <v>1300</v>
      </c>
    </row>
    <row r="8" spans="1:7" ht="11.25" customHeight="1" x14ac:dyDescent="0.2">
      <c r="A8" s="394"/>
      <c r="B8" s="392"/>
      <c r="C8" s="392"/>
      <c r="D8" s="392"/>
      <c r="E8" s="392"/>
      <c r="F8" s="392"/>
      <c r="G8" s="392"/>
    </row>
    <row r="9" spans="1:7" ht="12.75" customHeight="1" x14ac:dyDescent="0.2">
      <c r="A9" s="83" t="s">
        <v>1310</v>
      </c>
      <c r="B9" s="81"/>
      <c r="C9" s="81"/>
      <c r="D9" s="82">
        <v>48857823.369999997</v>
      </c>
      <c r="E9" s="82">
        <v>48857823.369999997</v>
      </c>
      <c r="F9" s="81"/>
      <c r="G9" s="81"/>
    </row>
    <row r="10" spans="1:7" ht="12" customHeight="1" outlineLevel="1" x14ac:dyDescent="0.2">
      <c r="A10" s="89" t="s">
        <v>1285</v>
      </c>
      <c r="B10" s="71"/>
      <c r="C10" s="71"/>
      <c r="D10" s="272">
        <v>83128.2</v>
      </c>
      <c r="E10" s="72">
        <v>83128.2</v>
      </c>
      <c r="F10" s="71"/>
      <c r="G10" s="71"/>
    </row>
    <row r="11" spans="1:7" ht="12" customHeight="1" outlineLevel="1" x14ac:dyDescent="0.2">
      <c r="A11" s="89" t="s">
        <v>1284</v>
      </c>
      <c r="B11" s="71"/>
      <c r="C11" s="71"/>
      <c r="D11" s="272">
        <v>1823387.91</v>
      </c>
      <c r="E11" s="72">
        <v>1823387.91</v>
      </c>
      <c r="F11" s="71"/>
      <c r="G11" s="71"/>
    </row>
    <row r="12" spans="1:7" ht="12" customHeight="1" outlineLevel="1" x14ac:dyDescent="0.2">
      <c r="A12" s="89" t="s">
        <v>1273</v>
      </c>
      <c r="B12" s="71"/>
      <c r="C12" s="71"/>
      <c r="D12" s="272">
        <v>31397823.43</v>
      </c>
      <c r="E12" s="72">
        <v>31397823.43</v>
      </c>
      <c r="F12" s="71"/>
      <c r="G12" s="71"/>
    </row>
    <row r="13" spans="1:7" ht="12" customHeight="1" outlineLevel="1" x14ac:dyDescent="0.2">
      <c r="A13" s="89" t="s">
        <v>1271</v>
      </c>
      <c r="B13" s="71"/>
      <c r="C13" s="71"/>
      <c r="D13" s="272">
        <v>3670.43</v>
      </c>
      <c r="E13" s="72">
        <v>3670.43</v>
      </c>
      <c r="F13" s="71"/>
      <c r="G13" s="71"/>
    </row>
    <row r="14" spans="1:7" ht="12" customHeight="1" outlineLevel="1" x14ac:dyDescent="0.2">
      <c r="A14" s="89" t="s">
        <v>1263</v>
      </c>
      <c r="B14" s="71"/>
      <c r="C14" s="71"/>
      <c r="D14" s="272">
        <v>449400</v>
      </c>
      <c r="E14" s="72">
        <v>449400</v>
      </c>
      <c r="F14" s="71"/>
      <c r="G14" s="71"/>
    </row>
    <row r="15" spans="1:7" ht="12" customHeight="1" outlineLevel="1" x14ac:dyDescent="0.2">
      <c r="A15" s="89" t="s">
        <v>1254</v>
      </c>
      <c r="B15" s="71"/>
      <c r="C15" s="71"/>
      <c r="D15" s="272">
        <v>60000</v>
      </c>
      <c r="E15" s="72">
        <v>60000</v>
      </c>
      <c r="F15" s="71"/>
      <c r="G15" s="71"/>
    </row>
    <row r="16" spans="1:7" ht="24" customHeight="1" outlineLevel="1" x14ac:dyDescent="0.2">
      <c r="A16" s="89" t="s">
        <v>1252</v>
      </c>
      <c r="B16" s="71"/>
      <c r="C16" s="71"/>
      <c r="D16" s="272">
        <v>2679945.8199999998</v>
      </c>
      <c r="E16" s="72">
        <v>2679945.8199999998</v>
      </c>
      <c r="F16" s="71"/>
      <c r="G16" s="71"/>
    </row>
    <row r="17" spans="1:7" ht="12" customHeight="1" outlineLevel="1" x14ac:dyDescent="0.2">
      <c r="A17" s="89" t="s">
        <v>1250</v>
      </c>
      <c r="B17" s="71"/>
      <c r="C17" s="71"/>
      <c r="D17" s="272">
        <v>2010</v>
      </c>
      <c r="E17" s="72">
        <v>2010</v>
      </c>
      <c r="F17" s="71"/>
      <c r="G17" s="71"/>
    </row>
    <row r="18" spans="1:7" ht="12" customHeight="1" outlineLevel="1" x14ac:dyDescent="0.2">
      <c r="A18" s="89" t="s">
        <v>1191</v>
      </c>
      <c r="B18" s="71"/>
      <c r="C18" s="71"/>
      <c r="D18" s="272">
        <v>442481.37</v>
      </c>
      <c r="E18" s="72">
        <v>442481.37</v>
      </c>
      <c r="F18" s="71"/>
      <c r="G18" s="71"/>
    </row>
    <row r="19" spans="1:7" ht="24" customHeight="1" outlineLevel="1" x14ac:dyDescent="0.2">
      <c r="A19" s="89" t="s">
        <v>1190</v>
      </c>
      <c r="B19" s="71"/>
      <c r="C19" s="71"/>
      <c r="D19" s="272">
        <v>1460893.62</v>
      </c>
      <c r="E19" s="72">
        <v>1460893.62</v>
      </c>
      <c r="F19" s="71"/>
      <c r="G19" s="71"/>
    </row>
    <row r="20" spans="1:7" ht="12" customHeight="1" outlineLevel="1" x14ac:dyDescent="0.2">
      <c r="A20" s="89" t="s">
        <v>1189</v>
      </c>
      <c r="B20" s="71"/>
      <c r="C20" s="71"/>
      <c r="D20" s="272">
        <v>247127.35</v>
      </c>
      <c r="E20" s="72">
        <v>247127.35</v>
      </c>
      <c r="F20" s="71"/>
      <c r="G20" s="71"/>
    </row>
    <row r="21" spans="1:7" ht="12" customHeight="1" outlineLevel="1" x14ac:dyDescent="0.2">
      <c r="A21" s="89" t="s">
        <v>1188</v>
      </c>
      <c r="B21" s="71"/>
      <c r="C21" s="71"/>
      <c r="D21" s="272">
        <v>379047.93</v>
      </c>
      <c r="E21" s="72">
        <v>379047.93</v>
      </c>
      <c r="F21" s="71"/>
      <c r="G21" s="71"/>
    </row>
    <row r="22" spans="1:7" ht="12" customHeight="1" outlineLevel="1" x14ac:dyDescent="0.2">
      <c r="A22" s="89" t="s">
        <v>1117</v>
      </c>
      <c r="B22" s="71"/>
      <c r="C22" s="71"/>
      <c r="D22" s="272">
        <v>5567.12</v>
      </c>
      <c r="E22" s="72">
        <v>5567.12</v>
      </c>
      <c r="F22" s="71"/>
      <c r="G22" s="71"/>
    </row>
    <row r="23" spans="1:7" ht="24" customHeight="1" outlineLevel="1" x14ac:dyDescent="0.2">
      <c r="A23" s="89" t="s">
        <v>1115</v>
      </c>
      <c r="B23" s="71"/>
      <c r="C23" s="71"/>
      <c r="D23" s="272">
        <v>11174.49</v>
      </c>
      <c r="E23" s="72">
        <v>11174.49</v>
      </c>
      <c r="F23" s="71"/>
      <c r="G23" s="71"/>
    </row>
    <row r="24" spans="1:7" ht="24" customHeight="1" outlineLevel="1" x14ac:dyDescent="0.2">
      <c r="A24" s="89" t="s">
        <v>1113</v>
      </c>
      <c r="B24" s="71"/>
      <c r="C24" s="71"/>
      <c r="D24" s="72">
        <v>66887.12</v>
      </c>
      <c r="E24" s="72">
        <v>66887.12</v>
      </c>
      <c r="F24" s="71"/>
      <c r="G24" s="71"/>
    </row>
    <row r="25" spans="1:7" ht="12" customHeight="1" outlineLevel="1" x14ac:dyDescent="0.2">
      <c r="A25" s="89" t="s">
        <v>1112</v>
      </c>
      <c r="B25" s="71"/>
      <c r="C25" s="71"/>
      <c r="D25" s="272">
        <v>9334869.3699999992</v>
      </c>
      <c r="E25" s="72">
        <v>9334869.3699999992</v>
      </c>
      <c r="F25" s="71"/>
      <c r="G25" s="71"/>
    </row>
    <row r="26" spans="1:7" ht="12" customHeight="1" outlineLevel="1" x14ac:dyDescent="0.2">
      <c r="A26" s="89" t="s">
        <v>1111</v>
      </c>
      <c r="B26" s="71"/>
      <c r="C26" s="71"/>
      <c r="D26" s="272">
        <v>410409.21</v>
      </c>
      <c r="E26" s="72">
        <v>410409.21</v>
      </c>
      <c r="F26" s="71"/>
      <c r="G26" s="71"/>
    </row>
    <row r="27" spans="1:7" ht="12.75" customHeight="1" x14ac:dyDescent="0.2">
      <c r="A27" s="70" t="s">
        <v>918</v>
      </c>
      <c r="B27" s="68"/>
      <c r="C27" s="68"/>
      <c r="D27" s="69">
        <v>48857823.369999997</v>
      </c>
      <c r="E27" s="69">
        <v>48857823.369999997</v>
      </c>
      <c r="F27" s="68"/>
      <c r="G27" s="68"/>
    </row>
    <row r="29" spans="1:7" ht="12" x14ac:dyDescent="0.2">
      <c r="A29" s="89" t="s">
        <v>1273</v>
      </c>
      <c r="D29" s="91">
        <f>D12+D16+D25</f>
        <v>43412638.619999997</v>
      </c>
    </row>
    <row r="30" spans="1:7" x14ac:dyDescent="0.2">
      <c r="A30" s="67" t="s">
        <v>1733</v>
      </c>
      <c r="D30" s="91">
        <f>D13+D14+D15+D17+D18+D19+D20+D21+D22+D23+D26</f>
        <v>3471781.5200000005</v>
      </c>
    </row>
    <row r="31" spans="1:7" x14ac:dyDescent="0.2">
      <c r="A31" s="67" t="s">
        <v>1286</v>
      </c>
      <c r="D31" s="91">
        <f>D11+D10</f>
        <v>1906516.1099999999</v>
      </c>
    </row>
    <row r="33" spans="4:4" x14ac:dyDescent="0.2">
      <c r="D33" s="299">
        <v>163080325.58000001</v>
      </c>
    </row>
    <row r="34" spans="4:4" x14ac:dyDescent="0.2">
      <c r="D34" s="299">
        <f>'26Ф'!D36</f>
        <v>35672306.439999998</v>
      </c>
    </row>
    <row r="35" spans="4:4" x14ac:dyDescent="0.2">
      <c r="D35" s="299">
        <f>'20Ф'!H218</f>
        <v>12160857.490000002</v>
      </c>
    </row>
    <row r="36" spans="4:4" x14ac:dyDescent="0.2">
      <c r="D36" s="67">
        <f>'26Ф'!D42</f>
        <v>6471378.8600000003</v>
      </c>
    </row>
    <row r="37" spans="4:4" x14ac:dyDescent="0.2">
      <c r="D37" s="299">
        <f>D33-D34-D35-D36</f>
        <v>108775782.79000001</v>
      </c>
    </row>
  </sheetData>
  <mergeCells count="11">
    <mergeCell ref="F7:F8"/>
    <mergeCell ref="G7:G8"/>
    <mergeCell ref="A4:G4"/>
    <mergeCell ref="B6:C6"/>
    <mergeCell ref="D6:E6"/>
    <mergeCell ref="F6:G6"/>
    <mergeCell ref="A7:A8"/>
    <mergeCell ref="B7:B8"/>
    <mergeCell ref="C7:C8"/>
    <mergeCell ref="D7:D8"/>
    <mergeCell ref="E7:E8"/>
  </mergeCells>
  <pageMargins left="0.39370078740157477" right="0.39370078740157477" top="0" bottom="0" header="0" footer="0"/>
  <pageSetup paperSize="9" scale="55" fitToWidth="0" fitToHeight="0" pageOrder="overThenDown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42"/>
  <sheetViews>
    <sheetView workbookViewId="0">
      <selection activeCell="EB284" sqref="EB284"/>
    </sheetView>
  </sheetViews>
  <sheetFormatPr defaultRowHeight="11.25" outlineLevelRow="1" x14ac:dyDescent="0.2"/>
  <cols>
    <col min="1" max="1" width="30" style="67" customWidth="1"/>
    <col min="2" max="7" width="16" style="67" customWidth="1"/>
    <col min="8" max="256" width="9.140625" style="67" customWidth="1"/>
    <col min="257" max="16384" width="9.140625" style="67"/>
  </cols>
  <sheetData>
    <row r="1" spans="1:7" ht="12.75" customHeight="1" x14ac:dyDescent="0.2">
      <c r="A1" s="88" t="s">
        <v>1309</v>
      </c>
      <c r="B1" s="85"/>
      <c r="C1" s="85"/>
      <c r="D1" s="85"/>
    </row>
    <row r="2" spans="1:7" ht="15.75" customHeight="1" x14ac:dyDescent="0.25">
      <c r="A2" s="87" t="s">
        <v>1330</v>
      </c>
      <c r="B2" s="85"/>
      <c r="C2" s="85"/>
      <c r="D2" s="85"/>
    </row>
    <row r="3" spans="1:7" ht="2.1" customHeight="1" x14ac:dyDescent="0.2"/>
    <row r="4" spans="1:7" ht="11.25" customHeight="1" x14ac:dyDescent="0.2">
      <c r="A4" s="386" t="s">
        <v>1307</v>
      </c>
      <c r="B4" s="387"/>
      <c r="C4" s="388"/>
      <c r="D4" s="388"/>
      <c r="E4" s="388"/>
      <c r="F4" s="388"/>
      <c r="G4" s="388"/>
    </row>
    <row r="5" spans="1:7" ht="2.1" customHeight="1" x14ac:dyDescent="0.2">
      <c r="A5" s="86"/>
      <c r="B5" s="86"/>
      <c r="C5" s="85"/>
      <c r="D5" s="85"/>
      <c r="E5" s="85"/>
      <c r="F5" s="85"/>
      <c r="G5" s="85"/>
    </row>
    <row r="6" spans="1:7" ht="12.75" customHeight="1" x14ac:dyDescent="0.2">
      <c r="A6" s="84" t="s">
        <v>1306</v>
      </c>
      <c r="B6" s="389" t="s">
        <v>1305</v>
      </c>
      <c r="C6" s="389"/>
      <c r="D6" s="389" t="s">
        <v>1304</v>
      </c>
      <c r="E6" s="389"/>
      <c r="F6" s="389" t="s">
        <v>1303</v>
      </c>
      <c r="G6" s="389"/>
    </row>
    <row r="7" spans="1:7" ht="11.25" customHeight="1" x14ac:dyDescent="0.2">
      <c r="A7" s="393" t="s">
        <v>1299</v>
      </c>
      <c r="B7" s="390" t="s">
        <v>1301</v>
      </c>
      <c r="C7" s="390" t="s">
        <v>1300</v>
      </c>
      <c r="D7" s="390" t="s">
        <v>1301</v>
      </c>
      <c r="E7" s="390" t="s">
        <v>1300</v>
      </c>
      <c r="F7" s="390" t="s">
        <v>1301</v>
      </c>
      <c r="G7" s="390" t="s">
        <v>1300</v>
      </c>
    </row>
    <row r="8" spans="1:7" ht="11.25" customHeight="1" x14ac:dyDescent="0.2">
      <c r="A8" s="394"/>
      <c r="B8" s="392"/>
      <c r="C8" s="392"/>
      <c r="D8" s="392"/>
      <c r="E8" s="392"/>
      <c r="F8" s="392"/>
      <c r="G8" s="392"/>
    </row>
    <row r="9" spans="1:7" ht="12.75" customHeight="1" x14ac:dyDescent="0.2">
      <c r="A9" s="83" t="s">
        <v>1329</v>
      </c>
      <c r="B9" s="81"/>
      <c r="C9" s="81"/>
      <c r="D9" s="82">
        <v>71014686.390000001</v>
      </c>
      <c r="E9" s="82">
        <v>71014686.390000001</v>
      </c>
      <c r="F9" s="81"/>
      <c r="G9" s="81"/>
    </row>
    <row r="10" spans="1:7" ht="36" customHeight="1" outlineLevel="1" x14ac:dyDescent="0.2">
      <c r="A10" s="89" t="s">
        <v>1328</v>
      </c>
      <c r="B10" s="71"/>
      <c r="C10" s="71"/>
      <c r="D10" s="272">
        <v>36000</v>
      </c>
      <c r="E10" s="72">
        <v>36000</v>
      </c>
      <c r="F10" s="71"/>
      <c r="G10" s="71"/>
    </row>
    <row r="11" spans="1:7" ht="12" customHeight="1" outlineLevel="1" x14ac:dyDescent="0.2">
      <c r="A11" s="89" t="s">
        <v>1286</v>
      </c>
      <c r="B11" s="71"/>
      <c r="C11" s="71"/>
      <c r="D11" s="272">
        <v>2298939.96</v>
      </c>
      <c r="E11" s="72">
        <v>2298939.96</v>
      </c>
      <c r="F11" s="71"/>
      <c r="G11" s="71"/>
    </row>
    <row r="12" spans="1:7" ht="12" customHeight="1" outlineLevel="1" x14ac:dyDescent="0.2">
      <c r="A12" s="89" t="s">
        <v>1284</v>
      </c>
      <c r="B12" s="71"/>
      <c r="C12" s="71"/>
      <c r="D12" s="272">
        <v>523800</v>
      </c>
      <c r="E12" s="72">
        <v>523800</v>
      </c>
      <c r="F12" s="71"/>
      <c r="G12" s="71"/>
    </row>
    <row r="13" spans="1:7" ht="12" customHeight="1" outlineLevel="1" x14ac:dyDescent="0.2">
      <c r="A13" s="89" t="s">
        <v>1327</v>
      </c>
      <c r="B13" s="71"/>
      <c r="C13" s="71"/>
      <c r="D13" s="272">
        <v>6664.38</v>
      </c>
      <c r="E13" s="72">
        <v>6664.38</v>
      </c>
      <c r="F13" s="71"/>
      <c r="G13" s="71"/>
    </row>
    <row r="14" spans="1:7" ht="12" customHeight="1" outlineLevel="1" x14ac:dyDescent="0.2">
      <c r="A14" s="89" t="s">
        <v>1326</v>
      </c>
      <c r="B14" s="71"/>
      <c r="C14" s="71"/>
      <c r="D14" s="272">
        <v>700000</v>
      </c>
      <c r="E14" s="72">
        <v>700000</v>
      </c>
      <c r="F14" s="71"/>
      <c r="G14" s="71"/>
    </row>
    <row r="15" spans="1:7" ht="12" customHeight="1" outlineLevel="1" x14ac:dyDescent="0.2">
      <c r="A15" s="89" t="s">
        <v>1325</v>
      </c>
      <c r="B15" s="71"/>
      <c r="C15" s="71"/>
      <c r="D15" s="272">
        <v>214713.60000000001</v>
      </c>
      <c r="E15" s="72">
        <v>214713.60000000001</v>
      </c>
      <c r="F15" s="71"/>
      <c r="G15" s="71"/>
    </row>
    <row r="16" spans="1:7" ht="12" customHeight="1" outlineLevel="1" x14ac:dyDescent="0.2">
      <c r="A16" s="89" t="s">
        <v>1324</v>
      </c>
      <c r="B16" s="71"/>
      <c r="C16" s="71"/>
      <c r="D16" s="272">
        <v>42143685.299999997</v>
      </c>
      <c r="E16" s="72">
        <v>42143685.299999997</v>
      </c>
      <c r="F16" s="71"/>
      <c r="G16" s="71"/>
    </row>
    <row r="17" spans="1:7" ht="12" customHeight="1" outlineLevel="1" x14ac:dyDescent="0.2">
      <c r="A17" s="89" t="s">
        <v>1323</v>
      </c>
      <c r="B17" s="71"/>
      <c r="C17" s="71"/>
      <c r="D17" s="272">
        <v>410590</v>
      </c>
      <c r="E17" s="72">
        <v>410590</v>
      </c>
      <c r="F17" s="71"/>
      <c r="G17" s="71"/>
    </row>
    <row r="18" spans="1:7" ht="12" customHeight="1" outlineLevel="1" x14ac:dyDescent="0.2">
      <c r="A18" s="89" t="s">
        <v>1322</v>
      </c>
      <c r="B18" s="71"/>
      <c r="C18" s="71"/>
      <c r="D18" s="272">
        <v>96250</v>
      </c>
      <c r="E18" s="72">
        <v>96250</v>
      </c>
      <c r="F18" s="71"/>
      <c r="G18" s="71"/>
    </row>
    <row r="19" spans="1:7" ht="12" customHeight="1" outlineLevel="1" x14ac:dyDescent="0.2">
      <c r="A19" s="89" t="s">
        <v>1321</v>
      </c>
      <c r="B19" s="71"/>
      <c r="C19" s="71"/>
      <c r="D19" s="272">
        <v>225600</v>
      </c>
      <c r="E19" s="72">
        <v>225600</v>
      </c>
      <c r="F19" s="71"/>
      <c r="G19" s="71"/>
    </row>
    <row r="20" spans="1:7" ht="12" customHeight="1" outlineLevel="1" x14ac:dyDescent="0.2">
      <c r="A20" s="89" t="s">
        <v>1320</v>
      </c>
      <c r="B20" s="71"/>
      <c r="C20" s="71"/>
      <c r="D20" s="272">
        <v>11000</v>
      </c>
      <c r="E20" s="72">
        <v>11000</v>
      </c>
      <c r="F20" s="71"/>
      <c r="G20" s="71"/>
    </row>
    <row r="21" spans="1:7" ht="12" customHeight="1" outlineLevel="1" x14ac:dyDescent="0.2">
      <c r="A21" s="89" t="s">
        <v>1319</v>
      </c>
      <c r="B21" s="71"/>
      <c r="C21" s="71"/>
      <c r="D21" s="272">
        <v>45891</v>
      </c>
      <c r="E21" s="72">
        <v>45891</v>
      </c>
      <c r="F21" s="71"/>
      <c r="G21" s="71"/>
    </row>
    <row r="22" spans="1:7" ht="24" customHeight="1" outlineLevel="1" x14ac:dyDescent="0.2">
      <c r="A22" s="89" t="s">
        <v>1318</v>
      </c>
      <c r="B22" s="71"/>
      <c r="C22" s="71"/>
      <c r="D22" s="272">
        <v>176000</v>
      </c>
      <c r="E22" s="72">
        <v>176000</v>
      </c>
      <c r="F22" s="71"/>
      <c r="G22" s="71"/>
    </row>
    <row r="23" spans="1:7" ht="12" customHeight="1" outlineLevel="1" x14ac:dyDescent="0.2">
      <c r="A23" s="89" t="s">
        <v>1317</v>
      </c>
      <c r="B23" s="71"/>
      <c r="C23" s="71"/>
      <c r="D23" s="272">
        <v>436100.93</v>
      </c>
      <c r="E23" s="72">
        <v>436100.93</v>
      </c>
      <c r="F23" s="71"/>
      <c r="G23" s="71"/>
    </row>
    <row r="24" spans="1:7" ht="12" customHeight="1" outlineLevel="1" x14ac:dyDescent="0.2">
      <c r="A24" s="89" t="s">
        <v>1316</v>
      </c>
      <c r="B24" s="71"/>
      <c r="C24" s="71"/>
      <c r="D24" s="272">
        <v>30834.560000000001</v>
      </c>
      <c r="E24" s="72">
        <v>30834.560000000001</v>
      </c>
      <c r="F24" s="71"/>
      <c r="G24" s="71"/>
    </row>
    <row r="25" spans="1:7" ht="12" customHeight="1" outlineLevel="1" x14ac:dyDescent="0.2">
      <c r="A25" s="89" t="s">
        <v>1254</v>
      </c>
      <c r="B25" s="71"/>
      <c r="C25" s="71"/>
      <c r="D25" s="272">
        <v>931412.04</v>
      </c>
      <c r="E25" s="72">
        <v>931412.04</v>
      </c>
      <c r="F25" s="71"/>
      <c r="G25" s="71"/>
    </row>
    <row r="26" spans="1:7" ht="12" customHeight="1" outlineLevel="1" x14ac:dyDescent="0.2">
      <c r="A26" s="89" t="s">
        <v>1315</v>
      </c>
      <c r="B26" s="71"/>
      <c r="C26" s="71"/>
      <c r="D26" s="272">
        <v>13160.99</v>
      </c>
      <c r="E26" s="72">
        <v>13160.99</v>
      </c>
      <c r="F26" s="71"/>
      <c r="G26" s="71"/>
    </row>
    <row r="27" spans="1:7" ht="24" customHeight="1" outlineLevel="1" x14ac:dyDescent="0.2">
      <c r="A27" s="89" t="s">
        <v>1252</v>
      </c>
      <c r="B27" s="71"/>
      <c r="C27" s="71"/>
      <c r="D27" s="272">
        <v>4795692.54</v>
      </c>
      <c r="E27" s="72">
        <v>4795692.54</v>
      </c>
      <c r="F27" s="71"/>
      <c r="G27" s="71"/>
    </row>
    <row r="28" spans="1:7" ht="12" customHeight="1" outlineLevel="1" x14ac:dyDescent="0.2">
      <c r="A28" s="89" t="s">
        <v>1250</v>
      </c>
      <c r="B28" s="71"/>
      <c r="C28" s="71"/>
      <c r="D28" s="272">
        <v>174550</v>
      </c>
      <c r="E28" s="72">
        <v>174550</v>
      </c>
      <c r="F28" s="71"/>
      <c r="G28" s="71"/>
    </row>
    <row r="29" spans="1:7" ht="12" customHeight="1" outlineLevel="1" x14ac:dyDescent="0.2">
      <c r="A29" s="89" t="s">
        <v>1314</v>
      </c>
      <c r="B29" s="71"/>
      <c r="C29" s="71"/>
      <c r="D29" s="272">
        <v>247884.19</v>
      </c>
      <c r="E29" s="72">
        <v>247884.19</v>
      </c>
      <c r="F29" s="71"/>
      <c r="G29" s="71"/>
    </row>
    <row r="30" spans="1:7" ht="12" customHeight="1" outlineLevel="1" x14ac:dyDescent="0.2">
      <c r="A30" s="89" t="s">
        <v>1313</v>
      </c>
      <c r="B30" s="71"/>
      <c r="C30" s="71"/>
      <c r="D30" s="272">
        <v>3285776.03</v>
      </c>
      <c r="E30" s="72">
        <v>3285776.03</v>
      </c>
      <c r="F30" s="71"/>
      <c r="G30" s="71"/>
    </row>
    <row r="31" spans="1:7" ht="12" customHeight="1" outlineLevel="1" x14ac:dyDescent="0.2">
      <c r="A31" s="89" t="s">
        <v>1117</v>
      </c>
      <c r="B31" s="71"/>
      <c r="C31" s="71"/>
      <c r="D31" s="272">
        <v>615071.96</v>
      </c>
      <c r="E31" s="72">
        <v>615071.96</v>
      </c>
      <c r="F31" s="71"/>
      <c r="G31" s="71"/>
    </row>
    <row r="32" spans="1:7" ht="12" customHeight="1" outlineLevel="1" x14ac:dyDescent="0.2">
      <c r="A32" s="89" t="s">
        <v>1112</v>
      </c>
      <c r="B32" s="71"/>
      <c r="C32" s="71"/>
      <c r="D32" s="272">
        <v>12421918.91</v>
      </c>
      <c r="E32" s="72">
        <v>12421918.91</v>
      </c>
      <c r="F32" s="71"/>
      <c r="G32" s="71"/>
    </row>
    <row r="33" spans="1:7" ht="24" customHeight="1" outlineLevel="1" x14ac:dyDescent="0.2">
      <c r="A33" s="89" t="s">
        <v>1312</v>
      </c>
      <c r="B33" s="71"/>
      <c r="C33" s="71"/>
      <c r="D33" s="272">
        <v>1173150</v>
      </c>
      <c r="E33" s="72">
        <v>1173150</v>
      </c>
      <c r="F33" s="71"/>
      <c r="G33" s="71"/>
    </row>
    <row r="34" spans="1:7" ht="12.75" customHeight="1" x14ac:dyDescent="0.2">
      <c r="A34" s="70" t="s">
        <v>918</v>
      </c>
      <c r="B34" s="68"/>
      <c r="C34" s="68"/>
      <c r="D34" s="69">
        <v>71014686.390000001</v>
      </c>
      <c r="E34" s="69">
        <v>71014686.390000001</v>
      </c>
      <c r="F34" s="68"/>
      <c r="G34" s="68"/>
    </row>
    <row r="36" spans="1:7" ht="12" x14ac:dyDescent="0.2">
      <c r="A36" s="89" t="s">
        <v>1324</v>
      </c>
      <c r="D36" s="91">
        <f>D16-6471378.86</f>
        <v>35672306.439999998</v>
      </c>
    </row>
    <row r="37" spans="1:7" ht="12" x14ac:dyDescent="0.2">
      <c r="A37" s="89" t="s">
        <v>1323</v>
      </c>
      <c r="D37" s="91">
        <f>D17+D18+D19+D20+D21+D23+D24+D25+D22+D33+D26+D14+D10</f>
        <v>4285989.5200000005</v>
      </c>
    </row>
    <row r="38" spans="1:7" x14ac:dyDescent="0.2">
      <c r="A38" s="67" t="s">
        <v>1729</v>
      </c>
      <c r="D38" s="91">
        <f>D29+D30+D31+D28+D13</f>
        <v>4329946.5599999996</v>
      </c>
    </row>
    <row r="39" spans="1:7" x14ac:dyDescent="0.2">
      <c r="A39" s="67" t="s">
        <v>1730</v>
      </c>
      <c r="D39" s="91">
        <f>SUM(D11:D12,D15)</f>
        <v>3037453.56</v>
      </c>
    </row>
    <row r="40" spans="1:7" x14ac:dyDescent="0.2">
      <c r="A40" s="67" t="s">
        <v>1112</v>
      </c>
      <c r="D40" s="91">
        <f>D32</f>
        <v>12421918.91</v>
      </c>
    </row>
    <row r="41" spans="1:7" x14ac:dyDescent="0.2">
      <c r="A41" s="67" t="s">
        <v>1834</v>
      </c>
      <c r="D41" s="91"/>
    </row>
    <row r="42" spans="1:7" x14ac:dyDescent="0.2">
      <c r="A42" s="67" t="s">
        <v>1836</v>
      </c>
      <c r="D42" s="67">
        <v>6471378.8600000003</v>
      </c>
    </row>
  </sheetData>
  <mergeCells count="11">
    <mergeCell ref="F7:F8"/>
    <mergeCell ref="G7:G8"/>
    <mergeCell ref="A4:G4"/>
    <mergeCell ref="B6:C6"/>
    <mergeCell ref="D6:E6"/>
    <mergeCell ref="F6:G6"/>
    <mergeCell ref="A7:A8"/>
    <mergeCell ref="B7:B8"/>
    <mergeCell ref="C7:C8"/>
    <mergeCell ref="D7:D8"/>
    <mergeCell ref="E7:E8"/>
  </mergeCells>
  <pageMargins left="0.39370078740157477" right="0.39370078740157477" top="0" bottom="0" header="0" footer="0"/>
  <pageSetup paperSize="9" scale="55" fitToWidth="0" fitToHeight="0" pageOrder="overThenDown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T49"/>
  <sheetViews>
    <sheetView zoomScaleNormal="100" workbookViewId="0">
      <pane xSplit="2" ySplit="4" topLeftCell="C5" activePane="bottomRight" state="frozen"/>
      <selection activeCell="EB284" sqref="EB284"/>
      <selection pane="topRight" activeCell="EB284" sqref="EB284"/>
      <selection pane="bottomLeft" activeCell="EB284" sqref="EB284"/>
      <selection pane="bottomRight" activeCell="EB284" sqref="EB284"/>
    </sheetView>
  </sheetViews>
  <sheetFormatPr defaultColWidth="10.7109375" defaultRowHeight="12" customHeight="1" outlineLevelCol="1" x14ac:dyDescent="0.25"/>
  <cols>
    <col min="1" max="1" width="5.7109375" style="27" customWidth="1"/>
    <col min="2" max="2" width="50.7109375" style="27" customWidth="1"/>
    <col min="3" max="6" width="10.7109375" style="27" customWidth="1"/>
    <col min="7" max="9" width="8.7109375" style="27" customWidth="1"/>
    <col min="10" max="36" width="8.7109375" style="39" customWidth="1"/>
    <col min="37" max="39" width="8.7109375" style="27" customWidth="1"/>
    <col min="40" max="40" width="8.7109375" style="27" hidden="1" customWidth="1" outlineLevel="1"/>
    <col min="41" max="41" width="8.7109375" style="27" customWidth="1" collapsed="1"/>
    <col min="42" max="42" width="8.7109375" style="27" customWidth="1"/>
    <col min="43" max="44" width="8.7109375" style="39" customWidth="1"/>
    <col min="45" max="45" width="8.7109375" style="27" customWidth="1"/>
    <col min="46" max="46" width="12.7109375" style="27" customWidth="1"/>
    <col min="47" max="47" width="11.7109375" style="27" bestFit="1" customWidth="1"/>
    <col min="48" max="16384" width="10.7109375" style="27"/>
  </cols>
  <sheetData>
    <row r="1" spans="1:72" ht="20.100000000000001" customHeight="1" x14ac:dyDescent="0.25">
      <c r="A1" s="396" t="s">
        <v>0</v>
      </c>
      <c r="B1" s="396" t="s">
        <v>1</v>
      </c>
      <c r="C1" s="359" t="s">
        <v>2</v>
      </c>
      <c r="D1" s="359" t="s">
        <v>3</v>
      </c>
      <c r="E1" s="359"/>
      <c r="F1" s="359" t="s">
        <v>4</v>
      </c>
      <c r="G1" s="395" t="s">
        <v>5</v>
      </c>
      <c r="H1" s="395" t="s">
        <v>6</v>
      </c>
      <c r="I1" s="395" t="s">
        <v>7</v>
      </c>
      <c r="J1" s="395" t="s">
        <v>8</v>
      </c>
      <c r="K1" s="397" t="s">
        <v>3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9"/>
      <c r="AK1" s="397" t="s">
        <v>9</v>
      </c>
      <c r="AL1" s="398"/>
      <c r="AM1" s="398"/>
      <c r="AN1" s="398"/>
      <c r="AO1" s="398"/>
      <c r="AP1" s="398"/>
      <c r="AQ1" s="398"/>
      <c r="AR1" s="398"/>
      <c r="AS1" s="399"/>
      <c r="AT1" s="401" t="s">
        <v>10</v>
      </c>
    </row>
    <row r="2" spans="1:72" ht="24.95" customHeight="1" x14ac:dyDescent="0.25">
      <c r="A2" s="396"/>
      <c r="B2" s="396"/>
      <c r="C2" s="359"/>
      <c r="D2" s="359" t="s">
        <v>12</v>
      </c>
      <c r="E2" s="359" t="s">
        <v>13</v>
      </c>
      <c r="F2" s="359"/>
      <c r="G2" s="395"/>
      <c r="H2" s="395"/>
      <c r="I2" s="395"/>
      <c r="J2" s="395"/>
      <c r="K2" s="400" t="s">
        <v>294</v>
      </c>
      <c r="L2" s="400" t="s">
        <v>295</v>
      </c>
      <c r="M2" s="400" t="s">
        <v>296</v>
      </c>
      <c r="N2" s="400" t="s">
        <v>297</v>
      </c>
      <c r="O2" s="400" t="s">
        <v>298</v>
      </c>
      <c r="P2" s="400" t="s">
        <v>299</v>
      </c>
      <c r="Q2" s="400" t="s">
        <v>300</v>
      </c>
      <c r="R2" s="400" t="s">
        <v>301</v>
      </c>
      <c r="S2" s="400" t="s">
        <v>302</v>
      </c>
      <c r="T2" s="400" t="s">
        <v>303</v>
      </c>
      <c r="U2" s="400" t="s">
        <v>304</v>
      </c>
      <c r="V2" s="400" t="s">
        <v>305</v>
      </c>
      <c r="W2" s="400" t="s">
        <v>306</v>
      </c>
      <c r="X2" s="400" t="s">
        <v>307</v>
      </c>
      <c r="Y2" s="400" t="s">
        <v>308</v>
      </c>
      <c r="Z2" s="400" t="s">
        <v>309</v>
      </c>
      <c r="AA2" s="400" t="s">
        <v>310</v>
      </c>
      <c r="AB2" s="400" t="s">
        <v>311</v>
      </c>
      <c r="AC2" s="400" t="s">
        <v>312</v>
      </c>
      <c r="AD2" s="400" t="s">
        <v>313</v>
      </c>
      <c r="AE2" s="400" t="s">
        <v>314</v>
      </c>
      <c r="AF2" s="400" t="s">
        <v>315</v>
      </c>
      <c r="AG2" s="400" t="s">
        <v>316</v>
      </c>
      <c r="AH2" s="400" t="s">
        <v>317</v>
      </c>
      <c r="AI2" s="400" t="s">
        <v>318</v>
      </c>
      <c r="AJ2" s="400" t="s">
        <v>319</v>
      </c>
      <c r="AK2" s="400" t="s">
        <v>22</v>
      </c>
      <c r="AL2" s="400" t="s">
        <v>23</v>
      </c>
      <c r="AM2" s="400"/>
      <c r="AN2" s="400"/>
      <c r="AO2" s="400" t="s">
        <v>24</v>
      </c>
      <c r="AP2" s="400" t="s">
        <v>25</v>
      </c>
      <c r="AQ2" s="400" t="s">
        <v>26</v>
      </c>
      <c r="AR2" s="400"/>
      <c r="AS2" s="400" t="s">
        <v>27</v>
      </c>
      <c r="AT2" s="401"/>
      <c r="AU2" s="400" t="s">
        <v>294</v>
      </c>
      <c r="AV2" s="400" t="s">
        <v>295</v>
      </c>
      <c r="AW2" s="400" t="s">
        <v>296</v>
      </c>
      <c r="AX2" s="400" t="s">
        <v>297</v>
      </c>
      <c r="AY2" s="400" t="s">
        <v>298</v>
      </c>
      <c r="AZ2" s="400" t="s">
        <v>299</v>
      </c>
      <c r="BA2" s="400" t="s">
        <v>300</v>
      </c>
      <c r="BB2" s="400" t="s">
        <v>301</v>
      </c>
      <c r="BC2" s="400" t="s">
        <v>302</v>
      </c>
      <c r="BD2" s="400" t="s">
        <v>303</v>
      </c>
      <c r="BE2" s="400" t="s">
        <v>304</v>
      </c>
      <c r="BF2" s="400" t="s">
        <v>305</v>
      </c>
      <c r="BG2" s="400" t="s">
        <v>306</v>
      </c>
      <c r="BH2" s="400" t="s">
        <v>307</v>
      </c>
      <c r="BI2" s="400" t="s">
        <v>308</v>
      </c>
      <c r="BJ2" s="400" t="s">
        <v>309</v>
      </c>
      <c r="BK2" s="400" t="s">
        <v>310</v>
      </c>
      <c r="BL2" s="400" t="s">
        <v>311</v>
      </c>
      <c r="BM2" s="400" t="s">
        <v>312</v>
      </c>
      <c r="BN2" s="400" t="s">
        <v>313</v>
      </c>
      <c r="BO2" s="400" t="s">
        <v>314</v>
      </c>
      <c r="BP2" s="400" t="s">
        <v>315</v>
      </c>
      <c r="BQ2" s="400" t="s">
        <v>316</v>
      </c>
      <c r="BR2" s="400" t="s">
        <v>317</v>
      </c>
      <c r="BS2" s="400" t="s">
        <v>318</v>
      </c>
      <c r="BT2" s="400" t="s">
        <v>319</v>
      </c>
    </row>
    <row r="3" spans="1:72" ht="24.95" customHeight="1" x14ac:dyDescent="0.25">
      <c r="A3" s="396"/>
      <c r="B3" s="396"/>
      <c r="C3" s="359"/>
      <c r="D3" s="359"/>
      <c r="E3" s="359"/>
      <c r="F3" s="359"/>
      <c r="G3" s="395"/>
      <c r="H3" s="395"/>
      <c r="I3" s="395"/>
      <c r="J3" s="395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28" t="s">
        <v>40</v>
      </c>
      <c r="AM3" s="28" t="s">
        <v>41</v>
      </c>
      <c r="AN3" s="28" t="s">
        <v>42</v>
      </c>
      <c r="AO3" s="400"/>
      <c r="AP3" s="400"/>
      <c r="AQ3" s="28" t="s">
        <v>43</v>
      </c>
      <c r="AR3" s="28" t="s">
        <v>44</v>
      </c>
      <c r="AS3" s="400"/>
      <c r="AT3" s="401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</row>
    <row r="4" spans="1:72" ht="20.100000000000001" customHeight="1" x14ac:dyDescent="0.25">
      <c r="A4" s="396"/>
      <c r="B4" s="396"/>
      <c r="C4" s="359"/>
      <c r="D4" s="359"/>
      <c r="E4" s="359"/>
      <c r="F4" s="359"/>
      <c r="G4" s="395"/>
      <c r="H4" s="395"/>
      <c r="I4" s="395"/>
      <c r="J4" s="395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29" t="s">
        <v>45</v>
      </c>
      <c r="AL4" s="29" t="s">
        <v>45</v>
      </c>
      <c r="AM4" s="29" t="s">
        <v>46</v>
      </c>
      <c r="AN4" s="29" t="s">
        <v>47</v>
      </c>
      <c r="AO4" s="29" t="s">
        <v>45</v>
      </c>
      <c r="AP4" s="29" t="s">
        <v>46</v>
      </c>
      <c r="AQ4" s="29" t="s">
        <v>45</v>
      </c>
      <c r="AR4" s="29" t="s">
        <v>45</v>
      </c>
      <c r="AS4" s="29" t="s">
        <v>48</v>
      </c>
      <c r="AT4" s="401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</row>
    <row r="5" spans="1:72" s="39" customFormat="1" ht="12" customHeight="1" x14ac:dyDescent="0.25">
      <c r="A5" s="30">
        <v>1</v>
      </c>
      <c r="B5" s="31" t="s">
        <v>320</v>
      </c>
      <c r="C5" s="32">
        <v>9973.7999999999993</v>
      </c>
      <c r="D5" s="33">
        <v>8448.7999999999993</v>
      </c>
      <c r="E5" s="34">
        <v>1525</v>
      </c>
      <c r="F5" s="33">
        <v>3194.06</v>
      </c>
      <c r="G5" s="30" t="s">
        <v>321</v>
      </c>
      <c r="H5" s="35">
        <v>1</v>
      </c>
      <c r="I5" s="35" t="s">
        <v>322</v>
      </c>
      <c r="J5" s="36">
        <v>41.47</v>
      </c>
      <c r="K5" s="37">
        <v>0.84999999999999987</v>
      </c>
      <c r="L5" s="37">
        <v>0.68</v>
      </c>
      <c r="M5" s="37">
        <v>0.99</v>
      </c>
      <c r="N5" s="37">
        <v>0.44</v>
      </c>
      <c r="O5" s="37">
        <v>0.43000000000000005</v>
      </c>
      <c r="P5" s="37">
        <v>1.4200000000000002</v>
      </c>
      <c r="Q5" s="37">
        <v>0.47000000000000003</v>
      </c>
      <c r="R5" s="37">
        <v>1.1600000000000001</v>
      </c>
      <c r="S5" s="37">
        <v>0.31000000000000005</v>
      </c>
      <c r="T5" s="37">
        <v>0.5</v>
      </c>
      <c r="U5" s="37">
        <v>0.26</v>
      </c>
      <c r="V5" s="37">
        <v>0.44999999999999996</v>
      </c>
      <c r="W5" s="37">
        <v>4.66</v>
      </c>
      <c r="X5" s="37">
        <v>1.9400000000000002</v>
      </c>
      <c r="Y5" s="37">
        <v>0.2</v>
      </c>
      <c r="Z5" s="37">
        <v>3.63</v>
      </c>
      <c r="AA5" s="37">
        <v>1.56</v>
      </c>
      <c r="AB5" s="37">
        <v>1.8299999999999998</v>
      </c>
      <c r="AC5" s="37">
        <v>2.29</v>
      </c>
      <c r="AD5" s="37">
        <v>8.0500000000000007</v>
      </c>
      <c r="AE5" s="37">
        <v>0</v>
      </c>
      <c r="AF5" s="37">
        <v>3.4299999999999997</v>
      </c>
      <c r="AG5" s="37">
        <v>4.7899999999999991</v>
      </c>
      <c r="AH5" s="37">
        <v>0.2</v>
      </c>
      <c r="AI5" s="37">
        <v>0.43</v>
      </c>
      <c r="AJ5" s="37">
        <v>0.5</v>
      </c>
      <c r="AK5" s="37">
        <v>40</v>
      </c>
      <c r="AL5" s="37">
        <v>40</v>
      </c>
      <c r="AM5" s="38">
        <v>2193.54</v>
      </c>
      <c r="AN5" s="38">
        <v>171.393046</v>
      </c>
      <c r="AO5" s="38">
        <v>32.83</v>
      </c>
      <c r="AP5" s="38">
        <v>2193.54</v>
      </c>
      <c r="AQ5" s="38">
        <v>0</v>
      </c>
      <c r="AR5" s="38">
        <v>0</v>
      </c>
      <c r="AS5" s="38">
        <v>4.71</v>
      </c>
      <c r="AT5" s="36">
        <v>2481680.9159999997</v>
      </c>
      <c r="AU5" s="38">
        <v>50866.37999999999</v>
      </c>
      <c r="AV5" s="38">
        <v>40693.103999999999</v>
      </c>
      <c r="AW5" s="38">
        <v>59244.372000000003</v>
      </c>
      <c r="AX5" s="38">
        <v>26330.831999999999</v>
      </c>
      <c r="AY5" s="38">
        <v>25732.404000000002</v>
      </c>
      <c r="AZ5" s="38">
        <v>84976.775999999998</v>
      </c>
      <c r="BA5" s="38">
        <v>28126.115999999998</v>
      </c>
      <c r="BB5" s="38">
        <v>69417.648000000001</v>
      </c>
      <c r="BC5" s="38">
        <v>18551.268</v>
      </c>
      <c r="BD5" s="38">
        <v>29921.399999999998</v>
      </c>
      <c r="BE5" s="38">
        <v>15559.128000000001</v>
      </c>
      <c r="BF5" s="38">
        <v>26929.259999999995</v>
      </c>
      <c r="BG5" s="38">
        <v>278867.44799999997</v>
      </c>
      <c r="BH5" s="38">
        <v>116095.03199999999</v>
      </c>
      <c r="BI5" s="38">
        <v>11968.56</v>
      </c>
      <c r="BJ5" s="38">
        <v>217229.36399999994</v>
      </c>
      <c r="BK5" s="38">
        <v>93354.767999999996</v>
      </c>
      <c r="BL5" s="38">
        <v>109512.32399999998</v>
      </c>
      <c r="BM5" s="38">
        <v>137040.01199999999</v>
      </c>
      <c r="BN5" s="38">
        <v>481734.54</v>
      </c>
      <c r="BO5" s="38">
        <v>0</v>
      </c>
      <c r="BP5" s="38">
        <v>205260.804</v>
      </c>
      <c r="BQ5" s="38">
        <v>286647.01199999993</v>
      </c>
      <c r="BR5" s="38">
        <v>11968.56</v>
      </c>
      <c r="BS5" s="38">
        <v>25732.403999999995</v>
      </c>
      <c r="BT5" s="38">
        <v>29921.399999999998</v>
      </c>
    </row>
    <row r="6" spans="1:72" s="39" customFormat="1" ht="12" customHeight="1" x14ac:dyDescent="0.25">
      <c r="A6" s="30">
        <v>2</v>
      </c>
      <c r="B6" s="31" t="s">
        <v>323</v>
      </c>
      <c r="C6" s="32">
        <v>12175.86</v>
      </c>
      <c r="D6" s="33">
        <v>11590.86</v>
      </c>
      <c r="E6" s="34">
        <v>585</v>
      </c>
      <c r="F6" s="33">
        <v>2337.1999999999998</v>
      </c>
      <c r="G6" s="30" t="s">
        <v>321</v>
      </c>
      <c r="H6" s="35">
        <v>1</v>
      </c>
      <c r="I6" s="35" t="s">
        <v>322</v>
      </c>
      <c r="J6" s="36">
        <v>41.47</v>
      </c>
      <c r="K6" s="37">
        <v>0.84999999999999987</v>
      </c>
      <c r="L6" s="37">
        <v>0.68</v>
      </c>
      <c r="M6" s="37">
        <v>0.99</v>
      </c>
      <c r="N6" s="37">
        <v>0.44</v>
      </c>
      <c r="O6" s="37">
        <v>0.43000000000000005</v>
      </c>
      <c r="P6" s="37">
        <v>1.4200000000000002</v>
      </c>
      <c r="Q6" s="37">
        <v>0.47000000000000003</v>
      </c>
      <c r="R6" s="37">
        <v>1.1600000000000001</v>
      </c>
      <c r="S6" s="37">
        <v>0.31000000000000005</v>
      </c>
      <c r="T6" s="37">
        <v>0.5</v>
      </c>
      <c r="U6" s="37">
        <v>0.26</v>
      </c>
      <c r="V6" s="37">
        <v>0.44999999999999996</v>
      </c>
      <c r="W6" s="37">
        <v>4.66</v>
      </c>
      <c r="X6" s="37">
        <v>1.9400000000000002</v>
      </c>
      <c r="Y6" s="37">
        <v>0.2</v>
      </c>
      <c r="Z6" s="37">
        <v>3.63</v>
      </c>
      <c r="AA6" s="37">
        <v>1.56</v>
      </c>
      <c r="AB6" s="37">
        <v>1.8299999999999998</v>
      </c>
      <c r="AC6" s="37">
        <v>2.29</v>
      </c>
      <c r="AD6" s="37">
        <v>8.0500000000000007</v>
      </c>
      <c r="AE6" s="37">
        <v>0</v>
      </c>
      <c r="AF6" s="37">
        <v>3.4299999999999997</v>
      </c>
      <c r="AG6" s="37">
        <v>4.7899999999999991</v>
      </c>
      <c r="AH6" s="37">
        <v>0.2</v>
      </c>
      <c r="AI6" s="37">
        <v>0.43</v>
      </c>
      <c r="AJ6" s="37">
        <v>0.5</v>
      </c>
      <c r="AK6" s="37">
        <v>40</v>
      </c>
      <c r="AL6" s="37">
        <v>40</v>
      </c>
      <c r="AM6" s="38">
        <v>2193.54</v>
      </c>
      <c r="AN6" s="38">
        <v>171.393046</v>
      </c>
      <c r="AO6" s="38">
        <v>32.83</v>
      </c>
      <c r="AP6" s="38">
        <v>2193.54</v>
      </c>
      <c r="AQ6" s="38">
        <v>0</v>
      </c>
      <c r="AR6" s="38">
        <v>0</v>
      </c>
      <c r="AS6" s="38">
        <v>4.71</v>
      </c>
      <c r="AT6" s="36">
        <v>3029597.4852</v>
      </c>
      <c r="AU6" s="38">
        <v>62096.885999999999</v>
      </c>
      <c r="AV6" s="38">
        <v>49677.508800000003</v>
      </c>
      <c r="AW6" s="38">
        <v>72324.608400000012</v>
      </c>
      <c r="AX6" s="38">
        <v>32144.270400000001</v>
      </c>
      <c r="AY6" s="38">
        <v>31413.718800000002</v>
      </c>
      <c r="AZ6" s="38">
        <v>103738.32720000003</v>
      </c>
      <c r="BA6" s="38">
        <v>34335.925200000005</v>
      </c>
      <c r="BB6" s="38">
        <v>84743.985600000015</v>
      </c>
      <c r="BC6" s="38">
        <v>22647.099600000005</v>
      </c>
      <c r="BD6" s="38">
        <v>36527.58</v>
      </c>
      <c r="BE6" s="38">
        <v>18994.3416</v>
      </c>
      <c r="BF6" s="38">
        <v>32874.822</v>
      </c>
      <c r="BG6" s="38">
        <v>340437.04560000001</v>
      </c>
      <c r="BH6" s="38">
        <v>141727.01040000003</v>
      </c>
      <c r="BI6" s="38">
        <v>14611.031999999999</v>
      </c>
      <c r="BJ6" s="38">
        <v>265190.23080000002</v>
      </c>
      <c r="BK6" s="38">
        <v>113966.0496</v>
      </c>
      <c r="BL6" s="38">
        <v>133690.94279999999</v>
      </c>
      <c r="BM6" s="38">
        <v>167296.31640000001</v>
      </c>
      <c r="BN6" s="38">
        <v>588094.03800000006</v>
      </c>
      <c r="BO6" s="38">
        <v>0</v>
      </c>
      <c r="BP6" s="38">
        <v>250579.19880000001</v>
      </c>
      <c r="BQ6" s="38">
        <v>349934.21639999998</v>
      </c>
      <c r="BR6" s="38">
        <v>14611.031999999999</v>
      </c>
      <c r="BS6" s="38">
        <v>31413.718800000002</v>
      </c>
      <c r="BT6" s="38">
        <v>36527.58</v>
      </c>
    </row>
    <row r="7" spans="1:72" s="39" customFormat="1" ht="12" customHeight="1" x14ac:dyDescent="0.25">
      <c r="A7" s="30">
        <v>3</v>
      </c>
      <c r="B7" s="31" t="s">
        <v>324</v>
      </c>
      <c r="C7" s="32">
        <v>14598.6</v>
      </c>
      <c r="D7" s="33">
        <v>13541.4</v>
      </c>
      <c r="E7" s="34">
        <v>1057.2</v>
      </c>
      <c r="F7" s="33">
        <v>2911.1</v>
      </c>
      <c r="G7" s="30" t="s">
        <v>321</v>
      </c>
      <c r="H7" s="35">
        <v>1</v>
      </c>
      <c r="I7" s="35" t="s">
        <v>322</v>
      </c>
      <c r="J7" s="36">
        <v>41.47</v>
      </c>
      <c r="K7" s="37">
        <v>0.84999999999999987</v>
      </c>
      <c r="L7" s="37">
        <v>0.68</v>
      </c>
      <c r="M7" s="37">
        <v>0.99</v>
      </c>
      <c r="N7" s="37">
        <v>0.44</v>
      </c>
      <c r="O7" s="37">
        <v>0.43000000000000005</v>
      </c>
      <c r="P7" s="37">
        <v>1.4200000000000002</v>
      </c>
      <c r="Q7" s="37">
        <v>0.47000000000000003</v>
      </c>
      <c r="R7" s="37">
        <v>1.1600000000000001</v>
      </c>
      <c r="S7" s="37">
        <v>0.31000000000000005</v>
      </c>
      <c r="T7" s="37">
        <v>0.5</v>
      </c>
      <c r="U7" s="37">
        <v>0.26</v>
      </c>
      <c r="V7" s="37">
        <v>0.44999999999999996</v>
      </c>
      <c r="W7" s="37">
        <v>4.66</v>
      </c>
      <c r="X7" s="37">
        <v>1.9400000000000002</v>
      </c>
      <c r="Y7" s="37">
        <v>0.2</v>
      </c>
      <c r="Z7" s="37">
        <v>3.63</v>
      </c>
      <c r="AA7" s="37">
        <v>1.56</v>
      </c>
      <c r="AB7" s="37">
        <v>1.8299999999999998</v>
      </c>
      <c r="AC7" s="37">
        <v>2.29</v>
      </c>
      <c r="AD7" s="37">
        <v>8.0500000000000007</v>
      </c>
      <c r="AE7" s="37">
        <v>0</v>
      </c>
      <c r="AF7" s="37">
        <v>3.4299999999999997</v>
      </c>
      <c r="AG7" s="37">
        <v>4.7899999999999991</v>
      </c>
      <c r="AH7" s="37">
        <v>0.2</v>
      </c>
      <c r="AI7" s="37">
        <v>0.43</v>
      </c>
      <c r="AJ7" s="37">
        <v>0.5</v>
      </c>
      <c r="AK7" s="37">
        <v>40</v>
      </c>
      <c r="AL7" s="37">
        <v>40</v>
      </c>
      <c r="AM7" s="38">
        <v>2193.54</v>
      </c>
      <c r="AN7" s="38">
        <v>171.393046</v>
      </c>
      <c r="AO7" s="38">
        <v>32.83</v>
      </c>
      <c r="AP7" s="38">
        <v>2193.54</v>
      </c>
      <c r="AQ7" s="38">
        <v>0</v>
      </c>
      <c r="AR7" s="38">
        <v>0</v>
      </c>
      <c r="AS7" s="38">
        <v>4.71</v>
      </c>
      <c r="AT7" s="36">
        <v>3632423.6520000002</v>
      </c>
      <c r="AU7" s="38">
        <v>74452.859999999986</v>
      </c>
      <c r="AV7" s="38">
        <v>59562.288</v>
      </c>
      <c r="AW7" s="38">
        <v>86715.683999999994</v>
      </c>
      <c r="AX7" s="38">
        <v>38540.304000000004</v>
      </c>
      <c r="AY7" s="38">
        <v>37664.388000000006</v>
      </c>
      <c r="AZ7" s="38">
        <v>124380.07200000001</v>
      </c>
      <c r="BA7" s="38">
        <v>41168.052000000003</v>
      </c>
      <c r="BB7" s="38">
        <v>101606.25600000002</v>
      </c>
      <c r="BC7" s="38">
        <v>27153.396000000004</v>
      </c>
      <c r="BD7" s="38">
        <v>43795.8</v>
      </c>
      <c r="BE7" s="38">
        <v>22773.816000000003</v>
      </c>
      <c r="BF7" s="38">
        <v>39416.22</v>
      </c>
      <c r="BG7" s="38">
        <v>408176.85600000003</v>
      </c>
      <c r="BH7" s="38">
        <v>169927.70400000003</v>
      </c>
      <c r="BI7" s="38">
        <v>17518.32</v>
      </c>
      <c r="BJ7" s="38">
        <v>317957.50799999997</v>
      </c>
      <c r="BK7" s="38">
        <v>136642.89600000001</v>
      </c>
      <c r="BL7" s="38">
        <v>160292.628</v>
      </c>
      <c r="BM7" s="38">
        <v>200584.76400000002</v>
      </c>
      <c r="BN7" s="38">
        <v>705112.38000000012</v>
      </c>
      <c r="BO7" s="38">
        <v>0</v>
      </c>
      <c r="BP7" s="38">
        <v>300439.18799999997</v>
      </c>
      <c r="BQ7" s="38">
        <v>419563.76399999997</v>
      </c>
      <c r="BR7" s="38">
        <v>17518.32</v>
      </c>
      <c r="BS7" s="38">
        <v>37664.387999999999</v>
      </c>
      <c r="BT7" s="38">
        <v>43795.8</v>
      </c>
    </row>
    <row r="8" spans="1:72" s="39" customFormat="1" ht="12" customHeight="1" x14ac:dyDescent="0.25">
      <c r="A8" s="30">
        <v>4</v>
      </c>
      <c r="B8" s="31" t="s">
        <v>325</v>
      </c>
      <c r="C8" s="32">
        <v>11182.47</v>
      </c>
      <c r="D8" s="33">
        <v>11182.47</v>
      </c>
      <c r="E8" s="34">
        <v>0</v>
      </c>
      <c r="F8" s="33">
        <v>3223.4</v>
      </c>
      <c r="G8" s="30" t="s">
        <v>321</v>
      </c>
      <c r="H8" s="35">
        <v>1</v>
      </c>
      <c r="I8" s="35" t="s">
        <v>322</v>
      </c>
      <c r="J8" s="36">
        <v>41.47</v>
      </c>
      <c r="K8" s="37">
        <v>0.84999999999999987</v>
      </c>
      <c r="L8" s="37">
        <v>0.68</v>
      </c>
      <c r="M8" s="37">
        <v>0.99</v>
      </c>
      <c r="N8" s="37">
        <v>0.44</v>
      </c>
      <c r="O8" s="37">
        <v>0.43000000000000005</v>
      </c>
      <c r="P8" s="37">
        <v>1.4200000000000002</v>
      </c>
      <c r="Q8" s="37">
        <v>0.47000000000000003</v>
      </c>
      <c r="R8" s="37">
        <v>1.1600000000000001</v>
      </c>
      <c r="S8" s="37">
        <v>0.31000000000000005</v>
      </c>
      <c r="T8" s="37">
        <v>0.5</v>
      </c>
      <c r="U8" s="37">
        <v>0.26</v>
      </c>
      <c r="V8" s="37">
        <v>0.44999999999999996</v>
      </c>
      <c r="W8" s="37">
        <v>4.66</v>
      </c>
      <c r="X8" s="37">
        <v>1.9400000000000002</v>
      </c>
      <c r="Y8" s="37">
        <v>0.2</v>
      </c>
      <c r="Z8" s="37">
        <v>3.63</v>
      </c>
      <c r="AA8" s="37">
        <v>1.56</v>
      </c>
      <c r="AB8" s="37">
        <v>1.8299999999999998</v>
      </c>
      <c r="AC8" s="37">
        <v>2.29</v>
      </c>
      <c r="AD8" s="37">
        <v>8.0500000000000007</v>
      </c>
      <c r="AE8" s="37">
        <v>0</v>
      </c>
      <c r="AF8" s="37">
        <v>3.4299999999999997</v>
      </c>
      <c r="AG8" s="37">
        <v>4.7899999999999991</v>
      </c>
      <c r="AH8" s="37">
        <v>0.2</v>
      </c>
      <c r="AI8" s="37">
        <v>0.43</v>
      </c>
      <c r="AJ8" s="37">
        <v>0.5</v>
      </c>
      <c r="AK8" s="37">
        <v>40</v>
      </c>
      <c r="AL8" s="37">
        <v>40</v>
      </c>
      <c r="AM8" s="38">
        <v>2193.54</v>
      </c>
      <c r="AN8" s="38">
        <v>171.393046</v>
      </c>
      <c r="AO8" s="38">
        <v>32.83</v>
      </c>
      <c r="AP8" s="38">
        <v>2193.54</v>
      </c>
      <c r="AQ8" s="38">
        <v>0</v>
      </c>
      <c r="AR8" s="38">
        <v>0</v>
      </c>
      <c r="AS8" s="38">
        <v>4.71</v>
      </c>
      <c r="AT8" s="36">
        <v>2782422.1853999998</v>
      </c>
      <c r="AU8" s="38">
        <v>57030.596999999994</v>
      </c>
      <c r="AV8" s="38">
        <v>45624.477599999998</v>
      </c>
      <c r="AW8" s="38">
        <v>66423.871799999994</v>
      </c>
      <c r="AX8" s="38">
        <v>29521.720799999999</v>
      </c>
      <c r="AY8" s="38">
        <v>28850.772600000004</v>
      </c>
      <c r="AZ8" s="38">
        <v>95274.644400000005</v>
      </c>
      <c r="BA8" s="38">
        <v>31534.565399999999</v>
      </c>
      <c r="BB8" s="38">
        <v>77829.991200000004</v>
      </c>
      <c r="BC8" s="38">
        <v>20799.394200000002</v>
      </c>
      <c r="BD8" s="38">
        <v>33547.409999999996</v>
      </c>
      <c r="BE8" s="38">
        <v>17444.653200000001</v>
      </c>
      <c r="BF8" s="38">
        <v>30192.668999999994</v>
      </c>
      <c r="BG8" s="38">
        <v>312661.86119999998</v>
      </c>
      <c r="BH8" s="38">
        <v>130163.95079999999</v>
      </c>
      <c r="BI8" s="38">
        <v>13418.964</v>
      </c>
      <c r="BJ8" s="38">
        <v>243554.1966</v>
      </c>
      <c r="BK8" s="38">
        <v>104667.9192</v>
      </c>
      <c r="BL8" s="38">
        <v>122783.52059999997</v>
      </c>
      <c r="BM8" s="38">
        <v>153647.1378</v>
      </c>
      <c r="BN8" s="38">
        <v>540113.30099999998</v>
      </c>
      <c r="BO8" s="38">
        <v>0</v>
      </c>
      <c r="BP8" s="38">
        <v>230135.23259999996</v>
      </c>
      <c r="BQ8" s="38">
        <v>321384.18779999996</v>
      </c>
      <c r="BR8" s="38">
        <v>13418.964</v>
      </c>
      <c r="BS8" s="38">
        <v>28850.772599999997</v>
      </c>
      <c r="BT8" s="38">
        <v>33547.409999999996</v>
      </c>
    </row>
    <row r="9" spans="1:72" s="39" customFormat="1" ht="12" customHeight="1" x14ac:dyDescent="0.25">
      <c r="A9" s="30">
        <v>5</v>
      </c>
      <c r="B9" s="31" t="s">
        <v>326</v>
      </c>
      <c r="C9" s="32">
        <v>21126.6</v>
      </c>
      <c r="D9" s="33">
        <v>20472.099999999999</v>
      </c>
      <c r="E9" s="34">
        <v>654.5</v>
      </c>
      <c r="F9" s="33">
        <v>8057.8</v>
      </c>
      <c r="G9" s="30" t="s">
        <v>321</v>
      </c>
      <c r="H9" s="35">
        <v>1</v>
      </c>
      <c r="I9" s="35" t="s">
        <v>322</v>
      </c>
      <c r="J9" s="36">
        <v>41.47</v>
      </c>
      <c r="K9" s="37">
        <v>0.84999999999999987</v>
      </c>
      <c r="L9" s="37">
        <v>0.68</v>
      </c>
      <c r="M9" s="37">
        <v>0.99</v>
      </c>
      <c r="N9" s="37">
        <v>0.44</v>
      </c>
      <c r="O9" s="37">
        <v>0.43000000000000005</v>
      </c>
      <c r="P9" s="37">
        <v>1.4200000000000002</v>
      </c>
      <c r="Q9" s="37">
        <v>0.47000000000000003</v>
      </c>
      <c r="R9" s="37">
        <v>1.1600000000000001</v>
      </c>
      <c r="S9" s="37">
        <v>0.31000000000000005</v>
      </c>
      <c r="T9" s="37">
        <v>0.5</v>
      </c>
      <c r="U9" s="37">
        <v>0.26</v>
      </c>
      <c r="V9" s="37">
        <v>0.44999999999999996</v>
      </c>
      <c r="W9" s="37">
        <v>4.66</v>
      </c>
      <c r="X9" s="37">
        <v>1.9400000000000002</v>
      </c>
      <c r="Y9" s="37">
        <v>0.2</v>
      </c>
      <c r="Z9" s="37">
        <v>3.63</v>
      </c>
      <c r="AA9" s="37">
        <v>1.56</v>
      </c>
      <c r="AB9" s="37">
        <v>1.8299999999999998</v>
      </c>
      <c r="AC9" s="37">
        <v>2.29</v>
      </c>
      <c r="AD9" s="37">
        <v>8.0500000000000007</v>
      </c>
      <c r="AE9" s="37">
        <v>0</v>
      </c>
      <c r="AF9" s="37">
        <v>3.4299999999999997</v>
      </c>
      <c r="AG9" s="37">
        <v>4.7899999999999991</v>
      </c>
      <c r="AH9" s="37">
        <v>0.2</v>
      </c>
      <c r="AI9" s="37">
        <v>0.43</v>
      </c>
      <c r="AJ9" s="37">
        <v>0.5</v>
      </c>
      <c r="AK9" s="37">
        <v>40</v>
      </c>
      <c r="AL9" s="37">
        <v>40</v>
      </c>
      <c r="AM9" s="38">
        <v>2193.54</v>
      </c>
      <c r="AN9" s="38">
        <v>171.393046</v>
      </c>
      <c r="AO9" s="38">
        <v>32.83</v>
      </c>
      <c r="AP9" s="38">
        <v>2193.54</v>
      </c>
      <c r="AQ9" s="38">
        <v>0</v>
      </c>
      <c r="AR9" s="38">
        <v>0</v>
      </c>
      <c r="AS9" s="38">
        <v>4.71</v>
      </c>
      <c r="AT9" s="36">
        <v>5256720.6119999997</v>
      </c>
      <c r="AU9" s="38">
        <v>107745.65999999997</v>
      </c>
      <c r="AV9" s="38">
        <v>86196.527999999991</v>
      </c>
      <c r="AW9" s="38">
        <v>125492.00399999999</v>
      </c>
      <c r="AX9" s="38">
        <v>55774.224000000002</v>
      </c>
      <c r="AY9" s="38">
        <v>54506.627999999997</v>
      </c>
      <c r="AZ9" s="38">
        <v>179998.63200000001</v>
      </c>
      <c r="BA9" s="38">
        <v>59577.012000000002</v>
      </c>
      <c r="BB9" s="38">
        <v>147041.136</v>
      </c>
      <c r="BC9" s="38">
        <v>39295.47600000001</v>
      </c>
      <c r="BD9" s="38">
        <v>63379.799999999996</v>
      </c>
      <c r="BE9" s="38">
        <v>32957.495999999999</v>
      </c>
      <c r="BF9" s="38">
        <v>57041.819999999985</v>
      </c>
      <c r="BG9" s="38">
        <v>590699.73599999992</v>
      </c>
      <c r="BH9" s="38">
        <v>245913.62400000001</v>
      </c>
      <c r="BI9" s="38">
        <v>25351.919999999998</v>
      </c>
      <c r="BJ9" s="38">
        <v>460137.34799999994</v>
      </c>
      <c r="BK9" s="38">
        <v>197744.976</v>
      </c>
      <c r="BL9" s="38">
        <v>231970.06799999997</v>
      </c>
      <c r="BM9" s="38">
        <v>290279.484</v>
      </c>
      <c r="BN9" s="38">
        <v>1020414.78</v>
      </c>
      <c r="BO9" s="38">
        <v>0</v>
      </c>
      <c r="BP9" s="38">
        <v>434785.4279999999</v>
      </c>
      <c r="BQ9" s="38">
        <v>607178.48399999982</v>
      </c>
      <c r="BR9" s="38">
        <v>25351.919999999998</v>
      </c>
      <c r="BS9" s="38">
        <v>54506.627999999997</v>
      </c>
      <c r="BT9" s="38">
        <v>63379.799999999996</v>
      </c>
    </row>
    <row r="10" spans="1:72" s="39" customFormat="1" ht="12" customHeight="1" x14ac:dyDescent="0.25">
      <c r="A10" s="30">
        <v>6</v>
      </c>
      <c r="B10" s="31" t="s">
        <v>327</v>
      </c>
      <c r="C10" s="32">
        <v>11173.2</v>
      </c>
      <c r="D10" s="33">
        <v>11173.2</v>
      </c>
      <c r="E10" s="34">
        <v>0</v>
      </c>
      <c r="F10" s="33">
        <v>3618.4</v>
      </c>
      <c r="G10" s="30" t="s">
        <v>321</v>
      </c>
      <c r="H10" s="35">
        <v>1</v>
      </c>
      <c r="I10" s="35" t="s">
        <v>322</v>
      </c>
      <c r="J10" s="36">
        <v>41.47</v>
      </c>
      <c r="K10" s="37">
        <v>0.84999999999999987</v>
      </c>
      <c r="L10" s="37">
        <v>0.68</v>
      </c>
      <c r="M10" s="37">
        <v>0.99</v>
      </c>
      <c r="N10" s="37">
        <v>0.44</v>
      </c>
      <c r="O10" s="37">
        <v>0.43000000000000005</v>
      </c>
      <c r="P10" s="37">
        <v>1.4200000000000002</v>
      </c>
      <c r="Q10" s="37">
        <v>0.47000000000000003</v>
      </c>
      <c r="R10" s="37">
        <v>1.1600000000000001</v>
      </c>
      <c r="S10" s="37">
        <v>0.31000000000000005</v>
      </c>
      <c r="T10" s="37">
        <v>0.5</v>
      </c>
      <c r="U10" s="37">
        <v>0.26</v>
      </c>
      <c r="V10" s="37">
        <v>0.44999999999999996</v>
      </c>
      <c r="W10" s="37">
        <v>4.66</v>
      </c>
      <c r="X10" s="37">
        <v>1.9400000000000002</v>
      </c>
      <c r="Y10" s="37">
        <v>0.2</v>
      </c>
      <c r="Z10" s="37">
        <v>3.63</v>
      </c>
      <c r="AA10" s="37">
        <v>1.56</v>
      </c>
      <c r="AB10" s="37">
        <v>1.8299999999999998</v>
      </c>
      <c r="AC10" s="37">
        <v>2.29</v>
      </c>
      <c r="AD10" s="37">
        <v>8.0500000000000007</v>
      </c>
      <c r="AE10" s="37">
        <v>0</v>
      </c>
      <c r="AF10" s="37">
        <v>3.4299999999999997</v>
      </c>
      <c r="AG10" s="37">
        <v>4.7899999999999991</v>
      </c>
      <c r="AH10" s="37">
        <v>0.2</v>
      </c>
      <c r="AI10" s="37">
        <v>0.43</v>
      </c>
      <c r="AJ10" s="37">
        <v>0.5</v>
      </c>
      <c r="AK10" s="37">
        <v>40</v>
      </c>
      <c r="AL10" s="37">
        <v>40</v>
      </c>
      <c r="AM10" s="38">
        <v>2193.54</v>
      </c>
      <c r="AN10" s="38">
        <v>171.393046</v>
      </c>
      <c r="AO10" s="38">
        <v>32.83</v>
      </c>
      <c r="AP10" s="38">
        <v>2193.54</v>
      </c>
      <c r="AQ10" s="38">
        <v>0</v>
      </c>
      <c r="AR10" s="38">
        <v>0</v>
      </c>
      <c r="AS10" s="38">
        <v>4.71</v>
      </c>
      <c r="AT10" s="36">
        <v>2780115.6239999998</v>
      </c>
      <c r="AU10" s="38">
        <v>56983.319999999992</v>
      </c>
      <c r="AV10" s="38">
        <v>45586.656000000003</v>
      </c>
      <c r="AW10" s="38">
        <v>66368.808000000005</v>
      </c>
      <c r="AX10" s="38">
        <v>29497.248000000003</v>
      </c>
      <c r="AY10" s="38">
        <v>28826.856000000003</v>
      </c>
      <c r="AZ10" s="38">
        <v>95195.664000000019</v>
      </c>
      <c r="BA10" s="38">
        <v>31508.424000000003</v>
      </c>
      <c r="BB10" s="38">
        <v>77765.472000000009</v>
      </c>
      <c r="BC10" s="38">
        <v>20782.152000000006</v>
      </c>
      <c r="BD10" s="38">
        <v>33519.600000000006</v>
      </c>
      <c r="BE10" s="38">
        <v>17430.192000000003</v>
      </c>
      <c r="BF10" s="38">
        <v>30167.64</v>
      </c>
      <c r="BG10" s="38">
        <v>312402.67200000002</v>
      </c>
      <c r="BH10" s="38">
        <v>130056.04800000001</v>
      </c>
      <c r="BI10" s="38">
        <v>13407.840000000002</v>
      </c>
      <c r="BJ10" s="38">
        <v>243352.296</v>
      </c>
      <c r="BK10" s="38">
        <v>104581.15200000002</v>
      </c>
      <c r="BL10" s="38">
        <v>122681.73599999999</v>
      </c>
      <c r="BM10" s="38">
        <v>153519.76800000001</v>
      </c>
      <c r="BN10" s="38">
        <v>539665.56000000006</v>
      </c>
      <c r="BO10" s="38">
        <v>0</v>
      </c>
      <c r="BP10" s="38">
        <v>229944.45600000001</v>
      </c>
      <c r="BQ10" s="38">
        <v>321117.76799999998</v>
      </c>
      <c r="BR10" s="38">
        <v>13407.840000000002</v>
      </c>
      <c r="BS10" s="38">
        <v>28826.856000000003</v>
      </c>
      <c r="BT10" s="38">
        <v>33519.600000000006</v>
      </c>
    </row>
    <row r="11" spans="1:72" s="39" customFormat="1" ht="12" customHeight="1" x14ac:dyDescent="0.25">
      <c r="A11" s="30">
        <v>7</v>
      </c>
      <c r="B11" s="31" t="s">
        <v>328</v>
      </c>
      <c r="C11" s="32">
        <v>20369.2</v>
      </c>
      <c r="D11" s="33">
        <v>19781.400000000001</v>
      </c>
      <c r="E11" s="34">
        <v>587.79999999999995</v>
      </c>
      <c r="F11" s="33">
        <v>4227.8999999999996</v>
      </c>
      <c r="G11" s="30" t="s">
        <v>321</v>
      </c>
      <c r="H11" s="35">
        <v>1</v>
      </c>
      <c r="I11" s="35" t="s">
        <v>322</v>
      </c>
      <c r="J11" s="36">
        <v>41.47</v>
      </c>
      <c r="K11" s="37">
        <v>0.84999999999999987</v>
      </c>
      <c r="L11" s="37">
        <v>0.68</v>
      </c>
      <c r="M11" s="37">
        <v>0.99</v>
      </c>
      <c r="N11" s="37">
        <v>0.44</v>
      </c>
      <c r="O11" s="37">
        <v>0.43000000000000005</v>
      </c>
      <c r="P11" s="37">
        <v>1.4200000000000002</v>
      </c>
      <c r="Q11" s="37">
        <v>0.47000000000000003</v>
      </c>
      <c r="R11" s="37">
        <v>1.1600000000000001</v>
      </c>
      <c r="S11" s="37">
        <v>0.31000000000000005</v>
      </c>
      <c r="T11" s="37">
        <v>0.5</v>
      </c>
      <c r="U11" s="37">
        <v>0.26</v>
      </c>
      <c r="V11" s="37">
        <v>0.44999999999999996</v>
      </c>
      <c r="W11" s="37">
        <v>4.66</v>
      </c>
      <c r="X11" s="37">
        <v>1.9400000000000002</v>
      </c>
      <c r="Y11" s="37">
        <v>0.2</v>
      </c>
      <c r="Z11" s="37">
        <v>3.63</v>
      </c>
      <c r="AA11" s="37">
        <v>1.56</v>
      </c>
      <c r="AB11" s="37">
        <v>1.8299999999999998</v>
      </c>
      <c r="AC11" s="37">
        <v>2.29</v>
      </c>
      <c r="AD11" s="37">
        <v>8.0500000000000007</v>
      </c>
      <c r="AE11" s="37">
        <v>0</v>
      </c>
      <c r="AF11" s="37">
        <v>3.4299999999999997</v>
      </c>
      <c r="AG11" s="37">
        <v>4.7899999999999991</v>
      </c>
      <c r="AH11" s="37">
        <v>0.2</v>
      </c>
      <c r="AI11" s="37">
        <v>0.43</v>
      </c>
      <c r="AJ11" s="37">
        <v>0.5</v>
      </c>
      <c r="AK11" s="37">
        <v>40</v>
      </c>
      <c r="AL11" s="37">
        <v>40</v>
      </c>
      <c r="AM11" s="38">
        <v>2193.54</v>
      </c>
      <c r="AN11" s="38">
        <v>171.393046</v>
      </c>
      <c r="AO11" s="38">
        <v>32.83</v>
      </c>
      <c r="AP11" s="38">
        <v>2193.54</v>
      </c>
      <c r="AQ11" s="38">
        <v>0</v>
      </c>
      <c r="AR11" s="38">
        <v>0</v>
      </c>
      <c r="AS11" s="38">
        <v>4.71</v>
      </c>
      <c r="AT11" s="36">
        <v>5068264.3440000005</v>
      </c>
      <c r="AU11" s="38">
        <v>103882.92</v>
      </c>
      <c r="AV11" s="38">
        <v>83106.33600000001</v>
      </c>
      <c r="AW11" s="38">
        <v>120993.04800000001</v>
      </c>
      <c r="AX11" s="38">
        <v>53774.688000000002</v>
      </c>
      <c r="AY11" s="38">
        <v>52552.536000000007</v>
      </c>
      <c r="AZ11" s="38">
        <v>173545.58400000003</v>
      </c>
      <c r="BA11" s="38">
        <v>57441.144000000008</v>
      </c>
      <c r="BB11" s="38">
        <v>141769.63200000004</v>
      </c>
      <c r="BC11" s="38">
        <v>37886.712000000007</v>
      </c>
      <c r="BD11" s="38">
        <v>61107.600000000006</v>
      </c>
      <c r="BE11" s="38">
        <v>31775.952000000001</v>
      </c>
      <c r="BF11" s="38">
        <v>54996.84</v>
      </c>
      <c r="BG11" s="38">
        <v>569522.83200000005</v>
      </c>
      <c r="BH11" s="38">
        <v>237097.48800000004</v>
      </c>
      <c r="BI11" s="38">
        <v>24443.040000000001</v>
      </c>
      <c r="BJ11" s="38">
        <v>443641.17599999998</v>
      </c>
      <c r="BK11" s="38">
        <v>190655.712</v>
      </c>
      <c r="BL11" s="38">
        <v>223653.81599999999</v>
      </c>
      <c r="BM11" s="38">
        <v>279872.80800000002</v>
      </c>
      <c r="BN11" s="38">
        <v>983832.3600000001</v>
      </c>
      <c r="BO11" s="38">
        <v>0</v>
      </c>
      <c r="BP11" s="38">
        <v>419198.136</v>
      </c>
      <c r="BQ11" s="38">
        <v>585410.80799999984</v>
      </c>
      <c r="BR11" s="38">
        <v>24443.040000000001</v>
      </c>
      <c r="BS11" s="38">
        <v>52552.535999999993</v>
      </c>
      <c r="BT11" s="38">
        <v>61107.600000000006</v>
      </c>
    </row>
    <row r="12" spans="1:72" s="39" customFormat="1" ht="12" customHeight="1" x14ac:dyDescent="0.25">
      <c r="A12" s="30">
        <v>8</v>
      </c>
      <c r="B12" s="31" t="s">
        <v>329</v>
      </c>
      <c r="C12" s="32">
        <v>11104.1</v>
      </c>
      <c r="D12" s="33">
        <v>11104.1</v>
      </c>
      <c r="E12" s="34">
        <v>0</v>
      </c>
      <c r="F12" s="33">
        <v>4403.6000000000004</v>
      </c>
      <c r="G12" s="30" t="s">
        <v>321</v>
      </c>
      <c r="H12" s="35">
        <v>1</v>
      </c>
      <c r="I12" s="35" t="s">
        <v>322</v>
      </c>
      <c r="J12" s="36">
        <v>41.47</v>
      </c>
      <c r="K12" s="37">
        <v>0.84999999999999987</v>
      </c>
      <c r="L12" s="37">
        <v>0.68</v>
      </c>
      <c r="M12" s="37">
        <v>0.99</v>
      </c>
      <c r="N12" s="37">
        <v>0.44</v>
      </c>
      <c r="O12" s="37">
        <v>0.43000000000000005</v>
      </c>
      <c r="P12" s="37">
        <v>1.4200000000000002</v>
      </c>
      <c r="Q12" s="37">
        <v>0.47000000000000003</v>
      </c>
      <c r="R12" s="37">
        <v>1.1600000000000001</v>
      </c>
      <c r="S12" s="37">
        <v>0.31000000000000005</v>
      </c>
      <c r="T12" s="37">
        <v>0.5</v>
      </c>
      <c r="U12" s="37">
        <v>0.26</v>
      </c>
      <c r="V12" s="37">
        <v>0.44999999999999996</v>
      </c>
      <c r="W12" s="37">
        <v>4.66</v>
      </c>
      <c r="X12" s="37">
        <v>1.9400000000000002</v>
      </c>
      <c r="Y12" s="37">
        <v>0.2</v>
      </c>
      <c r="Z12" s="37">
        <v>3.63</v>
      </c>
      <c r="AA12" s="37">
        <v>1.56</v>
      </c>
      <c r="AB12" s="37">
        <v>1.8299999999999998</v>
      </c>
      <c r="AC12" s="37">
        <v>2.29</v>
      </c>
      <c r="AD12" s="37">
        <v>8.0500000000000007</v>
      </c>
      <c r="AE12" s="37">
        <v>0</v>
      </c>
      <c r="AF12" s="37">
        <v>3.4299999999999997</v>
      </c>
      <c r="AG12" s="37">
        <v>4.7899999999999991</v>
      </c>
      <c r="AH12" s="37">
        <v>0.2</v>
      </c>
      <c r="AI12" s="37">
        <v>0.43</v>
      </c>
      <c r="AJ12" s="37">
        <v>0.5</v>
      </c>
      <c r="AK12" s="37">
        <v>40</v>
      </c>
      <c r="AL12" s="37">
        <v>40</v>
      </c>
      <c r="AM12" s="38">
        <v>2193.54</v>
      </c>
      <c r="AN12" s="38">
        <v>171.393046</v>
      </c>
      <c r="AO12" s="38">
        <v>32.83</v>
      </c>
      <c r="AP12" s="38">
        <v>2193.54</v>
      </c>
      <c r="AQ12" s="38">
        <v>0</v>
      </c>
      <c r="AR12" s="38">
        <v>0</v>
      </c>
      <c r="AS12" s="38">
        <v>4.71</v>
      </c>
      <c r="AT12" s="36">
        <v>2762922.162</v>
      </c>
      <c r="AU12" s="38">
        <v>56630.909999999989</v>
      </c>
      <c r="AV12" s="38">
        <v>45304.728000000003</v>
      </c>
      <c r="AW12" s="38">
        <v>65958.354000000007</v>
      </c>
      <c r="AX12" s="38">
        <v>29314.824000000001</v>
      </c>
      <c r="AY12" s="38">
        <v>28648.578000000005</v>
      </c>
      <c r="AZ12" s="38">
        <v>94606.932000000015</v>
      </c>
      <c r="BA12" s="38">
        <v>31313.562000000005</v>
      </c>
      <c r="BB12" s="38">
        <v>77284.536000000007</v>
      </c>
      <c r="BC12" s="38">
        <v>20653.626000000004</v>
      </c>
      <c r="BD12" s="38">
        <v>33312.300000000003</v>
      </c>
      <c r="BE12" s="38">
        <v>17322.396000000001</v>
      </c>
      <c r="BF12" s="38">
        <v>29981.069999999996</v>
      </c>
      <c r="BG12" s="38">
        <v>310470.636</v>
      </c>
      <c r="BH12" s="38">
        <v>129251.72400000002</v>
      </c>
      <c r="BI12" s="38">
        <v>13324.920000000002</v>
      </c>
      <c r="BJ12" s="38">
        <v>241847.29800000001</v>
      </c>
      <c r="BK12" s="38">
        <v>103934.376</v>
      </c>
      <c r="BL12" s="38">
        <v>121923.01800000001</v>
      </c>
      <c r="BM12" s="38">
        <v>152570.33400000003</v>
      </c>
      <c r="BN12" s="38">
        <v>536328.03</v>
      </c>
      <c r="BO12" s="38">
        <v>0</v>
      </c>
      <c r="BP12" s="38">
        <v>228522.37799999997</v>
      </c>
      <c r="BQ12" s="38">
        <v>319131.83399999997</v>
      </c>
      <c r="BR12" s="38">
        <v>13324.920000000002</v>
      </c>
      <c r="BS12" s="38">
        <v>28648.578000000001</v>
      </c>
      <c r="BT12" s="38">
        <v>33312.300000000003</v>
      </c>
    </row>
    <row r="13" spans="1:72" s="39" customFormat="1" ht="12" customHeight="1" x14ac:dyDescent="0.25">
      <c r="A13" s="30">
        <v>9</v>
      </c>
      <c r="B13" s="31" t="s">
        <v>330</v>
      </c>
      <c r="C13" s="32">
        <v>11161.5</v>
      </c>
      <c r="D13" s="33">
        <v>11078.7</v>
      </c>
      <c r="E13" s="34">
        <v>82.8</v>
      </c>
      <c r="F13" s="33">
        <v>2389.9</v>
      </c>
      <c r="G13" s="30" t="s">
        <v>321</v>
      </c>
      <c r="H13" s="35">
        <v>1</v>
      </c>
      <c r="I13" s="35" t="s">
        <v>322</v>
      </c>
      <c r="J13" s="36">
        <v>41.47</v>
      </c>
      <c r="K13" s="37">
        <v>0.84999999999999987</v>
      </c>
      <c r="L13" s="37">
        <v>0.68</v>
      </c>
      <c r="M13" s="37">
        <v>0.99</v>
      </c>
      <c r="N13" s="37">
        <v>0.44</v>
      </c>
      <c r="O13" s="37">
        <v>0.43000000000000005</v>
      </c>
      <c r="P13" s="37">
        <v>1.4200000000000002</v>
      </c>
      <c r="Q13" s="37">
        <v>0.47000000000000003</v>
      </c>
      <c r="R13" s="37">
        <v>1.1600000000000001</v>
      </c>
      <c r="S13" s="37">
        <v>0.31000000000000005</v>
      </c>
      <c r="T13" s="37">
        <v>0.5</v>
      </c>
      <c r="U13" s="37">
        <v>0.26</v>
      </c>
      <c r="V13" s="37">
        <v>0.44999999999999996</v>
      </c>
      <c r="W13" s="37">
        <v>4.66</v>
      </c>
      <c r="X13" s="37">
        <v>1.9400000000000002</v>
      </c>
      <c r="Y13" s="37">
        <v>0.2</v>
      </c>
      <c r="Z13" s="37">
        <v>3.63</v>
      </c>
      <c r="AA13" s="37">
        <v>1.56</v>
      </c>
      <c r="AB13" s="37">
        <v>1.8299999999999998</v>
      </c>
      <c r="AC13" s="37">
        <v>2.29</v>
      </c>
      <c r="AD13" s="37">
        <v>8.0500000000000007</v>
      </c>
      <c r="AE13" s="37">
        <v>0</v>
      </c>
      <c r="AF13" s="37">
        <v>3.4299999999999997</v>
      </c>
      <c r="AG13" s="37">
        <v>4.7899999999999991</v>
      </c>
      <c r="AH13" s="37">
        <v>0.2</v>
      </c>
      <c r="AI13" s="37">
        <v>0.43</v>
      </c>
      <c r="AJ13" s="37">
        <v>0.5</v>
      </c>
      <c r="AK13" s="37">
        <v>40</v>
      </c>
      <c r="AL13" s="37">
        <v>40</v>
      </c>
      <c r="AM13" s="38">
        <v>2193.54</v>
      </c>
      <c r="AN13" s="38">
        <v>171.393046</v>
      </c>
      <c r="AO13" s="38">
        <v>32.83</v>
      </c>
      <c r="AP13" s="38">
        <v>2193.54</v>
      </c>
      <c r="AQ13" s="38">
        <v>0</v>
      </c>
      <c r="AR13" s="38">
        <v>0</v>
      </c>
      <c r="AS13" s="38">
        <v>4.71</v>
      </c>
      <c r="AT13" s="36">
        <v>2777204.4299999997</v>
      </c>
      <c r="AU13" s="38">
        <v>56923.649999999987</v>
      </c>
      <c r="AV13" s="38">
        <v>45538.920000000006</v>
      </c>
      <c r="AW13" s="38">
        <v>66299.31</v>
      </c>
      <c r="AX13" s="38">
        <v>29466.36</v>
      </c>
      <c r="AY13" s="38">
        <v>28796.670000000006</v>
      </c>
      <c r="AZ13" s="38">
        <v>95095.98000000001</v>
      </c>
      <c r="BA13" s="38">
        <v>31475.430000000004</v>
      </c>
      <c r="BB13" s="38">
        <v>77684.040000000008</v>
      </c>
      <c r="BC13" s="38">
        <v>20760.390000000003</v>
      </c>
      <c r="BD13" s="38">
        <v>33484.5</v>
      </c>
      <c r="BE13" s="38">
        <v>17411.940000000002</v>
      </c>
      <c r="BF13" s="38">
        <v>30136.049999999996</v>
      </c>
      <c r="BG13" s="38">
        <v>312075.54000000004</v>
      </c>
      <c r="BH13" s="38">
        <v>129919.86000000002</v>
      </c>
      <c r="BI13" s="38">
        <v>13393.800000000001</v>
      </c>
      <c r="BJ13" s="38">
        <v>243097.46999999997</v>
      </c>
      <c r="BK13" s="38">
        <v>104471.64000000001</v>
      </c>
      <c r="BL13" s="38">
        <v>122553.26999999999</v>
      </c>
      <c r="BM13" s="38">
        <v>153359.01</v>
      </c>
      <c r="BN13" s="38">
        <v>539100.45000000007</v>
      </c>
      <c r="BO13" s="38">
        <v>0</v>
      </c>
      <c r="BP13" s="38">
        <v>229703.66999999998</v>
      </c>
      <c r="BQ13" s="38">
        <v>320781.50999999995</v>
      </c>
      <c r="BR13" s="38">
        <v>13393.800000000001</v>
      </c>
      <c r="BS13" s="38">
        <v>28796.67</v>
      </c>
      <c r="BT13" s="38">
        <v>33484.5</v>
      </c>
    </row>
    <row r="14" spans="1:72" s="39" customFormat="1" ht="12" customHeight="1" x14ac:dyDescent="0.25">
      <c r="A14" s="30">
        <v>10</v>
      </c>
      <c r="B14" s="31" t="s">
        <v>331</v>
      </c>
      <c r="C14" s="32">
        <v>6448.65</v>
      </c>
      <c r="D14" s="33">
        <v>4375.55</v>
      </c>
      <c r="E14" s="34">
        <v>2073.1</v>
      </c>
      <c r="F14" s="33">
        <v>1381.8</v>
      </c>
      <c r="G14" s="30" t="s">
        <v>321</v>
      </c>
      <c r="H14" s="35">
        <v>1</v>
      </c>
      <c r="I14" s="35" t="s">
        <v>322</v>
      </c>
      <c r="J14" s="36">
        <v>34.979999999999997</v>
      </c>
      <c r="K14" s="37">
        <v>0.84999999999999987</v>
      </c>
      <c r="L14" s="37">
        <v>0.68</v>
      </c>
      <c r="M14" s="37">
        <v>0.99</v>
      </c>
      <c r="N14" s="37">
        <v>0.44</v>
      </c>
      <c r="O14" s="37">
        <v>0.43000000000000005</v>
      </c>
      <c r="P14" s="37">
        <v>1.4200000000000002</v>
      </c>
      <c r="Q14" s="37">
        <v>0.47000000000000003</v>
      </c>
      <c r="R14" s="37">
        <v>1.1600000000000001</v>
      </c>
      <c r="S14" s="37">
        <v>0.31000000000000005</v>
      </c>
      <c r="T14" s="37">
        <v>0.5</v>
      </c>
      <c r="U14" s="37">
        <v>0.26</v>
      </c>
      <c r="V14" s="37">
        <v>0.44999999999999996</v>
      </c>
      <c r="W14" s="37">
        <v>0</v>
      </c>
      <c r="X14" s="37">
        <v>1.9400000000000002</v>
      </c>
      <c r="Y14" s="37">
        <v>0.2</v>
      </c>
      <c r="Z14" s="37">
        <v>3.63</v>
      </c>
      <c r="AA14" s="37">
        <v>1.56</v>
      </c>
      <c r="AB14" s="37">
        <v>0</v>
      </c>
      <c r="AC14" s="37">
        <v>2.29</v>
      </c>
      <c r="AD14" s="37">
        <v>8.0500000000000007</v>
      </c>
      <c r="AE14" s="37">
        <v>0</v>
      </c>
      <c r="AF14" s="37">
        <v>3.59</v>
      </c>
      <c r="AG14" s="37">
        <v>4.7899999999999991</v>
      </c>
      <c r="AH14" s="37">
        <v>0.2</v>
      </c>
      <c r="AI14" s="37">
        <v>0.31</v>
      </c>
      <c r="AJ14" s="37">
        <v>0.46</v>
      </c>
      <c r="AK14" s="37">
        <v>40</v>
      </c>
      <c r="AL14" s="37">
        <v>40</v>
      </c>
      <c r="AM14" s="37">
        <v>2604.04</v>
      </c>
      <c r="AN14" s="38">
        <v>195.98199600000001</v>
      </c>
      <c r="AO14" s="38">
        <v>42.3</v>
      </c>
      <c r="AP14" s="37">
        <v>2604.04</v>
      </c>
      <c r="AQ14" s="38">
        <v>0</v>
      </c>
      <c r="AR14" s="38">
        <v>0</v>
      </c>
      <c r="AS14" s="38">
        <v>4.71</v>
      </c>
      <c r="AT14" s="36">
        <v>1353442.6619999998</v>
      </c>
      <c r="AU14" s="38">
        <v>32888.114999999991</v>
      </c>
      <c r="AV14" s="38">
        <v>26310.492000000002</v>
      </c>
      <c r="AW14" s="38">
        <v>38304.981</v>
      </c>
      <c r="AX14" s="38">
        <v>17024.436000000002</v>
      </c>
      <c r="AY14" s="38">
        <v>16637.517</v>
      </c>
      <c r="AZ14" s="38">
        <v>54942.498000000007</v>
      </c>
      <c r="BA14" s="38">
        <v>18185.192999999999</v>
      </c>
      <c r="BB14" s="38">
        <v>44882.603999999999</v>
      </c>
      <c r="BC14" s="38">
        <v>11994.489000000001</v>
      </c>
      <c r="BD14" s="38">
        <v>19345.949999999997</v>
      </c>
      <c r="BE14" s="38">
        <v>10059.894</v>
      </c>
      <c r="BF14" s="38">
        <v>17411.354999999996</v>
      </c>
      <c r="BG14" s="38">
        <v>0</v>
      </c>
      <c r="BH14" s="38">
        <v>75062.286000000007</v>
      </c>
      <c r="BI14" s="38">
        <v>7738.38</v>
      </c>
      <c r="BJ14" s="38">
        <v>140451.59699999998</v>
      </c>
      <c r="BK14" s="38">
        <v>60359.364000000001</v>
      </c>
      <c r="BL14" s="38">
        <v>0</v>
      </c>
      <c r="BM14" s="38">
        <v>88604.451000000001</v>
      </c>
      <c r="BN14" s="38">
        <v>311469.79499999998</v>
      </c>
      <c r="BO14" s="38">
        <v>0</v>
      </c>
      <c r="BP14" s="38">
        <v>138903.92099999997</v>
      </c>
      <c r="BQ14" s="38">
        <v>185334.20099999997</v>
      </c>
      <c r="BR14" s="38">
        <v>7738.38</v>
      </c>
      <c r="BS14" s="38">
        <v>11994.488999999998</v>
      </c>
      <c r="BT14" s="38">
        <v>17798.273999999998</v>
      </c>
    </row>
    <row r="15" spans="1:72" s="39" customFormat="1" ht="12" customHeight="1" x14ac:dyDescent="0.25">
      <c r="A15" s="30">
        <v>11</v>
      </c>
      <c r="B15" s="31" t="s">
        <v>332</v>
      </c>
      <c r="C15" s="32">
        <v>3124.7</v>
      </c>
      <c r="D15" s="33">
        <v>3124.7</v>
      </c>
      <c r="E15" s="34">
        <v>0</v>
      </c>
      <c r="F15" s="33">
        <v>1469.5</v>
      </c>
      <c r="G15" s="30" t="s">
        <v>321</v>
      </c>
      <c r="H15" s="35">
        <v>3</v>
      </c>
      <c r="I15" s="35" t="s">
        <v>322</v>
      </c>
      <c r="J15" s="36">
        <v>40.33</v>
      </c>
      <c r="K15" s="38">
        <v>0.84999999999999987</v>
      </c>
      <c r="L15" s="38">
        <v>0.68</v>
      </c>
      <c r="M15" s="38">
        <v>0.99</v>
      </c>
      <c r="N15" s="38">
        <v>0.44</v>
      </c>
      <c r="O15" s="38">
        <v>0.43000000000000005</v>
      </c>
      <c r="P15" s="38">
        <v>1.4200000000000002</v>
      </c>
      <c r="Q15" s="38">
        <v>0.47000000000000003</v>
      </c>
      <c r="R15" s="38">
        <v>1.1600000000000001</v>
      </c>
      <c r="S15" s="38">
        <v>0.31000000000000005</v>
      </c>
      <c r="T15" s="38">
        <v>0.5</v>
      </c>
      <c r="U15" s="38">
        <v>0.26</v>
      </c>
      <c r="V15" s="38">
        <v>0.44999999999999996</v>
      </c>
      <c r="W15" s="38">
        <v>4.66</v>
      </c>
      <c r="X15" s="38">
        <v>1.9400000000000002</v>
      </c>
      <c r="Y15" s="38">
        <v>0.2</v>
      </c>
      <c r="Z15" s="38">
        <v>3.63</v>
      </c>
      <c r="AA15" s="38">
        <v>1.56</v>
      </c>
      <c r="AB15" s="37">
        <v>0</v>
      </c>
      <c r="AC15" s="38">
        <v>2.29</v>
      </c>
      <c r="AD15" s="38">
        <v>8.0500000000000007</v>
      </c>
      <c r="AE15" s="38">
        <v>0.69000000000000006</v>
      </c>
      <c r="AF15" s="38">
        <v>3.59</v>
      </c>
      <c r="AG15" s="38">
        <v>4.7899999999999991</v>
      </c>
      <c r="AH15" s="38">
        <v>0.2</v>
      </c>
      <c r="AI15" s="38">
        <v>0.31</v>
      </c>
      <c r="AJ15" s="38">
        <v>0.46</v>
      </c>
      <c r="AK15" s="37">
        <v>40</v>
      </c>
      <c r="AL15" s="37">
        <v>40</v>
      </c>
      <c r="AM15" s="37">
        <v>2604.04</v>
      </c>
      <c r="AN15" s="38">
        <v>195.98199600000001</v>
      </c>
      <c r="AO15" s="38">
        <v>42.3</v>
      </c>
      <c r="AP15" s="37">
        <v>2604.04</v>
      </c>
      <c r="AQ15" s="38">
        <v>7.85</v>
      </c>
      <c r="AR15" s="38">
        <v>0</v>
      </c>
      <c r="AS15" s="38">
        <v>4.71</v>
      </c>
      <c r="AT15" s="36">
        <v>756114.90599999996</v>
      </c>
      <c r="AU15" s="38">
        <v>15935.969999999998</v>
      </c>
      <c r="AV15" s="38">
        <v>12748.775999999998</v>
      </c>
      <c r="AW15" s="38">
        <v>18560.718000000001</v>
      </c>
      <c r="AX15" s="38">
        <v>8249.2079999999987</v>
      </c>
      <c r="AY15" s="38">
        <v>8061.7260000000006</v>
      </c>
      <c r="AZ15" s="38">
        <v>26622.444000000003</v>
      </c>
      <c r="BA15" s="38">
        <v>8811.6539999999986</v>
      </c>
      <c r="BB15" s="38">
        <v>21747.912</v>
      </c>
      <c r="BC15" s="38">
        <v>5811.9420000000009</v>
      </c>
      <c r="BD15" s="38">
        <v>9374.0999999999985</v>
      </c>
      <c r="BE15" s="38">
        <v>4874.5320000000002</v>
      </c>
      <c r="BF15" s="38">
        <v>8436.6899999999987</v>
      </c>
      <c r="BG15" s="38">
        <v>87366.611999999994</v>
      </c>
      <c r="BH15" s="38">
        <v>36371.508000000002</v>
      </c>
      <c r="BI15" s="38">
        <v>3749.6400000000003</v>
      </c>
      <c r="BJ15" s="38">
        <v>68055.965999999986</v>
      </c>
      <c r="BK15" s="38">
        <v>29247.192000000003</v>
      </c>
      <c r="BL15" s="38">
        <v>0</v>
      </c>
      <c r="BM15" s="38">
        <v>42933.377999999997</v>
      </c>
      <c r="BN15" s="38">
        <v>150923.01</v>
      </c>
      <c r="BO15" s="38">
        <v>12936.258000000002</v>
      </c>
      <c r="BP15" s="38">
        <v>67306.038</v>
      </c>
      <c r="BQ15" s="38">
        <v>89803.877999999982</v>
      </c>
      <c r="BR15" s="38">
        <v>3749.6400000000003</v>
      </c>
      <c r="BS15" s="38">
        <v>5811.9419999999991</v>
      </c>
      <c r="BT15" s="38">
        <v>8624.1720000000005</v>
      </c>
    </row>
    <row r="16" spans="1:72" s="39" customFormat="1" ht="12" customHeight="1" x14ac:dyDescent="0.25">
      <c r="A16" s="30">
        <v>12</v>
      </c>
      <c r="B16" s="31" t="s">
        <v>333</v>
      </c>
      <c r="C16" s="32">
        <v>595.5</v>
      </c>
      <c r="D16" s="33">
        <v>595.5</v>
      </c>
      <c r="E16" s="34">
        <v>0</v>
      </c>
      <c r="F16" s="33">
        <v>314.5</v>
      </c>
      <c r="G16" s="30" t="s">
        <v>321</v>
      </c>
      <c r="H16" s="35">
        <v>6</v>
      </c>
      <c r="I16" s="35" t="s">
        <v>322</v>
      </c>
      <c r="J16" s="36">
        <v>23.78</v>
      </c>
      <c r="K16" s="38">
        <v>0.84999999999999987</v>
      </c>
      <c r="L16" s="37">
        <v>0</v>
      </c>
      <c r="M16" s="38">
        <v>0.99</v>
      </c>
      <c r="N16" s="38">
        <v>0.44</v>
      </c>
      <c r="O16" s="37">
        <v>0</v>
      </c>
      <c r="P16" s="38">
        <v>1.4200000000000002</v>
      </c>
      <c r="Q16" s="38">
        <v>0.47000000000000003</v>
      </c>
      <c r="R16" s="38">
        <v>1.1600000000000001</v>
      </c>
      <c r="S16" s="38">
        <v>0.31000000000000005</v>
      </c>
      <c r="T16" s="38">
        <v>0.5</v>
      </c>
      <c r="U16" s="38">
        <v>0.26</v>
      </c>
      <c r="V16" s="38">
        <v>0.44999999999999996</v>
      </c>
      <c r="W16" s="37">
        <v>0</v>
      </c>
      <c r="X16" s="38">
        <v>0.67</v>
      </c>
      <c r="Y16" s="38">
        <v>0.2</v>
      </c>
      <c r="Z16" s="38">
        <v>3.63</v>
      </c>
      <c r="AA16" s="38">
        <v>1.56</v>
      </c>
      <c r="AB16" s="37">
        <v>0</v>
      </c>
      <c r="AC16" s="38">
        <v>1.44</v>
      </c>
      <c r="AD16" s="37">
        <v>0</v>
      </c>
      <c r="AE16" s="37">
        <v>0</v>
      </c>
      <c r="AF16" s="38">
        <v>3.59</v>
      </c>
      <c r="AG16" s="38">
        <v>4.7899999999999991</v>
      </c>
      <c r="AH16" s="38">
        <v>0.2</v>
      </c>
      <c r="AI16" s="38">
        <v>0.37</v>
      </c>
      <c r="AJ16" s="38">
        <v>0.48</v>
      </c>
      <c r="AK16" s="37">
        <v>40</v>
      </c>
      <c r="AL16" s="37">
        <v>40</v>
      </c>
      <c r="AM16" s="37">
        <v>2604.04</v>
      </c>
      <c r="AN16" s="38">
        <v>195.98199600000001</v>
      </c>
      <c r="AO16" s="38">
        <v>42.3</v>
      </c>
      <c r="AP16" s="37">
        <v>2604.04</v>
      </c>
      <c r="AQ16" s="38">
        <v>7.85</v>
      </c>
      <c r="AR16" s="38">
        <v>0</v>
      </c>
      <c r="AS16" s="38">
        <v>4.71</v>
      </c>
      <c r="AT16" s="36">
        <v>84965.94</v>
      </c>
      <c r="AU16" s="38">
        <v>3037.0499999999993</v>
      </c>
      <c r="AV16" s="38">
        <v>0</v>
      </c>
      <c r="AW16" s="38">
        <v>3537.2699999999995</v>
      </c>
      <c r="AX16" s="38">
        <v>1572.12</v>
      </c>
      <c r="AY16" s="38">
        <v>0</v>
      </c>
      <c r="AZ16" s="38">
        <v>5073.6600000000008</v>
      </c>
      <c r="BA16" s="38">
        <v>1679.31</v>
      </c>
      <c r="BB16" s="38">
        <v>4144.68</v>
      </c>
      <c r="BC16" s="38">
        <v>1107.6300000000001</v>
      </c>
      <c r="BD16" s="38">
        <v>1786.5</v>
      </c>
      <c r="BE16" s="38">
        <v>928.98</v>
      </c>
      <c r="BF16" s="38">
        <v>1607.85</v>
      </c>
      <c r="BG16" s="38">
        <v>0</v>
      </c>
      <c r="BH16" s="38">
        <v>2393.91</v>
      </c>
      <c r="BI16" s="38">
        <v>714.6</v>
      </c>
      <c r="BJ16" s="38">
        <v>12969.99</v>
      </c>
      <c r="BK16" s="38">
        <v>5573.88</v>
      </c>
      <c r="BL16" s="38">
        <v>0</v>
      </c>
      <c r="BM16" s="38">
        <v>5145.12</v>
      </c>
      <c r="BN16" s="38">
        <v>0</v>
      </c>
      <c r="BO16" s="38">
        <v>0</v>
      </c>
      <c r="BP16" s="38">
        <v>12827.07</v>
      </c>
      <c r="BQ16" s="38">
        <v>17114.669999999998</v>
      </c>
      <c r="BR16" s="38">
        <v>714.6</v>
      </c>
      <c r="BS16" s="38">
        <v>1322.01</v>
      </c>
      <c r="BT16" s="38">
        <v>1715.04</v>
      </c>
    </row>
    <row r="17" spans="1:72" s="39" customFormat="1" ht="12" customHeight="1" x14ac:dyDescent="0.25">
      <c r="A17" s="30">
        <v>13</v>
      </c>
      <c r="B17" s="31" t="s">
        <v>334</v>
      </c>
      <c r="C17" s="32">
        <v>9375.2000000000007</v>
      </c>
      <c r="D17" s="33">
        <v>9375.2000000000007</v>
      </c>
      <c r="E17" s="34">
        <v>0</v>
      </c>
      <c r="F17" s="33">
        <v>2984.9</v>
      </c>
      <c r="G17" s="30" t="s">
        <v>321</v>
      </c>
      <c r="H17" s="35">
        <v>1</v>
      </c>
      <c r="I17" s="35" t="s">
        <v>322</v>
      </c>
      <c r="J17" s="36">
        <v>41.47</v>
      </c>
      <c r="K17" s="37">
        <v>0.84999999999999987</v>
      </c>
      <c r="L17" s="37">
        <v>0.68</v>
      </c>
      <c r="M17" s="37">
        <v>0.99</v>
      </c>
      <c r="N17" s="37">
        <v>0.44</v>
      </c>
      <c r="O17" s="37">
        <v>0.43000000000000005</v>
      </c>
      <c r="P17" s="37">
        <v>1.4200000000000002</v>
      </c>
      <c r="Q17" s="37">
        <v>0.47000000000000003</v>
      </c>
      <c r="R17" s="37">
        <v>1.1600000000000001</v>
      </c>
      <c r="S17" s="37">
        <v>0.31000000000000005</v>
      </c>
      <c r="T17" s="37">
        <v>0.5</v>
      </c>
      <c r="U17" s="37">
        <v>0.26</v>
      </c>
      <c r="V17" s="37">
        <v>0.44999999999999996</v>
      </c>
      <c r="W17" s="37">
        <v>4.66</v>
      </c>
      <c r="X17" s="37">
        <v>1.9400000000000002</v>
      </c>
      <c r="Y17" s="37">
        <v>0.2</v>
      </c>
      <c r="Z17" s="37">
        <v>3.63</v>
      </c>
      <c r="AA17" s="37">
        <v>1.56</v>
      </c>
      <c r="AB17" s="37">
        <v>1.8299999999999998</v>
      </c>
      <c r="AC17" s="37">
        <v>2.29</v>
      </c>
      <c r="AD17" s="37">
        <v>8.0500000000000007</v>
      </c>
      <c r="AE17" s="37">
        <v>0</v>
      </c>
      <c r="AF17" s="37">
        <v>3.4299999999999997</v>
      </c>
      <c r="AG17" s="37">
        <v>4.7899999999999991</v>
      </c>
      <c r="AH17" s="37">
        <v>0.2</v>
      </c>
      <c r="AI17" s="37">
        <v>0.43</v>
      </c>
      <c r="AJ17" s="37">
        <v>0.5</v>
      </c>
      <c r="AK17" s="37">
        <v>40</v>
      </c>
      <c r="AL17" s="37">
        <v>40</v>
      </c>
      <c r="AM17" s="38">
        <v>2193.54</v>
      </c>
      <c r="AN17" s="38">
        <v>171.393046</v>
      </c>
      <c r="AO17" s="38">
        <v>32.83</v>
      </c>
      <c r="AP17" s="38">
        <v>2193.54</v>
      </c>
      <c r="AQ17" s="38">
        <v>0</v>
      </c>
      <c r="AR17" s="38">
        <v>0</v>
      </c>
      <c r="AS17" s="38">
        <v>4.71</v>
      </c>
      <c r="AT17" s="36">
        <v>2332737.264</v>
      </c>
      <c r="AU17" s="38">
        <v>47813.52</v>
      </c>
      <c r="AV17" s="38">
        <v>38250.816000000006</v>
      </c>
      <c r="AW17" s="38">
        <v>55688.688000000002</v>
      </c>
      <c r="AX17" s="38">
        <v>24750.528000000006</v>
      </c>
      <c r="AY17" s="38">
        <v>24188.016000000003</v>
      </c>
      <c r="AZ17" s="38">
        <v>79876.704000000027</v>
      </c>
      <c r="BA17" s="38">
        <v>26438.064000000006</v>
      </c>
      <c r="BB17" s="38">
        <v>65251.392000000007</v>
      </c>
      <c r="BC17" s="38">
        <v>17437.872000000003</v>
      </c>
      <c r="BD17" s="38">
        <v>28125.600000000002</v>
      </c>
      <c r="BE17" s="38">
        <v>14625.312000000002</v>
      </c>
      <c r="BF17" s="38">
        <v>25313.040000000001</v>
      </c>
      <c r="BG17" s="38">
        <v>262130.59200000006</v>
      </c>
      <c r="BH17" s="38">
        <v>109127.32800000001</v>
      </c>
      <c r="BI17" s="38">
        <v>11250.240000000002</v>
      </c>
      <c r="BJ17" s="38">
        <v>204191.85600000003</v>
      </c>
      <c r="BK17" s="38">
        <v>87751.872000000003</v>
      </c>
      <c r="BL17" s="38">
        <v>102939.696</v>
      </c>
      <c r="BM17" s="38">
        <v>128815.24800000002</v>
      </c>
      <c r="BN17" s="38">
        <v>452822.16000000009</v>
      </c>
      <c r="BO17" s="38">
        <v>0</v>
      </c>
      <c r="BP17" s="38">
        <v>192941.61600000001</v>
      </c>
      <c r="BQ17" s="38">
        <v>269443.24800000002</v>
      </c>
      <c r="BR17" s="38">
        <v>11250.240000000002</v>
      </c>
      <c r="BS17" s="38">
        <v>24188.016000000003</v>
      </c>
      <c r="BT17" s="38">
        <v>28125.600000000002</v>
      </c>
    </row>
    <row r="18" spans="1:72" s="39" customFormat="1" ht="12" customHeight="1" x14ac:dyDescent="0.25">
      <c r="A18" s="30">
        <v>14</v>
      </c>
      <c r="B18" s="31" t="s">
        <v>335</v>
      </c>
      <c r="C18" s="32">
        <v>6810.3</v>
      </c>
      <c r="D18" s="33">
        <v>5657.3</v>
      </c>
      <c r="E18" s="34">
        <v>1153</v>
      </c>
      <c r="F18" s="33">
        <v>1542.1</v>
      </c>
      <c r="G18" s="30" t="s">
        <v>321</v>
      </c>
      <c r="H18" s="35">
        <v>1</v>
      </c>
      <c r="I18" s="35" t="s">
        <v>322</v>
      </c>
      <c r="J18" s="36">
        <v>41.47</v>
      </c>
      <c r="K18" s="37">
        <v>0.84999999999999987</v>
      </c>
      <c r="L18" s="37">
        <v>0.68</v>
      </c>
      <c r="M18" s="37">
        <v>0.99</v>
      </c>
      <c r="N18" s="37">
        <v>0.44</v>
      </c>
      <c r="O18" s="37">
        <v>0.43000000000000005</v>
      </c>
      <c r="P18" s="37">
        <v>1.4200000000000002</v>
      </c>
      <c r="Q18" s="37">
        <v>0.47000000000000003</v>
      </c>
      <c r="R18" s="37">
        <v>1.1600000000000001</v>
      </c>
      <c r="S18" s="37">
        <v>0.31000000000000005</v>
      </c>
      <c r="T18" s="37">
        <v>0.5</v>
      </c>
      <c r="U18" s="37">
        <v>0.26</v>
      </c>
      <c r="V18" s="37">
        <v>0.44999999999999996</v>
      </c>
      <c r="W18" s="37">
        <v>4.66</v>
      </c>
      <c r="X18" s="37">
        <v>1.9400000000000002</v>
      </c>
      <c r="Y18" s="37">
        <v>0.2</v>
      </c>
      <c r="Z18" s="37">
        <v>3.63</v>
      </c>
      <c r="AA18" s="37">
        <v>1.56</v>
      </c>
      <c r="AB18" s="37">
        <v>1.8299999999999998</v>
      </c>
      <c r="AC18" s="37">
        <v>2.29</v>
      </c>
      <c r="AD18" s="37">
        <v>8.0500000000000007</v>
      </c>
      <c r="AE18" s="37">
        <v>0</v>
      </c>
      <c r="AF18" s="37">
        <v>3.4299999999999997</v>
      </c>
      <c r="AG18" s="37">
        <v>4.7899999999999991</v>
      </c>
      <c r="AH18" s="37">
        <v>0.2</v>
      </c>
      <c r="AI18" s="37">
        <v>0.43</v>
      </c>
      <c r="AJ18" s="37">
        <v>0.5</v>
      </c>
      <c r="AK18" s="37">
        <v>40</v>
      </c>
      <c r="AL18" s="37">
        <v>40</v>
      </c>
      <c r="AM18" s="38">
        <v>2193.54</v>
      </c>
      <c r="AN18" s="38">
        <v>171.393046</v>
      </c>
      <c r="AO18" s="38">
        <v>32.83</v>
      </c>
      <c r="AP18" s="38">
        <v>2193.54</v>
      </c>
      <c r="AQ18" s="38">
        <v>0</v>
      </c>
      <c r="AR18" s="38">
        <v>0</v>
      </c>
      <c r="AS18" s="38">
        <v>4.71</v>
      </c>
      <c r="AT18" s="36">
        <v>1694538.8459999999</v>
      </c>
      <c r="AU18" s="38">
        <v>34732.53</v>
      </c>
      <c r="AV18" s="38">
        <v>27786.024000000005</v>
      </c>
      <c r="AW18" s="38">
        <v>40453.182000000001</v>
      </c>
      <c r="AX18" s="38">
        <v>17979.192000000003</v>
      </c>
      <c r="AY18" s="38">
        <v>17570.574000000004</v>
      </c>
      <c r="AZ18" s="38">
        <v>58023.756000000008</v>
      </c>
      <c r="BA18" s="38">
        <v>19205.046000000002</v>
      </c>
      <c r="BB18" s="38">
        <v>47399.688000000009</v>
      </c>
      <c r="BC18" s="38">
        <v>12667.158000000001</v>
      </c>
      <c r="BD18" s="38">
        <v>20430.900000000001</v>
      </c>
      <c r="BE18" s="38">
        <v>10624.068000000001</v>
      </c>
      <c r="BF18" s="38">
        <v>18387.809999999998</v>
      </c>
      <c r="BG18" s="38">
        <v>190415.98800000001</v>
      </c>
      <c r="BH18" s="38">
        <v>79271.892000000007</v>
      </c>
      <c r="BI18" s="38">
        <v>8172.3600000000006</v>
      </c>
      <c r="BJ18" s="38">
        <v>148328.334</v>
      </c>
      <c r="BK18" s="38">
        <v>63744.40800000001</v>
      </c>
      <c r="BL18" s="38">
        <v>74777.093999999997</v>
      </c>
      <c r="BM18" s="38">
        <v>93573.522000000012</v>
      </c>
      <c r="BN18" s="38">
        <v>328937.49000000005</v>
      </c>
      <c r="BO18" s="38">
        <v>0</v>
      </c>
      <c r="BP18" s="38">
        <v>140155.97399999999</v>
      </c>
      <c r="BQ18" s="38">
        <v>195728.02199999997</v>
      </c>
      <c r="BR18" s="38">
        <v>8172.3600000000006</v>
      </c>
      <c r="BS18" s="38">
        <v>17570.574000000001</v>
      </c>
      <c r="BT18" s="38">
        <v>20430.900000000001</v>
      </c>
    </row>
    <row r="19" spans="1:72" s="39" customFormat="1" ht="12" customHeight="1" x14ac:dyDescent="0.25">
      <c r="A19" s="30">
        <v>15</v>
      </c>
      <c r="B19" s="31" t="s">
        <v>336</v>
      </c>
      <c r="C19" s="32">
        <v>12320.1</v>
      </c>
      <c r="D19" s="33">
        <v>12320.1</v>
      </c>
      <c r="E19" s="34">
        <v>0</v>
      </c>
      <c r="F19" s="33">
        <v>2861.6</v>
      </c>
      <c r="G19" s="30" t="s">
        <v>321</v>
      </c>
      <c r="H19" s="35">
        <v>1</v>
      </c>
      <c r="I19" s="35" t="s">
        <v>322</v>
      </c>
      <c r="J19" s="36">
        <v>41.47</v>
      </c>
      <c r="K19" s="37">
        <v>0.84999999999999987</v>
      </c>
      <c r="L19" s="37">
        <v>0.68</v>
      </c>
      <c r="M19" s="37">
        <v>0.99</v>
      </c>
      <c r="N19" s="37">
        <v>0.44</v>
      </c>
      <c r="O19" s="37">
        <v>0.43000000000000005</v>
      </c>
      <c r="P19" s="37">
        <v>1.4200000000000002</v>
      </c>
      <c r="Q19" s="37">
        <v>0.47000000000000003</v>
      </c>
      <c r="R19" s="37">
        <v>1.1600000000000001</v>
      </c>
      <c r="S19" s="37">
        <v>0.31000000000000005</v>
      </c>
      <c r="T19" s="37">
        <v>0.5</v>
      </c>
      <c r="U19" s="37">
        <v>0.26</v>
      </c>
      <c r="V19" s="37">
        <v>0.44999999999999996</v>
      </c>
      <c r="W19" s="37">
        <v>4.66</v>
      </c>
      <c r="X19" s="37">
        <v>1.9400000000000002</v>
      </c>
      <c r="Y19" s="37">
        <v>0.2</v>
      </c>
      <c r="Z19" s="37">
        <v>3.63</v>
      </c>
      <c r="AA19" s="37">
        <v>1.56</v>
      </c>
      <c r="AB19" s="37">
        <v>1.8299999999999998</v>
      </c>
      <c r="AC19" s="37">
        <v>2.29</v>
      </c>
      <c r="AD19" s="37">
        <v>8.0500000000000007</v>
      </c>
      <c r="AE19" s="37">
        <v>0</v>
      </c>
      <c r="AF19" s="37">
        <v>3.4299999999999997</v>
      </c>
      <c r="AG19" s="37">
        <v>4.7899999999999991</v>
      </c>
      <c r="AH19" s="37">
        <v>0.2</v>
      </c>
      <c r="AI19" s="37">
        <v>0.43</v>
      </c>
      <c r="AJ19" s="37">
        <v>0.5</v>
      </c>
      <c r="AK19" s="37">
        <v>40</v>
      </c>
      <c r="AL19" s="37">
        <v>40</v>
      </c>
      <c r="AM19" s="38">
        <v>2193.54</v>
      </c>
      <c r="AN19" s="38">
        <v>171.393046</v>
      </c>
      <c r="AO19" s="38">
        <v>32.83</v>
      </c>
      <c r="AP19" s="38">
        <v>2193.54</v>
      </c>
      <c r="AQ19" s="38">
        <v>0</v>
      </c>
      <c r="AR19" s="38">
        <v>0</v>
      </c>
      <c r="AS19" s="38">
        <v>4.71</v>
      </c>
      <c r="AT19" s="36">
        <v>3065487.2820000001</v>
      </c>
      <c r="AU19" s="38">
        <v>62832.509999999995</v>
      </c>
      <c r="AV19" s="38">
        <v>50266.008000000009</v>
      </c>
      <c r="AW19" s="38">
        <v>73181.394</v>
      </c>
      <c r="AX19" s="38">
        <v>32525.063999999998</v>
      </c>
      <c r="AY19" s="38">
        <v>31785.858000000007</v>
      </c>
      <c r="AZ19" s="38">
        <v>104967.25200000001</v>
      </c>
      <c r="BA19" s="38">
        <v>34742.682000000001</v>
      </c>
      <c r="BB19" s="38">
        <v>85747.896000000008</v>
      </c>
      <c r="BC19" s="38">
        <v>22915.386000000006</v>
      </c>
      <c r="BD19" s="38">
        <v>36960.300000000003</v>
      </c>
      <c r="BE19" s="38">
        <v>19219.356</v>
      </c>
      <c r="BF19" s="38">
        <v>33264.269999999997</v>
      </c>
      <c r="BG19" s="38">
        <v>344469.99600000004</v>
      </c>
      <c r="BH19" s="38">
        <v>143405.96400000001</v>
      </c>
      <c r="BI19" s="38">
        <v>14784.120000000003</v>
      </c>
      <c r="BJ19" s="38">
        <v>268331.77800000005</v>
      </c>
      <c r="BK19" s="38">
        <v>115316.136</v>
      </c>
      <c r="BL19" s="38">
        <v>135274.698</v>
      </c>
      <c r="BM19" s="38">
        <v>169278.174</v>
      </c>
      <c r="BN19" s="38">
        <v>595060.83000000007</v>
      </c>
      <c r="BO19" s="38">
        <v>0</v>
      </c>
      <c r="BP19" s="38">
        <v>253547.658</v>
      </c>
      <c r="BQ19" s="38">
        <v>354079.67399999994</v>
      </c>
      <c r="BR19" s="38">
        <v>14784.120000000003</v>
      </c>
      <c r="BS19" s="38">
        <v>31785.858</v>
      </c>
      <c r="BT19" s="38">
        <v>36960.300000000003</v>
      </c>
    </row>
    <row r="20" spans="1:72" s="39" customFormat="1" ht="12" customHeight="1" x14ac:dyDescent="0.25">
      <c r="A20" s="30">
        <v>16</v>
      </c>
      <c r="B20" s="31" t="s">
        <v>337</v>
      </c>
      <c r="C20" s="32">
        <v>17962.04</v>
      </c>
      <c r="D20" s="33">
        <v>17849.54</v>
      </c>
      <c r="E20" s="34">
        <v>112.5</v>
      </c>
      <c r="F20" s="33">
        <v>4722.8999999999996</v>
      </c>
      <c r="G20" s="30" t="s">
        <v>321</v>
      </c>
      <c r="H20" s="35">
        <v>1</v>
      </c>
      <c r="I20" s="35" t="s">
        <v>322</v>
      </c>
      <c r="J20" s="36">
        <v>41.47</v>
      </c>
      <c r="K20" s="37">
        <v>0.84999999999999987</v>
      </c>
      <c r="L20" s="37">
        <v>0.68</v>
      </c>
      <c r="M20" s="37">
        <v>0.99</v>
      </c>
      <c r="N20" s="37">
        <v>0.44</v>
      </c>
      <c r="O20" s="37">
        <v>0.43000000000000005</v>
      </c>
      <c r="P20" s="37">
        <v>1.4200000000000002</v>
      </c>
      <c r="Q20" s="37">
        <v>0.47000000000000003</v>
      </c>
      <c r="R20" s="37">
        <v>1.1600000000000001</v>
      </c>
      <c r="S20" s="37">
        <v>0.31000000000000005</v>
      </c>
      <c r="T20" s="37">
        <v>0.5</v>
      </c>
      <c r="U20" s="37">
        <v>0.26</v>
      </c>
      <c r="V20" s="37">
        <v>0.44999999999999996</v>
      </c>
      <c r="W20" s="37">
        <v>4.66</v>
      </c>
      <c r="X20" s="37">
        <v>1.9400000000000002</v>
      </c>
      <c r="Y20" s="37">
        <v>0.2</v>
      </c>
      <c r="Z20" s="37">
        <v>3.63</v>
      </c>
      <c r="AA20" s="37">
        <v>1.56</v>
      </c>
      <c r="AB20" s="37">
        <v>1.8299999999999998</v>
      </c>
      <c r="AC20" s="37">
        <v>2.29</v>
      </c>
      <c r="AD20" s="37">
        <v>8.0500000000000007</v>
      </c>
      <c r="AE20" s="37">
        <v>0</v>
      </c>
      <c r="AF20" s="37">
        <v>3.4299999999999997</v>
      </c>
      <c r="AG20" s="37">
        <v>4.7899999999999991</v>
      </c>
      <c r="AH20" s="37">
        <v>0.2</v>
      </c>
      <c r="AI20" s="37">
        <v>0.43</v>
      </c>
      <c r="AJ20" s="37">
        <v>0.5</v>
      </c>
      <c r="AK20" s="37">
        <v>40</v>
      </c>
      <c r="AL20" s="37">
        <v>40</v>
      </c>
      <c r="AM20" s="38">
        <v>2193.54</v>
      </c>
      <c r="AN20" s="38">
        <v>171.393046</v>
      </c>
      <c r="AO20" s="38">
        <v>32.83</v>
      </c>
      <c r="AP20" s="38">
        <v>2193.54</v>
      </c>
      <c r="AQ20" s="38">
        <v>0</v>
      </c>
      <c r="AR20" s="38">
        <v>0</v>
      </c>
      <c r="AS20" s="38">
        <v>4.71</v>
      </c>
      <c r="AT20" s="36">
        <v>4469314.7927999999</v>
      </c>
      <c r="AU20" s="38">
        <v>91606.403999999995</v>
      </c>
      <c r="AV20" s="38">
        <v>73285.123200000016</v>
      </c>
      <c r="AW20" s="38">
        <v>106694.51760000001</v>
      </c>
      <c r="AX20" s="38">
        <v>47419.785600000003</v>
      </c>
      <c r="AY20" s="38">
        <v>46342.063200000004</v>
      </c>
      <c r="AZ20" s="38">
        <v>153036.58080000003</v>
      </c>
      <c r="BA20" s="38">
        <v>50652.952800000006</v>
      </c>
      <c r="BB20" s="38">
        <v>125015.79840000003</v>
      </c>
      <c r="BC20" s="38">
        <v>33409.394400000005</v>
      </c>
      <c r="BD20" s="38">
        <v>53886.12</v>
      </c>
      <c r="BE20" s="38">
        <v>28020.7824</v>
      </c>
      <c r="BF20" s="38">
        <v>48497.508000000002</v>
      </c>
      <c r="BG20" s="38">
        <v>502218.63840000005</v>
      </c>
      <c r="BH20" s="38">
        <v>209078.14560000002</v>
      </c>
      <c r="BI20" s="38">
        <v>21554.448000000004</v>
      </c>
      <c r="BJ20" s="38">
        <v>391213.23120000004</v>
      </c>
      <c r="BK20" s="38">
        <v>168124.69440000004</v>
      </c>
      <c r="BL20" s="38">
        <v>197223.19919999997</v>
      </c>
      <c r="BM20" s="38">
        <v>246798.42960000003</v>
      </c>
      <c r="BN20" s="38">
        <v>867566.53200000012</v>
      </c>
      <c r="BO20" s="38">
        <v>0</v>
      </c>
      <c r="BP20" s="38">
        <v>369658.78320000001</v>
      </c>
      <c r="BQ20" s="38">
        <v>516229.02959999989</v>
      </c>
      <c r="BR20" s="38">
        <v>21554.448000000004</v>
      </c>
      <c r="BS20" s="38">
        <v>46342.063200000004</v>
      </c>
      <c r="BT20" s="38">
        <v>53886.12</v>
      </c>
    </row>
    <row r="21" spans="1:72" s="39" customFormat="1" ht="12" customHeight="1" x14ac:dyDescent="0.25">
      <c r="A21" s="30">
        <v>17</v>
      </c>
      <c r="B21" s="31" t="s">
        <v>338</v>
      </c>
      <c r="C21" s="32">
        <v>2990.6</v>
      </c>
      <c r="D21" s="33">
        <v>2990.6</v>
      </c>
      <c r="E21" s="34">
        <v>0</v>
      </c>
      <c r="F21" s="33">
        <v>1123.4000000000001</v>
      </c>
      <c r="G21" s="30" t="s">
        <v>321</v>
      </c>
      <c r="H21" s="35">
        <v>1</v>
      </c>
      <c r="I21" s="35" t="s">
        <v>322</v>
      </c>
      <c r="J21" s="36">
        <v>41.47</v>
      </c>
      <c r="K21" s="37">
        <v>0.84999999999999987</v>
      </c>
      <c r="L21" s="37">
        <v>0.68</v>
      </c>
      <c r="M21" s="37">
        <v>0.99</v>
      </c>
      <c r="N21" s="37">
        <v>0.44</v>
      </c>
      <c r="O21" s="37">
        <v>0.43000000000000005</v>
      </c>
      <c r="P21" s="37">
        <v>1.4200000000000002</v>
      </c>
      <c r="Q21" s="37">
        <v>0.47000000000000003</v>
      </c>
      <c r="R21" s="37">
        <v>1.1600000000000001</v>
      </c>
      <c r="S21" s="37">
        <v>0.31000000000000005</v>
      </c>
      <c r="T21" s="37">
        <v>0.5</v>
      </c>
      <c r="U21" s="37">
        <v>0.26</v>
      </c>
      <c r="V21" s="37">
        <v>0.44999999999999996</v>
      </c>
      <c r="W21" s="37">
        <v>4.66</v>
      </c>
      <c r="X21" s="37">
        <v>1.9400000000000002</v>
      </c>
      <c r="Y21" s="37">
        <v>0.2</v>
      </c>
      <c r="Z21" s="37">
        <v>3.63</v>
      </c>
      <c r="AA21" s="37">
        <v>1.56</v>
      </c>
      <c r="AB21" s="37">
        <v>1.8299999999999998</v>
      </c>
      <c r="AC21" s="37">
        <v>2.29</v>
      </c>
      <c r="AD21" s="37">
        <v>8.0500000000000007</v>
      </c>
      <c r="AE21" s="37">
        <v>0</v>
      </c>
      <c r="AF21" s="37">
        <v>3.4299999999999997</v>
      </c>
      <c r="AG21" s="37">
        <v>4.7899999999999991</v>
      </c>
      <c r="AH21" s="37">
        <v>0.2</v>
      </c>
      <c r="AI21" s="37">
        <v>0.43</v>
      </c>
      <c r="AJ21" s="37">
        <v>0.5</v>
      </c>
      <c r="AK21" s="37">
        <v>40</v>
      </c>
      <c r="AL21" s="37">
        <v>40</v>
      </c>
      <c r="AM21" s="38">
        <v>2193.54</v>
      </c>
      <c r="AN21" s="38">
        <v>171.393046</v>
      </c>
      <c r="AO21" s="38">
        <v>32.83</v>
      </c>
      <c r="AP21" s="38">
        <v>2193.54</v>
      </c>
      <c r="AQ21" s="38">
        <v>0</v>
      </c>
      <c r="AR21" s="38">
        <v>0</v>
      </c>
      <c r="AS21" s="38">
        <v>4.71</v>
      </c>
      <c r="AT21" s="36">
        <v>744121.09199999995</v>
      </c>
      <c r="AU21" s="38">
        <v>15252.059999999996</v>
      </c>
      <c r="AV21" s="38">
        <v>12201.648000000001</v>
      </c>
      <c r="AW21" s="38">
        <v>17764.164000000001</v>
      </c>
      <c r="AX21" s="38">
        <v>7895.1840000000002</v>
      </c>
      <c r="AY21" s="38">
        <v>7715.7480000000005</v>
      </c>
      <c r="AZ21" s="38">
        <v>25479.912</v>
      </c>
      <c r="BA21" s="38">
        <v>8433.4920000000002</v>
      </c>
      <c r="BB21" s="38">
        <v>20814.576000000001</v>
      </c>
      <c r="BC21" s="38">
        <v>5562.5160000000005</v>
      </c>
      <c r="BD21" s="38">
        <v>8971.7999999999993</v>
      </c>
      <c r="BE21" s="38">
        <v>4665.3360000000002</v>
      </c>
      <c r="BF21" s="38">
        <v>8074.619999999999</v>
      </c>
      <c r="BG21" s="38">
        <v>83617.176000000007</v>
      </c>
      <c r="BH21" s="38">
        <v>34810.584000000003</v>
      </c>
      <c r="BI21" s="38">
        <v>3588.7200000000003</v>
      </c>
      <c r="BJ21" s="38">
        <v>65135.267999999996</v>
      </c>
      <c r="BK21" s="38">
        <v>27992.016000000003</v>
      </c>
      <c r="BL21" s="38">
        <v>32836.788</v>
      </c>
      <c r="BM21" s="38">
        <v>41090.843999999997</v>
      </c>
      <c r="BN21" s="38">
        <v>144445.98000000001</v>
      </c>
      <c r="BO21" s="38">
        <v>0</v>
      </c>
      <c r="BP21" s="38">
        <v>61546.547999999988</v>
      </c>
      <c r="BQ21" s="38">
        <v>85949.843999999983</v>
      </c>
      <c r="BR21" s="38">
        <v>3588.7200000000003</v>
      </c>
      <c r="BS21" s="38">
        <v>7715.7479999999996</v>
      </c>
      <c r="BT21" s="38">
        <v>8971.7999999999993</v>
      </c>
    </row>
    <row r="22" spans="1:72" s="39" customFormat="1" ht="12" customHeight="1" x14ac:dyDescent="0.25">
      <c r="A22" s="30">
        <v>18</v>
      </c>
      <c r="B22" s="31" t="s">
        <v>339</v>
      </c>
      <c r="C22" s="32">
        <v>8629.7999999999993</v>
      </c>
      <c r="D22" s="33">
        <v>6852.2</v>
      </c>
      <c r="E22" s="34">
        <v>1777.6</v>
      </c>
      <c r="F22" s="33">
        <v>2040</v>
      </c>
      <c r="G22" s="30" t="s">
        <v>321</v>
      </c>
      <c r="H22" s="35">
        <v>1</v>
      </c>
      <c r="I22" s="35" t="s">
        <v>322</v>
      </c>
      <c r="J22" s="36">
        <v>41.47</v>
      </c>
      <c r="K22" s="37">
        <v>0.84999999999999987</v>
      </c>
      <c r="L22" s="37">
        <v>0.68</v>
      </c>
      <c r="M22" s="37">
        <v>0.99</v>
      </c>
      <c r="N22" s="37">
        <v>0.44</v>
      </c>
      <c r="O22" s="37">
        <v>0.43000000000000005</v>
      </c>
      <c r="P22" s="37">
        <v>1.4200000000000002</v>
      </c>
      <c r="Q22" s="37">
        <v>0.47000000000000003</v>
      </c>
      <c r="R22" s="37">
        <v>1.1600000000000001</v>
      </c>
      <c r="S22" s="37">
        <v>0.31000000000000005</v>
      </c>
      <c r="T22" s="37">
        <v>0.5</v>
      </c>
      <c r="U22" s="37">
        <v>0.26</v>
      </c>
      <c r="V22" s="37">
        <v>0.44999999999999996</v>
      </c>
      <c r="W22" s="37">
        <v>4.66</v>
      </c>
      <c r="X22" s="37">
        <v>1.9400000000000002</v>
      </c>
      <c r="Y22" s="37">
        <v>0.2</v>
      </c>
      <c r="Z22" s="37">
        <v>3.63</v>
      </c>
      <c r="AA22" s="37">
        <v>1.56</v>
      </c>
      <c r="AB22" s="37">
        <v>1.8299999999999998</v>
      </c>
      <c r="AC22" s="37">
        <v>2.29</v>
      </c>
      <c r="AD22" s="37">
        <v>8.0500000000000007</v>
      </c>
      <c r="AE22" s="37">
        <v>0</v>
      </c>
      <c r="AF22" s="37">
        <v>3.4299999999999997</v>
      </c>
      <c r="AG22" s="37">
        <v>4.7899999999999991</v>
      </c>
      <c r="AH22" s="37">
        <v>0.2</v>
      </c>
      <c r="AI22" s="37">
        <v>0.43</v>
      </c>
      <c r="AJ22" s="37">
        <v>0.5</v>
      </c>
      <c r="AK22" s="37">
        <v>40</v>
      </c>
      <c r="AL22" s="37">
        <v>40</v>
      </c>
      <c r="AM22" s="38">
        <v>2193.54</v>
      </c>
      <c r="AN22" s="38">
        <v>171.393046</v>
      </c>
      <c r="AO22" s="38">
        <v>32.83</v>
      </c>
      <c r="AP22" s="38">
        <v>2193.54</v>
      </c>
      <c r="AQ22" s="38">
        <v>0</v>
      </c>
      <c r="AR22" s="38">
        <v>0</v>
      </c>
      <c r="AS22" s="38">
        <v>4.71</v>
      </c>
      <c r="AT22" s="36">
        <v>2147266.8360000001</v>
      </c>
      <c r="AU22" s="38">
        <v>44011.979999999989</v>
      </c>
      <c r="AV22" s="38">
        <v>35209.584000000003</v>
      </c>
      <c r="AW22" s="38">
        <v>51261.011999999988</v>
      </c>
      <c r="AX22" s="38">
        <v>22782.671999999999</v>
      </c>
      <c r="AY22" s="38">
        <v>22264.884000000002</v>
      </c>
      <c r="AZ22" s="38">
        <v>73525.896000000008</v>
      </c>
      <c r="BA22" s="38">
        <v>24336.036</v>
      </c>
      <c r="BB22" s="38">
        <v>60063.40800000001</v>
      </c>
      <c r="BC22" s="38">
        <v>16051.428000000002</v>
      </c>
      <c r="BD22" s="38">
        <v>25889.399999999998</v>
      </c>
      <c r="BE22" s="38">
        <v>13462.488000000001</v>
      </c>
      <c r="BF22" s="38">
        <v>23300.459999999995</v>
      </c>
      <c r="BG22" s="38">
        <v>241289.20799999998</v>
      </c>
      <c r="BH22" s="38">
        <v>100450.872</v>
      </c>
      <c r="BI22" s="38">
        <v>10355.76</v>
      </c>
      <c r="BJ22" s="38">
        <v>187957.04399999997</v>
      </c>
      <c r="BK22" s="38">
        <v>80774.928</v>
      </c>
      <c r="BL22" s="38">
        <v>94755.203999999983</v>
      </c>
      <c r="BM22" s="38">
        <v>118573.45199999999</v>
      </c>
      <c r="BN22" s="38">
        <v>416819.33999999997</v>
      </c>
      <c r="BO22" s="38">
        <v>0</v>
      </c>
      <c r="BP22" s="38">
        <v>177601.28399999999</v>
      </c>
      <c r="BQ22" s="38">
        <v>248020.45199999993</v>
      </c>
      <c r="BR22" s="38">
        <v>10355.76</v>
      </c>
      <c r="BS22" s="38">
        <v>22264.883999999998</v>
      </c>
      <c r="BT22" s="38">
        <v>25889.399999999998</v>
      </c>
    </row>
    <row r="23" spans="1:72" s="39" customFormat="1" ht="12" customHeight="1" x14ac:dyDescent="0.25">
      <c r="A23" s="30">
        <v>19</v>
      </c>
      <c r="B23" s="31" t="s">
        <v>340</v>
      </c>
      <c r="C23" s="32">
        <v>9350.4</v>
      </c>
      <c r="D23" s="33">
        <v>9350.4</v>
      </c>
      <c r="E23" s="34">
        <v>0</v>
      </c>
      <c r="F23" s="33">
        <v>2655.2</v>
      </c>
      <c r="G23" s="30" t="s">
        <v>321</v>
      </c>
      <c r="H23" s="35">
        <v>1</v>
      </c>
      <c r="I23" s="35" t="s">
        <v>322</v>
      </c>
      <c r="J23" s="36">
        <v>41.47</v>
      </c>
      <c r="K23" s="37">
        <v>0.84999999999999987</v>
      </c>
      <c r="L23" s="37">
        <v>0.68</v>
      </c>
      <c r="M23" s="37">
        <v>0.99</v>
      </c>
      <c r="N23" s="37">
        <v>0.44</v>
      </c>
      <c r="O23" s="37">
        <v>0.43000000000000005</v>
      </c>
      <c r="P23" s="37">
        <v>1.4200000000000002</v>
      </c>
      <c r="Q23" s="37">
        <v>0.47000000000000003</v>
      </c>
      <c r="R23" s="37">
        <v>1.1600000000000001</v>
      </c>
      <c r="S23" s="37">
        <v>0.31000000000000005</v>
      </c>
      <c r="T23" s="37">
        <v>0.5</v>
      </c>
      <c r="U23" s="37">
        <v>0.26</v>
      </c>
      <c r="V23" s="37">
        <v>0.44999999999999996</v>
      </c>
      <c r="W23" s="37">
        <v>4.66</v>
      </c>
      <c r="X23" s="37">
        <v>1.9400000000000002</v>
      </c>
      <c r="Y23" s="37">
        <v>0.2</v>
      </c>
      <c r="Z23" s="37">
        <v>3.63</v>
      </c>
      <c r="AA23" s="37">
        <v>1.56</v>
      </c>
      <c r="AB23" s="37">
        <v>1.8299999999999998</v>
      </c>
      <c r="AC23" s="37">
        <v>2.29</v>
      </c>
      <c r="AD23" s="37">
        <v>8.0500000000000007</v>
      </c>
      <c r="AE23" s="37">
        <v>0</v>
      </c>
      <c r="AF23" s="37">
        <v>3.4299999999999997</v>
      </c>
      <c r="AG23" s="37">
        <v>4.7899999999999991</v>
      </c>
      <c r="AH23" s="37">
        <v>0.2</v>
      </c>
      <c r="AI23" s="37">
        <v>0.43</v>
      </c>
      <c r="AJ23" s="37">
        <v>0.5</v>
      </c>
      <c r="AK23" s="37">
        <v>40</v>
      </c>
      <c r="AL23" s="37">
        <v>40</v>
      </c>
      <c r="AM23" s="38">
        <v>2193.54</v>
      </c>
      <c r="AN23" s="38">
        <v>171.393046</v>
      </c>
      <c r="AO23" s="38">
        <v>32.83</v>
      </c>
      <c r="AP23" s="38">
        <v>2193.54</v>
      </c>
      <c r="AQ23" s="38">
        <v>0</v>
      </c>
      <c r="AR23" s="38">
        <v>0</v>
      </c>
      <c r="AS23" s="38">
        <v>4.71</v>
      </c>
      <c r="AT23" s="36">
        <v>2326566.5279999999</v>
      </c>
      <c r="AU23" s="38">
        <v>47687.039999999994</v>
      </c>
      <c r="AV23" s="38">
        <v>38149.631999999998</v>
      </c>
      <c r="AW23" s="38">
        <v>55541.375999999989</v>
      </c>
      <c r="AX23" s="38">
        <v>24685.055999999997</v>
      </c>
      <c r="AY23" s="38">
        <v>24124.032000000003</v>
      </c>
      <c r="AZ23" s="38">
        <v>79665.40800000001</v>
      </c>
      <c r="BA23" s="38">
        <v>26368.128000000001</v>
      </c>
      <c r="BB23" s="38">
        <v>65078.784000000014</v>
      </c>
      <c r="BC23" s="38">
        <v>17391.744000000002</v>
      </c>
      <c r="BD23" s="38">
        <v>28051.199999999997</v>
      </c>
      <c r="BE23" s="38">
        <v>14586.624</v>
      </c>
      <c r="BF23" s="38">
        <v>25246.079999999994</v>
      </c>
      <c r="BG23" s="38">
        <v>261437.18400000001</v>
      </c>
      <c r="BH23" s="38">
        <v>108838.65600000002</v>
      </c>
      <c r="BI23" s="38">
        <v>11220.48</v>
      </c>
      <c r="BJ23" s="38">
        <v>203651.712</v>
      </c>
      <c r="BK23" s="38">
        <v>87519.744000000006</v>
      </c>
      <c r="BL23" s="38">
        <v>102667.39199999998</v>
      </c>
      <c r="BM23" s="38">
        <v>128474.49600000001</v>
      </c>
      <c r="BN23" s="38">
        <v>451624.32</v>
      </c>
      <c r="BO23" s="38">
        <v>0</v>
      </c>
      <c r="BP23" s="38">
        <v>192431.23199999996</v>
      </c>
      <c r="BQ23" s="38">
        <v>268730.49599999993</v>
      </c>
      <c r="BR23" s="38">
        <v>11220.48</v>
      </c>
      <c r="BS23" s="38">
        <v>24124.031999999999</v>
      </c>
      <c r="BT23" s="38">
        <v>28051.199999999997</v>
      </c>
    </row>
    <row r="24" spans="1:72" s="39" customFormat="1" ht="12" customHeight="1" x14ac:dyDescent="0.25">
      <c r="A24" s="30">
        <v>20</v>
      </c>
      <c r="B24" s="31" t="s">
        <v>341</v>
      </c>
      <c r="C24" s="32">
        <v>5632.5</v>
      </c>
      <c r="D24" s="33">
        <v>5272.4</v>
      </c>
      <c r="E24" s="34">
        <v>360.1</v>
      </c>
      <c r="F24" s="33">
        <v>2075.1999999999998</v>
      </c>
      <c r="G24" s="30" t="s">
        <v>321</v>
      </c>
      <c r="H24" s="35">
        <v>1</v>
      </c>
      <c r="I24" s="35" t="s">
        <v>322</v>
      </c>
      <c r="J24" s="36">
        <v>41.47</v>
      </c>
      <c r="K24" s="37">
        <v>0.84999999999999987</v>
      </c>
      <c r="L24" s="37">
        <v>0.68</v>
      </c>
      <c r="M24" s="37">
        <v>0.99</v>
      </c>
      <c r="N24" s="37">
        <v>0.44</v>
      </c>
      <c r="O24" s="37">
        <v>0.43000000000000005</v>
      </c>
      <c r="P24" s="37">
        <v>1.4200000000000002</v>
      </c>
      <c r="Q24" s="37">
        <v>0.47000000000000003</v>
      </c>
      <c r="R24" s="37">
        <v>1.1600000000000001</v>
      </c>
      <c r="S24" s="37">
        <v>0.31000000000000005</v>
      </c>
      <c r="T24" s="37">
        <v>0.5</v>
      </c>
      <c r="U24" s="37">
        <v>0.26</v>
      </c>
      <c r="V24" s="37">
        <v>0.44999999999999996</v>
      </c>
      <c r="W24" s="37">
        <v>4.66</v>
      </c>
      <c r="X24" s="37">
        <v>1.9400000000000002</v>
      </c>
      <c r="Y24" s="37">
        <v>0.2</v>
      </c>
      <c r="Z24" s="37">
        <v>3.63</v>
      </c>
      <c r="AA24" s="37">
        <v>1.56</v>
      </c>
      <c r="AB24" s="37">
        <v>1.8299999999999998</v>
      </c>
      <c r="AC24" s="37">
        <v>2.29</v>
      </c>
      <c r="AD24" s="37">
        <v>8.0500000000000007</v>
      </c>
      <c r="AE24" s="37">
        <v>0</v>
      </c>
      <c r="AF24" s="37">
        <v>3.4299999999999997</v>
      </c>
      <c r="AG24" s="37">
        <v>4.7899999999999991</v>
      </c>
      <c r="AH24" s="37">
        <v>0.2</v>
      </c>
      <c r="AI24" s="37">
        <v>0.43</v>
      </c>
      <c r="AJ24" s="37">
        <v>0.5</v>
      </c>
      <c r="AK24" s="37">
        <v>40</v>
      </c>
      <c r="AL24" s="37">
        <v>40</v>
      </c>
      <c r="AM24" s="38">
        <v>2193.54</v>
      </c>
      <c r="AN24" s="38">
        <v>171.393046</v>
      </c>
      <c r="AO24" s="38">
        <v>32.83</v>
      </c>
      <c r="AP24" s="38">
        <v>2193.54</v>
      </c>
      <c r="AQ24" s="38">
        <v>0</v>
      </c>
      <c r="AR24" s="38">
        <v>0</v>
      </c>
      <c r="AS24" s="38">
        <v>4.71</v>
      </c>
      <c r="AT24" s="36">
        <v>1401478.65</v>
      </c>
      <c r="AU24" s="38">
        <v>28725.749999999993</v>
      </c>
      <c r="AV24" s="38">
        <v>22980.600000000002</v>
      </c>
      <c r="AW24" s="38">
        <v>33457.050000000003</v>
      </c>
      <c r="AX24" s="38">
        <v>14869.800000000001</v>
      </c>
      <c r="AY24" s="38">
        <v>14531.850000000002</v>
      </c>
      <c r="AZ24" s="38">
        <v>47988.9</v>
      </c>
      <c r="BA24" s="38">
        <v>15883.650000000001</v>
      </c>
      <c r="BB24" s="38">
        <v>39202.200000000004</v>
      </c>
      <c r="BC24" s="38">
        <v>10476.450000000001</v>
      </c>
      <c r="BD24" s="38">
        <v>16897.5</v>
      </c>
      <c r="BE24" s="38">
        <v>8786.7000000000007</v>
      </c>
      <c r="BF24" s="38">
        <v>15207.749999999996</v>
      </c>
      <c r="BG24" s="38">
        <v>157484.70000000001</v>
      </c>
      <c r="BH24" s="38">
        <v>65562.3</v>
      </c>
      <c r="BI24" s="38">
        <v>6759</v>
      </c>
      <c r="BJ24" s="38">
        <v>122675.84999999999</v>
      </c>
      <c r="BK24" s="38">
        <v>52720.200000000004</v>
      </c>
      <c r="BL24" s="38">
        <v>61844.849999999991</v>
      </c>
      <c r="BM24" s="38">
        <v>77390.55</v>
      </c>
      <c r="BN24" s="38">
        <v>272049.75000000006</v>
      </c>
      <c r="BO24" s="38">
        <v>0</v>
      </c>
      <c r="BP24" s="38">
        <v>115916.84999999999</v>
      </c>
      <c r="BQ24" s="38">
        <v>161878.04999999999</v>
      </c>
      <c r="BR24" s="38">
        <v>6759</v>
      </c>
      <c r="BS24" s="38">
        <v>14531.849999999999</v>
      </c>
      <c r="BT24" s="38">
        <v>16897.5</v>
      </c>
    </row>
    <row r="25" spans="1:72" s="39" customFormat="1" ht="12" customHeight="1" x14ac:dyDescent="0.25">
      <c r="A25" s="30">
        <v>21</v>
      </c>
      <c r="B25" s="31" t="s">
        <v>342</v>
      </c>
      <c r="C25" s="32">
        <v>9440.6</v>
      </c>
      <c r="D25" s="33">
        <v>9320.2000000000007</v>
      </c>
      <c r="E25" s="34">
        <v>120.4</v>
      </c>
      <c r="F25" s="33">
        <v>1593.1</v>
      </c>
      <c r="G25" s="30" t="s">
        <v>321</v>
      </c>
      <c r="H25" s="35">
        <v>1</v>
      </c>
      <c r="I25" s="35" t="s">
        <v>322</v>
      </c>
      <c r="J25" s="36">
        <v>41.47</v>
      </c>
      <c r="K25" s="37">
        <v>0.84999999999999987</v>
      </c>
      <c r="L25" s="37">
        <v>0.68</v>
      </c>
      <c r="M25" s="37">
        <v>0.99</v>
      </c>
      <c r="N25" s="37">
        <v>0.44</v>
      </c>
      <c r="O25" s="37">
        <v>0.43000000000000005</v>
      </c>
      <c r="P25" s="37">
        <v>1.4200000000000002</v>
      </c>
      <c r="Q25" s="37">
        <v>0.47000000000000003</v>
      </c>
      <c r="R25" s="37">
        <v>1.1600000000000001</v>
      </c>
      <c r="S25" s="37">
        <v>0.31000000000000005</v>
      </c>
      <c r="T25" s="37">
        <v>0.5</v>
      </c>
      <c r="U25" s="37">
        <v>0.26</v>
      </c>
      <c r="V25" s="37">
        <v>0.44999999999999996</v>
      </c>
      <c r="W25" s="37">
        <v>4.66</v>
      </c>
      <c r="X25" s="37">
        <v>1.9400000000000002</v>
      </c>
      <c r="Y25" s="37">
        <v>0.2</v>
      </c>
      <c r="Z25" s="37">
        <v>3.63</v>
      </c>
      <c r="AA25" s="37">
        <v>1.56</v>
      </c>
      <c r="AB25" s="37">
        <v>1.8299999999999998</v>
      </c>
      <c r="AC25" s="37">
        <v>2.29</v>
      </c>
      <c r="AD25" s="37">
        <v>8.0500000000000007</v>
      </c>
      <c r="AE25" s="37">
        <v>0</v>
      </c>
      <c r="AF25" s="37">
        <v>3.4299999999999997</v>
      </c>
      <c r="AG25" s="37">
        <v>4.7899999999999991</v>
      </c>
      <c r="AH25" s="37">
        <v>0.2</v>
      </c>
      <c r="AI25" s="37">
        <v>0.43</v>
      </c>
      <c r="AJ25" s="37">
        <v>0.5</v>
      </c>
      <c r="AK25" s="37">
        <v>40</v>
      </c>
      <c r="AL25" s="37">
        <v>40</v>
      </c>
      <c r="AM25" s="38">
        <v>2193.54</v>
      </c>
      <c r="AN25" s="38">
        <v>171.393046</v>
      </c>
      <c r="AO25" s="38">
        <v>32.83</v>
      </c>
      <c r="AP25" s="38">
        <v>2193.54</v>
      </c>
      <c r="AQ25" s="38">
        <v>0</v>
      </c>
      <c r="AR25" s="38">
        <v>0</v>
      </c>
      <c r="AS25" s="38">
        <v>4.71</v>
      </c>
      <c r="AT25" s="36">
        <v>2349010.0920000002</v>
      </c>
      <c r="AU25" s="38">
        <v>48147.06</v>
      </c>
      <c r="AV25" s="38">
        <v>38517.648000000008</v>
      </c>
      <c r="AW25" s="38">
        <v>56077.163999999997</v>
      </c>
      <c r="AX25" s="38">
        <v>24923.184000000001</v>
      </c>
      <c r="AY25" s="38">
        <v>24356.748000000003</v>
      </c>
      <c r="AZ25" s="38">
        <v>80433.912000000011</v>
      </c>
      <c r="BA25" s="38">
        <v>26622.492000000002</v>
      </c>
      <c r="BB25" s="38">
        <v>65706.576000000001</v>
      </c>
      <c r="BC25" s="38">
        <v>17559.516000000003</v>
      </c>
      <c r="BD25" s="38">
        <v>28321.800000000003</v>
      </c>
      <c r="BE25" s="38">
        <v>14727.335999999999</v>
      </c>
      <c r="BF25" s="38">
        <v>25489.619999999995</v>
      </c>
      <c r="BG25" s="38">
        <v>263959.17600000004</v>
      </c>
      <c r="BH25" s="38">
        <v>109888.58400000002</v>
      </c>
      <c r="BI25" s="38">
        <v>11328.720000000001</v>
      </c>
      <c r="BJ25" s="38">
        <v>205616.26799999998</v>
      </c>
      <c r="BK25" s="38">
        <v>88364.016000000003</v>
      </c>
      <c r="BL25" s="38">
        <v>103657.788</v>
      </c>
      <c r="BM25" s="38">
        <v>129713.84400000001</v>
      </c>
      <c r="BN25" s="38">
        <v>455980.9800000001</v>
      </c>
      <c r="BO25" s="38">
        <v>0</v>
      </c>
      <c r="BP25" s="38">
        <v>194287.54799999998</v>
      </c>
      <c r="BQ25" s="38">
        <v>271322.84399999998</v>
      </c>
      <c r="BR25" s="38">
        <v>11328.720000000001</v>
      </c>
      <c r="BS25" s="38">
        <v>24356.748</v>
      </c>
      <c r="BT25" s="38">
        <v>28321.800000000003</v>
      </c>
    </row>
    <row r="26" spans="1:72" s="39" customFormat="1" ht="12" customHeight="1" x14ac:dyDescent="0.25">
      <c r="A26" s="30">
        <v>22</v>
      </c>
      <c r="B26" s="31" t="s">
        <v>343</v>
      </c>
      <c r="C26" s="32">
        <v>12637.5</v>
      </c>
      <c r="D26" s="33">
        <v>11922.8</v>
      </c>
      <c r="E26" s="34">
        <v>714.7</v>
      </c>
      <c r="F26" s="33">
        <v>4069.7</v>
      </c>
      <c r="G26" s="30" t="s">
        <v>321</v>
      </c>
      <c r="H26" s="35">
        <v>1</v>
      </c>
      <c r="I26" s="35" t="s">
        <v>322</v>
      </c>
      <c r="J26" s="36">
        <v>41.47</v>
      </c>
      <c r="K26" s="37">
        <v>0.84999999999999987</v>
      </c>
      <c r="L26" s="37">
        <v>0.68</v>
      </c>
      <c r="M26" s="37">
        <v>0.99</v>
      </c>
      <c r="N26" s="37">
        <v>0.44</v>
      </c>
      <c r="O26" s="37">
        <v>0.43000000000000005</v>
      </c>
      <c r="P26" s="37">
        <v>1.4200000000000002</v>
      </c>
      <c r="Q26" s="37">
        <v>0.47000000000000003</v>
      </c>
      <c r="R26" s="37">
        <v>1.1600000000000001</v>
      </c>
      <c r="S26" s="37">
        <v>0.31000000000000005</v>
      </c>
      <c r="T26" s="37">
        <v>0.5</v>
      </c>
      <c r="U26" s="37">
        <v>0.26</v>
      </c>
      <c r="V26" s="37">
        <v>0.44999999999999996</v>
      </c>
      <c r="W26" s="37">
        <v>4.66</v>
      </c>
      <c r="X26" s="37">
        <v>1.9400000000000002</v>
      </c>
      <c r="Y26" s="37">
        <v>0.2</v>
      </c>
      <c r="Z26" s="37">
        <v>3.63</v>
      </c>
      <c r="AA26" s="37">
        <v>1.56</v>
      </c>
      <c r="AB26" s="37">
        <v>1.8299999999999998</v>
      </c>
      <c r="AC26" s="37">
        <v>2.29</v>
      </c>
      <c r="AD26" s="37">
        <v>8.0500000000000007</v>
      </c>
      <c r="AE26" s="37">
        <v>0</v>
      </c>
      <c r="AF26" s="37">
        <v>3.4299999999999997</v>
      </c>
      <c r="AG26" s="37">
        <v>4.7899999999999991</v>
      </c>
      <c r="AH26" s="37">
        <v>0.2</v>
      </c>
      <c r="AI26" s="37">
        <v>0.43</v>
      </c>
      <c r="AJ26" s="37">
        <v>0.5</v>
      </c>
      <c r="AK26" s="37">
        <v>40</v>
      </c>
      <c r="AL26" s="37">
        <v>40</v>
      </c>
      <c r="AM26" s="38">
        <v>2193.54</v>
      </c>
      <c r="AN26" s="38">
        <v>171.393046</v>
      </c>
      <c r="AO26" s="38">
        <v>32.83</v>
      </c>
      <c r="AP26" s="38">
        <v>2193.54</v>
      </c>
      <c r="AQ26" s="38">
        <v>0</v>
      </c>
      <c r="AR26" s="38">
        <v>0</v>
      </c>
      <c r="AS26" s="38">
        <v>4.71</v>
      </c>
      <c r="AT26" s="36">
        <v>3144462.75</v>
      </c>
      <c r="AU26" s="38">
        <v>64451.249999999985</v>
      </c>
      <c r="AV26" s="38">
        <v>51561</v>
      </c>
      <c r="AW26" s="38">
        <v>75066.75</v>
      </c>
      <c r="AX26" s="38">
        <v>33363</v>
      </c>
      <c r="AY26" s="38">
        <v>32604.750000000007</v>
      </c>
      <c r="AZ26" s="38">
        <v>107671.50000000003</v>
      </c>
      <c r="BA26" s="38">
        <v>35637.75</v>
      </c>
      <c r="BB26" s="38">
        <v>87957.000000000015</v>
      </c>
      <c r="BC26" s="38">
        <v>23505.750000000004</v>
      </c>
      <c r="BD26" s="38">
        <v>37912.5</v>
      </c>
      <c r="BE26" s="38">
        <v>19714.5</v>
      </c>
      <c r="BF26" s="38">
        <v>34121.249999999993</v>
      </c>
      <c r="BG26" s="38">
        <v>353344.5</v>
      </c>
      <c r="BH26" s="38">
        <v>147100.50000000003</v>
      </c>
      <c r="BI26" s="38">
        <v>15165</v>
      </c>
      <c r="BJ26" s="38">
        <v>275244.75</v>
      </c>
      <c r="BK26" s="38">
        <v>118287</v>
      </c>
      <c r="BL26" s="38">
        <v>138759.74999999997</v>
      </c>
      <c r="BM26" s="38">
        <v>173639.25</v>
      </c>
      <c r="BN26" s="38">
        <v>610391.25000000012</v>
      </c>
      <c r="BO26" s="38">
        <v>0</v>
      </c>
      <c r="BP26" s="38">
        <v>260079.75</v>
      </c>
      <c r="BQ26" s="38">
        <v>363201.74999999994</v>
      </c>
      <c r="BR26" s="38">
        <v>15165</v>
      </c>
      <c r="BS26" s="38">
        <v>32604.75</v>
      </c>
      <c r="BT26" s="38">
        <v>37912.5</v>
      </c>
    </row>
    <row r="27" spans="1:72" s="39" customFormat="1" ht="12" customHeight="1" x14ac:dyDescent="0.25">
      <c r="A27" s="30">
        <v>23</v>
      </c>
      <c r="B27" s="31" t="s">
        <v>344</v>
      </c>
      <c r="C27" s="32">
        <v>3763.4</v>
      </c>
      <c r="D27" s="33">
        <v>3533.9</v>
      </c>
      <c r="E27" s="34">
        <v>229.5</v>
      </c>
      <c r="F27" s="33">
        <v>1350.9</v>
      </c>
      <c r="G27" s="30" t="s">
        <v>321</v>
      </c>
      <c r="H27" s="35">
        <v>1</v>
      </c>
      <c r="I27" s="35" t="s">
        <v>322</v>
      </c>
      <c r="J27" s="36">
        <v>41.47</v>
      </c>
      <c r="K27" s="37">
        <v>0.84999999999999987</v>
      </c>
      <c r="L27" s="37">
        <v>0.68</v>
      </c>
      <c r="M27" s="37">
        <v>0.99</v>
      </c>
      <c r="N27" s="37">
        <v>0.44</v>
      </c>
      <c r="O27" s="37">
        <v>0.43000000000000005</v>
      </c>
      <c r="P27" s="37">
        <v>1.4200000000000002</v>
      </c>
      <c r="Q27" s="37">
        <v>0.47000000000000003</v>
      </c>
      <c r="R27" s="37">
        <v>1.1600000000000001</v>
      </c>
      <c r="S27" s="37">
        <v>0.31000000000000005</v>
      </c>
      <c r="T27" s="37">
        <v>0.5</v>
      </c>
      <c r="U27" s="37">
        <v>0.26</v>
      </c>
      <c r="V27" s="37">
        <v>0.44999999999999996</v>
      </c>
      <c r="W27" s="37">
        <v>4.66</v>
      </c>
      <c r="X27" s="37">
        <v>1.9400000000000002</v>
      </c>
      <c r="Y27" s="37">
        <v>0.2</v>
      </c>
      <c r="Z27" s="37">
        <v>3.63</v>
      </c>
      <c r="AA27" s="37">
        <v>1.56</v>
      </c>
      <c r="AB27" s="37">
        <v>1.8299999999999998</v>
      </c>
      <c r="AC27" s="37">
        <v>2.29</v>
      </c>
      <c r="AD27" s="37">
        <v>8.0500000000000007</v>
      </c>
      <c r="AE27" s="37">
        <v>0</v>
      </c>
      <c r="AF27" s="37">
        <v>3.4299999999999997</v>
      </c>
      <c r="AG27" s="37">
        <v>4.7899999999999991</v>
      </c>
      <c r="AH27" s="37">
        <v>0.2</v>
      </c>
      <c r="AI27" s="37">
        <v>0.43</v>
      </c>
      <c r="AJ27" s="37">
        <v>0.5</v>
      </c>
      <c r="AK27" s="37">
        <v>40</v>
      </c>
      <c r="AL27" s="37">
        <v>40</v>
      </c>
      <c r="AM27" s="38">
        <v>2193.54</v>
      </c>
      <c r="AN27" s="38">
        <v>171.393046</v>
      </c>
      <c r="AO27" s="38">
        <v>32.83</v>
      </c>
      <c r="AP27" s="38">
        <v>2193.54</v>
      </c>
      <c r="AQ27" s="38">
        <v>0</v>
      </c>
      <c r="AR27" s="38">
        <v>0</v>
      </c>
      <c r="AS27" s="38">
        <v>4.71</v>
      </c>
      <c r="AT27" s="36">
        <v>936409.18800000008</v>
      </c>
      <c r="AU27" s="38">
        <v>19193.339999999997</v>
      </c>
      <c r="AV27" s="38">
        <v>15354.672</v>
      </c>
      <c r="AW27" s="38">
        <v>22354.596000000001</v>
      </c>
      <c r="AX27" s="38">
        <v>9935.3760000000002</v>
      </c>
      <c r="AY27" s="38">
        <v>9709.5720000000001</v>
      </c>
      <c r="AZ27" s="38">
        <v>32064.168000000001</v>
      </c>
      <c r="BA27" s="38">
        <v>10612.788</v>
      </c>
      <c r="BB27" s="38">
        <v>26193.264000000003</v>
      </c>
      <c r="BC27" s="38">
        <v>6999.9240000000009</v>
      </c>
      <c r="BD27" s="38">
        <v>11290.2</v>
      </c>
      <c r="BE27" s="38">
        <v>5870.9040000000005</v>
      </c>
      <c r="BF27" s="38">
        <v>10161.18</v>
      </c>
      <c r="BG27" s="38">
        <v>105224.66399999999</v>
      </c>
      <c r="BH27" s="38">
        <v>43805.97600000001</v>
      </c>
      <c r="BI27" s="38">
        <v>4516.08</v>
      </c>
      <c r="BJ27" s="38">
        <v>81966.851999999999</v>
      </c>
      <c r="BK27" s="38">
        <v>35225.423999999999</v>
      </c>
      <c r="BL27" s="38">
        <v>41322.131999999998</v>
      </c>
      <c r="BM27" s="38">
        <v>51709.115999999995</v>
      </c>
      <c r="BN27" s="38">
        <v>181772.22000000003</v>
      </c>
      <c r="BO27" s="38">
        <v>0</v>
      </c>
      <c r="BP27" s="38">
        <v>77450.771999999997</v>
      </c>
      <c r="BQ27" s="38">
        <v>108160.11599999998</v>
      </c>
      <c r="BR27" s="38">
        <v>4516.08</v>
      </c>
      <c r="BS27" s="38">
        <v>9709.5720000000001</v>
      </c>
      <c r="BT27" s="38">
        <v>11290.2</v>
      </c>
    </row>
    <row r="28" spans="1:72" s="39" customFormat="1" ht="12" customHeight="1" x14ac:dyDescent="0.25">
      <c r="A28" s="30">
        <v>24</v>
      </c>
      <c r="B28" s="31" t="s">
        <v>345</v>
      </c>
      <c r="C28" s="32">
        <v>9401.6</v>
      </c>
      <c r="D28" s="33">
        <v>9352.4</v>
      </c>
      <c r="E28" s="34">
        <v>49.2</v>
      </c>
      <c r="F28" s="33">
        <v>2148.6999999999998</v>
      </c>
      <c r="G28" s="30" t="s">
        <v>321</v>
      </c>
      <c r="H28" s="35">
        <v>1</v>
      </c>
      <c r="I28" s="35" t="s">
        <v>322</v>
      </c>
      <c r="J28" s="36">
        <v>41.47</v>
      </c>
      <c r="K28" s="37">
        <v>0.84999999999999987</v>
      </c>
      <c r="L28" s="37">
        <v>0.68</v>
      </c>
      <c r="M28" s="37">
        <v>0.99</v>
      </c>
      <c r="N28" s="37">
        <v>0.44</v>
      </c>
      <c r="O28" s="37">
        <v>0.43000000000000005</v>
      </c>
      <c r="P28" s="37">
        <v>1.4200000000000002</v>
      </c>
      <c r="Q28" s="37">
        <v>0.47000000000000003</v>
      </c>
      <c r="R28" s="37">
        <v>1.1600000000000001</v>
      </c>
      <c r="S28" s="37">
        <v>0.31000000000000005</v>
      </c>
      <c r="T28" s="37">
        <v>0.5</v>
      </c>
      <c r="U28" s="37">
        <v>0.26</v>
      </c>
      <c r="V28" s="37">
        <v>0.44999999999999996</v>
      </c>
      <c r="W28" s="37">
        <v>4.66</v>
      </c>
      <c r="X28" s="37">
        <v>1.9400000000000002</v>
      </c>
      <c r="Y28" s="37">
        <v>0.2</v>
      </c>
      <c r="Z28" s="37">
        <v>3.63</v>
      </c>
      <c r="AA28" s="37">
        <v>1.56</v>
      </c>
      <c r="AB28" s="37">
        <v>1.8299999999999998</v>
      </c>
      <c r="AC28" s="37">
        <v>2.29</v>
      </c>
      <c r="AD28" s="37">
        <v>8.0500000000000007</v>
      </c>
      <c r="AE28" s="37">
        <v>0</v>
      </c>
      <c r="AF28" s="37">
        <v>3.4299999999999997</v>
      </c>
      <c r="AG28" s="37">
        <v>4.7899999999999991</v>
      </c>
      <c r="AH28" s="37">
        <v>0.2</v>
      </c>
      <c r="AI28" s="37">
        <v>0.43</v>
      </c>
      <c r="AJ28" s="37">
        <v>0.5</v>
      </c>
      <c r="AK28" s="37">
        <v>40</v>
      </c>
      <c r="AL28" s="37">
        <v>40</v>
      </c>
      <c r="AM28" s="38">
        <v>2193.54</v>
      </c>
      <c r="AN28" s="38">
        <v>171.393046</v>
      </c>
      <c r="AO28" s="38">
        <v>32.83</v>
      </c>
      <c r="AP28" s="38">
        <v>2193.54</v>
      </c>
      <c r="AQ28" s="38">
        <v>0</v>
      </c>
      <c r="AR28" s="38">
        <v>0</v>
      </c>
      <c r="AS28" s="38">
        <v>4.71</v>
      </c>
      <c r="AT28" s="36">
        <v>2339306.1120000002</v>
      </c>
      <c r="AU28" s="38">
        <v>47948.159999999989</v>
      </c>
      <c r="AV28" s="38">
        <v>38358.528000000006</v>
      </c>
      <c r="AW28" s="38">
        <v>55845.504000000001</v>
      </c>
      <c r="AX28" s="38">
        <v>24820.224000000002</v>
      </c>
      <c r="AY28" s="38">
        <v>24256.128000000004</v>
      </c>
      <c r="AZ28" s="38">
        <v>80101.632000000012</v>
      </c>
      <c r="BA28" s="38">
        <v>26512.512000000002</v>
      </c>
      <c r="BB28" s="38">
        <v>65435.136000000013</v>
      </c>
      <c r="BC28" s="38">
        <v>17486.976000000002</v>
      </c>
      <c r="BD28" s="38">
        <v>28204.800000000003</v>
      </c>
      <c r="BE28" s="38">
        <v>14666.496000000001</v>
      </c>
      <c r="BF28" s="38">
        <v>25384.319999999996</v>
      </c>
      <c r="BG28" s="38">
        <v>262868.73600000003</v>
      </c>
      <c r="BH28" s="38">
        <v>109434.62400000001</v>
      </c>
      <c r="BI28" s="38">
        <v>11281.920000000002</v>
      </c>
      <c r="BJ28" s="38">
        <v>204766.848</v>
      </c>
      <c r="BK28" s="38">
        <v>87998.97600000001</v>
      </c>
      <c r="BL28" s="38">
        <v>103229.568</v>
      </c>
      <c r="BM28" s="38">
        <v>129177.984</v>
      </c>
      <c r="BN28" s="38">
        <v>454097.28</v>
      </c>
      <c r="BO28" s="38">
        <v>0</v>
      </c>
      <c r="BP28" s="38">
        <v>193484.92799999999</v>
      </c>
      <c r="BQ28" s="38">
        <v>270201.984</v>
      </c>
      <c r="BR28" s="38">
        <v>11281.920000000002</v>
      </c>
      <c r="BS28" s="38">
        <v>24256.128000000001</v>
      </c>
      <c r="BT28" s="38">
        <v>28204.800000000003</v>
      </c>
    </row>
    <row r="29" spans="1:72" s="39" customFormat="1" ht="12" customHeight="1" x14ac:dyDescent="0.25">
      <c r="A29" s="30">
        <v>25</v>
      </c>
      <c r="B29" s="31" t="s">
        <v>346</v>
      </c>
      <c r="C29" s="32">
        <v>8401</v>
      </c>
      <c r="D29" s="33">
        <v>8068.9</v>
      </c>
      <c r="E29" s="34">
        <v>332.1</v>
      </c>
      <c r="F29" s="33">
        <v>2571.6999999999998</v>
      </c>
      <c r="G29" s="30" t="s">
        <v>321</v>
      </c>
      <c r="H29" s="35">
        <v>1</v>
      </c>
      <c r="I29" s="35" t="s">
        <v>322</v>
      </c>
      <c r="J29" s="36">
        <v>41.47</v>
      </c>
      <c r="K29" s="37">
        <v>0.84999999999999987</v>
      </c>
      <c r="L29" s="37">
        <v>0.68</v>
      </c>
      <c r="M29" s="37">
        <v>0.99</v>
      </c>
      <c r="N29" s="37">
        <v>0.44</v>
      </c>
      <c r="O29" s="37">
        <v>0.43000000000000005</v>
      </c>
      <c r="P29" s="37">
        <v>1.4200000000000002</v>
      </c>
      <c r="Q29" s="37">
        <v>0.47000000000000003</v>
      </c>
      <c r="R29" s="37">
        <v>1.1600000000000001</v>
      </c>
      <c r="S29" s="37">
        <v>0.31000000000000005</v>
      </c>
      <c r="T29" s="37">
        <v>0.5</v>
      </c>
      <c r="U29" s="37">
        <v>0.26</v>
      </c>
      <c r="V29" s="37">
        <v>0.44999999999999996</v>
      </c>
      <c r="W29" s="37">
        <v>4.66</v>
      </c>
      <c r="X29" s="37">
        <v>1.9400000000000002</v>
      </c>
      <c r="Y29" s="37">
        <v>0.2</v>
      </c>
      <c r="Z29" s="37">
        <v>3.63</v>
      </c>
      <c r="AA29" s="37">
        <v>1.56</v>
      </c>
      <c r="AB29" s="37">
        <v>1.8299999999999998</v>
      </c>
      <c r="AC29" s="37">
        <v>2.29</v>
      </c>
      <c r="AD29" s="37">
        <v>8.0500000000000007</v>
      </c>
      <c r="AE29" s="37">
        <v>0</v>
      </c>
      <c r="AF29" s="37">
        <v>3.4299999999999997</v>
      </c>
      <c r="AG29" s="37">
        <v>4.7899999999999991</v>
      </c>
      <c r="AH29" s="37">
        <v>0.2</v>
      </c>
      <c r="AI29" s="37">
        <v>0.43</v>
      </c>
      <c r="AJ29" s="37">
        <v>0.5</v>
      </c>
      <c r="AK29" s="37">
        <v>40</v>
      </c>
      <c r="AL29" s="37">
        <v>40</v>
      </c>
      <c r="AM29" s="38">
        <v>2193.54</v>
      </c>
      <c r="AN29" s="38">
        <v>171.393046</v>
      </c>
      <c r="AO29" s="38">
        <v>32.83</v>
      </c>
      <c r="AP29" s="38">
        <v>2193.54</v>
      </c>
      <c r="AQ29" s="38">
        <v>0</v>
      </c>
      <c r="AR29" s="38">
        <v>0</v>
      </c>
      <c r="AS29" s="38">
        <v>4.71</v>
      </c>
      <c r="AT29" s="36">
        <v>2090336.8199999998</v>
      </c>
      <c r="AU29" s="38">
        <v>42845.099999999991</v>
      </c>
      <c r="AV29" s="38">
        <v>34276.080000000002</v>
      </c>
      <c r="AW29" s="38">
        <v>49901.94</v>
      </c>
      <c r="AX29" s="38">
        <v>22178.639999999999</v>
      </c>
      <c r="AY29" s="38">
        <v>21674.58</v>
      </c>
      <c r="AZ29" s="38">
        <v>71576.520000000019</v>
      </c>
      <c r="BA29" s="38">
        <v>23690.82</v>
      </c>
      <c r="BB29" s="38">
        <v>58470.960000000006</v>
      </c>
      <c r="BC29" s="38">
        <v>15625.860000000002</v>
      </c>
      <c r="BD29" s="38">
        <v>25203</v>
      </c>
      <c r="BE29" s="38">
        <v>13105.560000000001</v>
      </c>
      <c r="BF29" s="38">
        <v>22682.699999999997</v>
      </c>
      <c r="BG29" s="38">
        <v>234891.96000000002</v>
      </c>
      <c r="BH29" s="38">
        <v>97787.64</v>
      </c>
      <c r="BI29" s="38">
        <v>10081.200000000001</v>
      </c>
      <c r="BJ29" s="38">
        <v>182973.77999999997</v>
      </c>
      <c r="BK29" s="38">
        <v>78633.360000000015</v>
      </c>
      <c r="BL29" s="38">
        <v>92242.979999999981</v>
      </c>
      <c r="BM29" s="38">
        <v>115429.74</v>
      </c>
      <c r="BN29" s="38">
        <v>405768.30000000005</v>
      </c>
      <c r="BO29" s="38">
        <v>0</v>
      </c>
      <c r="BP29" s="38">
        <v>172892.58</v>
      </c>
      <c r="BQ29" s="38">
        <v>241444.73999999996</v>
      </c>
      <c r="BR29" s="38">
        <v>10081.200000000001</v>
      </c>
      <c r="BS29" s="38">
        <v>21674.579999999998</v>
      </c>
      <c r="BT29" s="38">
        <v>25203</v>
      </c>
    </row>
    <row r="30" spans="1:72" s="39" customFormat="1" ht="12" customHeight="1" x14ac:dyDescent="0.25">
      <c r="A30" s="30">
        <v>26</v>
      </c>
      <c r="B30" s="31" t="s">
        <v>347</v>
      </c>
      <c r="C30" s="32">
        <v>9350.5</v>
      </c>
      <c r="D30" s="33">
        <v>9350.5</v>
      </c>
      <c r="E30" s="34">
        <v>0</v>
      </c>
      <c r="F30" s="33">
        <v>2155.4</v>
      </c>
      <c r="G30" s="30" t="s">
        <v>321</v>
      </c>
      <c r="H30" s="35">
        <v>1</v>
      </c>
      <c r="I30" s="35" t="s">
        <v>322</v>
      </c>
      <c r="J30" s="36">
        <v>41.47</v>
      </c>
      <c r="K30" s="37">
        <v>0.84999999999999987</v>
      </c>
      <c r="L30" s="37">
        <v>0.68</v>
      </c>
      <c r="M30" s="37">
        <v>0.99</v>
      </c>
      <c r="N30" s="37">
        <v>0.44</v>
      </c>
      <c r="O30" s="37">
        <v>0.43000000000000005</v>
      </c>
      <c r="P30" s="37">
        <v>1.4200000000000002</v>
      </c>
      <c r="Q30" s="37">
        <v>0.47000000000000003</v>
      </c>
      <c r="R30" s="37">
        <v>1.1600000000000001</v>
      </c>
      <c r="S30" s="37">
        <v>0.31000000000000005</v>
      </c>
      <c r="T30" s="37">
        <v>0.5</v>
      </c>
      <c r="U30" s="37">
        <v>0.26</v>
      </c>
      <c r="V30" s="37">
        <v>0.44999999999999996</v>
      </c>
      <c r="W30" s="37">
        <v>4.66</v>
      </c>
      <c r="X30" s="37">
        <v>1.9400000000000002</v>
      </c>
      <c r="Y30" s="37">
        <v>0.2</v>
      </c>
      <c r="Z30" s="37">
        <v>3.63</v>
      </c>
      <c r="AA30" s="37">
        <v>1.56</v>
      </c>
      <c r="AB30" s="37">
        <v>1.8299999999999998</v>
      </c>
      <c r="AC30" s="37">
        <v>2.29</v>
      </c>
      <c r="AD30" s="37">
        <v>8.0500000000000007</v>
      </c>
      <c r="AE30" s="37">
        <v>0</v>
      </c>
      <c r="AF30" s="37">
        <v>3.4299999999999997</v>
      </c>
      <c r="AG30" s="37">
        <v>4.7899999999999991</v>
      </c>
      <c r="AH30" s="37">
        <v>0.2</v>
      </c>
      <c r="AI30" s="37">
        <v>0.43</v>
      </c>
      <c r="AJ30" s="37">
        <v>0.5</v>
      </c>
      <c r="AK30" s="37">
        <v>40</v>
      </c>
      <c r="AL30" s="37">
        <v>40</v>
      </c>
      <c r="AM30" s="38">
        <v>2193.54</v>
      </c>
      <c r="AN30" s="38">
        <v>171.393046</v>
      </c>
      <c r="AO30" s="38">
        <v>32.83</v>
      </c>
      <c r="AP30" s="38">
        <v>2193.54</v>
      </c>
      <c r="AQ30" s="38">
        <v>0</v>
      </c>
      <c r="AR30" s="38">
        <v>0</v>
      </c>
      <c r="AS30" s="38">
        <v>4.71</v>
      </c>
      <c r="AT30" s="36">
        <v>2326591.41</v>
      </c>
      <c r="AU30" s="38">
        <v>47687.549999999988</v>
      </c>
      <c r="AV30" s="38">
        <v>38150.04</v>
      </c>
      <c r="AW30" s="38">
        <v>55541.97</v>
      </c>
      <c r="AX30" s="38">
        <v>24685.32</v>
      </c>
      <c r="AY30" s="38">
        <v>24124.290000000005</v>
      </c>
      <c r="AZ30" s="38">
        <v>79666.260000000009</v>
      </c>
      <c r="BA30" s="38">
        <v>26368.410000000003</v>
      </c>
      <c r="BB30" s="38">
        <v>65079.48000000001</v>
      </c>
      <c r="BC30" s="38">
        <v>17391.930000000004</v>
      </c>
      <c r="BD30" s="38">
        <v>28051.5</v>
      </c>
      <c r="BE30" s="38">
        <v>14586.78</v>
      </c>
      <c r="BF30" s="38">
        <v>25246.35</v>
      </c>
      <c r="BG30" s="38">
        <v>261439.98</v>
      </c>
      <c r="BH30" s="38">
        <v>108839.82</v>
      </c>
      <c r="BI30" s="38">
        <v>11220.6</v>
      </c>
      <c r="BJ30" s="38">
        <v>203653.89</v>
      </c>
      <c r="BK30" s="38">
        <v>87520.680000000008</v>
      </c>
      <c r="BL30" s="38">
        <v>102668.48999999999</v>
      </c>
      <c r="BM30" s="38">
        <v>128475.87</v>
      </c>
      <c r="BN30" s="38">
        <v>451629.15</v>
      </c>
      <c r="BO30" s="38">
        <v>0</v>
      </c>
      <c r="BP30" s="38">
        <v>192433.28999999998</v>
      </c>
      <c r="BQ30" s="38">
        <v>268733.36999999994</v>
      </c>
      <c r="BR30" s="38">
        <v>11220.6</v>
      </c>
      <c r="BS30" s="38">
        <v>24124.29</v>
      </c>
      <c r="BT30" s="38">
        <v>28051.5</v>
      </c>
    </row>
    <row r="31" spans="1:72" s="39" customFormat="1" ht="12" customHeight="1" x14ac:dyDescent="0.25">
      <c r="A31" s="30">
        <v>27</v>
      </c>
      <c r="B31" s="31" t="s">
        <v>348</v>
      </c>
      <c r="C31" s="32">
        <v>10002.200000000001</v>
      </c>
      <c r="D31" s="33">
        <v>10002.200000000001</v>
      </c>
      <c r="E31" s="34">
        <v>0</v>
      </c>
      <c r="F31" s="33">
        <v>3808.6</v>
      </c>
      <c r="G31" s="30" t="s">
        <v>321</v>
      </c>
      <c r="H31" s="35">
        <v>1</v>
      </c>
      <c r="I31" s="35" t="s">
        <v>322</v>
      </c>
      <c r="J31" s="36">
        <v>41.47</v>
      </c>
      <c r="K31" s="37">
        <v>0.84999999999999987</v>
      </c>
      <c r="L31" s="37">
        <v>0.68</v>
      </c>
      <c r="M31" s="37">
        <v>0.99</v>
      </c>
      <c r="N31" s="37">
        <v>0.44</v>
      </c>
      <c r="O31" s="37">
        <v>0.43000000000000005</v>
      </c>
      <c r="P31" s="37">
        <v>1.4200000000000002</v>
      </c>
      <c r="Q31" s="37">
        <v>0.47000000000000003</v>
      </c>
      <c r="R31" s="37">
        <v>1.1600000000000001</v>
      </c>
      <c r="S31" s="37">
        <v>0.31000000000000005</v>
      </c>
      <c r="T31" s="37">
        <v>0.5</v>
      </c>
      <c r="U31" s="37">
        <v>0.26</v>
      </c>
      <c r="V31" s="37">
        <v>0.44999999999999996</v>
      </c>
      <c r="W31" s="37">
        <v>4.66</v>
      </c>
      <c r="X31" s="37">
        <v>1.9400000000000002</v>
      </c>
      <c r="Y31" s="37">
        <v>0.2</v>
      </c>
      <c r="Z31" s="37">
        <v>3.63</v>
      </c>
      <c r="AA31" s="37">
        <v>1.56</v>
      </c>
      <c r="AB31" s="37">
        <v>1.8299999999999998</v>
      </c>
      <c r="AC31" s="37">
        <v>2.29</v>
      </c>
      <c r="AD31" s="37">
        <v>8.0500000000000007</v>
      </c>
      <c r="AE31" s="37">
        <v>0</v>
      </c>
      <c r="AF31" s="37">
        <v>3.4299999999999997</v>
      </c>
      <c r="AG31" s="37">
        <v>4.7899999999999991</v>
      </c>
      <c r="AH31" s="37">
        <v>0.2</v>
      </c>
      <c r="AI31" s="37">
        <v>0.43</v>
      </c>
      <c r="AJ31" s="37">
        <v>0.5</v>
      </c>
      <c r="AK31" s="37">
        <v>40</v>
      </c>
      <c r="AL31" s="37">
        <v>40</v>
      </c>
      <c r="AM31" s="38">
        <v>2193.54</v>
      </c>
      <c r="AN31" s="38">
        <v>171.393046</v>
      </c>
      <c r="AO31" s="38">
        <v>32.83</v>
      </c>
      <c r="AP31" s="38">
        <v>2193.54</v>
      </c>
      <c r="AQ31" s="38">
        <v>0</v>
      </c>
      <c r="AR31" s="38">
        <v>0</v>
      </c>
      <c r="AS31" s="38">
        <v>4.71</v>
      </c>
      <c r="AT31" s="36">
        <v>2488747.4040000001</v>
      </c>
      <c r="AU31" s="38">
        <v>51011.219999999994</v>
      </c>
      <c r="AV31" s="38">
        <v>40808.97600000001</v>
      </c>
      <c r="AW31" s="38">
        <v>59413.067999999999</v>
      </c>
      <c r="AX31" s="38">
        <v>26405.808000000005</v>
      </c>
      <c r="AY31" s="38">
        <v>25805.676000000007</v>
      </c>
      <c r="AZ31" s="38">
        <v>85218.744000000021</v>
      </c>
      <c r="BA31" s="38">
        <v>28206.204000000005</v>
      </c>
      <c r="BB31" s="38">
        <v>69615.312000000005</v>
      </c>
      <c r="BC31" s="38">
        <v>18604.092000000004</v>
      </c>
      <c r="BD31" s="38">
        <v>30006.600000000002</v>
      </c>
      <c r="BE31" s="38">
        <v>15603.432000000001</v>
      </c>
      <c r="BF31" s="38">
        <v>27005.94</v>
      </c>
      <c r="BG31" s="38">
        <v>279661.51200000005</v>
      </c>
      <c r="BH31" s="38">
        <v>116425.60800000002</v>
      </c>
      <c r="BI31" s="38">
        <v>12002.640000000001</v>
      </c>
      <c r="BJ31" s="38">
        <v>217847.91600000003</v>
      </c>
      <c r="BK31" s="38">
        <v>93620.592000000019</v>
      </c>
      <c r="BL31" s="38">
        <v>109824.15599999999</v>
      </c>
      <c r="BM31" s="38">
        <v>137430.228</v>
      </c>
      <c r="BN31" s="38">
        <v>483106.26</v>
      </c>
      <c r="BO31" s="38">
        <v>0</v>
      </c>
      <c r="BP31" s="38">
        <v>205845.27600000001</v>
      </c>
      <c r="BQ31" s="38">
        <v>287463.22799999994</v>
      </c>
      <c r="BR31" s="38">
        <v>12002.640000000001</v>
      </c>
      <c r="BS31" s="38">
        <v>25805.675999999999</v>
      </c>
      <c r="BT31" s="38">
        <v>30006.600000000002</v>
      </c>
    </row>
    <row r="32" spans="1:72" s="39" customFormat="1" ht="12" customHeight="1" x14ac:dyDescent="0.25">
      <c r="A32" s="30">
        <v>28</v>
      </c>
      <c r="B32" s="31" t="s">
        <v>349</v>
      </c>
      <c r="C32" s="32">
        <v>12324.3</v>
      </c>
      <c r="D32" s="33">
        <v>12324.3</v>
      </c>
      <c r="E32" s="34">
        <v>0</v>
      </c>
      <c r="F32" s="33">
        <v>4414.2</v>
      </c>
      <c r="G32" s="30" t="s">
        <v>321</v>
      </c>
      <c r="H32" s="35">
        <v>1</v>
      </c>
      <c r="I32" s="35" t="s">
        <v>322</v>
      </c>
      <c r="J32" s="36">
        <v>41.47</v>
      </c>
      <c r="K32" s="37">
        <v>0.84999999999999987</v>
      </c>
      <c r="L32" s="37">
        <v>0.68</v>
      </c>
      <c r="M32" s="37">
        <v>0.99</v>
      </c>
      <c r="N32" s="37">
        <v>0.44</v>
      </c>
      <c r="O32" s="37">
        <v>0.43000000000000005</v>
      </c>
      <c r="P32" s="37">
        <v>1.4200000000000002</v>
      </c>
      <c r="Q32" s="37">
        <v>0.47000000000000003</v>
      </c>
      <c r="R32" s="37">
        <v>1.1600000000000001</v>
      </c>
      <c r="S32" s="37">
        <v>0.31000000000000005</v>
      </c>
      <c r="T32" s="37">
        <v>0.5</v>
      </c>
      <c r="U32" s="37">
        <v>0.26</v>
      </c>
      <c r="V32" s="37">
        <v>0.44999999999999996</v>
      </c>
      <c r="W32" s="37">
        <v>4.66</v>
      </c>
      <c r="X32" s="37">
        <v>1.9400000000000002</v>
      </c>
      <c r="Y32" s="37">
        <v>0.2</v>
      </c>
      <c r="Z32" s="37">
        <v>3.63</v>
      </c>
      <c r="AA32" s="37">
        <v>1.56</v>
      </c>
      <c r="AB32" s="37">
        <v>1.8299999999999998</v>
      </c>
      <c r="AC32" s="37">
        <v>2.29</v>
      </c>
      <c r="AD32" s="37">
        <v>8.0500000000000007</v>
      </c>
      <c r="AE32" s="37">
        <v>0</v>
      </c>
      <c r="AF32" s="37">
        <v>3.4299999999999997</v>
      </c>
      <c r="AG32" s="37">
        <v>4.7899999999999991</v>
      </c>
      <c r="AH32" s="37">
        <v>0.2</v>
      </c>
      <c r="AI32" s="37">
        <v>0.43</v>
      </c>
      <c r="AJ32" s="37">
        <v>0.5</v>
      </c>
      <c r="AK32" s="37">
        <v>40</v>
      </c>
      <c r="AL32" s="37">
        <v>40</v>
      </c>
      <c r="AM32" s="38">
        <v>2193.54</v>
      </c>
      <c r="AN32" s="38">
        <v>171.393046</v>
      </c>
      <c r="AO32" s="38">
        <v>32.83</v>
      </c>
      <c r="AP32" s="38">
        <v>2193.54</v>
      </c>
      <c r="AQ32" s="38">
        <v>0</v>
      </c>
      <c r="AR32" s="38">
        <v>0</v>
      </c>
      <c r="AS32" s="38">
        <v>4.71</v>
      </c>
      <c r="AT32" s="36">
        <v>3066532.3259999999</v>
      </c>
      <c r="AU32" s="38">
        <v>62853.929999999978</v>
      </c>
      <c r="AV32" s="38">
        <v>50283.144</v>
      </c>
      <c r="AW32" s="38">
        <v>73206.34199999999</v>
      </c>
      <c r="AX32" s="38">
        <v>32536.152000000002</v>
      </c>
      <c r="AY32" s="38">
        <v>31796.694000000003</v>
      </c>
      <c r="AZ32" s="38">
        <v>105003.03600000001</v>
      </c>
      <c r="BA32" s="38">
        <v>34754.525999999998</v>
      </c>
      <c r="BB32" s="38">
        <v>85777.127999999997</v>
      </c>
      <c r="BC32" s="38">
        <v>22923.198000000004</v>
      </c>
      <c r="BD32" s="38">
        <v>36972.899999999994</v>
      </c>
      <c r="BE32" s="38">
        <v>19225.907999999999</v>
      </c>
      <c r="BF32" s="38">
        <v>33275.61</v>
      </c>
      <c r="BG32" s="38">
        <v>344587.42799999996</v>
      </c>
      <c r="BH32" s="38">
        <v>143454.85200000001</v>
      </c>
      <c r="BI32" s="38">
        <v>14789.16</v>
      </c>
      <c r="BJ32" s="38">
        <v>268423.25399999996</v>
      </c>
      <c r="BK32" s="38">
        <v>115355.448</v>
      </c>
      <c r="BL32" s="38">
        <v>135320.81399999998</v>
      </c>
      <c r="BM32" s="38">
        <v>169335.88199999998</v>
      </c>
      <c r="BN32" s="38">
        <v>595263.69000000006</v>
      </c>
      <c r="BO32" s="38">
        <v>0</v>
      </c>
      <c r="BP32" s="38">
        <v>253634.09399999998</v>
      </c>
      <c r="BQ32" s="38">
        <v>354200.38199999987</v>
      </c>
      <c r="BR32" s="38">
        <v>14789.16</v>
      </c>
      <c r="BS32" s="38">
        <v>31796.693999999996</v>
      </c>
      <c r="BT32" s="38">
        <v>36972.899999999994</v>
      </c>
    </row>
    <row r="33" spans="1:72" s="39" customFormat="1" ht="12" customHeight="1" x14ac:dyDescent="0.25">
      <c r="A33" s="30">
        <v>29</v>
      </c>
      <c r="B33" s="31" t="s">
        <v>350</v>
      </c>
      <c r="C33" s="32">
        <v>12389.5</v>
      </c>
      <c r="D33" s="33">
        <v>12389.5</v>
      </c>
      <c r="E33" s="34">
        <v>0</v>
      </c>
      <c r="F33" s="33">
        <v>4505.5</v>
      </c>
      <c r="G33" s="30" t="s">
        <v>321</v>
      </c>
      <c r="H33" s="35">
        <v>1</v>
      </c>
      <c r="I33" s="35" t="s">
        <v>322</v>
      </c>
      <c r="J33" s="36">
        <v>41.47</v>
      </c>
      <c r="K33" s="37">
        <v>0.84999999999999987</v>
      </c>
      <c r="L33" s="37">
        <v>0.68</v>
      </c>
      <c r="M33" s="37">
        <v>0.99</v>
      </c>
      <c r="N33" s="37">
        <v>0.44</v>
      </c>
      <c r="O33" s="37">
        <v>0.43000000000000005</v>
      </c>
      <c r="P33" s="37">
        <v>1.4200000000000002</v>
      </c>
      <c r="Q33" s="37">
        <v>0.47000000000000003</v>
      </c>
      <c r="R33" s="37">
        <v>1.1600000000000001</v>
      </c>
      <c r="S33" s="37">
        <v>0.31000000000000005</v>
      </c>
      <c r="T33" s="37">
        <v>0.5</v>
      </c>
      <c r="U33" s="37">
        <v>0.26</v>
      </c>
      <c r="V33" s="37">
        <v>0.44999999999999996</v>
      </c>
      <c r="W33" s="37">
        <v>4.66</v>
      </c>
      <c r="X33" s="37">
        <v>1.9400000000000002</v>
      </c>
      <c r="Y33" s="37">
        <v>0.2</v>
      </c>
      <c r="Z33" s="37">
        <v>3.63</v>
      </c>
      <c r="AA33" s="37">
        <v>1.56</v>
      </c>
      <c r="AB33" s="37">
        <v>1.8299999999999998</v>
      </c>
      <c r="AC33" s="37">
        <v>2.29</v>
      </c>
      <c r="AD33" s="37">
        <v>8.0500000000000007</v>
      </c>
      <c r="AE33" s="37">
        <v>0</v>
      </c>
      <c r="AF33" s="37">
        <v>3.4299999999999997</v>
      </c>
      <c r="AG33" s="37">
        <v>4.7899999999999991</v>
      </c>
      <c r="AH33" s="37">
        <v>0.2</v>
      </c>
      <c r="AI33" s="37">
        <v>0.43</v>
      </c>
      <c r="AJ33" s="37">
        <v>0.5</v>
      </c>
      <c r="AK33" s="37">
        <v>40</v>
      </c>
      <c r="AL33" s="37">
        <v>40</v>
      </c>
      <c r="AM33" s="38">
        <v>2193.54</v>
      </c>
      <c r="AN33" s="38">
        <v>171.393046</v>
      </c>
      <c r="AO33" s="38">
        <v>32.83</v>
      </c>
      <c r="AP33" s="38">
        <v>2193.54</v>
      </c>
      <c r="AQ33" s="38">
        <v>0</v>
      </c>
      <c r="AR33" s="38">
        <v>0</v>
      </c>
      <c r="AS33" s="38">
        <v>4.71</v>
      </c>
      <c r="AT33" s="36">
        <v>3082755.39</v>
      </c>
      <c r="AU33" s="38">
        <v>63186.45</v>
      </c>
      <c r="AV33" s="38">
        <v>50549.16</v>
      </c>
      <c r="AW33" s="38">
        <v>73593.63</v>
      </c>
      <c r="AX33" s="38">
        <v>32708.28</v>
      </c>
      <c r="AY33" s="38">
        <v>31964.910000000003</v>
      </c>
      <c r="AZ33" s="38">
        <v>105558.54000000001</v>
      </c>
      <c r="BA33" s="38">
        <v>34938.39</v>
      </c>
      <c r="BB33" s="38">
        <v>86230.920000000013</v>
      </c>
      <c r="BC33" s="38">
        <v>23044.470000000005</v>
      </c>
      <c r="BD33" s="38">
        <v>37168.5</v>
      </c>
      <c r="BE33" s="38">
        <v>19327.62</v>
      </c>
      <c r="BF33" s="38">
        <v>33451.649999999994</v>
      </c>
      <c r="BG33" s="38">
        <v>346410.42</v>
      </c>
      <c r="BH33" s="38">
        <v>144213.78</v>
      </c>
      <c r="BI33" s="38">
        <v>14867.400000000001</v>
      </c>
      <c r="BJ33" s="38">
        <v>269843.31</v>
      </c>
      <c r="BK33" s="38">
        <v>115965.72</v>
      </c>
      <c r="BL33" s="38">
        <v>136036.71</v>
      </c>
      <c r="BM33" s="38">
        <v>170231.73</v>
      </c>
      <c r="BN33" s="38">
        <v>598412.85000000009</v>
      </c>
      <c r="BO33" s="38">
        <v>0</v>
      </c>
      <c r="BP33" s="38">
        <v>254975.90999999997</v>
      </c>
      <c r="BQ33" s="38">
        <v>356074.22999999992</v>
      </c>
      <c r="BR33" s="38">
        <v>14867.400000000001</v>
      </c>
      <c r="BS33" s="38">
        <v>31964.909999999996</v>
      </c>
      <c r="BT33" s="38">
        <v>37168.5</v>
      </c>
    </row>
    <row r="34" spans="1:72" s="39" customFormat="1" ht="12" customHeight="1" x14ac:dyDescent="0.25">
      <c r="A34" s="30">
        <v>30</v>
      </c>
      <c r="B34" s="31" t="s">
        <v>351</v>
      </c>
      <c r="C34" s="32">
        <v>8641.2599999999984</v>
      </c>
      <c r="D34" s="33">
        <v>8258.9599999999991</v>
      </c>
      <c r="E34" s="34">
        <v>382.3</v>
      </c>
      <c r="F34" s="33">
        <v>3075.9</v>
      </c>
      <c r="G34" s="30" t="s">
        <v>321</v>
      </c>
      <c r="H34" s="35">
        <v>1</v>
      </c>
      <c r="I34" s="35" t="s">
        <v>322</v>
      </c>
      <c r="J34" s="36">
        <v>41.47</v>
      </c>
      <c r="K34" s="37">
        <v>0.84999999999999987</v>
      </c>
      <c r="L34" s="37">
        <v>0.68</v>
      </c>
      <c r="M34" s="37">
        <v>0.99</v>
      </c>
      <c r="N34" s="37">
        <v>0.44</v>
      </c>
      <c r="O34" s="37">
        <v>0.43000000000000005</v>
      </c>
      <c r="P34" s="37">
        <v>1.4200000000000002</v>
      </c>
      <c r="Q34" s="37">
        <v>0.47000000000000003</v>
      </c>
      <c r="R34" s="37">
        <v>1.1600000000000001</v>
      </c>
      <c r="S34" s="37">
        <v>0.31000000000000005</v>
      </c>
      <c r="T34" s="37">
        <v>0.5</v>
      </c>
      <c r="U34" s="37">
        <v>0.26</v>
      </c>
      <c r="V34" s="37">
        <v>0.44999999999999996</v>
      </c>
      <c r="W34" s="37">
        <v>4.66</v>
      </c>
      <c r="X34" s="37">
        <v>1.9400000000000002</v>
      </c>
      <c r="Y34" s="37">
        <v>0.2</v>
      </c>
      <c r="Z34" s="37">
        <v>3.63</v>
      </c>
      <c r="AA34" s="37">
        <v>1.56</v>
      </c>
      <c r="AB34" s="37">
        <v>1.8299999999999998</v>
      </c>
      <c r="AC34" s="37">
        <v>2.29</v>
      </c>
      <c r="AD34" s="37">
        <v>8.0500000000000007</v>
      </c>
      <c r="AE34" s="37">
        <v>0</v>
      </c>
      <c r="AF34" s="37">
        <v>3.4299999999999997</v>
      </c>
      <c r="AG34" s="37">
        <v>4.7899999999999991</v>
      </c>
      <c r="AH34" s="37">
        <v>0.2</v>
      </c>
      <c r="AI34" s="37">
        <v>0.43</v>
      </c>
      <c r="AJ34" s="37">
        <v>0.5</v>
      </c>
      <c r="AK34" s="37">
        <v>40</v>
      </c>
      <c r="AL34" s="37">
        <v>40</v>
      </c>
      <c r="AM34" s="38">
        <v>2193.54</v>
      </c>
      <c r="AN34" s="38">
        <v>171.393046</v>
      </c>
      <c r="AO34" s="38">
        <v>32.83</v>
      </c>
      <c r="AP34" s="38">
        <v>2193.54</v>
      </c>
      <c r="AQ34" s="38">
        <v>0</v>
      </c>
      <c r="AR34" s="38">
        <v>0</v>
      </c>
      <c r="AS34" s="38">
        <v>4.71</v>
      </c>
      <c r="AT34" s="36">
        <v>2150118.3131999997</v>
      </c>
      <c r="AU34" s="38">
        <v>44070.425999999985</v>
      </c>
      <c r="AV34" s="38">
        <v>35256.340799999998</v>
      </c>
      <c r="AW34" s="38">
        <v>51329.084399999992</v>
      </c>
      <c r="AX34" s="38">
        <v>22812.926399999997</v>
      </c>
      <c r="AY34" s="38">
        <v>22294.450799999999</v>
      </c>
      <c r="AZ34" s="38">
        <v>73623.535199999984</v>
      </c>
      <c r="BA34" s="38">
        <v>24368.353199999998</v>
      </c>
      <c r="BB34" s="38">
        <v>60143.169600000001</v>
      </c>
      <c r="BC34" s="38">
        <v>16072.743599999998</v>
      </c>
      <c r="BD34" s="38">
        <v>25923.779999999995</v>
      </c>
      <c r="BE34" s="38">
        <v>13480.365599999997</v>
      </c>
      <c r="BF34" s="38">
        <v>23331.401999999995</v>
      </c>
      <c r="BG34" s="38">
        <v>241609.62959999996</v>
      </c>
      <c r="BH34" s="38">
        <v>100584.26639999999</v>
      </c>
      <c r="BI34" s="38">
        <v>10369.511999999999</v>
      </c>
      <c r="BJ34" s="38">
        <v>188206.64279999994</v>
      </c>
      <c r="BK34" s="38">
        <v>80882.193599999984</v>
      </c>
      <c r="BL34" s="38">
        <v>94881.034799999965</v>
      </c>
      <c r="BM34" s="38">
        <v>118730.91239999999</v>
      </c>
      <c r="BN34" s="38">
        <v>417372.85800000001</v>
      </c>
      <c r="BO34" s="38">
        <v>0</v>
      </c>
      <c r="BP34" s="38">
        <v>177837.13079999996</v>
      </c>
      <c r="BQ34" s="38">
        <v>248349.81239999991</v>
      </c>
      <c r="BR34" s="38">
        <v>10369.511999999999</v>
      </c>
      <c r="BS34" s="38">
        <v>22294.450799999995</v>
      </c>
      <c r="BT34" s="38">
        <v>25923.779999999995</v>
      </c>
    </row>
    <row r="35" spans="1:72" s="39" customFormat="1" ht="12" customHeight="1" x14ac:dyDescent="0.25">
      <c r="A35" s="30">
        <v>31</v>
      </c>
      <c r="B35" s="31" t="s">
        <v>352</v>
      </c>
      <c r="C35" s="32">
        <v>3526.3</v>
      </c>
      <c r="D35" s="33">
        <v>3526.3</v>
      </c>
      <c r="E35" s="34">
        <v>0</v>
      </c>
      <c r="F35" s="33">
        <v>1356.5</v>
      </c>
      <c r="G35" s="30" t="s">
        <v>321</v>
      </c>
      <c r="H35" s="35">
        <v>1</v>
      </c>
      <c r="I35" s="35" t="s">
        <v>322</v>
      </c>
      <c r="J35" s="36">
        <v>41.47</v>
      </c>
      <c r="K35" s="37">
        <v>0.84999999999999987</v>
      </c>
      <c r="L35" s="37">
        <v>0.68</v>
      </c>
      <c r="M35" s="37">
        <v>0.99</v>
      </c>
      <c r="N35" s="37">
        <v>0.44</v>
      </c>
      <c r="O35" s="37">
        <v>0.43000000000000005</v>
      </c>
      <c r="P35" s="37">
        <v>1.4200000000000002</v>
      </c>
      <c r="Q35" s="37">
        <v>0.47000000000000003</v>
      </c>
      <c r="R35" s="37">
        <v>1.1600000000000001</v>
      </c>
      <c r="S35" s="37">
        <v>0.31000000000000005</v>
      </c>
      <c r="T35" s="37">
        <v>0.5</v>
      </c>
      <c r="U35" s="37">
        <v>0.26</v>
      </c>
      <c r="V35" s="37">
        <v>0.44999999999999996</v>
      </c>
      <c r="W35" s="37">
        <v>4.66</v>
      </c>
      <c r="X35" s="37">
        <v>1.9400000000000002</v>
      </c>
      <c r="Y35" s="37">
        <v>0.2</v>
      </c>
      <c r="Z35" s="37">
        <v>3.63</v>
      </c>
      <c r="AA35" s="37">
        <v>1.56</v>
      </c>
      <c r="AB35" s="37">
        <v>1.8299999999999998</v>
      </c>
      <c r="AC35" s="37">
        <v>2.29</v>
      </c>
      <c r="AD35" s="37">
        <v>8.0500000000000007</v>
      </c>
      <c r="AE35" s="37">
        <v>0</v>
      </c>
      <c r="AF35" s="37">
        <v>3.4299999999999997</v>
      </c>
      <c r="AG35" s="37">
        <v>4.7899999999999991</v>
      </c>
      <c r="AH35" s="37">
        <v>0.2</v>
      </c>
      <c r="AI35" s="37">
        <v>0.43</v>
      </c>
      <c r="AJ35" s="37">
        <v>0.5</v>
      </c>
      <c r="AK35" s="37">
        <v>40</v>
      </c>
      <c r="AL35" s="37">
        <v>40</v>
      </c>
      <c r="AM35" s="38">
        <v>2193.54</v>
      </c>
      <c r="AN35" s="38">
        <v>171.393046</v>
      </c>
      <c r="AO35" s="38">
        <v>32.83</v>
      </c>
      <c r="AP35" s="38">
        <v>2193.54</v>
      </c>
      <c r="AQ35" s="38">
        <v>0</v>
      </c>
      <c r="AR35" s="38">
        <v>0</v>
      </c>
      <c r="AS35" s="38">
        <v>4.71</v>
      </c>
      <c r="AT35" s="36">
        <v>877413.96600000001</v>
      </c>
      <c r="AU35" s="38">
        <v>17984.129999999997</v>
      </c>
      <c r="AV35" s="38">
        <v>14387.304000000004</v>
      </c>
      <c r="AW35" s="38">
        <v>20946.222000000002</v>
      </c>
      <c r="AX35" s="38">
        <v>9309.4320000000007</v>
      </c>
      <c r="AY35" s="38">
        <v>9097.8540000000012</v>
      </c>
      <c r="AZ35" s="38">
        <v>30044.076000000001</v>
      </c>
      <c r="BA35" s="38">
        <v>9944.1660000000011</v>
      </c>
      <c r="BB35" s="38">
        <v>24543.048000000003</v>
      </c>
      <c r="BC35" s="38">
        <v>6558.9180000000015</v>
      </c>
      <c r="BD35" s="38">
        <v>10578.900000000001</v>
      </c>
      <c r="BE35" s="38">
        <v>5501.0280000000002</v>
      </c>
      <c r="BF35" s="38">
        <v>9521.01</v>
      </c>
      <c r="BG35" s="38">
        <v>98595.347999999998</v>
      </c>
      <c r="BH35" s="38">
        <v>41046.132000000005</v>
      </c>
      <c r="BI35" s="38">
        <v>4231.5600000000004</v>
      </c>
      <c r="BJ35" s="38">
        <v>76802.814000000013</v>
      </c>
      <c r="BK35" s="38">
        <v>33006.168000000005</v>
      </c>
      <c r="BL35" s="38">
        <v>38718.773999999998</v>
      </c>
      <c r="BM35" s="38">
        <v>48451.362000000008</v>
      </c>
      <c r="BN35" s="38">
        <v>170320.29000000004</v>
      </c>
      <c r="BO35" s="38">
        <v>0</v>
      </c>
      <c r="BP35" s="38">
        <v>72571.253999999986</v>
      </c>
      <c r="BQ35" s="38">
        <v>101345.86199999999</v>
      </c>
      <c r="BR35" s="38">
        <v>4231.5600000000004</v>
      </c>
      <c r="BS35" s="38">
        <v>9097.8539999999994</v>
      </c>
      <c r="BT35" s="38">
        <v>10578.900000000001</v>
      </c>
    </row>
    <row r="36" spans="1:72" s="39" customFormat="1" ht="12" customHeight="1" x14ac:dyDescent="0.25">
      <c r="A36" s="30">
        <v>32</v>
      </c>
      <c r="B36" s="31" t="s">
        <v>353</v>
      </c>
      <c r="C36" s="32">
        <v>12594.5</v>
      </c>
      <c r="D36" s="33">
        <v>12320</v>
      </c>
      <c r="E36" s="34">
        <v>274.5</v>
      </c>
      <c r="F36" s="33">
        <v>4453.8999999999996</v>
      </c>
      <c r="G36" s="30" t="s">
        <v>321</v>
      </c>
      <c r="H36" s="35">
        <v>1</v>
      </c>
      <c r="I36" s="35" t="s">
        <v>322</v>
      </c>
      <c r="J36" s="36">
        <v>41.47</v>
      </c>
      <c r="K36" s="37">
        <v>0.84999999999999987</v>
      </c>
      <c r="L36" s="37">
        <v>0.68</v>
      </c>
      <c r="M36" s="37">
        <v>0.99</v>
      </c>
      <c r="N36" s="37">
        <v>0.44</v>
      </c>
      <c r="O36" s="37">
        <v>0.43000000000000005</v>
      </c>
      <c r="P36" s="37">
        <v>1.4200000000000002</v>
      </c>
      <c r="Q36" s="37">
        <v>0.47000000000000003</v>
      </c>
      <c r="R36" s="37">
        <v>1.1600000000000001</v>
      </c>
      <c r="S36" s="37">
        <v>0.31000000000000005</v>
      </c>
      <c r="T36" s="37">
        <v>0.5</v>
      </c>
      <c r="U36" s="37">
        <v>0.26</v>
      </c>
      <c r="V36" s="37">
        <v>0.44999999999999996</v>
      </c>
      <c r="W36" s="37">
        <v>4.66</v>
      </c>
      <c r="X36" s="37">
        <v>1.9400000000000002</v>
      </c>
      <c r="Y36" s="37">
        <v>0.2</v>
      </c>
      <c r="Z36" s="37">
        <v>3.63</v>
      </c>
      <c r="AA36" s="37">
        <v>1.56</v>
      </c>
      <c r="AB36" s="37">
        <v>1.8299999999999998</v>
      </c>
      <c r="AC36" s="37">
        <v>2.29</v>
      </c>
      <c r="AD36" s="37">
        <v>8.0500000000000007</v>
      </c>
      <c r="AE36" s="37">
        <v>0</v>
      </c>
      <c r="AF36" s="37">
        <v>3.4299999999999997</v>
      </c>
      <c r="AG36" s="37">
        <v>4.7899999999999991</v>
      </c>
      <c r="AH36" s="37">
        <v>0.2</v>
      </c>
      <c r="AI36" s="37">
        <v>0.43</v>
      </c>
      <c r="AJ36" s="37">
        <v>0.5</v>
      </c>
      <c r="AK36" s="37">
        <v>40</v>
      </c>
      <c r="AL36" s="37">
        <v>40</v>
      </c>
      <c r="AM36" s="38">
        <v>2193.54</v>
      </c>
      <c r="AN36" s="38">
        <v>171.393046</v>
      </c>
      <c r="AO36" s="38">
        <v>32.83</v>
      </c>
      <c r="AP36" s="38">
        <v>2193.54</v>
      </c>
      <c r="AQ36" s="38">
        <v>0</v>
      </c>
      <c r="AR36" s="38">
        <v>0</v>
      </c>
      <c r="AS36" s="38">
        <v>4.71</v>
      </c>
      <c r="AT36" s="36">
        <v>3133763.4899999998</v>
      </c>
      <c r="AU36" s="38">
        <v>64231.95</v>
      </c>
      <c r="AV36" s="38">
        <v>51385.56</v>
      </c>
      <c r="AW36" s="38">
        <v>74811.33</v>
      </c>
      <c r="AX36" s="38">
        <v>33249.479999999996</v>
      </c>
      <c r="AY36" s="38">
        <v>32493.81</v>
      </c>
      <c r="AZ36" s="38">
        <v>107305.14000000001</v>
      </c>
      <c r="BA36" s="38">
        <v>35516.49</v>
      </c>
      <c r="BB36" s="38">
        <v>87657.720000000016</v>
      </c>
      <c r="BC36" s="38">
        <v>23425.770000000004</v>
      </c>
      <c r="BD36" s="38">
        <v>37783.5</v>
      </c>
      <c r="BE36" s="38">
        <v>19647.420000000002</v>
      </c>
      <c r="BF36" s="38">
        <v>34005.149999999994</v>
      </c>
      <c r="BG36" s="38">
        <v>352142.22000000003</v>
      </c>
      <c r="BH36" s="38">
        <v>146599.98000000001</v>
      </c>
      <c r="BI36" s="38">
        <v>15113.400000000001</v>
      </c>
      <c r="BJ36" s="38">
        <v>274308.20999999996</v>
      </c>
      <c r="BK36" s="38">
        <v>117884.52000000002</v>
      </c>
      <c r="BL36" s="38">
        <v>138287.60999999999</v>
      </c>
      <c r="BM36" s="38">
        <v>173048.43</v>
      </c>
      <c r="BN36" s="38">
        <v>608314.35000000009</v>
      </c>
      <c r="BO36" s="38">
        <v>0</v>
      </c>
      <c r="BP36" s="38">
        <v>259194.80999999997</v>
      </c>
      <c r="BQ36" s="38">
        <v>361965.92999999993</v>
      </c>
      <c r="BR36" s="38">
        <v>15113.400000000001</v>
      </c>
      <c r="BS36" s="38">
        <v>32493.81</v>
      </c>
      <c r="BT36" s="38">
        <v>37783.5</v>
      </c>
    </row>
    <row r="37" spans="1:72" s="39" customFormat="1" ht="12" customHeight="1" x14ac:dyDescent="0.25">
      <c r="A37" s="30">
        <v>33</v>
      </c>
      <c r="B37" s="31" t="s">
        <v>354</v>
      </c>
      <c r="C37" s="32">
        <v>3755.4</v>
      </c>
      <c r="D37" s="33">
        <v>3536.6</v>
      </c>
      <c r="E37" s="34">
        <v>218.8</v>
      </c>
      <c r="F37" s="33">
        <v>1635.6</v>
      </c>
      <c r="G37" s="30" t="s">
        <v>321</v>
      </c>
      <c r="H37" s="35">
        <v>1</v>
      </c>
      <c r="I37" s="35" t="s">
        <v>322</v>
      </c>
      <c r="J37" s="36">
        <v>41.47</v>
      </c>
      <c r="K37" s="37">
        <v>0.84999999999999987</v>
      </c>
      <c r="L37" s="37">
        <v>0.68</v>
      </c>
      <c r="M37" s="37">
        <v>0.99</v>
      </c>
      <c r="N37" s="37">
        <v>0.44</v>
      </c>
      <c r="O37" s="37">
        <v>0.43000000000000005</v>
      </c>
      <c r="P37" s="37">
        <v>1.4200000000000002</v>
      </c>
      <c r="Q37" s="37">
        <v>0.47000000000000003</v>
      </c>
      <c r="R37" s="37">
        <v>1.1600000000000001</v>
      </c>
      <c r="S37" s="37">
        <v>0.31000000000000005</v>
      </c>
      <c r="T37" s="37">
        <v>0.5</v>
      </c>
      <c r="U37" s="37">
        <v>0.26</v>
      </c>
      <c r="V37" s="37">
        <v>0.44999999999999996</v>
      </c>
      <c r="W37" s="37">
        <v>4.66</v>
      </c>
      <c r="X37" s="37">
        <v>1.9400000000000002</v>
      </c>
      <c r="Y37" s="37">
        <v>0.2</v>
      </c>
      <c r="Z37" s="37">
        <v>3.63</v>
      </c>
      <c r="AA37" s="37">
        <v>1.56</v>
      </c>
      <c r="AB37" s="37">
        <v>1.8299999999999998</v>
      </c>
      <c r="AC37" s="37">
        <v>2.29</v>
      </c>
      <c r="AD37" s="37">
        <v>8.0500000000000007</v>
      </c>
      <c r="AE37" s="37">
        <v>0</v>
      </c>
      <c r="AF37" s="37">
        <v>3.4299999999999997</v>
      </c>
      <c r="AG37" s="37">
        <v>4.7899999999999991</v>
      </c>
      <c r="AH37" s="37">
        <v>0.2</v>
      </c>
      <c r="AI37" s="37">
        <v>0.43</v>
      </c>
      <c r="AJ37" s="37">
        <v>0.5</v>
      </c>
      <c r="AK37" s="37">
        <v>40</v>
      </c>
      <c r="AL37" s="37">
        <v>40</v>
      </c>
      <c r="AM37" s="38">
        <v>2193.54</v>
      </c>
      <c r="AN37" s="38">
        <v>171.393046</v>
      </c>
      <c r="AO37" s="38">
        <v>32.83</v>
      </c>
      <c r="AP37" s="38">
        <v>2193.54</v>
      </c>
      <c r="AQ37" s="38">
        <v>0</v>
      </c>
      <c r="AR37" s="38">
        <v>0</v>
      </c>
      <c r="AS37" s="38">
        <v>4.71</v>
      </c>
      <c r="AT37" s="36">
        <v>934418.62800000003</v>
      </c>
      <c r="AU37" s="38">
        <v>19152.539999999997</v>
      </c>
      <c r="AV37" s="38">
        <v>15322.031999999999</v>
      </c>
      <c r="AW37" s="38">
        <v>22307.076000000001</v>
      </c>
      <c r="AX37" s="38">
        <v>9914.2559999999994</v>
      </c>
      <c r="AY37" s="38">
        <v>9688.9320000000007</v>
      </c>
      <c r="AZ37" s="38">
        <v>31996.008000000002</v>
      </c>
      <c r="BA37" s="38">
        <v>10590.228000000001</v>
      </c>
      <c r="BB37" s="38">
        <v>26137.584000000006</v>
      </c>
      <c r="BC37" s="38">
        <v>6985.0440000000017</v>
      </c>
      <c r="BD37" s="38">
        <v>11266.2</v>
      </c>
      <c r="BE37" s="38">
        <v>5858.4240000000009</v>
      </c>
      <c r="BF37" s="38">
        <v>10139.579999999998</v>
      </c>
      <c r="BG37" s="38">
        <v>105000.984</v>
      </c>
      <c r="BH37" s="38">
        <v>43712.856</v>
      </c>
      <c r="BI37" s="38">
        <v>4506.4800000000005</v>
      </c>
      <c r="BJ37" s="38">
        <v>81792.612000000008</v>
      </c>
      <c r="BK37" s="38">
        <v>35150.544000000002</v>
      </c>
      <c r="BL37" s="38">
        <v>41234.292000000001</v>
      </c>
      <c r="BM37" s="38">
        <v>51599.195999999996</v>
      </c>
      <c r="BN37" s="38">
        <v>181385.82000000004</v>
      </c>
      <c r="BO37" s="38">
        <v>0</v>
      </c>
      <c r="BP37" s="38">
        <v>77286.131999999998</v>
      </c>
      <c r="BQ37" s="38">
        <v>107930.196</v>
      </c>
      <c r="BR37" s="38">
        <v>4506.4800000000005</v>
      </c>
      <c r="BS37" s="38">
        <v>9688.9320000000007</v>
      </c>
      <c r="BT37" s="38">
        <v>11266.2</v>
      </c>
    </row>
    <row r="38" spans="1:72" s="39" customFormat="1" ht="12" customHeight="1" x14ac:dyDescent="0.25">
      <c r="A38" s="30">
        <v>34</v>
      </c>
      <c r="B38" s="31" t="s">
        <v>355</v>
      </c>
      <c r="C38" s="32">
        <v>3339.9</v>
      </c>
      <c r="D38" s="33">
        <v>3339.9</v>
      </c>
      <c r="E38" s="34">
        <v>0</v>
      </c>
      <c r="F38" s="33">
        <v>1341.3</v>
      </c>
      <c r="G38" s="30" t="s">
        <v>321</v>
      </c>
      <c r="H38" s="35">
        <v>1</v>
      </c>
      <c r="I38" s="35" t="s">
        <v>322</v>
      </c>
      <c r="J38" s="36">
        <v>41.47</v>
      </c>
      <c r="K38" s="37">
        <v>0.84999999999999987</v>
      </c>
      <c r="L38" s="37">
        <v>0.68</v>
      </c>
      <c r="M38" s="37">
        <v>0.99</v>
      </c>
      <c r="N38" s="37">
        <v>0.44</v>
      </c>
      <c r="O38" s="37">
        <v>0.43000000000000005</v>
      </c>
      <c r="P38" s="37">
        <v>1.4200000000000002</v>
      </c>
      <c r="Q38" s="37">
        <v>0.47000000000000003</v>
      </c>
      <c r="R38" s="37">
        <v>1.1600000000000001</v>
      </c>
      <c r="S38" s="37">
        <v>0.31000000000000005</v>
      </c>
      <c r="T38" s="37">
        <v>0.5</v>
      </c>
      <c r="U38" s="37">
        <v>0.26</v>
      </c>
      <c r="V38" s="37">
        <v>0.44999999999999996</v>
      </c>
      <c r="W38" s="37">
        <v>4.66</v>
      </c>
      <c r="X38" s="37">
        <v>1.9400000000000002</v>
      </c>
      <c r="Y38" s="37">
        <v>0.2</v>
      </c>
      <c r="Z38" s="37">
        <v>3.63</v>
      </c>
      <c r="AA38" s="37">
        <v>1.56</v>
      </c>
      <c r="AB38" s="37">
        <v>1.8299999999999998</v>
      </c>
      <c r="AC38" s="37">
        <v>2.29</v>
      </c>
      <c r="AD38" s="37">
        <v>8.0500000000000007</v>
      </c>
      <c r="AE38" s="37">
        <v>0</v>
      </c>
      <c r="AF38" s="37">
        <v>3.4299999999999997</v>
      </c>
      <c r="AG38" s="37">
        <v>4.7899999999999991</v>
      </c>
      <c r="AH38" s="37">
        <v>0.2</v>
      </c>
      <c r="AI38" s="37">
        <v>0.43</v>
      </c>
      <c r="AJ38" s="37">
        <v>0.5</v>
      </c>
      <c r="AK38" s="37">
        <v>40</v>
      </c>
      <c r="AL38" s="37">
        <v>40</v>
      </c>
      <c r="AM38" s="38">
        <v>2193.54</v>
      </c>
      <c r="AN38" s="38">
        <v>171.393046</v>
      </c>
      <c r="AO38" s="38">
        <v>32.83</v>
      </c>
      <c r="AP38" s="38">
        <v>2193.54</v>
      </c>
      <c r="AQ38" s="38">
        <v>0</v>
      </c>
      <c r="AR38" s="38">
        <v>0</v>
      </c>
      <c r="AS38" s="38">
        <v>4.71</v>
      </c>
      <c r="AT38" s="36">
        <v>831033.91799999995</v>
      </c>
      <c r="AU38" s="38">
        <v>17033.489999999998</v>
      </c>
      <c r="AV38" s="38">
        <v>13626.792000000001</v>
      </c>
      <c r="AW38" s="38">
        <v>19839.006000000001</v>
      </c>
      <c r="AX38" s="38">
        <v>8817.3359999999993</v>
      </c>
      <c r="AY38" s="38">
        <v>8616.9420000000009</v>
      </c>
      <c r="AZ38" s="38">
        <v>28455.948000000004</v>
      </c>
      <c r="BA38" s="38">
        <v>9418.518</v>
      </c>
      <c r="BB38" s="38">
        <v>23245.704000000005</v>
      </c>
      <c r="BC38" s="38">
        <v>6212.2140000000009</v>
      </c>
      <c r="BD38" s="38">
        <v>10019.700000000001</v>
      </c>
      <c r="BE38" s="38">
        <v>5210.2440000000006</v>
      </c>
      <c r="BF38" s="38">
        <v>9017.73</v>
      </c>
      <c r="BG38" s="38">
        <v>93383.604000000007</v>
      </c>
      <c r="BH38" s="38">
        <v>38876.436000000002</v>
      </c>
      <c r="BI38" s="38">
        <v>4007.88</v>
      </c>
      <c r="BJ38" s="38">
        <v>72743.021999999997</v>
      </c>
      <c r="BK38" s="38">
        <v>31261.464000000004</v>
      </c>
      <c r="BL38" s="38">
        <v>36672.101999999999</v>
      </c>
      <c r="BM38" s="38">
        <v>45890.226000000002</v>
      </c>
      <c r="BN38" s="38">
        <v>161317.17000000001</v>
      </c>
      <c r="BO38" s="38">
        <v>0</v>
      </c>
      <c r="BP38" s="38">
        <v>68735.141999999993</v>
      </c>
      <c r="BQ38" s="38">
        <v>95988.725999999981</v>
      </c>
      <c r="BR38" s="38">
        <v>4007.88</v>
      </c>
      <c r="BS38" s="38">
        <v>8616.9419999999991</v>
      </c>
      <c r="BT38" s="38">
        <v>10019.700000000001</v>
      </c>
    </row>
    <row r="39" spans="1:72" s="39" customFormat="1" ht="12" customHeight="1" x14ac:dyDescent="0.25">
      <c r="A39" s="402" t="s">
        <v>293</v>
      </c>
      <c r="B39" s="402"/>
      <c r="C39" s="40">
        <v>325673.08</v>
      </c>
      <c r="D39" s="40">
        <v>313382.98000000004</v>
      </c>
      <c r="E39" s="40">
        <v>12290.1</v>
      </c>
      <c r="F39" s="40">
        <v>96015.459999999992</v>
      </c>
      <c r="G39" s="41" t="s">
        <v>67</v>
      </c>
      <c r="H39" s="42" t="s">
        <v>67</v>
      </c>
      <c r="I39" s="42" t="s">
        <v>67</v>
      </c>
      <c r="J39" s="42" t="s">
        <v>67</v>
      </c>
      <c r="K39" s="42" t="s">
        <v>67</v>
      </c>
      <c r="L39" s="42" t="s">
        <v>67</v>
      </c>
      <c r="M39" s="42" t="s">
        <v>67</v>
      </c>
      <c r="N39" s="42" t="s">
        <v>67</v>
      </c>
      <c r="O39" s="42" t="s">
        <v>67</v>
      </c>
      <c r="P39" s="42" t="s">
        <v>67</v>
      </c>
      <c r="Q39" s="42" t="s">
        <v>67</v>
      </c>
      <c r="R39" s="42" t="s">
        <v>67</v>
      </c>
      <c r="S39" s="42" t="s">
        <v>67</v>
      </c>
      <c r="T39" s="42" t="s">
        <v>67</v>
      </c>
      <c r="U39" s="42" t="s">
        <v>67</v>
      </c>
      <c r="V39" s="42" t="s">
        <v>67</v>
      </c>
      <c r="W39" s="42" t="s">
        <v>67</v>
      </c>
      <c r="X39" s="42" t="s">
        <v>67</v>
      </c>
      <c r="Y39" s="42" t="s">
        <v>67</v>
      </c>
      <c r="Z39" s="42" t="s">
        <v>67</v>
      </c>
      <c r="AA39" s="42" t="s">
        <v>67</v>
      </c>
      <c r="AB39" s="42" t="s">
        <v>67</v>
      </c>
      <c r="AC39" s="42" t="s">
        <v>67</v>
      </c>
      <c r="AD39" s="42" t="s">
        <v>67</v>
      </c>
      <c r="AE39" s="42" t="s">
        <v>67</v>
      </c>
      <c r="AF39" s="42" t="s">
        <v>67</v>
      </c>
      <c r="AG39" s="42" t="s">
        <v>67</v>
      </c>
      <c r="AH39" s="42" t="s">
        <v>67</v>
      </c>
      <c r="AI39" s="42" t="s">
        <v>67</v>
      </c>
      <c r="AJ39" s="42" t="s">
        <v>67</v>
      </c>
      <c r="AK39" s="42" t="s">
        <v>67</v>
      </c>
      <c r="AL39" s="42" t="s">
        <v>67</v>
      </c>
      <c r="AM39" s="42" t="s">
        <v>67</v>
      </c>
      <c r="AN39" s="42" t="s">
        <v>67</v>
      </c>
      <c r="AO39" s="42" t="s">
        <v>67</v>
      </c>
      <c r="AP39" s="42" t="s">
        <v>67</v>
      </c>
      <c r="AQ39" s="42" t="s">
        <v>67</v>
      </c>
      <c r="AR39" s="42" t="s">
        <v>67</v>
      </c>
      <c r="AS39" s="42" t="s">
        <v>67</v>
      </c>
      <c r="AT39" s="43">
        <v>80698286.016600013</v>
      </c>
      <c r="AU39" s="44">
        <v>1660932.7079999999</v>
      </c>
      <c r="AV39" s="44">
        <v>1326316.5263999999</v>
      </c>
      <c r="AW39" s="44">
        <v>1934498.0951999999</v>
      </c>
      <c r="AX39" s="44">
        <v>859776.93120000022</v>
      </c>
      <c r="AY39" s="44">
        <v>838700.15640000044</v>
      </c>
      <c r="AZ39" s="44">
        <v>2774734.6415999997</v>
      </c>
      <c r="BA39" s="44">
        <v>918398.08560000011</v>
      </c>
      <c r="BB39" s="44">
        <v>2266684.6368</v>
      </c>
      <c r="BC39" s="44">
        <v>605751.92880000011</v>
      </c>
      <c r="BD39" s="44">
        <v>977019.24</v>
      </c>
      <c r="BE39" s="44">
        <v>508050.00480000011</v>
      </c>
      <c r="BF39" s="44">
        <v>879317.31599999976</v>
      </c>
      <c r="BG39" s="44">
        <v>8908864.8828000017</v>
      </c>
      <c r="BH39" s="44">
        <v>3786296.9411999993</v>
      </c>
      <c r="BI39" s="44">
        <v>390807.69600000005</v>
      </c>
      <c r="BJ39" s="44">
        <v>7093159.6823999994</v>
      </c>
      <c r="BK39" s="44">
        <v>3048300.0288000009</v>
      </c>
      <c r="BL39" s="44">
        <v>3464236.4454000001</v>
      </c>
      <c r="BM39" s="44">
        <v>4471711.0691999998</v>
      </c>
      <c r="BN39" s="44">
        <v>15701247.114</v>
      </c>
      <c r="BO39" s="44">
        <v>12936.258000000002</v>
      </c>
      <c r="BP39" s="44">
        <v>6712114.0823999988</v>
      </c>
      <c r="BQ39" s="44">
        <v>9359844.3191999979</v>
      </c>
      <c r="BR39" s="44">
        <v>390807.69600000005</v>
      </c>
      <c r="BS39" s="44">
        <v>833129.3544000003</v>
      </c>
      <c r="BT39" s="44">
        <v>974650.17599999998</v>
      </c>
    </row>
    <row r="48" spans="1:72" ht="12" customHeight="1" x14ac:dyDescent="0.25"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</row>
    <row r="49" spans="1:45" s="39" customFormat="1" ht="12" customHeight="1" x14ac:dyDescent="0.25">
      <c r="A49" s="27"/>
      <c r="B49" s="27"/>
      <c r="C49" s="27"/>
      <c r="D49" s="27"/>
      <c r="E49" s="27"/>
      <c r="F49" s="27"/>
      <c r="G49" s="27"/>
      <c r="H49" s="27"/>
      <c r="I49" s="27"/>
      <c r="AK49" s="27"/>
      <c r="AL49" s="27"/>
      <c r="AM49" s="27"/>
      <c r="AN49" s="27"/>
      <c r="AO49" s="27"/>
      <c r="AP49" s="27"/>
      <c r="AS49" s="27"/>
    </row>
  </sheetData>
  <autoFilter ref="A4:AS39"/>
  <mergeCells count="73">
    <mergeCell ref="A39:B39"/>
    <mergeCell ref="BO2:BO4"/>
    <mergeCell ref="BP2:BP4"/>
    <mergeCell ref="BQ2:BQ4"/>
    <mergeCell ref="BR2:BR4"/>
    <mergeCell ref="BC2:BC4"/>
    <mergeCell ref="BD2:BD4"/>
    <mergeCell ref="BE2:BE4"/>
    <mergeCell ref="BF2:BF4"/>
    <mergeCell ref="BG2:BG4"/>
    <mergeCell ref="BH2:BH4"/>
    <mergeCell ref="AW2:AW4"/>
    <mergeCell ref="AX2:AX4"/>
    <mergeCell ref="AY2:AY4"/>
    <mergeCell ref="AZ2:AZ4"/>
    <mergeCell ref="BA2:BA4"/>
    <mergeCell ref="BS2:BS4"/>
    <mergeCell ref="BT2:BT4"/>
    <mergeCell ref="BI2:BI4"/>
    <mergeCell ref="BJ2:BJ4"/>
    <mergeCell ref="BK2:BK4"/>
    <mergeCell ref="BL2:BL4"/>
    <mergeCell ref="BM2:BM4"/>
    <mergeCell ref="BN2:BN4"/>
    <mergeCell ref="BB2:BB4"/>
    <mergeCell ref="AO2:AO3"/>
    <mergeCell ref="AP2:AP3"/>
    <mergeCell ref="AQ2:AR2"/>
    <mergeCell ref="AS2:AS3"/>
    <mergeCell ref="AU2:AU4"/>
    <mergeCell ref="AV2:AV4"/>
    <mergeCell ref="AT1:AT4"/>
    <mergeCell ref="AL2:AN2"/>
    <mergeCell ref="AA2:AA4"/>
    <mergeCell ref="AB2:AB4"/>
    <mergeCell ref="AC2:AC4"/>
    <mergeCell ref="AD2:AD4"/>
    <mergeCell ref="AE2:AE4"/>
    <mergeCell ref="AF2:AF4"/>
    <mergeCell ref="AG2:AG4"/>
    <mergeCell ref="AH2:AH4"/>
    <mergeCell ref="AI2:AI4"/>
    <mergeCell ref="AJ2:AJ4"/>
    <mergeCell ref="AK2:AK3"/>
    <mergeCell ref="U2:U4"/>
    <mergeCell ref="V2:V4"/>
    <mergeCell ref="W2:W4"/>
    <mergeCell ref="X2:X4"/>
    <mergeCell ref="Y2:Y4"/>
    <mergeCell ref="H1:H4"/>
    <mergeCell ref="I1:I4"/>
    <mergeCell ref="J1:J4"/>
    <mergeCell ref="K1:AJ1"/>
    <mergeCell ref="AK1:AS1"/>
    <mergeCell ref="K2:K4"/>
    <mergeCell ref="L2:L4"/>
    <mergeCell ref="M2:M4"/>
    <mergeCell ref="N2:N4"/>
    <mergeCell ref="Z2:Z4"/>
    <mergeCell ref="O2:O4"/>
    <mergeCell ref="P2:P4"/>
    <mergeCell ref="Q2:Q4"/>
    <mergeCell ref="R2:R4"/>
    <mergeCell ref="S2:S4"/>
    <mergeCell ref="T2:T4"/>
    <mergeCell ref="G1:G4"/>
    <mergeCell ref="D2:D4"/>
    <mergeCell ref="E2:E4"/>
    <mergeCell ref="A1:A4"/>
    <mergeCell ref="B1:B4"/>
    <mergeCell ref="C1:C4"/>
    <mergeCell ref="D1:E1"/>
    <mergeCell ref="F1:F4"/>
  </mergeCells>
  <pageMargins left="0.25" right="0.25" top="0.75" bottom="0.75" header="0.3" footer="0.3"/>
  <pageSetup paperSize="9" scale="2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33"/>
  <sheetViews>
    <sheetView zoomScale="90" zoomScaleNormal="90" workbookViewId="0">
      <pane xSplit="2" ySplit="3" topLeftCell="C4" activePane="bottomRight" state="frozen"/>
      <selection activeCell="EB284" sqref="EB284"/>
      <selection pane="topRight" activeCell="EB284" sqref="EB284"/>
      <selection pane="bottomLeft" activeCell="EB284" sqref="EB284"/>
      <selection pane="bottomRight" activeCell="EB284" sqref="EB284"/>
    </sheetView>
  </sheetViews>
  <sheetFormatPr defaultColWidth="10.7109375" defaultRowHeight="12" customHeight="1" outlineLevelRow="1" x14ac:dyDescent="0.25"/>
  <cols>
    <col min="1" max="1" width="5.7109375" style="27" customWidth="1"/>
    <col min="2" max="2" width="100.7109375" style="27" customWidth="1"/>
    <col min="3" max="3" width="10.7109375" style="27" customWidth="1"/>
    <col min="4" max="16384" width="10.7109375" style="27"/>
  </cols>
  <sheetData>
    <row r="1" spans="1:6" ht="24.95" customHeight="1" x14ac:dyDescent="0.25">
      <c r="A1" s="403" t="s">
        <v>356</v>
      </c>
      <c r="B1" s="403"/>
      <c r="C1" s="403"/>
      <c r="D1" s="403"/>
    </row>
    <row r="2" spans="1:6" ht="15" customHeight="1" x14ac:dyDescent="0.25">
      <c r="A2" s="403"/>
      <c r="B2" s="46"/>
      <c r="C2" s="47" t="s">
        <v>357</v>
      </c>
    </row>
    <row r="3" spans="1:6" ht="15" customHeight="1" x14ac:dyDescent="0.25">
      <c r="A3" s="403"/>
      <c r="B3" s="46"/>
      <c r="C3" s="404" t="s">
        <v>358</v>
      </c>
      <c r="D3" s="404"/>
    </row>
    <row r="4" spans="1:6" ht="30" customHeight="1" x14ac:dyDescent="0.25">
      <c r="A4" s="405" t="s">
        <v>356</v>
      </c>
      <c r="B4" s="406"/>
      <c r="C4" s="48">
        <v>41.47</v>
      </c>
      <c r="D4" s="48">
        <v>34.979999999999997</v>
      </c>
      <c r="E4" s="49">
        <v>40.33</v>
      </c>
      <c r="F4" s="49">
        <v>23.78</v>
      </c>
    </row>
    <row r="5" spans="1:6" ht="30" customHeight="1" outlineLevel="1" x14ac:dyDescent="0.25">
      <c r="A5" s="50">
        <v>1</v>
      </c>
      <c r="B5" s="51" t="s">
        <v>359</v>
      </c>
      <c r="C5" s="52">
        <f>SUM(C6:C17)</f>
        <v>7.96</v>
      </c>
      <c r="D5" s="52">
        <f>SUM(D6:D17)</f>
        <v>7.96</v>
      </c>
      <c r="E5" s="36">
        <f>SUM(E6:E17)</f>
        <v>7.96</v>
      </c>
      <c r="F5" s="36">
        <f>SUM(F6:F17)</f>
        <v>6.8500000000000005</v>
      </c>
    </row>
    <row r="6" spans="1:6" ht="15" customHeight="1" outlineLevel="1" x14ac:dyDescent="0.25">
      <c r="A6" s="53" t="s">
        <v>360</v>
      </c>
      <c r="B6" s="54" t="s">
        <v>294</v>
      </c>
      <c r="C6" s="37">
        <f>0.15+0.15+0.15+0.1+0.3</f>
        <v>0.84999999999999987</v>
      </c>
      <c r="D6" s="37">
        <f>0.15+0.15+0.15+0.1+0.3</f>
        <v>0.84999999999999987</v>
      </c>
      <c r="E6" s="38">
        <f>0.15+0.15+0.15+0.1+0.3</f>
        <v>0.84999999999999987</v>
      </c>
      <c r="F6" s="38">
        <f>0.15+0.15+0.15+0.1+0.3</f>
        <v>0.84999999999999987</v>
      </c>
    </row>
    <row r="7" spans="1:6" ht="15" customHeight="1" outlineLevel="1" x14ac:dyDescent="0.25">
      <c r="A7" s="53" t="s">
        <v>361</v>
      </c>
      <c r="B7" s="54" t="s">
        <v>295</v>
      </c>
      <c r="C7" s="37">
        <f>0.27+0.2+0.21</f>
        <v>0.68</v>
      </c>
      <c r="D7" s="37">
        <f>0.27+0.2+0.21</f>
        <v>0.68</v>
      </c>
      <c r="E7" s="38">
        <f>0.27+0.2+0.21</f>
        <v>0.68</v>
      </c>
      <c r="F7" s="37">
        <v>0</v>
      </c>
    </row>
    <row r="8" spans="1:6" ht="15" customHeight="1" outlineLevel="1" x14ac:dyDescent="0.25">
      <c r="A8" s="53" t="s">
        <v>362</v>
      </c>
      <c r="B8" s="54" t="s">
        <v>296</v>
      </c>
      <c r="C8" s="37">
        <f>0.3+0.15+0.3+0.24</f>
        <v>0.99</v>
      </c>
      <c r="D8" s="37">
        <f>0.3+0.15+0.3+0.24</f>
        <v>0.99</v>
      </c>
      <c r="E8" s="38">
        <f>0.3+0.15+0.3+0.24</f>
        <v>0.99</v>
      </c>
      <c r="F8" s="38">
        <f>0.3+0.15+0.3+0.24</f>
        <v>0.99</v>
      </c>
    </row>
    <row r="9" spans="1:6" ht="15" customHeight="1" outlineLevel="1" x14ac:dyDescent="0.25">
      <c r="A9" s="53" t="s">
        <v>363</v>
      </c>
      <c r="B9" s="54" t="s">
        <v>297</v>
      </c>
      <c r="C9" s="37">
        <f>0.12+0.12+0.2</f>
        <v>0.44</v>
      </c>
      <c r="D9" s="37">
        <f>0.12+0.12+0.2</f>
        <v>0.44</v>
      </c>
      <c r="E9" s="38">
        <f>0.12+0.12+0.2</f>
        <v>0.44</v>
      </c>
      <c r="F9" s="38">
        <f>0.12+0.12+0.2</f>
        <v>0.44</v>
      </c>
    </row>
    <row r="10" spans="1:6" ht="15" customHeight="1" outlineLevel="1" x14ac:dyDescent="0.25">
      <c r="A10" s="53" t="s">
        <v>364</v>
      </c>
      <c r="B10" s="54" t="s">
        <v>298</v>
      </c>
      <c r="C10" s="37">
        <f>0.1+0.1+0.23</f>
        <v>0.43000000000000005</v>
      </c>
      <c r="D10" s="37">
        <f>0.1+0.1+0.23</f>
        <v>0.43000000000000005</v>
      </c>
      <c r="E10" s="38">
        <f>0.1+0.1+0.23</f>
        <v>0.43000000000000005</v>
      </c>
      <c r="F10" s="37">
        <v>0</v>
      </c>
    </row>
    <row r="11" spans="1:6" ht="15" customHeight="1" outlineLevel="1" x14ac:dyDescent="0.25">
      <c r="A11" s="53" t="s">
        <v>365</v>
      </c>
      <c r="B11" s="54" t="s">
        <v>299</v>
      </c>
      <c r="C11" s="37">
        <f>0.15+0.1+0.12+0.23+0.5+0.32</f>
        <v>1.4200000000000002</v>
      </c>
      <c r="D11" s="37">
        <f>0.15+0.1+0.12+0.23+0.5+0.32</f>
        <v>1.4200000000000002</v>
      </c>
      <c r="E11" s="38">
        <f>0.15+0.1+0.12+0.23+0.5+0.32</f>
        <v>1.4200000000000002</v>
      </c>
      <c r="F11" s="38">
        <f>0.15+0.1+0.12+0.23+0.5+0.32</f>
        <v>1.4200000000000002</v>
      </c>
    </row>
    <row r="12" spans="1:6" ht="15" customHeight="1" outlineLevel="1" x14ac:dyDescent="0.25">
      <c r="A12" s="53" t="s">
        <v>366</v>
      </c>
      <c r="B12" s="54" t="s">
        <v>300</v>
      </c>
      <c r="C12" s="37">
        <f>0.1+0.1+0.27</f>
        <v>0.47000000000000003</v>
      </c>
      <c r="D12" s="37">
        <f>0.1+0.1+0.27</f>
        <v>0.47000000000000003</v>
      </c>
      <c r="E12" s="38">
        <f>0.1+0.1+0.27</f>
        <v>0.47000000000000003</v>
      </c>
      <c r="F12" s="38">
        <f>0.1+0.1+0.27</f>
        <v>0.47000000000000003</v>
      </c>
    </row>
    <row r="13" spans="1:6" ht="15" customHeight="1" outlineLevel="1" x14ac:dyDescent="0.25">
      <c r="A13" s="53" t="s">
        <v>367</v>
      </c>
      <c r="B13" s="54" t="s">
        <v>301</v>
      </c>
      <c r="C13" s="37">
        <f>0.15+0.05+0.1+0.2+0.16+0.5</f>
        <v>1.1600000000000001</v>
      </c>
      <c r="D13" s="37">
        <f>0.15+0.05+0.1+0.2+0.16+0.5</f>
        <v>1.1600000000000001</v>
      </c>
      <c r="E13" s="38">
        <f>0.15+0.05+0.1+0.2+0.16+0.5</f>
        <v>1.1600000000000001</v>
      </c>
      <c r="F13" s="38">
        <f>0.15+0.05+0.1+0.2+0.16+0.5</f>
        <v>1.1600000000000001</v>
      </c>
    </row>
    <row r="14" spans="1:6" ht="15" customHeight="1" outlineLevel="1" x14ac:dyDescent="0.25">
      <c r="A14" s="53" t="s">
        <v>368</v>
      </c>
      <c r="B14" s="54" t="s">
        <v>302</v>
      </c>
      <c r="C14" s="37">
        <f>0.16+0.05+0.1</f>
        <v>0.31000000000000005</v>
      </c>
      <c r="D14" s="37">
        <f>0.16+0.05+0.1</f>
        <v>0.31000000000000005</v>
      </c>
      <c r="E14" s="38">
        <f>0.16+0.05+0.1</f>
        <v>0.31000000000000005</v>
      </c>
      <c r="F14" s="38">
        <f>0.16+0.05+0.1</f>
        <v>0.31000000000000005</v>
      </c>
    </row>
    <row r="15" spans="1:6" ht="15" customHeight="1" outlineLevel="1" x14ac:dyDescent="0.25">
      <c r="A15" s="53" t="s">
        <v>369</v>
      </c>
      <c r="B15" s="54" t="s">
        <v>303</v>
      </c>
      <c r="C15" s="37">
        <v>0.5</v>
      </c>
      <c r="D15" s="37">
        <v>0.5</v>
      </c>
      <c r="E15" s="38">
        <v>0.5</v>
      </c>
      <c r="F15" s="38">
        <v>0.5</v>
      </c>
    </row>
    <row r="16" spans="1:6" ht="15" customHeight="1" outlineLevel="1" x14ac:dyDescent="0.25">
      <c r="A16" s="53" t="s">
        <v>370</v>
      </c>
      <c r="B16" s="54" t="s">
        <v>304</v>
      </c>
      <c r="C16" s="37">
        <f>0.1+0.16</f>
        <v>0.26</v>
      </c>
      <c r="D16" s="37">
        <f>0.1+0.16</f>
        <v>0.26</v>
      </c>
      <c r="E16" s="38">
        <f>0.1+0.16</f>
        <v>0.26</v>
      </c>
      <c r="F16" s="38">
        <f>0.1+0.16</f>
        <v>0.26</v>
      </c>
    </row>
    <row r="17" spans="1:6" ht="15" customHeight="1" outlineLevel="1" x14ac:dyDescent="0.25">
      <c r="A17" s="53" t="s">
        <v>371</v>
      </c>
      <c r="B17" s="54" t="s">
        <v>305</v>
      </c>
      <c r="C17" s="37">
        <f>0.1+0.35</f>
        <v>0.44999999999999996</v>
      </c>
      <c r="D17" s="37">
        <f>0.1+0.35</f>
        <v>0.44999999999999996</v>
      </c>
      <c r="E17" s="38">
        <f>0.1+0.35</f>
        <v>0.44999999999999996</v>
      </c>
      <c r="F17" s="38">
        <f>0.1+0.35</f>
        <v>0.44999999999999996</v>
      </c>
    </row>
    <row r="18" spans="1:6" ht="30" customHeight="1" outlineLevel="1" x14ac:dyDescent="0.25">
      <c r="A18" s="50">
        <v>2</v>
      </c>
      <c r="B18" s="51" t="s">
        <v>372</v>
      </c>
      <c r="C18" s="52">
        <f>SUM(C19:C26)</f>
        <v>24.16</v>
      </c>
      <c r="D18" s="52">
        <f>SUM(D19:D26)</f>
        <v>17.670000000000002</v>
      </c>
      <c r="E18" s="52">
        <f>SUM(E19:E27)</f>
        <v>23.020000000000003</v>
      </c>
      <c r="F18" s="52">
        <f>SUM(F19:F27)</f>
        <v>7.5</v>
      </c>
    </row>
    <row r="19" spans="1:6" ht="15" customHeight="1" outlineLevel="1" x14ac:dyDescent="0.25">
      <c r="A19" s="53" t="s">
        <v>373</v>
      </c>
      <c r="B19" s="54" t="s">
        <v>306</v>
      </c>
      <c r="C19" s="37">
        <f>0.38+1.59+1.49+1.2</f>
        <v>4.66</v>
      </c>
      <c r="D19" s="37">
        <v>0</v>
      </c>
      <c r="E19" s="38">
        <f>0.38+1.59+1.49+1.2</f>
        <v>4.66</v>
      </c>
      <c r="F19" s="37">
        <v>0</v>
      </c>
    </row>
    <row r="20" spans="1:6" ht="15" customHeight="1" outlineLevel="1" x14ac:dyDescent="0.25">
      <c r="A20" s="53" t="s">
        <v>374</v>
      </c>
      <c r="B20" s="54" t="s">
        <v>307</v>
      </c>
      <c r="C20" s="37">
        <f>0.27+0.27+0.39+0.34+0.34+0.33</f>
        <v>1.9400000000000002</v>
      </c>
      <c r="D20" s="37">
        <f>0.27+0.27+0.39+0.34+0.34+0.33</f>
        <v>1.9400000000000002</v>
      </c>
      <c r="E20" s="38">
        <f>0.27+0.27+0.39+0.34+0.34+0.33</f>
        <v>1.9400000000000002</v>
      </c>
      <c r="F20" s="38">
        <f>0.34+0.33</f>
        <v>0.67</v>
      </c>
    </row>
    <row r="21" spans="1:6" ht="15" customHeight="1" outlineLevel="1" x14ac:dyDescent="0.25">
      <c r="A21" s="53" t="s">
        <v>375</v>
      </c>
      <c r="B21" s="54" t="s">
        <v>308</v>
      </c>
      <c r="C21" s="37">
        <v>0.2</v>
      </c>
      <c r="D21" s="37">
        <v>0.2</v>
      </c>
      <c r="E21" s="38">
        <v>0.2</v>
      </c>
      <c r="F21" s="38">
        <v>0.2</v>
      </c>
    </row>
    <row r="22" spans="1:6" ht="15" customHeight="1" outlineLevel="1" x14ac:dyDescent="0.25">
      <c r="A22" s="53" t="s">
        <v>376</v>
      </c>
      <c r="B22" s="54" t="s">
        <v>309</v>
      </c>
      <c r="C22" s="37">
        <f>0.48+0.55+0.34+0.31+0.68+0.51+0.38+0.38</f>
        <v>3.63</v>
      </c>
      <c r="D22" s="37">
        <f>0.48+0.55+0.34+0.31+0.68+0.51+0.38+0.38</f>
        <v>3.63</v>
      </c>
      <c r="E22" s="38">
        <f>0.48+0.55+0.34+0.31+0.68+0.51+0.38+0.38</f>
        <v>3.63</v>
      </c>
      <c r="F22" s="38">
        <f>0.48+0.55+0.34+0.31+0.68+0.51+0.38+0.38</f>
        <v>3.63</v>
      </c>
    </row>
    <row r="23" spans="1:6" ht="15" customHeight="1" outlineLevel="1" x14ac:dyDescent="0.25">
      <c r="A23" s="53" t="s">
        <v>377</v>
      </c>
      <c r="B23" s="54" t="s">
        <v>310</v>
      </c>
      <c r="C23" s="37">
        <f>0.34+0.46+0.42+0.34</f>
        <v>1.56</v>
      </c>
      <c r="D23" s="37">
        <f>0.34+0.46+0.42+0.34</f>
        <v>1.56</v>
      </c>
      <c r="E23" s="38">
        <f>0.34+0.46+0.42+0.34</f>
        <v>1.56</v>
      </c>
      <c r="F23" s="38">
        <f>0.34+0.46+0.42+0.34</f>
        <v>1.56</v>
      </c>
    </row>
    <row r="24" spans="1:6" ht="15" customHeight="1" outlineLevel="1" x14ac:dyDescent="0.25">
      <c r="A24" s="53" t="s">
        <v>378</v>
      </c>
      <c r="B24" s="54" t="s">
        <v>311</v>
      </c>
      <c r="C24" s="37">
        <f>0.3+0.33+0.5+0.2+0.5</f>
        <v>1.8299999999999998</v>
      </c>
      <c r="D24" s="37">
        <v>0</v>
      </c>
      <c r="E24" s="37">
        <v>0</v>
      </c>
      <c r="F24" s="37">
        <v>0</v>
      </c>
    </row>
    <row r="25" spans="1:6" ht="15" customHeight="1" outlineLevel="1" x14ac:dyDescent="0.25">
      <c r="A25" s="53" t="s">
        <v>379</v>
      </c>
      <c r="B25" s="54" t="s">
        <v>312</v>
      </c>
      <c r="C25" s="37">
        <f>0.5+0.5+0.44+0.46+0.39</f>
        <v>2.29</v>
      </c>
      <c r="D25" s="37">
        <f>0.5+0.5+0.44+0.46+0.39</f>
        <v>2.29</v>
      </c>
      <c r="E25" s="38">
        <f>0.5+0.5+0.44+0.46+0.39</f>
        <v>2.29</v>
      </c>
      <c r="F25" s="38">
        <f>0.5+0.5+0.44</f>
        <v>1.44</v>
      </c>
    </row>
    <row r="26" spans="1:6" ht="15" customHeight="1" outlineLevel="1" x14ac:dyDescent="0.25">
      <c r="A26" s="53" t="s">
        <v>380</v>
      </c>
      <c r="B26" s="54" t="s">
        <v>313</v>
      </c>
      <c r="C26" s="37">
        <f>1.07+0.55+0.59+0.62+1.25+2.88+0.57+0.52</f>
        <v>8.0500000000000007</v>
      </c>
      <c r="D26" s="37">
        <f>1.07+0.55+0.59+0.62+1.25+2.88+0.57+0.52</f>
        <v>8.0500000000000007</v>
      </c>
      <c r="E26" s="38">
        <f>1.07+0.55+0.59+0.62+1.25+2.88+0.57+0.52</f>
        <v>8.0500000000000007</v>
      </c>
      <c r="F26" s="37">
        <v>0</v>
      </c>
    </row>
    <row r="27" spans="1:6" ht="15" customHeight="1" outlineLevel="1" x14ac:dyDescent="0.25">
      <c r="A27" s="53" t="s">
        <v>381</v>
      </c>
      <c r="B27" s="54" t="s">
        <v>314</v>
      </c>
      <c r="C27" s="37">
        <v>0</v>
      </c>
      <c r="D27" s="37">
        <v>0</v>
      </c>
      <c r="E27" s="38">
        <f>0.23+0.23+0.23</f>
        <v>0.69000000000000006</v>
      </c>
      <c r="F27" s="37">
        <v>0</v>
      </c>
    </row>
    <row r="28" spans="1:6" ht="30" customHeight="1" outlineLevel="1" x14ac:dyDescent="0.25">
      <c r="A28" s="41">
        <v>3</v>
      </c>
      <c r="B28" s="51" t="s">
        <v>382</v>
      </c>
      <c r="C28" s="52">
        <f>SUM(C29:C32)</f>
        <v>8.8499999999999979</v>
      </c>
      <c r="D28" s="52">
        <f>SUM(D29:D32)</f>
        <v>8.8899999999999988</v>
      </c>
      <c r="E28" s="52">
        <f>SUM(E29:E32)</f>
        <v>8.8899999999999988</v>
      </c>
      <c r="F28" s="52">
        <f>SUM(F29:F32)</f>
        <v>8.9499999999999975</v>
      </c>
    </row>
    <row r="29" spans="1:6" ht="15" customHeight="1" outlineLevel="1" x14ac:dyDescent="0.25">
      <c r="A29" s="53" t="s">
        <v>383</v>
      </c>
      <c r="B29" s="54" t="s">
        <v>315</v>
      </c>
      <c r="C29" s="37">
        <f>1.46+0.46+0.16+1.01+0.34</f>
        <v>3.4299999999999997</v>
      </c>
      <c r="D29" s="37">
        <f>1.5+0.5+0.2+1.01+0.38</f>
        <v>3.59</v>
      </c>
      <c r="E29" s="38">
        <f>1.5+0.5+0.2+1.01+0.38</f>
        <v>3.59</v>
      </c>
      <c r="F29" s="38">
        <f>1.5+0.5+0.2+1.01+0.38</f>
        <v>3.59</v>
      </c>
    </row>
    <row r="30" spans="1:6" ht="15" customHeight="1" outlineLevel="1" x14ac:dyDescent="0.25">
      <c r="A30" s="53" t="s">
        <v>384</v>
      </c>
      <c r="B30" s="54" t="s">
        <v>316</v>
      </c>
      <c r="C30" s="37">
        <f>0.69+0.6+0.42+0.54+0.48+0.7+0.34+0.59+0.43</f>
        <v>4.7899999999999991</v>
      </c>
      <c r="D30" s="37">
        <f>0.69+0.6+0.42+0.54+0.48+0.7+0.34+0.59+0.43</f>
        <v>4.7899999999999991</v>
      </c>
      <c r="E30" s="38">
        <f>0.69+0.6+0.42+0.54+0.48+0.7+0.34+0.59+0.43</f>
        <v>4.7899999999999991</v>
      </c>
      <c r="F30" s="38">
        <f>0.69+0.6+0.42+0.54+0.48+0.7+0.34+0.59+0.43</f>
        <v>4.7899999999999991</v>
      </c>
    </row>
    <row r="31" spans="1:6" ht="15" customHeight="1" outlineLevel="1" x14ac:dyDescent="0.25">
      <c r="A31" s="53" t="s">
        <v>385</v>
      </c>
      <c r="B31" s="54" t="s">
        <v>317</v>
      </c>
      <c r="C31" s="37">
        <v>0.2</v>
      </c>
      <c r="D31" s="37">
        <v>0.2</v>
      </c>
      <c r="E31" s="38">
        <v>0.2</v>
      </c>
      <c r="F31" s="38">
        <v>0.2</v>
      </c>
    </row>
    <row r="32" spans="1:6" ht="15" customHeight="1" outlineLevel="1" x14ac:dyDescent="0.25">
      <c r="A32" s="53" t="s">
        <v>386</v>
      </c>
      <c r="B32" s="54" t="s">
        <v>318</v>
      </c>
      <c r="C32" s="37">
        <f>0.09+0.16+0.18</f>
        <v>0.43</v>
      </c>
      <c r="D32" s="37">
        <f>0.05+0.12+0.14</f>
        <v>0.31</v>
      </c>
      <c r="E32" s="38">
        <f>0.05+0.12+0.14</f>
        <v>0.31</v>
      </c>
      <c r="F32" s="38">
        <f>0.07+0.14+0.16</f>
        <v>0.37</v>
      </c>
    </row>
    <row r="33" spans="1:6" ht="30" customHeight="1" outlineLevel="1" x14ac:dyDescent="0.25">
      <c r="A33" s="41">
        <v>4</v>
      </c>
      <c r="B33" s="51" t="s">
        <v>319</v>
      </c>
      <c r="C33" s="52">
        <v>0.5</v>
      </c>
      <c r="D33" s="52">
        <v>0.46</v>
      </c>
      <c r="E33" s="36">
        <v>0.46</v>
      </c>
      <c r="F33" s="36">
        <v>0.48</v>
      </c>
    </row>
  </sheetData>
  <autoFilter ref="A3:D3">
    <filterColumn colId="2" showButton="0"/>
  </autoFilter>
  <mergeCells count="4">
    <mergeCell ref="A1:D1"/>
    <mergeCell ref="A2:A3"/>
    <mergeCell ref="C3:D3"/>
    <mergeCell ref="A4:B4"/>
  </mergeCells>
  <pageMargins left="0.25" right="0.25" top="0.75" bottom="0.75" header="0.3" footer="0.3"/>
  <pageSetup paperSize="9" scale="6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3</vt:i4>
      </vt:variant>
    </vt:vector>
  </HeadingPairs>
  <TitlesOfParts>
    <vt:vector size="18" baseType="lpstr">
      <vt:lpstr>2024</vt:lpstr>
      <vt:lpstr>Супер</vt:lpstr>
      <vt:lpstr>Оборот</vt:lpstr>
      <vt:lpstr>Сальдо</vt:lpstr>
      <vt:lpstr>20Ф</vt:lpstr>
      <vt:lpstr>25Ф</vt:lpstr>
      <vt:lpstr>26Ф</vt:lpstr>
      <vt:lpstr>План</vt:lpstr>
      <vt:lpstr>План ВНИИССОК</vt:lpstr>
      <vt:lpstr>Page 1</vt:lpstr>
      <vt:lpstr>60Ф</vt:lpstr>
      <vt:lpstr>91Ф</vt:lpstr>
      <vt:lpstr>91.1Ф</vt:lpstr>
      <vt:lpstr>отчёт</vt:lpstr>
      <vt:lpstr>2023</vt:lpstr>
      <vt:lpstr>'2023'!Область_печати</vt:lpstr>
      <vt:lpstr>'2024'!Область_печати</vt:lpstr>
      <vt:lpstr>'Page 1'!Область_печати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Третьяков Иван Алексеевич</dc:creator>
  <cp:lastModifiedBy>ккк</cp:lastModifiedBy>
  <cp:lastPrinted>2025-04-28T08:58:13Z</cp:lastPrinted>
  <dcterms:created xsi:type="dcterms:W3CDTF">2025-03-24T07:04:56Z</dcterms:created>
  <dcterms:modified xsi:type="dcterms:W3CDTF">2025-05-05T13:43:11Z</dcterms:modified>
</cp:coreProperties>
</file>